
<file path=[Content_Types].xml><?xml version="1.0" encoding="utf-8"?>
<Types xmlns="http://schemas.openxmlformats.org/package/2006/content-types">
  <Override PartName="/_rels/.rels" ContentType="application/vnd.openxmlformats-package.relationships+xml"/>
  <Override PartName="/docProps/app.xml" ContentType="application/vnd.openxmlformats-officedocument.extended-properties+xml"/>
  <Override PartName="/docProps/core.xml" ContentType="application/vnd.openxmlformats-package.core-properties+xml"/>
  <Override PartName="/xl/_rels/workbook.xml.rels" ContentType="application/vnd.openxmlformats-package.relationships+xml"/>
  <Override PartName="/xl/media/image7.png" ContentType="image/png"/>
  <Override PartName="/xl/media/image6.png" ContentType="image/png"/>
  <Override PartName="/xl/media/image5.png" ContentType="image/png"/>
  <Override PartName="/xl/media/image8.jpeg" ContentType="image/jpeg"/>
  <Override PartName="/xl/media/image1.png" ContentType="image/png"/>
  <Override PartName="/xl/media/image2.png" ContentType="image/png"/>
  <Override PartName="/xl/media/image3.png" ContentType="image/png"/>
  <Override PartName="/xl/media/image4.png" ContentType="image/png"/>
  <Override PartName="/xl/drawings/drawing9.xml" ContentType="application/vnd.openxmlformats-officedocument.drawing+xml"/>
  <Override PartName="/xl/drawings/drawing8.xml" ContentType="application/vnd.openxmlformats-officedocument.drawing+xml"/>
  <Override PartName="/xl/drawings/drawing7.xml" ContentType="application/vnd.openxmlformats-officedocument.drawing+xml"/>
  <Override PartName="/xl/drawings/drawing6.xml" ContentType="application/vnd.openxmlformats-officedocument.drawing+xml"/>
  <Override PartName="/xl/drawings/drawing5.xml" ContentType="application/vnd.openxmlformats-officedocument.drawing+xml"/>
  <Override PartName="/xl/drawings/drawing1.xml" ContentType="application/vnd.openxmlformats-officedocument.drawing+xml"/>
  <Override PartName="/xl/drawings/_rels/drawing1.xml.rels" ContentType="application/vnd.openxmlformats-package.relationships+xml"/>
  <Override PartName="/xl/drawings/_rels/drawing2.xml.rels" ContentType="application/vnd.openxmlformats-package.relationships+xml"/>
  <Override PartName="/xl/drawings/_rels/drawing8.xml.rels" ContentType="application/vnd.openxmlformats-package.relationships+xml"/>
  <Override PartName="/xl/drawings/_rels/drawing7.xml.rels" ContentType="application/vnd.openxmlformats-package.relationships+xml"/>
  <Override PartName="/xl/drawings/_rels/drawing6.xml.rels" ContentType="application/vnd.openxmlformats-package.relationships+xml"/>
  <Override PartName="/xl/drawings/_rels/drawing5.xml.rels" ContentType="application/vnd.openxmlformats-package.relationships+xml"/>
  <Override PartName="/xl/drawings/_rels/drawing3.xml.rels" ContentType="application/vnd.openxmlformats-package.relationships+xml"/>
  <Override PartName="/xl/drawings/_rels/drawing4.xml.rels" ContentType="application/vnd.openxmlformats-package.relationship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workbook.xml" ContentType="application/vnd.openxmlformats-officedocument.spreadsheetml.sheet.main+xml"/>
  <Override PartName="/xl/styles.xml" ContentType="application/vnd.openxmlformats-officedocument.spreadsheetml.styles+xml"/>
  <Override PartName="/xl/worksheets/sheet21.xml" ContentType="application/vnd.openxmlformats-officedocument.spreadsheetml.worksheet+xml"/>
  <Override PartName="/xl/worksheets/sheet20.xml" ContentType="application/vnd.openxmlformats-officedocument.spreadsheetml.worksheet+xml"/>
  <Override PartName="/xl/worksheets/sheet19.xml" ContentType="application/vnd.openxmlformats-officedocument.spreadsheetml.worksheet+xml"/>
  <Override PartName="/xl/worksheets/sheet18.xml" ContentType="application/vnd.openxmlformats-officedocument.spreadsheetml.worksheet+xml"/>
  <Override PartName="/xl/worksheets/sheet17.xml" ContentType="application/vnd.openxmlformats-officedocument.spreadsheetml.worksheet+xml"/>
  <Override PartName="/xl/worksheets/sheet16.xml" ContentType="application/vnd.openxmlformats-officedocument.spreadsheetml.worksheet+xml"/>
  <Override PartName="/xl/worksheets/_rels/sheet4.xml.rels" ContentType="application/vnd.openxmlformats-package.relationships+xml"/>
  <Override PartName="/xl/worksheets/_rels/sheet19.xml.rels" ContentType="application/vnd.openxmlformats-package.relationships+xml"/>
  <Override PartName="/xl/worksheets/_rels/sheet18.xml.rels" ContentType="application/vnd.openxmlformats-package.relationships+xml"/>
  <Override PartName="/xl/worksheets/_rels/sheet17.xml.rels" ContentType="application/vnd.openxmlformats-package.relationships+xml"/>
  <Override PartName="/xl/worksheets/_rels/sheet16.xml.rels" ContentType="application/vnd.openxmlformats-package.relationships+xml"/>
  <Override PartName="/xl/worksheets/_rels/sheet15.xml.rels" ContentType="application/vnd.openxmlformats-package.relationships+xml"/>
  <Override PartName="/xl/worksheets/_rels/sheet14.xml.rels" ContentType="application/vnd.openxmlformats-package.relationships+xml"/>
  <Override PartName="/xl/worksheets/_rels/sheet12.xml.rels" ContentType="application/vnd.openxmlformats-package.relationships+xml"/>
  <Override PartName="/xl/worksheets/_rels/sheet13.xml.rels" ContentType="application/vnd.openxmlformats-package.relationships+xml"/>
  <Override PartName="/xl/worksheets/sheet15.xml" ContentType="application/vnd.openxmlformats-officedocument.spreadsheetml.worksheet+xml"/>
  <Override PartName="/xl/worksheets/sheet14.xml" ContentType="application/vnd.openxmlformats-officedocument.spreadsheetml.worksheet+xml"/>
  <Override PartName="/xl/worksheets/sheet13.xml" ContentType="application/vnd.openxmlformats-officedocument.spreadsheetml.worksheet+xml"/>
  <Override PartName="/xl/worksheets/sheet4.xml" ContentType="application/vnd.openxmlformats-officedocument.spreadsheetml.worksheet+xml"/>
  <Override PartName="/xl/worksheets/sheet3.xml" ContentType="application/vnd.openxmlformats-officedocument.spreadsheetml.worksheet+xml"/>
  <Override PartName="/xl/worksheets/sheet2.xml" ContentType="application/vnd.openxmlformats-officedocument.spreadsheetml.worksheet+xml"/>
  <Override PartName="/xl/worksheets/sheet1.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9.xml" ContentType="application/vnd.openxmlformats-officedocument.spreadsheetml.worksheet+xml"/>
  <Override PartName="/xl/sharedStrings.xml" ContentType="application/vnd.openxmlformats-officedocument.spreadsheetml.sharedStrings+xml"/>
</Types>
</file>

<file path=_rels/.rels><?xml version="1.0" encoding="UTF-8"?>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
</Relationships>
</file>

<file path=xl/workbook.xml><?xml version="1.0" encoding="utf-8"?>
<workbook xmlns="http://schemas.openxmlformats.org/spreadsheetml/2006/main" xmlns:r="http://schemas.openxmlformats.org/officeDocument/2006/relationships">
  <fileVersion appName="Calc"/>
  <workbookPr backupFile="false" showObjects="all" date1904="false"/>
  <workbookProtection/>
  <bookViews>
    <workbookView showHorizontalScroll="true" showVerticalScroll="true" showSheetTabs="true" xWindow="0" yWindow="0" windowWidth="16384" windowHeight="8192" tabRatio="992" firstSheet="0" activeTab="0"/>
  </bookViews>
  <sheets>
    <sheet name="MatchSource" sheetId="1" state="visible" r:id="rId2"/>
    <sheet name="Schedule" sheetId="2" state="visible" r:id="rId3"/>
    <sheet name="Source" sheetId="3" state="hidden" r:id="rId4"/>
    <sheet name="Main" sheetId="4" state="visible" r:id="rId5"/>
    <sheet name="DraftRosters" sheetId="5" state="visible" r:id="rId6"/>
    <sheet name="Pokemon Tiers" sheetId="6" state="hidden" r:id="rId7"/>
    <sheet name="PokemonTiers" sheetId="7" state="visible" r:id="rId8"/>
    <sheet name="Pokedex" sheetId="8" state="hidden" r:id="rId9"/>
    <sheet name="MoveDex" sheetId="9" state="hidden" r:id="rId10"/>
    <sheet name="ExpandedStats" sheetId="10" state="visible" r:id="rId11"/>
    <sheet name="Transactions" sheetId="11" state="visible" r:id="rId12"/>
    <sheet name="KKS" sheetId="12" state="visible" r:id="rId13"/>
    <sheet name="SEA" sheetId="13" state="visible" r:id="rId14"/>
    <sheet name="BBG" sheetId="14" state="visible" r:id="rId15"/>
    <sheet name="JVJ" sheetId="15" state="visible" r:id="rId16"/>
    <sheet name="LVC" sheetId="16" state="visible" r:id="rId17"/>
    <sheet name="BTB" sheetId="17" state="visible" r:id="rId18"/>
    <sheet name="SGP" sheetId="18" state="visible" r:id="rId19"/>
    <sheet name="FTT" sheetId="19" state="visible" r:id="rId20"/>
    <sheet name="Match Templete" sheetId="20" state="visible" r:id="rId21"/>
    <sheet name="BreedingChart" sheetId="21" state="visible" r:id="rId22"/>
  </sheets>
  <calcPr iterateCount="100" refMode="A1" iterate="false" iterateDelta="0.0001"/>
  <extLst>
    <ext xmlns:loext="http://schemas.libreoffice.org/" uri="{7626C862-2A13-11E5-B345-FEFF819CDC9F}">
      <loext:extCalcPr stringRefSyntax="CalcA1ExcelA1"/>
    </ext>
  </extLst>
</workbook>
</file>

<file path=xl/sharedStrings.xml><?xml version="1.0" encoding="utf-8"?>
<sst xmlns="http://schemas.openxmlformats.org/spreadsheetml/2006/main" count="11973" uniqueCount="2138">
  <si>
    <t xml:space="preserve">This page is used to calculate Pokemon data on the Pokedex database as well as Team Statistics for each individual team page.</t>
  </si>
  <si>
    <t xml:space="preserve">RAW DATA - PLEASE DO NOT EDIT DATA THAT DOES NOT HAVE A DROP DOWN ARROW!! DOING SO WILL CAUSE ERRORS IN THE SPREADSHEETS!! DROP DOWN ARROWS WILL AUTOMATICALLY FILL IN THE GAMES WON COLUMN!!</t>
  </si>
  <si>
    <t xml:space="preserve">These columns are automated based off of match data that is entered. Please do not try to edit these columns</t>
  </si>
  <si>
    <t xml:space="preserve">Week 1</t>
  </si>
  <si>
    <t xml:space="preserve">HOME</t>
  </si>
  <si>
    <t xml:space="preserve">KILLS</t>
  </si>
  <si>
    <t xml:space="preserve">DEATHS</t>
  </si>
  <si>
    <t xml:space="preserve">GW</t>
  </si>
  <si>
    <t xml:space="preserve">AWAY</t>
  </si>
  <si>
    <t xml:space="preserve">Week 01</t>
  </si>
  <si>
    <t xml:space="preserve">LOSE</t>
  </si>
  <si>
    <t xml:space="preserve">WIN</t>
  </si>
  <si>
    <t xml:space="preserve">Week 02</t>
  </si>
  <si>
    <t xml:space="preserve">mew</t>
  </si>
  <si>
    <t xml:space="preserve">Toxapex</t>
  </si>
  <si>
    <t xml:space="preserve">Week 03</t>
  </si>
  <si>
    <t xml:space="preserve">Mamoswine</t>
  </si>
  <si>
    <t xml:space="preserve">celesteela</t>
  </si>
  <si>
    <t xml:space="preserve">Week 04</t>
  </si>
  <si>
    <t xml:space="preserve">Galvantula</t>
  </si>
  <si>
    <t xml:space="preserve">Umbreon</t>
  </si>
  <si>
    <t xml:space="preserve">Week 05</t>
  </si>
  <si>
    <t xml:space="preserve">&lt;----------------------------</t>
  </si>
  <si>
    <t xml:space="preserve">Lopunny-Mega</t>
  </si>
  <si>
    <t xml:space="preserve">Accelgor</t>
  </si>
  <si>
    <t xml:space="preserve">Week 06</t>
  </si>
  <si>
    <t xml:space="preserve">This Chart is used to gather information from the MatchSource Sheet to display it to all of the team pages and keep track of stats</t>
  </si>
  <si>
    <t xml:space="preserve">Tapu Fini</t>
  </si>
  <si>
    <t xml:space="preserve">Gallade</t>
  </si>
  <si>
    <t xml:space="preserve">Week 07</t>
  </si>
  <si>
    <t xml:space="preserve">DNP</t>
  </si>
  <si>
    <t xml:space="preserve">Dusknoir</t>
  </si>
  <si>
    <t xml:space="preserve">Aerodactyl-Mega</t>
  </si>
  <si>
    <t xml:space="preserve">Week 08</t>
  </si>
  <si>
    <t xml:space="preserve">Week 09</t>
  </si>
  <si>
    <t xml:space="preserve">Week 10</t>
  </si>
  <si>
    <t xml:space="preserve">Week 11</t>
  </si>
  <si>
    <t xml:space="preserve">charizard</t>
  </si>
  <si>
    <t xml:space="preserve">Kommo-o</t>
  </si>
  <si>
    <t xml:space="preserve">Week 12</t>
  </si>
  <si>
    <t xml:space="preserve">Salamence</t>
  </si>
  <si>
    <t xml:space="preserve">Turtonator</t>
  </si>
  <si>
    <t xml:space="preserve">Week 13</t>
  </si>
  <si>
    <t xml:space="preserve">Torkoal</t>
  </si>
  <si>
    <t xml:space="preserve">Crabominable</t>
  </si>
  <si>
    <t xml:space="preserve">Week 14</t>
  </si>
  <si>
    <t xml:space="preserve">Hawlucha</t>
  </si>
  <si>
    <t xml:space="preserve">Tentacruel</t>
  </si>
  <si>
    <t xml:space="preserve">Week 15</t>
  </si>
  <si>
    <t xml:space="preserve">Florges</t>
  </si>
  <si>
    <t xml:space="preserve">Xurkitree</t>
  </si>
  <si>
    <t xml:space="preserve">Week 16</t>
  </si>
  <si>
    <t xml:space="preserve">Banette-Mega</t>
  </si>
  <si>
    <t xml:space="preserve">Tapu Bulu</t>
  </si>
  <si>
    <t xml:space="preserve">Week 17</t>
  </si>
  <si>
    <t xml:space="preserve">Streak #:</t>
  </si>
  <si>
    <t xml:space="preserve">Latest Result:</t>
  </si>
  <si>
    <t xml:space="preserve">Azumarill</t>
  </si>
  <si>
    <t xml:space="preserve">Garchomp</t>
  </si>
  <si>
    <t xml:space="preserve">Current Streak:</t>
  </si>
  <si>
    <t xml:space="preserve">Tapu Koko</t>
  </si>
  <si>
    <t xml:space="preserve">Alakazam-Mega</t>
  </si>
  <si>
    <t xml:space="preserve">Camerupt-Mega</t>
  </si>
  <si>
    <t xml:space="preserve">Luxray</t>
  </si>
  <si>
    <t xml:space="preserve">Ambipom</t>
  </si>
  <si>
    <t xml:space="preserve">Decidueye</t>
  </si>
  <si>
    <t xml:space="preserve">Scrafty</t>
  </si>
  <si>
    <t xml:space="preserve">Breloom</t>
  </si>
  <si>
    <t xml:space="preserve">Forretress</t>
  </si>
  <si>
    <t xml:space="preserve">Scolipede</t>
  </si>
  <si>
    <t xml:space="preserve">This Chart is used to Gather the +/- totals of each team in the league and display their Totals on the Team Pages</t>
  </si>
  <si>
    <t xml:space="preserve">Kartana</t>
  </si>
  <si>
    <t xml:space="preserve">Manaphy</t>
  </si>
  <si>
    <t xml:space="preserve">Politoed</t>
  </si>
  <si>
    <t xml:space="preserve">Mimikyu</t>
  </si>
  <si>
    <t xml:space="preserve">Goodra</t>
  </si>
  <si>
    <t xml:space="preserve">Necrozma</t>
  </si>
  <si>
    <t xml:space="preserve">Togekiss</t>
  </si>
  <si>
    <t xml:space="preserve">Trevenant</t>
  </si>
  <si>
    <t xml:space="preserve">Medicham-Mega</t>
  </si>
  <si>
    <t xml:space="preserve">Absol-Mega</t>
  </si>
  <si>
    <t xml:space="preserve">Chandelure</t>
  </si>
  <si>
    <t xml:space="preserve">Nidoqueen</t>
  </si>
  <si>
    <t xml:space="preserve">Week 2</t>
  </si>
  <si>
    <t xml:space="preserve">Marowak-Alola</t>
  </si>
  <si>
    <t xml:space="preserve">Mew</t>
  </si>
  <si>
    <t xml:space="preserve">Lanturn</t>
  </si>
  <si>
    <t xml:space="preserve">Blastoise</t>
  </si>
  <si>
    <t xml:space="preserve">Excadrill</t>
  </si>
  <si>
    <t xml:space="preserve">Drapion</t>
  </si>
  <si>
    <t xml:space="preserve">Feraligatr</t>
  </si>
  <si>
    <t xml:space="preserve">Donphan</t>
  </si>
  <si>
    <t xml:space="preserve">Charizard</t>
  </si>
  <si>
    <t xml:space="preserve">Ribombee</t>
  </si>
  <si>
    <t xml:space="preserve">Metagross</t>
  </si>
  <si>
    <t xml:space="preserve">Celesteela</t>
  </si>
  <si>
    <t xml:space="preserve">Sigilyph</t>
  </si>
  <si>
    <t xml:space="preserve">Dhelmise</t>
  </si>
  <si>
    <t xml:space="preserve">Rotom-Heat</t>
  </si>
  <si>
    <t xml:space="preserve">Cinccino</t>
  </si>
  <si>
    <t xml:space="preserve">Hydreigon</t>
  </si>
  <si>
    <t xml:space="preserve">Beedrill-Mega</t>
  </si>
  <si>
    <t xml:space="preserve">Week 3</t>
  </si>
  <si>
    <t xml:space="preserve">Noivern</t>
  </si>
  <si>
    <t xml:space="preserve">excadrill</t>
  </si>
  <si>
    <t xml:space="preserve">Golem-Alola</t>
  </si>
  <si>
    <t xml:space="preserve">Porygon2</t>
  </si>
  <si>
    <t xml:space="preserve">Milotic</t>
  </si>
  <si>
    <t xml:space="preserve">Tsareena</t>
  </si>
  <si>
    <t xml:space="preserve">Week 4</t>
  </si>
  <si>
    <t xml:space="preserve">Infernape</t>
  </si>
  <si>
    <t xml:space="preserve">Sandslash</t>
  </si>
  <si>
    <t xml:space="preserve">Week 5</t>
  </si>
  <si>
    <t xml:space="preserve">Exeggutor-Alola</t>
  </si>
  <si>
    <t xml:space="preserve">Togedemaru</t>
  </si>
  <si>
    <t xml:space="preserve">Week 6</t>
  </si>
  <si>
    <t xml:space="preserve">Magnezone</t>
  </si>
  <si>
    <t xml:space="preserve">Week 7</t>
  </si>
  <si>
    <t xml:space="preserve">Muk-Alola</t>
  </si>
  <si>
    <t xml:space="preserve">Heliolisk</t>
  </si>
  <si>
    <t xml:space="preserve">Empoleon</t>
  </si>
  <si>
    <t xml:space="preserve">Week 8</t>
  </si>
  <si>
    <t xml:space="preserve">Mantyke</t>
  </si>
  <si>
    <t xml:space="preserve">Week 9</t>
  </si>
  <si>
    <t xml:space="preserve">Sylveon</t>
  </si>
  <si>
    <t xml:space="preserve">Rotom-Wash</t>
  </si>
  <si>
    <t xml:space="preserve">Palossand</t>
  </si>
  <si>
    <t xml:space="preserve">WEEK ONE -  CONFERENCE MATCHES</t>
  </si>
  <si>
    <t xml:space="preserve">WEEK TWO - OUT OF CONFERENCE MATCHES</t>
  </si>
  <si>
    <t xml:space="preserve">WEEK THREE - CONFERENCE MATCHES</t>
  </si>
  <si>
    <t xml:space="preserve">vs</t>
  </si>
  <si>
    <t xml:space="preserve">WEEK FOUR - OUT OF CONFERENCE MATCHES</t>
  </si>
  <si>
    <t xml:space="preserve">WEEK FIVE - CONFERENCE MATCHES</t>
  </si>
  <si>
    <t xml:space="preserve">WEEK SIX -  OUT OF CONFERENCE MATCHES</t>
  </si>
  <si>
    <t xml:space="preserve">WEEK SEVEN - CONFERENCE MATCHES</t>
  </si>
  <si>
    <t xml:space="preserve">WEEK EIGHT - OUT OF CONFERENCE MATCHES</t>
  </si>
  <si>
    <t xml:space="preserve">WEEK NINE - CONFERENCE MATCHES</t>
  </si>
  <si>
    <t xml:space="preserve">WEEK TEN - OUT OF CONFERENCE MATCHES</t>
  </si>
  <si>
    <t xml:space="preserve">WEEK ELEVEN - CONFERENCE MATCHES</t>
  </si>
  <si>
    <t xml:space="preserve">WEEK TWELVE - OUT OF CONFERENCE MATCHES</t>
  </si>
  <si>
    <t xml:space="preserve">WEEK THIRTEEN  -  CONFERENCE MATCHES</t>
  </si>
  <si>
    <t xml:space="preserve">WEEK FOURTEEN - OUT OF CONFERENCE MATCHES</t>
  </si>
  <si>
    <t xml:space="preserve">WEEK FIFTEEN - CONFERENCE MATCHES</t>
  </si>
  <si>
    <t xml:space="preserve">WEEK SIXTEEN - OUT OF CONFERENCE MATCHES</t>
  </si>
  <si>
    <t xml:space="preserve">WEEK SEVENTEEN - CONFERENCE MATCHES</t>
  </si>
  <si>
    <t xml:space="preserve">Results At-A-Glance</t>
  </si>
  <si>
    <t xml:space="preserve">Wk1</t>
  </si>
  <si>
    <t xml:space="preserve">Wk2</t>
  </si>
  <si>
    <t xml:space="preserve">Wk3</t>
  </si>
  <si>
    <t xml:space="preserve">Wk4</t>
  </si>
  <si>
    <t xml:space="preserve">Wk5</t>
  </si>
  <si>
    <t xml:space="preserve">Wk6</t>
  </si>
  <si>
    <t xml:space="preserve">Wk7</t>
  </si>
  <si>
    <t xml:space="preserve">Wk8</t>
  </si>
  <si>
    <t xml:space="preserve">Wk9</t>
  </si>
  <si>
    <t xml:space="preserve">Wk10</t>
  </si>
  <si>
    <t xml:space="preserve">Wk11</t>
  </si>
  <si>
    <t xml:space="preserve">Wk12</t>
  </si>
  <si>
    <t xml:space="preserve">Wk13</t>
  </si>
  <si>
    <t xml:space="preserve">Wk14</t>
  </si>
  <si>
    <t xml:space="preserve">Wk15</t>
  </si>
  <si>
    <t xml:space="preserve">Wk16</t>
  </si>
  <si>
    <t xml:space="preserve">Wk17</t>
  </si>
  <si>
    <t xml:space="preserve">STRK</t>
  </si>
  <si>
    <t xml:space="preserve">MOON CONFERENCE</t>
  </si>
  <si>
    <t xml:space="preserve">THIS PAGE IS RAW DATA ONLY! GO TO "MAIN" OR TEAM PAGES FOR AUTO DATA</t>
  </si>
  <si>
    <t xml:space="preserve">The list below is a reference for various formulas where Pokemon are validated against their teams, such as in the Pokemon database, tier listing, and as a validation for the dropboxes used on the weekly match pages.</t>
  </si>
  <si>
    <t xml:space="preserve">MELEMELE DIVISION</t>
  </si>
  <si>
    <t xml:space="preserve">W</t>
  </si>
  <si>
    <t xml:space="preserve">L</t>
  </si>
  <si>
    <t xml:space="preserve">+/-</t>
  </si>
  <si>
    <t xml:space="preserve">Div-W</t>
  </si>
  <si>
    <t xml:space="preserve">Conf-W</t>
  </si>
  <si>
    <t xml:space="preserve">H2H</t>
  </si>
  <si>
    <t xml:space="preserve">TEAM PKMN REFERENCE</t>
  </si>
  <si>
    <t xml:space="preserve">TEAM</t>
  </si>
  <si>
    <t xml:space="preserve">POKEMON</t>
  </si>
  <si>
    <t xml:space="preserve">TEAM REF</t>
  </si>
  <si>
    <t xml:space="preserve">AKALA DIVISION</t>
  </si>
  <si>
    <t xml:space="preserve">TEAM NAME REF</t>
  </si>
  <si>
    <t xml:space="preserve">&lt;---------------------------</t>
  </si>
  <si>
    <t xml:space="preserve">This chart is used as a reference for the team dropdown boxes on the weekly matches. It will update automatically if the team name is changed on the team pages.</t>
  </si>
  <si>
    <t xml:space="preserve">&lt;-----------------</t>
  </si>
  <si>
    <t xml:space="preserve">This is used for the playoff seeding chart on the main page.</t>
  </si>
  <si>
    <t xml:space="preserve">OUBL SEASON ONE SUMMARY PAGE</t>
  </si>
  <si>
    <t xml:space="preserve">PLAYOFF SEEDING</t>
  </si>
  <si>
    <t xml:space="preserve">LEAGUE LEADERS</t>
  </si>
  <si>
    <t xml:space="preserve">SUN/MOON DIVISON</t>
  </si>
  <si>
    <t xml:space="preserve">Seed</t>
  </si>
  <si>
    <t xml:space="preserve">OUBL SEASON ONE</t>
  </si>
  <si>
    <t xml:space="preserve">RANK</t>
  </si>
  <si>
    <t xml:space="preserve">GP</t>
  </si>
  <si>
    <t xml:space="preserve">Pick#</t>
  </si>
  <si>
    <t xml:space="preserve">#1</t>
  </si>
  <si>
    <t xml:space="preserve">#2</t>
  </si>
  <si>
    <t xml:space="preserve">#3</t>
  </si>
  <si>
    <t xml:space="preserve">#4</t>
  </si>
  <si>
    <t xml:space="preserve">SHOWDOWN DIVISION</t>
  </si>
  <si>
    <t xml:space="preserve">#5</t>
  </si>
  <si>
    <t xml:space="preserve">#6</t>
  </si>
  <si>
    <t xml:space="preserve">#7</t>
  </si>
  <si>
    <t xml:space="preserve">#8</t>
  </si>
  <si>
    <t xml:space="preserve">#9</t>
  </si>
  <si>
    <t xml:space="preserve">#10</t>
  </si>
  <si>
    <t xml:space="preserve">RECENT FREE AGENCY TRANSACTIONS</t>
  </si>
  <si>
    <t xml:space="preserve">RECENT TRADES BETWEEN TEAMS</t>
  </si>
  <si>
    <t xml:space="preserve">Team</t>
  </si>
  <si>
    <t xml:space="preserve">Free Agency Adds</t>
  </si>
  <si>
    <t xml:space="preserve">Free Agency Drops</t>
  </si>
  <si>
    <t xml:space="preserve">Effective Week</t>
  </si>
  <si>
    <t xml:space="preserve">Acquires Pokemon</t>
  </si>
  <si>
    <t xml:space="preserve">From this Team</t>
  </si>
  <si>
    <t xml:space="preserve">And gives this Pokemon</t>
  </si>
  <si>
    <t xml:space="preserve">Notes</t>
  </si>
  <si>
    <t xml:space="preserve">League Standings Ranking</t>
  </si>
  <si>
    <t xml:space="preserve">League Leaders Ranking</t>
  </si>
  <si>
    <t xml:space="preserve">Definitions</t>
  </si>
  <si>
    <t xml:space="preserve">League Free Paid Chart $10</t>
  </si>
  <si>
    <t xml:space="preserve">1. Most number of Wins</t>
  </si>
  <si>
    <t xml:space="preserve">1. Most total number of kills.</t>
  </si>
  <si>
    <t xml:space="preserve">Direct - Kill/Death from an attack.</t>
  </si>
  <si>
    <t xml:space="preserve">PAID</t>
  </si>
  <si>
    <t xml:space="preserve">2. Least number of "DNP's"</t>
  </si>
  <si>
    <t xml:space="preserve">2. Higher +/-</t>
  </si>
  <si>
    <t xml:space="preserve">DNP - Did not play</t>
  </si>
  <si>
    <t xml:space="preserve">3. Higher differential (+/-).</t>
  </si>
  <si>
    <t xml:space="preserve">3. Fewer games played (GP).</t>
  </si>
  <si>
    <t xml:space="preserve">NOT PAID</t>
  </si>
  <si>
    <t xml:space="preserve">4. Better head-to-head record (H2H).</t>
  </si>
  <si>
    <t xml:space="preserve">4. Most number of games won (GW)</t>
  </si>
  <si>
    <t xml:space="preserve">IMPORTANT MESSEGES!!!</t>
  </si>
  <si>
    <t xml:space="preserve">5. Most number of wins in division (Div-W).</t>
  </si>
  <si>
    <t xml:space="preserve">5. Fewer number of deaths.</t>
  </si>
  <si>
    <t xml:space="preserve">ALL MATCHES CAN BE PLAYED ON SHOWDOWN! CURRENTLY ON WEEK 17. ANY TEAM WITH A DNP CANNOT FRANCHISE TAG FOR NEXT SEASON</t>
  </si>
  <si>
    <t xml:space="preserve">6. Some convoluted scheme to break a tie.</t>
  </si>
  <si>
    <t xml:space="preserve">6. A-Z by Pokemon name.</t>
  </si>
  <si>
    <t xml:space="preserve">7. Alphabet</t>
  </si>
  <si>
    <t xml:space="preserve">Draft Picks</t>
  </si>
  <si>
    <t xml:space="preserve">TIERS</t>
  </si>
  <si>
    <t xml:space="preserve">SUN/MOON CONFERENCE ROSTERS</t>
  </si>
  <si>
    <t xml:space="preserve">SHOWDOWN CONFERENCE ROSTERS</t>
  </si>
  <si>
    <t xml:space="preserve">PICK</t>
  </si>
  <si>
    <t xml:space="preserve"> TIER 1</t>
  </si>
  <si>
    <t xml:space="preserve">TIER 2</t>
  </si>
  <si>
    <t xml:space="preserve">Amoonguss</t>
  </si>
  <si>
    <t xml:space="preserve">TIER 3</t>
  </si>
  <si>
    <t xml:space="preserve">Crobat</t>
  </si>
  <si>
    <t xml:space="preserve">Cloyster</t>
  </si>
  <si>
    <t xml:space="preserve">Minior</t>
  </si>
  <si>
    <t xml:space="preserve">Zygarde-10%</t>
  </si>
  <si>
    <t xml:space="preserve">TIER 4</t>
  </si>
  <si>
    <t xml:space="preserve">Araquanid</t>
  </si>
  <si>
    <t xml:space="preserve">TIER 5</t>
  </si>
  <si>
    <t xml:space="preserve">Aurorus</t>
  </si>
  <si>
    <t xml:space="preserve">MEGA</t>
  </si>
  <si>
    <t xml:space="preserve">FREE</t>
  </si>
  <si>
    <t xml:space="preserve">Tyranitar</t>
  </si>
  <si>
    <t xml:space="preserve">Silvally </t>
  </si>
  <si>
    <t xml:space="preserve">Swellow</t>
  </si>
  <si>
    <t xml:space="preserve">Drifblim</t>
  </si>
  <si>
    <t xml:space="preserve">Shiinotic</t>
  </si>
  <si>
    <t xml:space="preserve">Altaria</t>
  </si>
  <si>
    <t xml:space="preserve">Lapras</t>
  </si>
  <si>
    <t xml:space="preserve">Beartic</t>
  </si>
  <si>
    <t xml:space="preserve">Z-CAPTAIN</t>
  </si>
  <si>
    <t xml:space="preserve">Z - ASSISTANT CAPTAIN</t>
  </si>
  <si>
    <t xml:space="preserve">Whimsicott</t>
  </si>
  <si>
    <t xml:space="preserve">Bruxish</t>
  </si>
  <si>
    <t xml:space="preserve">Froslass</t>
  </si>
  <si>
    <t xml:space="preserve">Kecleon</t>
  </si>
  <si>
    <t xml:space="preserve">Rhyperior</t>
  </si>
  <si>
    <t xml:space="preserve">"-180"</t>
  </si>
  <si>
    <t xml:space="preserve">"-120"</t>
  </si>
  <si>
    <t xml:space="preserve">"-100"</t>
  </si>
  <si>
    <t xml:space="preserve">"-60"</t>
  </si>
  <si>
    <t xml:space="preserve">"-40"</t>
  </si>
  <si>
    <t xml:space="preserve">M1</t>
  </si>
  <si>
    <t xml:space="preserve">"-20"</t>
  </si>
  <si>
    <t xml:space="preserve">M2</t>
  </si>
  <si>
    <t xml:space="preserve">M3</t>
  </si>
  <si>
    <t xml:space="preserve">"+40"</t>
  </si>
  <si>
    <t xml:space="preserve">Alakazam</t>
  </si>
  <si>
    <t xml:space="preserve">Aerodactyl</t>
  </si>
  <si>
    <t xml:space="preserve">Abomasnow</t>
  </si>
  <si>
    <t xml:space="preserve">Alolan Exeggutor</t>
  </si>
  <si>
    <t xml:space="preserve">Magcargo</t>
  </si>
  <si>
    <t xml:space="preserve">M-Alakazam</t>
  </si>
  <si>
    <t xml:space="preserve">M-Absol</t>
  </si>
  <si>
    <t xml:space="preserve">M-Abomasnow</t>
  </si>
  <si>
    <t xml:space="preserve">Alolan Muk</t>
  </si>
  <si>
    <t xml:space="preserve">Absol</t>
  </si>
  <si>
    <t xml:space="preserve">Alolan Golem</t>
  </si>
  <si>
    <t xml:space="preserve">Magmar</t>
  </si>
  <si>
    <t xml:space="preserve">Altaria-Mega</t>
  </si>
  <si>
    <t xml:space="preserve">M-Aerodactyl</t>
  </si>
  <si>
    <t xml:space="preserve">Aggron-Mega</t>
  </si>
  <si>
    <t xml:space="preserve">Chansey</t>
  </si>
  <si>
    <t xml:space="preserve">Azelf</t>
  </si>
  <si>
    <t xml:space="preserve">Alolan Ninetales</t>
  </si>
  <si>
    <t xml:space="preserve">Alolan Persian</t>
  </si>
  <si>
    <t xml:space="preserve">M-Charizard-X</t>
  </si>
  <si>
    <t xml:space="preserve">M-Beedrill</t>
  </si>
  <si>
    <t xml:space="preserve">M-Audino</t>
  </si>
  <si>
    <t xml:space="preserve">Clefable</t>
  </si>
  <si>
    <t xml:space="preserve">Bisharp</t>
  </si>
  <si>
    <t xml:space="preserve">Alomamola</t>
  </si>
  <si>
    <t xml:space="preserve">Aggron</t>
  </si>
  <si>
    <t xml:space="preserve">Alolan Raticate</t>
  </si>
  <si>
    <t xml:space="preserve">Malamar</t>
  </si>
  <si>
    <t xml:space="preserve">M-Charizard-Y</t>
  </si>
  <si>
    <t xml:space="preserve">M-Blastoise</t>
  </si>
  <si>
    <t xml:space="preserve">M-Banette</t>
  </si>
  <si>
    <t xml:space="preserve">Conkeldurr</t>
  </si>
  <si>
    <t xml:space="preserve">Blissey</t>
  </si>
  <si>
    <t xml:space="preserve">Arcanine</t>
  </si>
  <si>
    <t xml:space="preserve">Alolan Dugtrio</t>
  </si>
  <si>
    <t xml:space="preserve">Maractus</t>
  </si>
  <si>
    <t xml:space="preserve">M-Gardevoir</t>
  </si>
  <si>
    <t xml:space="preserve">M-Gallade</t>
  </si>
  <si>
    <t xml:space="preserve">M-Camerupt</t>
  </si>
  <si>
    <t xml:space="preserve">Dragonite</t>
  </si>
  <si>
    <t xml:space="preserve">Alolan Marowak</t>
  </si>
  <si>
    <t xml:space="preserve">Ampharos</t>
  </si>
  <si>
    <t xml:space="preserve">Marowak</t>
  </si>
  <si>
    <t xml:space="preserve">M-Gyarados</t>
  </si>
  <si>
    <t xml:space="preserve">M-Garchomp</t>
  </si>
  <si>
    <t xml:space="preserve">M-Glalie</t>
  </si>
  <si>
    <t xml:space="preserve">Buzzwole</t>
  </si>
  <si>
    <t xml:space="preserve">Alolan Raichu</t>
  </si>
  <si>
    <t xml:space="preserve">Arbok</t>
  </si>
  <si>
    <t xml:space="preserve">Mawile</t>
  </si>
  <si>
    <t xml:space="preserve">M-Heracross</t>
  </si>
  <si>
    <t xml:space="preserve">M-Houndoom</t>
  </si>
  <si>
    <t xml:space="preserve">M-Sceptile</t>
  </si>
  <si>
    <t xml:space="preserve">Celebi</t>
  </si>
  <si>
    <t xml:space="preserve">Chesnaught</t>
  </si>
  <si>
    <t xml:space="preserve">Alolan Sandslash</t>
  </si>
  <si>
    <t xml:space="preserve">Ariados</t>
  </si>
  <si>
    <t xml:space="preserve">Meganium</t>
  </si>
  <si>
    <t xml:space="preserve">M-Lopunny</t>
  </si>
  <si>
    <t xml:space="preserve">M-Pidgeot</t>
  </si>
  <si>
    <t xml:space="preserve">M-Sharpedo</t>
  </si>
  <si>
    <t xml:space="preserve">Heatran</t>
  </si>
  <si>
    <t xml:space="preserve">Crawdaunt</t>
  </si>
  <si>
    <t xml:space="preserve">Armaldo</t>
  </si>
  <si>
    <t xml:space="preserve">Meowstic</t>
  </si>
  <si>
    <t xml:space="preserve">M-Manectric</t>
  </si>
  <si>
    <t xml:space="preserve">M-Slowbro</t>
  </si>
  <si>
    <t xml:space="preserve">M-Steelix</t>
  </si>
  <si>
    <t xml:space="preserve">Hippowdon</t>
  </si>
  <si>
    <t xml:space="preserve">Cresselia</t>
  </si>
  <si>
    <t xml:space="preserve">Cobalion</t>
  </si>
  <si>
    <t xml:space="preserve">Articuno</t>
  </si>
  <si>
    <t xml:space="preserve">Metang</t>
  </si>
  <si>
    <t xml:space="preserve">M-Medicham</t>
  </si>
  <si>
    <t xml:space="preserve">M-Swampert</t>
  </si>
  <si>
    <t xml:space="preserve">Jirachi</t>
  </si>
  <si>
    <t xml:space="preserve">Diggersby</t>
  </si>
  <si>
    <t xml:space="preserve">Archeops</t>
  </si>
  <si>
    <t xml:space="preserve">Audino</t>
  </si>
  <si>
    <t xml:space="preserve">Mightyena</t>
  </si>
  <si>
    <t xml:space="preserve">M-Pinsir</t>
  </si>
  <si>
    <t xml:space="preserve">Dugtrio</t>
  </si>
  <si>
    <t xml:space="preserve">Darmanitan</t>
  </si>
  <si>
    <t xml:space="preserve">Aromatisse</t>
  </si>
  <si>
    <t xml:space="preserve">Minun</t>
  </si>
  <si>
    <t xml:space="preserve">M-Sableye</t>
  </si>
  <si>
    <t xml:space="preserve">Keldeo</t>
  </si>
  <si>
    <t xml:space="preserve">Entei</t>
  </si>
  <si>
    <t xml:space="preserve">Bewear</t>
  </si>
  <si>
    <t xml:space="preserve">Avalugg</t>
  </si>
  <si>
    <t xml:space="preserve">Mothim</t>
  </si>
  <si>
    <t xml:space="preserve">M-Scizor</t>
  </si>
  <si>
    <t xml:space="preserve">Kyurem-B</t>
  </si>
  <si>
    <t xml:space="preserve">Blaziken (Blaze)</t>
  </si>
  <si>
    <t xml:space="preserve">Barbaracle</t>
  </si>
  <si>
    <t xml:space="preserve">Mr. Mime</t>
  </si>
  <si>
    <t xml:space="preserve">M-Tyranitar</t>
  </si>
  <si>
    <t xml:space="preserve">Landorus-T</t>
  </si>
  <si>
    <t xml:space="preserve">Ferrothorn</t>
  </si>
  <si>
    <t xml:space="preserve">Braviary</t>
  </si>
  <si>
    <t xml:space="preserve">Basculin</t>
  </si>
  <si>
    <t xml:space="preserve">Muk</t>
  </si>
  <si>
    <t xml:space="preserve">M-Venusaur</t>
  </si>
  <si>
    <t xml:space="preserve">Doublade</t>
  </si>
  <si>
    <t xml:space="preserve">Bronzong</t>
  </si>
  <si>
    <t xml:space="preserve">Bastiodon</t>
  </si>
  <si>
    <t xml:space="preserve">Murkrow</t>
  </si>
  <si>
    <t xml:space="preserve">Gengar</t>
  </si>
  <si>
    <t xml:space="preserve">Dragalge</t>
  </si>
  <si>
    <t xml:space="preserve">Musharna</t>
  </si>
  <si>
    <t xml:space="preserve">Raikou</t>
  </si>
  <si>
    <t xml:space="preserve">Gliscor</t>
  </si>
  <si>
    <t xml:space="preserve">Beautifly</t>
  </si>
  <si>
    <t xml:space="preserve">Ninjask</t>
  </si>
  <si>
    <t xml:space="preserve">Emboar</t>
  </si>
  <si>
    <t xml:space="preserve">Clawitzer</t>
  </si>
  <si>
    <t xml:space="preserve">Beheeyem</t>
  </si>
  <si>
    <t xml:space="preserve">Noctowl</t>
  </si>
  <si>
    <t xml:space="preserve">Scizor</t>
  </si>
  <si>
    <t xml:space="preserve">Gyarados</t>
  </si>
  <si>
    <t xml:space="preserve">Cofagrigus</t>
  </si>
  <si>
    <t xml:space="preserve">Bellossom</t>
  </si>
  <si>
    <t xml:space="preserve">Octillery</t>
  </si>
  <si>
    <t xml:space="preserve">Serperior</t>
  </si>
  <si>
    <t xml:space="preserve">Espeon</t>
  </si>
  <si>
    <t xml:space="preserve">Comfey</t>
  </si>
  <si>
    <t xml:space="preserve">Bibarel</t>
  </si>
  <si>
    <t xml:space="preserve">Oranguru</t>
  </si>
  <si>
    <t xml:space="preserve">Skarmory</t>
  </si>
  <si>
    <t xml:space="preserve">Haxorus</t>
  </si>
  <si>
    <t xml:space="preserve">Flygon</t>
  </si>
  <si>
    <t xml:space="preserve">Delphox</t>
  </si>
  <si>
    <t xml:space="preserve">Bouffalant</t>
  </si>
  <si>
    <t xml:space="preserve">Oricorio</t>
  </si>
  <si>
    <t xml:space="preserve">Starmie</t>
  </si>
  <si>
    <t xml:space="preserve">Diancie</t>
  </si>
  <si>
    <t xml:space="preserve">Butterfree</t>
  </si>
  <si>
    <t xml:space="preserve">Pachirisu</t>
  </si>
  <si>
    <t xml:space="preserve">Ditto</t>
  </si>
  <si>
    <t xml:space="preserve">Cacturne</t>
  </si>
  <si>
    <t xml:space="preserve">Klefki</t>
  </si>
  <si>
    <t xml:space="preserve">Gardevoir</t>
  </si>
  <si>
    <t xml:space="preserve">Dodrio</t>
  </si>
  <si>
    <t xml:space="preserve">Camerupt</t>
  </si>
  <si>
    <t xml:space="preserve">Parasect</t>
  </si>
  <si>
    <t xml:space="preserve">Kommo-O</t>
  </si>
  <si>
    <t xml:space="preserve">Gastrodon</t>
  </si>
  <si>
    <t xml:space="preserve">Drampa</t>
  </si>
  <si>
    <t xml:space="preserve">Carbink</t>
  </si>
  <si>
    <t xml:space="preserve">Passimian</t>
  </si>
  <si>
    <t xml:space="preserve">Terrakion</t>
  </si>
  <si>
    <t xml:space="preserve">Lucario</t>
  </si>
  <si>
    <t xml:space="preserve">Gigalith</t>
  </si>
  <si>
    <t xml:space="preserve">Druddigon</t>
  </si>
  <si>
    <t xml:space="preserve">Carnivine</t>
  </si>
  <si>
    <t xml:space="preserve">Persian</t>
  </si>
  <si>
    <t xml:space="preserve">Thundurus-I</t>
  </si>
  <si>
    <t xml:space="preserve">Greninja (Torrent)</t>
  </si>
  <si>
    <t xml:space="preserve">Durant</t>
  </si>
  <si>
    <t xml:space="preserve">Carracosta</t>
  </si>
  <si>
    <t xml:space="preserve">Phione</t>
  </si>
  <si>
    <t xml:space="preserve">Thundurus-T</t>
  </si>
  <si>
    <t xml:space="preserve">Dusclops</t>
  </si>
  <si>
    <t xml:space="preserve">Castform</t>
  </si>
  <si>
    <t xml:space="preserve">Pidgeot</t>
  </si>
  <si>
    <t xml:space="preserve">Tornadus-T</t>
  </si>
  <si>
    <t xml:space="preserve">Mandibuzz</t>
  </si>
  <si>
    <t xml:space="preserve">Heracross</t>
  </si>
  <si>
    <t xml:space="preserve">Pikachu</t>
  </si>
  <si>
    <t xml:space="preserve">Honchkrow</t>
  </si>
  <si>
    <t xml:space="preserve">Eelektross</t>
  </si>
  <si>
    <t xml:space="preserve">Chatot</t>
  </si>
  <si>
    <t xml:space="preserve">Piloswine</t>
  </si>
  <si>
    <t xml:space="preserve">Victini</t>
  </si>
  <si>
    <t xml:space="preserve">Hoopa</t>
  </si>
  <si>
    <t xml:space="preserve">Electivire</t>
  </si>
  <si>
    <t xml:space="preserve">Cherrim</t>
  </si>
  <si>
    <t xml:space="preserve">Pinsir</t>
  </si>
  <si>
    <t xml:space="preserve">Volcanion</t>
  </si>
  <si>
    <t xml:space="preserve">Jolteon</t>
  </si>
  <si>
    <t xml:space="preserve">Escavalier</t>
  </si>
  <si>
    <t xml:space="preserve">Chimecho</t>
  </si>
  <si>
    <t xml:space="preserve">Plusle</t>
  </si>
  <si>
    <t xml:space="preserve">Weavile</t>
  </si>
  <si>
    <t xml:space="preserve">Kingdra</t>
  </si>
  <si>
    <t xml:space="preserve"> </t>
  </si>
  <si>
    <t xml:space="preserve">Exploud</t>
  </si>
  <si>
    <t xml:space="preserve">Claydol</t>
  </si>
  <si>
    <t xml:space="preserve">Primeape</t>
  </si>
  <si>
    <t xml:space="preserve">Zapdos</t>
  </si>
  <si>
    <t xml:space="preserve">Nihilego</t>
  </si>
  <si>
    <t xml:space="preserve">Krookodile</t>
  </si>
  <si>
    <t xml:space="preserve">Combusken</t>
  </si>
  <si>
    <t xml:space="preserve">Prinplup</t>
  </si>
  <si>
    <t xml:space="preserve">Zygarde 50%</t>
  </si>
  <si>
    <t xml:space="preserve">Reuniclus</t>
  </si>
  <si>
    <t xml:space="preserve">Kyurem</t>
  </si>
  <si>
    <t xml:space="preserve">Corsola</t>
  </si>
  <si>
    <t xml:space="preserve">Probopass</t>
  </si>
  <si>
    <t xml:space="preserve">Rotom-W</t>
  </si>
  <si>
    <t xml:space="preserve">Lycanroc Midday</t>
  </si>
  <si>
    <t xml:space="preserve">Garbodor</t>
  </si>
  <si>
    <t xml:space="preserve">Purugly</t>
  </si>
  <si>
    <t xml:space="preserve">Mantine</t>
  </si>
  <si>
    <t xml:space="preserve">Gligar</t>
  </si>
  <si>
    <t xml:space="preserve">Cradily</t>
  </si>
  <si>
    <t xml:space="preserve">Pyroar</t>
  </si>
  <si>
    <t xml:space="preserve">Silvally (All Types)</t>
  </si>
  <si>
    <t xml:space="preserve">Medicham</t>
  </si>
  <si>
    <t xml:space="preserve">Golbat</t>
  </si>
  <si>
    <t xml:space="preserve">Crustle</t>
  </si>
  <si>
    <t xml:space="preserve">Pyukumuku</t>
  </si>
  <si>
    <t xml:space="preserve">Slowbro</t>
  </si>
  <si>
    <t xml:space="preserve">Meloetta</t>
  </si>
  <si>
    <t xml:space="preserve">Golisopod</t>
  </si>
  <si>
    <t xml:space="preserve">Cryogonal</t>
  </si>
  <si>
    <t xml:space="preserve">Raichu</t>
  </si>
  <si>
    <t xml:space="preserve">Staraptor</t>
  </si>
  <si>
    <t xml:space="preserve">Gourgeist</t>
  </si>
  <si>
    <t xml:space="preserve">Dedenne</t>
  </si>
  <si>
    <t xml:space="preserve">Rampardos</t>
  </si>
  <si>
    <t xml:space="preserve">Suicune</t>
  </si>
  <si>
    <t xml:space="preserve">Mienshao</t>
  </si>
  <si>
    <t xml:space="preserve">Granbull</t>
  </si>
  <si>
    <t xml:space="preserve">Delcatty</t>
  </si>
  <si>
    <t xml:space="preserve">Rapidash</t>
  </si>
  <si>
    <t xml:space="preserve">Miltank</t>
  </si>
  <si>
    <t xml:space="preserve">Hariyama</t>
  </si>
  <si>
    <t xml:space="preserve">Delibird</t>
  </si>
  <si>
    <t xml:space="preserve">Raticate</t>
  </si>
  <si>
    <t xml:space="preserve">Hitmonchan</t>
  </si>
  <si>
    <t xml:space="preserve">Dewgong</t>
  </si>
  <si>
    <t xml:space="preserve">Regice</t>
  </si>
  <si>
    <t xml:space="preserve">Nidoking</t>
  </si>
  <si>
    <t xml:space="preserve">Hitmonlee</t>
  </si>
  <si>
    <t xml:space="preserve">Dragonair</t>
  </si>
  <si>
    <t xml:space="preserve">Regigigas</t>
  </si>
  <si>
    <t xml:space="preserve">Volcarona</t>
  </si>
  <si>
    <t xml:space="preserve">Ninetales</t>
  </si>
  <si>
    <t xml:space="preserve">Hitmontop</t>
  </si>
  <si>
    <t xml:space="preserve">Relicanth</t>
  </si>
  <si>
    <t xml:space="preserve">Pelipper</t>
  </si>
  <si>
    <t xml:space="preserve">Houndoom</t>
  </si>
  <si>
    <t xml:space="preserve">Dunsparce</t>
  </si>
  <si>
    <t xml:space="preserve">Rhydon</t>
  </si>
  <si>
    <t xml:space="preserve">Incineroar</t>
  </si>
  <si>
    <t xml:space="preserve">Duosion</t>
  </si>
  <si>
    <t xml:space="preserve">Roselia</t>
  </si>
  <si>
    <t xml:space="preserve">Porygon-Z</t>
  </si>
  <si>
    <t xml:space="preserve">Jellicent</t>
  </si>
  <si>
    <t xml:space="preserve">Dustox</t>
  </si>
  <si>
    <t xml:space="preserve">Rotom</t>
  </si>
  <si>
    <t xml:space="preserve">Kabutops</t>
  </si>
  <si>
    <t xml:space="preserve">Electabuzz</t>
  </si>
  <si>
    <t xml:space="preserve">Rotom-F</t>
  </si>
  <si>
    <t xml:space="preserve">Primarina</t>
  </si>
  <si>
    <t xml:space="preserve">Komala</t>
  </si>
  <si>
    <t xml:space="preserve">Electrode</t>
  </si>
  <si>
    <t xml:space="preserve">Rotom-S</t>
  </si>
  <si>
    <t xml:space="preserve">Roserade</t>
  </si>
  <si>
    <t xml:space="preserve">Lickilicky</t>
  </si>
  <si>
    <t xml:space="preserve">Emolga</t>
  </si>
  <si>
    <t xml:space="preserve">Samurott</t>
  </si>
  <si>
    <t xml:space="preserve">Rotom-H</t>
  </si>
  <si>
    <t xml:space="preserve">Liepard</t>
  </si>
  <si>
    <t xml:space="preserve">Exeggutor</t>
  </si>
  <si>
    <t xml:space="preserve">Sableye</t>
  </si>
  <si>
    <t xml:space="preserve">Ludicolo</t>
  </si>
  <si>
    <t xml:space="preserve">Farfetch'd</t>
  </si>
  <si>
    <t xml:space="preserve">Sawk</t>
  </si>
  <si>
    <t xml:space="preserve">Salazzle</t>
  </si>
  <si>
    <t xml:space="preserve">Lurantis</t>
  </si>
  <si>
    <t xml:space="preserve">Fearow</t>
  </si>
  <si>
    <t xml:space="preserve">Sawsbuck</t>
  </si>
  <si>
    <t xml:space="preserve">Lycanroc Night</t>
  </si>
  <si>
    <t xml:space="preserve">Ferroseed</t>
  </si>
  <si>
    <t xml:space="preserve">Scyther</t>
  </si>
  <si>
    <t xml:space="preserve">Sharpedo</t>
  </si>
  <si>
    <t xml:space="preserve">Machamp</t>
  </si>
  <si>
    <t xml:space="preserve">Flareon</t>
  </si>
  <si>
    <t xml:space="preserve">Seaking</t>
  </si>
  <si>
    <t xml:space="preserve">Shaymin</t>
  </si>
  <si>
    <t xml:space="preserve">Magmortar</t>
  </si>
  <si>
    <t xml:space="preserve">Fletchinder</t>
  </si>
  <si>
    <t xml:space="preserve">Servine</t>
  </si>
  <si>
    <t xml:space="preserve">Slowking</t>
  </si>
  <si>
    <t xml:space="preserve">Magneton</t>
  </si>
  <si>
    <t xml:space="preserve">Floatzel</t>
  </si>
  <si>
    <t xml:space="preserve">Seviper</t>
  </si>
  <si>
    <t xml:space="preserve">Smeargle</t>
  </si>
  <si>
    <t xml:space="preserve">Manectric</t>
  </si>
  <si>
    <t xml:space="preserve">Fraxure</t>
  </si>
  <si>
    <t xml:space="preserve">Shedinja</t>
  </si>
  <si>
    <t xml:space="preserve">Snorlax</t>
  </si>
  <si>
    <t xml:space="preserve">Masquerain</t>
  </si>
  <si>
    <t xml:space="preserve">Frogadier</t>
  </si>
  <si>
    <t xml:space="preserve">Shelgon</t>
  </si>
  <si>
    <t xml:space="preserve">Swampert</t>
  </si>
  <si>
    <t xml:space="preserve">Mesprit</t>
  </si>
  <si>
    <t xml:space="preserve">Furfrou</t>
  </si>
  <si>
    <t xml:space="preserve">Simipour</t>
  </si>
  <si>
    <t xml:space="preserve">Talonflame</t>
  </si>
  <si>
    <t xml:space="preserve">Mismagius</t>
  </si>
  <si>
    <t xml:space="preserve">Furret</t>
  </si>
  <si>
    <t xml:space="preserve">Simisage</t>
  </si>
  <si>
    <t xml:space="preserve">Tangrowth</t>
  </si>
  <si>
    <t xml:space="preserve">Moltres</t>
  </si>
  <si>
    <t xml:space="preserve">Gabite</t>
  </si>
  <si>
    <t xml:space="preserve">Simisear</t>
  </si>
  <si>
    <t xml:space="preserve">Mudsdale</t>
  </si>
  <si>
    <t xml:space="preserve">Girafarig</t>
  </si>
  <si>
    <t xml:space="preserve">Slaking</t>
  </si>
  <si>
    <t xml:space="preserve">Tornadus-I</t>
  </si>
  <si>
    <t xml:space="preserve">Gogoat</t>
  </si>
  <si>
    <t xml:space="preserve">Sliggoo</t>
  </si>
  <si>
    <t xml:space="preserve">Toxicroak</t>
  </si>
  <si>
    <t xml:space="preserve">Omastar</t>
  </si>
  <si>
    <t xml:space="preserve">Golduck</t>
  </si>
  <si>
    <t xml:space="preserve">Solrock</t>
  </si>
  <si>
    <t xml:space="preserve">Pangoro</t>
  </si>
  <si>
    <t xml:space="preserve">Golem</t>
  </si>
  <si>
    <t xml:space="preserve">Spinda</t>
  </si>
  <si>
    <t xml:space="preserve">Tyrantrum</t>
  </si>
  <si>
    <t xml:space="preserve">Poliwrath</t>
  </si>
  <si>
    <t xml:space="preserve">Golurk</t>
  </si>
  <si>
    <t xml:space="preserve">Stantler</t>
  </si>
  <si>
    <t xml:space="preserve">Quagsire</t>
  </si>
  <si>
    <t xml:space="preserve">Gorebyss</t>
  </si>
  <si>
    <t xml:space="preserve">Steelix</t>
  </si>
  <si>
    <t xml:space="preserve">Vaporeon</t>
  </si>
  <si>
    <t xml:space="preserve">Qwilfish</t>
  </si>
  <si>
    <t xml:space="preserve">Gothitelle</t>
  </si>
  <si>
    <t xml:space="preserve">Stunfisk</t>
  </si>
  <si>
    <t xml:space="preserve">Regirock</t>
  </si>
  <si>
    <t xml:space="preserve">Gothorita</t>
  </si>
  <si>
    <t xml:space="preserve">Sudowoodo</t>
  </si>
  <si>
    <t xml:space="preserve">Zoroark</t>
  </si>
  <si>
    <t xml:space="preserve">Registeel</t>
  </si>
  <si>
    <t xml:space="preserve">Grumpig</t>
  </si>
  <si>
    <t xml:space="preserve">Sunflora</t>
  </si>
  <si>
    <t xml:space="preserve">Zygarde 10%</t>
  </si>
  <si>
    <t xml:space="preserve">Gumshoos</t>
  </si>
  <si>
    <t xml:space="preserve">Swalot</t>
  </si>
  <si>
    <t xml:space="preserve">Gurdurr</t>
  </si>
  <si>
    <t xml:space="preserve">Swanna</t>
  </si>
  <si>
    <t xml:space="preserve">Rotom-C</t>
  </si>
  <si>
    <t xml:space="preserve">Guzzlord</t>
  </si>
  <si>
    <t xml:space="preserve">Swoobat</t>
  </si>
  <si>
    <t xml:space="preserve">Sceptile</t>
  </si>
  <si>
    <t xml:space="preserve">Haunter</t>
  </si>
  <si>
    <t xml:space="preserve">Tangela</t>
  </si>
  <si>
    <t xml:space="preserve">Seismitoad</t>
  </si>
  <si>
    <t xml:space="preserve">Heatmor</t>
  </si>
  <si>
    <t xml:space="preserve">Tauros</t>
  </si>
  <si>
    <t xml:space="preserve">Shiftry</t>
  </si>
  <si>
    <t xml:space="preserve">Huntail</t>
  </si>
  <si>
    <t xml:space="preserve">Throh</t>
  </si>
  <si>
    <t xml:space="preserve">Hypno</t>
  </si>
  <si>
    <t xml:space="preserve">Shuckle</t>
  </si>
  <si>
    <t xml:space="preserve">Illumise</t>
  </si>
  <si>
    <t xml:space="preserve">Torterra</t>
  </si>
  <si>
    <t xml:space="preserve">Jumpluff</t>
  </si>
  <si>
    <t xml:space="preserve">Toucannon</t>
  </si>
  <si>
    <t xml:space="preserve">Skuntank</t>
  </si>
  <si>
    <t xml:space="preserve">Jynx</t>
  </si>
  <si>
    <t xml:space="preserve">Tropius</t>
  </si>
  <si>
    <t xml:space="preserve">Slurpuff</t>
  </si>
  <si>
    <t xml:space="preserve">Kadabra</t>
  </si>
  <si>
    <t xml:space="preserve">Sneasel</t>
  </si>
  <si>
    <t xml:space="preserve">Kangaskhan</t>
  </si>
  <si>
    <t xml:space="preserve">Unfezant</t>
  </si>
  <si>
    <t xml:space="preserve">Spiritomb</t>
  </si>
  <si>
    <t xml:space="preserve">Unown</t>
  </si>
  <si>
    <t xml:space="preserve">Stoutland</t>
  </si>
  <si>
    <t xml:space="preserve">Kingler</t>
  </si>
  <si>
    <t xml:space="preserve">Ursaring</t>
  </si>
  <si>
    <t xml:space="preserve">Klinklang</t>
  </si>
  <si>
    <t xml:space="preserve">Vanilluxe</t>
  </si>
  <si>
    <t xml:space="preserve">Togetic</t>
  </si>
  <si>
    <t xml:space="preserve">Kricketune</t>
  </si>
  <si>
    <t xml:space="preserve">Vespiquen</t>
  </si>
  <si>
    <t xml:space="preserve">Lampent</t>
  </si>
  <si>
    <t xml:space="preserve">Victreebel</t>
  </si>
  <si>
    <t xml:space="preserve">Vigoroth</t>
  </si>
  <si>
    <t xml:space="preserve">Type: Null</t>
  </si>
  <si>
    <t xml:space="preserve">Vileplume</t>
  </si>
  <si>
    <t xml:space="preserve">Typhlosion</t>
  </si>
  <si>
    <t xml:space="preserve">Leafeon</t>
  </si>
  <si>
    <t xml:space="preserve">Vivillon</t>
  </si>
  <si>
    <t xml:space="preserve">Uxie</t>
  </si>
  <si>
    <t xml:space="preserve">Leavanny</t>
  </si>
  <si>
    <t xml:space="preserve">Volbeat</t>
  </si>
  <si>
    <t xml:space="preserve">Venomoth</t>
  </si>
  <si>
    <t xml:space="preserve">Ledian</t>
  </si>
  <si>
    <t xml:space="preserve">Wailord</t>
  </si>
  <si>
    <t xml:space="preserve">Venusaur</t>
  </si>
  <si>
    <t xml:space="preserve">Lickitung</t>
  </si>
  <si>
    <t xml:space="preserve">Walrein</t>
  </si>
  <si>
    <t xml:space="preserve">Vikavolt</t>
  </si>
  <si>
    <t xml:space="preserve">Lilligant</t>
  </si>
  <si>
    <t xml:space="preserve">Watchog</t>
  </si>
  <si>
    <t xml:space="preserve">Virizion</t>
  </si>
  <si>
    <t xml:space="preserve">Linoone</t>
  </si>
  <si>
    <t xml:space="preserve">Whiscash</t>
  </si>
  <si>
    <t xml:space="preserve">Weezing</t>
  </si>
  <si>
    <t xml:space="preserve">Lumineon</t>
  </si>
  <si>
    <t xml:space="preserve">Wigglytuff</t>
  </si>
  <si>
    <t xml:space="preserve">Wishiwashi</t>
  </si>
  <si>
    <t xml:space="preserve">Lunatone</t>
  </si>
  <si>
    <t xml:space="preserve">Wobbuffet</t>
  </si>
  <si>
    <t xml:space="preserve">Yanmega</t>
  </si>
  <si>
    <t xml:space="preserve">Luvdisc</t>
  </si>
  <si>
    <t xml:space="preserve">Wormadam</t>
  </si>
  <si>
    <t xml:space="preserve">Xatu</t>
  </si>
  <si>
    <t xml:space="preserve">Machoke</t>
  </si>
  <si>
    <t xml:space="preserve">Zangoose</t>
  </si>
  <si>
    <t xml:space="preserve">Zebstrika</t>
  </si>
  <si>
    <t xml:space="preserve">Tier 1</t>
  </si>
  <si>
    <t xml:space="preserve">Tier 2</t>
  </si>
  <si>
    <t xml:space="preserve">Tier 3</t>
  </si>
  <si>
    <t xml:space="preserve">Tier 4</t>
  </si>
  <si>
    <t xml:space="preserve">Tier 5</t>
  </si>
  <si>
    <t xml:space="preserve">Ref</t>
  </si>
  <si>
    <t xml:space="preserve">Abomasnow-Mega</t>
  </si>
  <si>
    <t xml:space="preserve">JVJ</t>
  </si>
  <si>
    <t xml:space="preserve">LVC</t>
  </si>
  <si>
    <t xml:space="preserve">Alomomola</t>
  </si>
  <si>
    <t xml:space="preserve">Charizard-Mega X</t>
  </si>
  <si>
    <t xml:space="preserve">Ampharos-Mega</t>
  </si>
  <si>
    <t xml:space="preserve">Audino-Mega</t>
  </si>
  <si>
    <t xml:space="preserve">KKS</t>
  </si>
  <si>
    <t xml:space="preserve">Charizard-Mega Y</t>
  </si>
  <si>
    <t xml:space="preserve">BBG</t>
  </si>
  <si>
    <t xml:space="preserve">SEA</t>
  </si>
  <si>
    <t xml:space="preserve">SGP</t>
  </si>
  <si>
    <t xml:space="preserve">Gardevoir-Mega</t>
  </si>
  <si>
    <t xml:space="preserve">Blastoise-Mega</t>
  </si>
  <si>
    <t xml:space="preserve">BTB</t>
  </si>
  <si>
    <t xml:space="preserve">Gyarados-Mega</t>
  </si>
  <si>
    <t xml:space="preserve">Gallade-Mega</t>
  </si>
  <si>
    <t xml:space="preserve">Glalie-Mega</t>
  </si>
  <si>
    <t xml:space="preserve">Heracross-Mega</t>
  </si>
  <si>
    <t xml:space="preserve">Garchomp-Mega</t>
  </si>
  <si>
    <t xml:space="preserve">Sceptile-Mega</t>
  </si>
  <si>
    <t xml:space="preserve">FTT</t>
  </si>
  <si>
    <t xml:space="preserve">Houndoom-Mega</t>
  </si>
  <si>
    <t xml:space="preserve">Sharpedo-Mega</t>
  </si>
  <si>
    <t xml:space="preserve">Manectric-Mega</t>
  </si>
  <si>
    <t xml:space="preserve">Pidgeot-Mega</t>
  </si>
  <si>
    <t xml:space="preserve">Slowbro-Mega</t>
  </si>
  <si>
    <t xml:space="preserve">Blaziken</t>
  </si>
  <si>
    <t xml:space="preserve">BANette</t>
  </si>
  <si>
    <t xml:space="preserve">Steelix-Mega</t>
  </si>
  <si>
    <t xml:space="preserve">Pinsir-Mega</t>
  </si>
  <si>
    <t xml:space="preserve">Swampert-Mega</t>
  </si>
  <si>
    <t xml:space="preserve">Sableye-Mega</t>
  </si>
  <si>
    <t xml:space="preserve">Scizor-Mega</t>
  </si>
  <si>
    <t xml:space="preserve">Kyurem-Black</t>
  </si>
  <si>
    <t xml:space="preserve">Tyranitar-Mega</t>
  </si>
  <si>
    <t xml:space="preserve">Venusaur-Mega</t>
  </si>
  <si>
    <t xml:space="preserve">Beedrill</t>
  </si>
  <si>
    <t xml:space="preserve">Dugtrio-Alola</t>
  </si>
  <si>
    <t xml:space="preserve">Greninja</t>
  </si>
  <si>
    <t xml:space="preserve">Clefairy</t>
  </si>
  <si>
    <t xml:space="preserve">Lycanroc-Day</t>
  </si>
  <si>
    <t xml:space="preserve">Zygarde-50%</t>
  </si>
  <si>
    <t xml:space="preserve">Ninetales-Alola</t>
  </si>
  <si>
    <t xml:space="preserve">Lycanroc-Night</t>
  </si>
  <si>
    <t xml:space="preserve">Glaceon</t>
  </si>
  <si>
    <t xml:space="preserve">Glalie</t>
  </si>
  <si>
    <t xml:space="preserve">Raichu-Alola</t>
  </si>
  <si>
    <t xml:space="preserve">Rotom-Mow</t>
  </si>
  <si>
    <t xml:space="preserve">Sandslash-Alola</t>
  </si>
  <si>
    <t xml:space="preserve">Type:Null</t>
  </si>
  <si>
    <t xml:space="preserve">Lopunny</t>
  </si>
  <si>
    <t xml:space="preserve">Wishiwashi (School)</t>
  </si>
  <si>
    <t xml:space="preserve">Meowstic (Both)</t>
  </si>
  <si>
    <t xml:space="preserve">Misdreavus</t>
  </si>
  <si>
    <t xml:space="preserve">Monferno</t>
  </si>
  <si>
    <t xml:space="preserve">Oricorio (All)</t>
  </si>
  <si>
    <t xml:space="preserve">Pawniard</t>
  </si>
  <si>
    <t xml:space="preserve">Persian-Alola</t>
  </si>
  <si>
    <t xml:space="preserve">Piplup</t>
  </si>
  <si>
    <t xml:space="preserve">Raticate-Alola</t>
  </si>
  <si>
    <t xml:space="preserve">Rotom-Fan</t>
  </si>
  <si>
    <t xml:space="preserve">Rotom-Frost</t>
  </si>
  <si>
    <t xml:space="preserve">Vibrava</t>
  </si>
  <si>
    <t xml:space="preserve">Vullaby</t>
  </si>
  <si>
    <t xml:space="preserve">Wobbuffett</t>
  </si>
  <si>
    <t xml:space="preserve">Wormadam-P</t>
  </si>
  <si>
    <t xml:space="preserve">Wormadam-S</t>
  </si>
  <si>
    <t xml:space="preserve">Wormadam-T</t>
  </si>
  <si>
    <t xml:space="preserve">Pokemon</t>
  </si>
  <si>
    <t xml:space="preserve">Kills</t>
  </si>
  <si>
    <t xml:space="preserve">Deaths</t>
  </si>
  <si>
    <t xml:space="preserve">Tier</t>
  </si>
  <si>
    <t xml:space="preserve">HP</t>
  </si>
  <si>
    <t xml:space="preserve">Atk</t>
  </si>
  <si>
    <t xml:space="preserve">Def</t>
  </si>
  <si>
    <t xml:space="preserve">S.Atk</t>
  </si>
  <si>
    <t xml:space="preserve">S.Def</t>
  </si>
  <si>
    <t xml:space="preserve">Spe</t>
  </si>
  <si>
    <t xml:space="preserve">Type1</t>
  </si>
  <si>
    <t xml:space="preserve">Type2</t>
  </si>
  <si>
    <t xml:space="preserve">Ability1</t>
  </si>
  <si>
    <t xml:space="preserve">Ability2</t>
  </si>
  <si>
    <t xml:space="preserve">Ability3</t>
  </si>
  <si>
    <t xml:space="preserve">DirK1</t>
  </si>
  <si>
    <t xml:space="preserve">DirK2</t>
  </si>
  <si>
    <t xml:space="preserve">DirD1</t>
  </si>
  <si>
    <t xml:space="preserve">DirD2</t>
  </si>
  <si>
    <t xml:space="preserve">GW1</t>
  </si>
  <si>
    <t xml:space="preserve">GW2</t>
  </si>
  <si>
    <t xml:space="preserve">Bug</t>
  </si>
  <si>
    <t xml:space="preserve">Dark</t>
  </si>
  <si>
    <t xml:space="preserve">Drgn</t>
  </si>
  <si>
    <t xml:space="preserve">Elec</t>
  </si>
  <si>
    <t xml:space="preserve">Fairy</t>
  </si>
  <si>
    <t xml:space="preserve">Fight</t>
  </si>
  <si>
    <t xml:space="preserve">Fire</t>
  </si>
  <si>
    <t xml:space="preserve">Flying</t>
  </si>
  <si>
    <t xml:space="preserve">Ghost</t>
  </si>
  <si>
    <t xml:space="preserve">Grass</t>
  </si>
  <si>
    <t xml:space="preserve">Grnd</t>
  </si>
  <si>
    <t xml:space="preserve">Ice</t>
  </si>
  <si>
    <t xml:space="preserve">Norm</t>
  </si>
  <si>
    <t xml:space="preserve">Psn</t>
  </si>
  <si>
    <t xml:space="preserve">Psych</t>
  </si>
  <si>
    <t xml:space="preserve">Rock</t>
  </si>
  <si>
    <t xml:space="preserve">Steel</t>
  </si>
  <si>
    <t xml:space="preserve">Water</t>
  </si>
  <si>
    <t xml:space="preserve">TeamRef</t>
  </si>
  <si>
    <t xml:space="preserve">Snow Warning</t>
  </si>
  <si>
    <t xml:space="preserve">Soundproof</t>
  </si>
  <si>
    <t xml:space="preserve">Justified</t>
  </si>
  <si>
    <t xml:space="preserve">Pressure</t>
  </si>
  <si>
    <t xml:space="preserve">Super Luck</t>
  </si>
  <si>
    <t xml:space="preserve">Magic Bounce</t>
  </si>
  <si>
    <t xml:space="preserve">Hydration</t>
  </si>
  <si>
    <t xml:space="preserve">Sticky Hold</t>
  </si>
  <si>
    <t xml:space="preserve">Unburden</t>
  </si>
  <si>
    <t xml:space="preserve">Unnerve</t>
  </si>
  <si>
    <t xml:space="preserve">Rock Head</t>
  </si>
  <si>
    <t xml:space="preserve">Tough Claws</t>
  </si>
  <si>
    <t xml:space="preserve">Heavy Metal</t>
  </si>
  <si>
    <t xml:space="preserve">Sturdy</t>
  </si>
  <si>
    <t xml:space="preserve">Filter</t>
  </si>
  <si>
    <t xml:space="preserve">Psychic</t>
  </si>
  <si>
    <t xml:space="preserve">Inner Focus</t>
  </si>
  <si>
    <t xml:space="preserve">Magic Guard</t>
  </si>
  <si>
    <t xml:space="preserve">Synchronize</t>
  </si>
  <si>
    <t xml:space="preserve">Trace</t>
  </si>
  <si>
    <t xml:space="preserve">Healer</t>
  </si>
  <si>
    <t xml:space="preserve">Regenerator</t>
  </si>
  <si>
    <t xml:space="preserve">Dragon</t>
  </si>
  <si>
    <t xml:space="preserve">Cloud Nine</t>
  </si>
  <si>
    <t xml:space="preserve">Natural Cure</t>
  </si>
  <si>
    <t xml:space="preserve">Pixilate</t>
  </si>
  <si>
    <t xml:space="preserve">Normal</t>
  </si>
  <si>
    <t xml:space="preserve">Pickup</t>
  </si>
  <si>
    <t xml:space="preserve">Skill Link</t>
  </si>
  <si>
    <t xml:space="preserve">Technician</t>
  </si>
  <si>
    <t xml:space="preserve">Poison</t>
  </si>
  <si>
    <t xml:space="preserve">Effect Spore</t>
  </si>
  <si>
    <t xml:space="preserve">Electric</t>
  </si>
  <si>
    <t xml:space="preserve">Plus</t>
  </si>
  <si>
    <t xml:space="preserve">Static</t>
  </si>
  <si>
    <t xml:space="preserve">Mold Breaker</t>
  </si>
  <si>
    <t xml:space="preserve">Water Absorb</t>
  </si>
  <si>
    <t xml:space="preserve">Water Bubble</t>
  </si>
  <si>
    <t xml:space="preserve">Intimidate</t>
  </si>
  <si>
    <t xml:space="preserve">Shed Skin</t>
  </si>
  <si>
    <t xml:space="preserve">Flash Fire</t>
  </si>
  <si>
    <t xml:space="preserve">Defeatist</t>
  </si>
  <si>
    <t xml:space="preserve">Insomnia</t>
  </si>
  <si>
    <t xml:space="preserve">Sniper</t>
  </si>
  <si>
    <t xml:space="preserve">Swarm</t>
  </si>
  <si>
    <t xml:space="preserve">Battle Armor</t>
  </si>
  <si>
    <t xml:space="preserve">Swift Swim</t>
  </si>
  <si>
    <t xml:space="preserve">Aroma Veil</t>
  </si>
  <si>
    <t xml:space="preserve">Snow Cloak</t>
  </si>
  <si>
    <t xml:space="preserve">Klutz</t>
  </si>
  <si>
    <t xml:space="preserve">Refrigerate</t>
  </si>
  <si>
    <t xml:space="preserve">Ice Body</t>
  </si>
  <si>
    <t xml:space="preserve">Own Tempo</t>
  </si>
  <si>
    <t xml:space="preserve">Levitate</t>
  </si>
  <si>
    <t xml:space="preserve">Huge Power</t>
  </si>
  <si>
    <t xml:space="preserve">Thick Fat</t>
  </si>
  <si>
    <t xml:space="preserve">Sap Sipper</t>
  </si>
  <si>
    <t xml:space="preserve">Cursed Body</t>
  </si>
  <si>
    <t xml:space="preserve">Frisk</t>
  </si>
  <si>
    <t xml:space="preserve">Prankster</t>
  </si>
  <si>
    <t xml:space="preserve">Pickpocket</t>
  </si>
  <si>
    <t xml:space="preserve">Adaptability</t>
  </si>
  <si>
    <t xml:space="preserve">Rcklss / Rock Hd</t>
  </si>
  <si>
    <t xml:space="preserve">Slush Rush</t>
  </si>
  <si>
    <t xml:space="preserve">Rivalry</t>
  </si>
  <si>
    <t xml:space="preserve">Analytic</t>
  </si>
  <si>
    <t xml:space="preserve">Telepathy</t>
  </si>
  <si>
    <t xml:space="preserve">Chlorophyll</t>
  </si>
  <si>
    <t xml:space="preserve">Fighting</t>
  </si>
  <si>
    <t xml:space="preserve">Fluffy</t>
  </si>
  <si>
    <t xml:space="preserve">Simple</t>
  </si>
  <si>
    <t xml:space="preserve">Unaware</t>
  </si>
  <si>
    <t xml:space="preserve">Moody (BAN)</t>
  </si>
  <si>
    <t xml:space="preserve">Defiant</t>
  </si>
  <si>
    <t xml:space="preserve">Blacephalon</t>
  </si>
  <si>
    <t xml:space="preserve">BAN</t>
  </si>
  <si>
    <t xml:space="preserve">Beast Boost</t>
  </si>
  <si>
    <t xml:space="preserve">Torrent</t>
  </si>
  <si>
    <t xml:space="preserve">Rain Dish</t>
  </si>
  <si>
    <t xml:space="preserve">Mega Launcher</t>
  </si>
  <si>
    <t xml:space="preserve">Blaze</t>
  </si>
  <si>
    <t xml:space="preserve">Spe Boost (BAN)</t>
  </si>
  <si>
    <t xml:space="preserve">Serene Grace</t>
  </si>
  <si>
    <t xml:space="preserve">Reckless</t>
  </si>
  <si>
    <t xml:space="preserve">Keen Eye</t>
  </si>
  <si>
    <t xml:space="preserve">Sheer Force</t>
  </si>
  <si>
    <t xml:space="preserve">Poison Heal</t>
  </si>
  <si>
    <t xml:space="preserve">Heatproof</t>
  </si>
  <si>
    <t xml:space="preserve">Dazzling</t>
  </si>
  <si>
    <t xml:space="preserve">Strong Jaw</t>
  </si>
  <si>
    <t xml:space="preserve">Wonder Skin</t>
  </si>
  <si>
    <t xml:space="preserve">Compound Eyes</t>
  </si>
  <si>
    <t xml:space="preserve">Tinted Lens</t>
  </si>
  <si>
    <t xml:space="preserve">Sand Veil</t>
  </si>
  <si>
    <t xml:space="preserve">Ground</t>
  </si>
  <si>
    <t xml:space="preserve">Anger Point</t>
  </si>
  <si>
    <t xml:space="preserve">Solid Rock</t>
  </si>
  <si>
    <t xml:space="preserve">Magma Armor</t>
  </si>
  <si>
    <t xml:space="preserve">Clear Body</t>
  </si>
  <si>
    <t xml:space="preserve">Forecast</t>
  </si>
  <si>
    <t xml:space="preserve">Flame Body</t>
  </si>
  <si>
    <t xml:space="preserve">Infiltrator</t>
  </si>
  <si>
    <t xml:space="preserve">Solar Power</t>
  </si>
  <si>
    <t xml:space="preserve">Drought</t>
  </si>
  <si>
    <t xml:space="preserve">Big Pecks</t>
  </si>
  <si>
    <t xml:space="preserve">Tangled Feet</t>
  </si>
  <si>
    <t xml:space="preserve">Flower Gift</t>
  </si>
  <si>
    <t xml:space="preserve">Bulletproof</t>
  </si>
  <si>
    <t xml:space="preserve">Overgrow</t>
  </si>
  <si>
    <t xml:space="preserve">Cute Charm</t>
  </si>
  <si>
    <t xml:space="preserve">Friend Guard</t>
  </si>
  <si>
    <t xml:space="preserve">Overcoat</t>
  </si>
  <si>
    <t xml:space="preserve">Shell Armor</t>
  </si>
  <si>
    <t xml:space="preserve">Mummy</t>
  </si>
  <si>
    <t xml:space="preserve">Speed Boost</t>
  </si>
  <si>
    <t xml:space="preserve">Triage</t>
  </si>
  <si>
    <t xml:space="preserve">Flower Veil</t>
  </si>
  <si>
    <t xml:space="preserve">Guts</t>
  </si>
  <si>
    <t xml:space="preserve">Iron Fist</t>
  </si>
  <si>
    <t xml:space="preserve">Hustle</t>
  </si>
  <si>
    <t xml:space="preserve">Hyper Cutter</t>
  </si>
  <si>
    <t xml:space="preserve">Storm Drain</t>
  </si>
  <si>
    <t xml:space="preserve">Suction Cups</t>
  </si>
  <si>
    <t xml:space="preserve">Adapability</t>
  </si>
  <si>
    <t xml:space="preserve">Weak Armor</t>
  </si>
  <si>
    <t xml:space="preserve">Zen Mode</t>
  </si>
  <si>
    <t xml:space="preserve">Long Reach</t>
  </si>
  <si>
    <t xml:space="preserve">Cheek Pouch</t>
  </si>
  <si>
    <t xml:space="preserve">Normalize</t>
  </si>
  <si>
    <t xml:space="preserve">Vital Spirit</t>
  </si>
  <si>
    <t xml:space="preserve">Magician</t>
  </si>
  <si>
    <t xml:space="preserve">Steelworker</t>
  </si>
  <si>
    <t xml:space="preserve">Diancie-Mega</t>
  </si>
  <si>
    <t xml:space="preserve">Imposter</t>
  </si>
  <si>
    <t xml:space="preserve">Limber</t>
  </si>
  <si>
    <t xml:space="preserve">Early Bird</t>
  </si>
  <si>
    <t xml:space="preserve">Run Away</t>
  </si>
  <si>
    <t xml:space="preserve">No Guard</t>
  </si>
  <si>
    <t xml:space="preserve">Poison Touch</t>
  </si>
  <si>
    <t xml:space="preserve">Poison Point</t>
  </si>
  <si>
    <t xml:space="preserve">Multiscale</t>
  </si>
  <si>
    <t xml:space="preserve">Berserk</t>
  </si>
  <si>
    <t xml:space="preserve">Aftermath</t>
  </si>
  <si>
    <t xml:space="preserve">Flare Boost</t>
  </si>
  <si>
    <t xml:space="preserve">Rough Skin</t>
  </si>
  <si>
    <t xml:space="preserve">Arena Trap</t>
  </si>
  <si>
    <t xml:space="preserve">Sand Force</t>
  </si>
  <si>
    <t xml:space="preserve">Tangling Hair</t>
  </si>
  <si>
    <t xml:space="preserve">Rattled</t>
  </si>
  <si>
    <t xml:space="preserve">Truant</t>
  </si>
  <si>
    <t xml:space="preserve">Shield Dust</t>
  </si>
  <si>
    <t xml:space="preserve">Motor Drive</t>
  </si>
  <si>
    <t xml:space="preserve">Static </t>
  </si>
  <si>
    <t xml:space="preserve">Sychronize</t>
  </si>
  <si>
    <t xml:space="preserve">Sand Rush</t>
  </si>
  <si>
    <t xml:space="preserve">Harvest</t>
  </si>
  <si>
    <t xml:space="preserve">Scrappy</t>
  </si>
  <si>
    <t xml:space="preserve">Iron Barbs</t>
  </si>
  <si>
    <t xml:space="preserve">Anticipation</t>
  </si>
  <si>
    <t xml:space="preserve">Gale Wings</t>
  </si>
  <si>
    <t xml:space="preserve">Water Veil</t>
  </si>
  <si>
    <t xml:space="preserve">Symbiosis</t>
  </si>
  <si>
    <t xml:space="preserve">Fur Coat</t>
  </si>
  <si>
    <t xml:space="preserve">Steadfast</t>
  </si>
  <si>
    <t xml:space="preserve">Stench</t>
  </si>
  <si>
    <t xml:space="preserve">Genesect</t>
  </si>
  <si>
    <t xml:space="preserve">Download</t>
  </si>
  <si>
    <t xml:space="preserve">Sand Stream</t>
  </si>
  <si>
    <t xml:space="preserve">Immunity</t>
  </si>
  <si>
    <t xml:space="preserve">Grass Pelt</t>
  </si>
  <si>
    <t xml:space="preserve">Damp</t>
  </si>
  <si>
    <t xml:space="preserve">Galvanize</t>
  </si>
  <si>
    <t xml:space="preserve">Magnet Pull</t>
  </si>
  <si>
    <t xml:space="preserve">Emergency Exit</t>
  </si>
  <si>
    <t xml:space="preserve">Gooey</t>
  </si>
  <si>
    <t xml:space="preserve"> Tier 5</t>
  </si>
  <si>
    <t xml:space="preserve">Competitive</t>
  </si>
  <si>
    <t xml:space="preserve">Shadow Tag(BAN)</t>
  </si>
  <si>
    <t xml:space="preserve">Quick Feet</t>
  </si>
  <si>
    <t xml:space="preserve">Protean (BAN)</t>
  </si>
  <si>
    <t xml:space="preserve">Greninja-Ash</t>
  </si>
  <si>
    <t xml:space="preserve">Battle Bond</t>
  </si>
  <si>
    <t xml:space="preserve">Gluttony</t>
  </si>
  <si>
    <t xml:space="preserve">Stakeout</t>
  </si>
  <si>
    <t xml:space="preserve">Moxie</t>
  </si>
  <si>
    <t xml:space="preserve">White Smoke</t>
  </si>
  <si>
    <t xml:space="preserve">Dry Skin</t>
  </si>
  <si>
    <t xml:space="preserve">Hoopa-Unbound</t>
  </si>
  <si>
    <t xml:space="preserve">Forewarn</t>
  </si>
  <si>
    <t xml:space="preserve">Oblivious</t>
  </si>
  <si>
    <t xml:space="preserve">Volt Absorb</t>
  </si>
  <si>
    <t xml:space="preserve">Leaf Guard</t>
  </si>
  <si>
    <t xml:space="preserve">Color Change</t>
  </si>
  <si>
    <t xml:space="preserve">Protean</t>
  </si>
  <si>
    <t xml:space="preserve">Minus</t>
  </si>
  <si>
    <t xml:space="preserve">Comatose</t>
  </si>
  <si>
    <t xml:space="preserve">Teravolt</t>
  </si>
  <si>
    <t xml:space="preserve">Landorus-I</t>
  </si>
  <si>
    <t xml:space="preserve">Sheer Force(BAN)</t>
  </si>
  <si>
    <t xml:space="preserve">Illuminate</t>
  </si>
  <si>
    <t xml:space="preserve">Latias</t>
  </si>
  <si>
    <t xml:space="preserve">Latias-Mega</t>
  </si>
  <si>
    <t xml:space="preserve">Latios</t>
  </si>
  <si>
    <t xml:space="preserve">Latios-Mega</t>
  </si>
  <si>
    <t xml:space="preserve">Lunala</t>
  </si>
  <si>
    <t xml:space="preserve">Shadow Shield</t>
  </si>
  <si>
    <t xml:space="preserve">Contrary</t>
  </si>
  <si>
    <t xml:space="preserve">Lycanroc-Dusk</t>
  </si>
  <si>
    <t xml:space="preserve">Magearna</t>
  </si>
  <si>
    <t xml:space="preserve">Soul-Heart</t>
  </si>
  <si>
    <t xml:space="preserve">Lightningrod</t>
  </si>
  <si>
    <t xml:space="preserve">Lightning Rod</t>
  </si>
  <si>
    <t xml:space="preserve">Marshadow</t>
  </si>
  <si>
    <t xml:space="preserve">Pure Power</t>
  </si>
  <si>
    <t xml:space="preserve">Prnkstr/Compttve</t>
  </si>
  <si>
    <t xml:space="preserve">Meowstic-F</t>
  </si>
  <si>
    <t xml:space="preserve">Meowstic-M</t>
  </si>
  <si>
    <t xml:space="preserve">Light Metal</t>
  </si>
  <si>
    <t xml:space="preserve">Metagross-Mega</t>
  </si>
  <si>
    <t xml:space="preserve">Marvel Scale</t>
  </si>
  <si>
    <t xml:space="preserve">Disguise</t>
  </si>
  <si>
    <t xml:space="preserve">Shields Down</t>
  </si>
  <si>
    <t xml:space="preserve">Stamina</t>
  </si>
  <si>
    <t xml:space="preserve">Power of Alchemy</t>
  </si>
  <si>
    <t xml:space="preserve">Naganadel</t>
  </si>
  <si>
    <t xml:space="preserve">Prism Armor</t>
  </si>
  <si>
    <t xml:space="preserve">Necrozma-Dawn Wings</t>
  </si>
  <si>
    <t xml:space="preserve">Necrozma-Dusk Mane</t>
  </si>
  <si>
    <t xml:space="preserve">Necrozma-Ultra</t>
  </si>
  <si>
    <t xml:space="preserve">Neuroforce</t>
  </si>
  <si>
    <t xml:space="preserve">Various</t>
  </si>
  <si>
    <t xml:space="preserve">Dancer</t>
  </si>
  <si>
    <t xml:space="preserve">Oricorio-Baile</t>
  </si>
  <si>
    <t xml:space="preserve">Oricorio-Pa'u</t>
  </si>
  <si>
    <t xml:space="preserve">Oricorio-Pom-pom</t>
  </si>
  <si>
    <t xml:space="preserve">Oricorio-Sensu</t>
  </si>
  <si>
    <t xml:space="preserve">Water Compaction</t>
  </si>
  <si>
    <t xml:space="preserve">Receiver</t>
  </si>
  <si>
    <t xml:space="preserve">Drizzle</t>
  </si>
  <si>
    <t xml:space="preserve">Pheromosa</t>
  </si>
  <si>
    <t xml:space="preserve">Aerilate</t>
  </si>
  <si>
    <t xml:space="preserve">Poipole</t>
  </si>
  <si>
    <t xml:space="preserve">Liquid Voice</t>
  </si>
  <si>
    <t xml:space="preserve">Innards Out</t>
  </si>
  <si>
    <t xml:space="preserve">Surge Surfer</t>
  </si>
  <si>
    <t xml:space="preserve">Slow Start</t>
  </si>
  <si>
    <t xml:space="preserve">Lighningrod</t>
  </si>
  <si>
    <t xml:space="preserve">Honey Gather</t>
  </si>
  <si>
    <t xml:space="preserve">Sweet Veil</t>
  </si>
  <si>
    <t xml:space="preserve">Stall</t>
  </si>
  <si>
    <t xml:space="preserve">Corrosive</t>
  </si>
  <si>
    <t xml:space="preserve">Initmidate</t>
  </si>
  <si>
    <t xml:space="preserve">Wonder Guard</t>
  </si>
  <si>
    <t xml:space="preserve">RKS System</t>
  </si>
  <si>
    <t xml:space="preserve">Solgaleo</t>
  </si>
  <si>
    <t xml:space="preserve">Full Metal Body</t>
  </si>
  <si>
    <t xml:space="preserve">Stakataka</t>
  </si>
  <si>
    <t xml:space="preserve">Liquid Ooze</t>
  </si>
  <si>
    <t xml:space="preserve">Grassy Surge</t>
  </si>
  <si>
    <t xml:space="preserve">Misty Surge</t>
  </si>
  <si>
    <t xml:space="preserve">Electric Surge</t>
  </si>
  <si>
    <t xml:space="preserve">Tapu Lele</t>
  </si>
  <si>
    <t xml:space="preserve">Psychic Surge</t>
  </si>
  <si>
    <t xml:space="preserve">Merciless</t>
  </si>
  <si>
    <t xml:space="preserve">Queenly Majesty</t>
  </si>
  <si>
    <t xml:space="preserve">Victory Star</t>
  </si>
  <si>
    <t xml:space="preserve"> Pressure</t>
  </si>
  <si>
    <t xml:space="preserve">Schooling</t>
  </si>
  <si>
    <t xml:space="preserve">Shadow Tag</t>
  </si>
  <si>
    <t xml:space="preserve">TIer 5</t>
  </si>
  <si>
    <t xml:space="preserve">Toxic Boost</t>
  </si>
  <si>
    <t xml:space="preserve">Zeraora</t>
  </si>
  <si>
    <t xml:space="preserve">Illusion</t>
  </si>
  <si>
    <t xml:space="preserve">Aura Break</t>
  </si>
  <si>
    <t xml:space="preserve">PwrConstrct(BAN)</t>
  </si>
  <si>
    <t xml:space="preserve">DIRECT ATTACKS</t>
  </si>
  <si>
    <t xml:space="preserve">STATUS MOVES</t>
  </si>
  <si>
    <t xml:space="preserve">STEALTH ROCKS</t>
  </si>
  <si>
    <t xml:space="preserve">SPIKES</t>
  </si>
  <si>
    <t xml:space="preserve">TOXIC SPIKES</t>
  </si>
  <si>
    <t xml:space="preserve">STICKY WEB</t>
  </si>
  <si>
    <t xml:space="preserve">DEFOG</t>
  </si>
  <si>
    <t xml:space="preserve">RAPID SPIN</t>
  </si>
  <si>
    <t xml:space="preserve">AROMATHERAPY</t>
  </si>
  <si>
    <t xml:space="preserve">HEAL BELL</t>
  </si>
  <si>
    <t xml:space="preserve">BATON PASS</t>
  </si>
  <si>
    <t xml:space="preserve">Attack</t>
  </si>
  <si>
    <t xml:space="preserve">Type</t>
  </si>
  <si>
    <t xml:space="preserve">Category</t>
  </si>
  <si>
    <t xml:space="preserve">Base PP</t>
  </si>
  <si>
    <t xml:space="preserve">Base Pwr</t>
  </si>
  <si>
    <t xml:space="preserve">Accuracy</t>
  </si>
  <si>
    <t xml:space="preserve">Purpose</t>
  </si>
  <si>
    <t xml:space="preserve">Stealth Rock</t>
  </si>
  <si>
    <t xml:space="preserve">Spikes</t>
  </si>
  <si>
    <t xml:space="preserve">Toxic Spikes</t>
  </si>
  <si>
    <t xml:space="preserve">Sticky Web</t>
  </si>
  <si>
    <t xml:space="preserve">Defog</t>
  </si>
  <si>
    <t xml:space="preserve">Anorith</t>
  </si>
  <si>
    <t xml:space="preserve">Rapid Spin</t>
  </si>
  <si>
    <t xml:space="preserve">Aromatherapy</t>
  </si>
  <si>
    <t xml:space="preserve">Heal Bell</t>
  </si>
  <si>
    <t xml:space="preserve">Baton Pass</t>
  </si>
  <si>
    <t xml:space="preserve">Accelrock</t>
  </si>
  <si>
    <t xml:space="preserve">Physical</t>
  </si>
  <si>
    <t xml:space="preserve">Acid Armor</t>
  </si>
  <si>
    <t xml:space="preserve">Boost</t>
  </si>
  <si>
    <t xml:space="preserve">—</t>
  </si>
  <si>
    <t xml:space="preserve">Budew</t>
  </si>
  <si>
    <t xml:space="preserve">Bayleef</t>
  </si>
  <si>
    <t xml:space="preserve">Acrobatics</t>
  </si>
  <si>
    <t xml:space="preserve">Acupressure</t>
  </si>
  <si>
    <t xml:space="preserve">Bunnelby</t>
  </si>
  <si>
    <t xml:space="preserve">Cutiefly</t>
  </si>
  <si>
    <t xml:space="preserve">Aerial Ace</t>
  </si>
  <si>
    <t xml:space="preserve">After You</t>
  </si>
  <si>
    <t xml:space="preserve">Doubles</t>
  </si>
  <si>
    <t xml:space="preserve">Cacnea</t>
  </si>
  <si>
    <t xml:space="preserve">Dewpider</t>
  </si>
  <si>
    <t xml:space="preserve">Baltoy</t>
  </si>
  <si>
    <t xml:space="preserve">Aipom</t>
  </si>
  <si>
    <t xml:space="preserve">Anchor Shot</t>
  </si>
  <si>
    <t xml:space="preserve">Agility</t>
  </si>
  <si>
    <t xml:space="preserve">Amaura</t>
  </si>
  <si>
    <t xml:space="preserve">Arceus</t>
  </si>
  <si>
    <t xml:space="preserve">Bergmite</t>
  </si>
  <si>
    <t xml:space="preserve">Aqua Jet</t>
  </si>
  <si>
    <t xml:space="preserve">Ally Switch</t>
  </si>
  <si>
    <t xml:space="preserve">Archen</t>
  </si>
  <si>
    <t xml:space="preserve">Cherubi</t>
  </si>
  <si>
    <t xml:space="preserve">Aqua Tail</t>
  </si>
  <si>
    <t xml:space="preserve">Amnesia</t>
  </si>
  <si>
    <t xml:space="preserve">Chespin</t>
  </si>
  <si>
    <t xml:space="preserve">Chikorita</t>
  </si>
  <si>
    <t xml:space="preserve">Arm Thrust</t>
  </si>
  <si>
    <t xml:space="preserve">Aqua Ring</t>
  </si>
  <si>
    <t xml:space="preserve">Healing</t>
  </si>
  <si>
    <t xml:space="preserve">Bounsweet</t>
  </si>
  <si>
    <t xml:space="preserve">Assurance</t>
  </si>
  <si>
    <t xml:space="preserve">Buneary</t>
  </si>
  <si>
    <t xml:space="preserve">Astonish</t>
  </si>
  <si>
    <t xml:space="preserve">Aromatic Mist</t>
  </si>
  <si>
    <t xml:space="preserve">Froakie</t>
  </si>
  <si>
    <t xml:space="preserve">Sewaddle</t>
  </si>
  <si>
    <t xml:space="preserve">Cleffa</t>
  </si>
  <si>
    <t xml:space="preserve">Blaziken-Mega</t>
  </si>
  <si>
    <t xml:space="preserve">Attack Order</t>
  </si>
  <si>
    <t xml:space="preserve">Assist</t>
  </si>
  <si>
    <t xml:space="preserve">Aron</t>
  </si>
  <si>
    <t xml:space="preserve">Deoxys</t>
  </si>
  <si>
    <t xml:space="preserve">Buizel</t>
  </si>
  <si>
    <t xml:space="preserve">Avalanche</t>
  </si>
  <si>
    <t xml:space="preserve">Attract</t>
  </si>
  <si>
    <t xml:space="preserve">Status</t>
  </si>
  <si>
    <t xml:space="preserve">Deoxys-Atk</t>
  </si>
  <si>
    <t xml:space="preserve">Barrage</t>
  </si>
  <si>
    <t xml:space="preserve">Aurora Veil</t>
  </si>
  <si>
    <t xml:space="preserve">Guard</t>
  </si>
  <si>
    <t xml:space="preserve">Deoxys-Def</t>
  </si>
  <si>
    <t xml:space="preserve">Spinarak</t>
  </si>
  <si>
    <t xml:space="preserve">Deerling</t>
  </si>
  <si>
    <t xml:space="preserve">Chinchou</t>
  </si>
  <si>
    <t xml:space="preserve">Beak Blast</t>
  </si>
  <si>
    <t xml:space="preserve">Autotomize</t>
  </si>
  <si>
    <t xml:space="preserve">Deoxys-Spd</t>
  </si>
  <si>
    <t xml:space="preserve">Koffing</t>
  </si>
  <si>
    <t xml:space="preserve">Surskit</t>
  </si>
  <si>
    <t xml:space="preserve">Flabebe</t>
  </si>
  <si>
    <t xml:space="preserve">Chingling</t>
  </si>
  <si>
    <t xml:space="preserve">Beat Up</t>
  </si>
  <si>
    <t xml:space="preserve">Varies</t>
  </si>
  <si>
    <t xml:space="preserve">Baby-Doll Eyes</t>
  </si>
  <si>
    <t xml:space="preserve">Debuff</t>
  </si>
  <si>
    <t xml:space="preserve">Mareanie</t>
  </si>
  <si>
    <t xml:space="preserve">Swadloon</t>
  </si>
  <si>
    <t xml:space="preserve">Drilbur</t>
  </si>
  <si>
    <t xml:space="preserve">Floette</t>
  </si>
  <si>
    <t xml:space="preserve">Bide</t>
  </si>
  <si>
    <t xml:space="preserve">Ctr Dmg</t>
  </si>
  <si>
    <t xml:space="preserve">Baneful Bunker</t>
  </si>
  <si>
    <t xml:space="preserve">Dwebble</t>
  </si>
  <si>
    <t xml:space="preserve">Swirlix</t>
  </si>
  <si>
    <t xml:space="preserve">Floette-Eternal</t>
  </si>
  <si>
    <t xml:space="preserve">Dartrix</t>
  </si>
  <si>
    <t xml:space="preserve">Bind</t>
  </si>
  <si>
    <t xml:space="preserve">Barrier</t>
  </si>
  <si>
    <t xml:space="preserve">Bite</t>
  </si>
  <si>
    <t xml:space="preserve">Utility</t>
  </si>
  <si>
    <t xml:space="preserve">Bidoof</t>
  </si>
  <si>
    <t xml:space="preserve">Nidoran-F</t>
  </si>
  <si>
    <t xml:space="preserve">Fomantis</t>
  </si>
  <si>
    <t xml:space="preserve">Blaze Kick</t>
  </si>
  <si>
    <t xml:space="preserve">Belly Drum</t>
  </si>
  <si>
    <t xml:space="preserve">Binacle</t>
  </si>
  <si>
    <t xml:space="preserve">Nidoran-M</t>
  </si>
  <si>
    <t xml:space="preserve">Happiny</t>
  </si>
  <si>
    <t xml:space="preserve">Body Slam</t>
  </si>
  <si>
    <t xml:space="preserve">Bestow</t>
  </si>
  <si>
    <t xml:space="preserve">Nidorina</t>
  </si>
  <si>
    <t xml:space="preserve">Hoppip</t>
  </si>
  <si>
    <t xml:space="preserve">Dinacie-Mega</t>
  </si>
  <si>
    <t xml:space="preserve">Bolt Strike</t>
  </si>
  <si>
    <t xml:space="preserve">Block</t>
  </si>
  <si>
    <t xml:space="preserve">Nidorino</t>
  </si>
  <si>
    <t xml:space="preserve">Kabuto</t>
  </si>
  <si>
    <t xml:space="preserve">Bone Club</t>
  </si>
  <si>
    <t xml:space="preserve">Bulk Up</t>
  </si>
  <si>
    <t xml:space="preserve">Boldore</t>
  </si>
  <si>
    <t xml:space="preserve">Eevee</t>
  </si>
  <si>
    <t xml:space="preserve">Drifloon</t>
  </si>
  <si>
    <t xml:space="preserve">Bone Rush</t>
  </si>
  <si>
    <t xml:space="preserve">Calm Mind</t>
  </si>
  <si>
    <t xml:space="preserve">Bonsly</t>
  </si>
  <si>
    <t xml:space="preserve">Omanyte</t>
  </si>
  <si>
    <t xml:space="preserve">Bonemerang</t>
  </si>
  <si>
    <t xml:space="preserve">Camouflage</t>
  </si>
  <si>
    <t xml:space="preserve">Espurr</t>
  </si>
  <si>
    <t xml:space="preserve">Bounce</t>
  </si>
  <si>
    <t xml:space="preserve">Captivate</t>
  </si>
  <si>
    <t xml:space="preserve">Bronzor</t>
  </si>
  <si>
    <t xml:space="preserve">Pineco</t>
  </si>
  <si>
    <t xml:space="preserve">Cottonee</t>
  </si>
  <si>
    <t xml:space="preserve">Flaafy</t>
  </si>
  <si>
    <t xml:space="preserve">Brave Bird</t>
  </si>
  <si>
    <t xml:space="preserve">Celebrate</t>
  </si>
  <si>
    <t xml:space="preserve">Sandshrew</t>
  </si>
  <si>
    <t xml:space="preserve">Paras</t>
  </si>
  <si>
    <t xml:space="preserve">Brick Break</t>
  </si>
  <si>
    <t xml:space="preserve">Charge</t>
  </si>
  <si>
    <t xml:space="preserve">Sandshrew-Alola</t>
  </si>
  <si>
    <t xml:space="preserve">Brutal Swing</t>
  </si>
  <si>
    <t xml:space="preserve">Charm</t>
  </si>
  <si>
    <t xml:space="preserve">Petilil</t>
  </si>
  <si>
    <t xml:space="preserve">Bug Bite</t>
  </si>
  <si>
    <t xml:space="preserve">Coil</t>
  </si>
  <si>
    <t xml:space="preserve">Bulldoze</t>
  </si>
  <si>
    <t xml:space="preserve">Confide</t>
  </si>
  <si>
    <t xml:space="preserve">Shelmet</t>
  </si>
  <si>
    <t xml:space="preserve">Shellder</t>
  </si>
  <si>
    <t xml:space="preserve">Bullet Punch</t>
  </si>
  <si>
    <t xml:space="preserve">Confuse Ray</t>
  </si>
  <si>
    <t xml:space="preserve">Skorupi</t>
  </si>
  <si>
    <t xml:space="preserve">Bullet Seed</t>
  </si>
  <si>
    <t xml:space="preserve">Conversion</t>
  </si>
  <si>
    <t xml:space="preserve">Chimchar</t>
  </si>
  <si>
    <t xml:space="preserve">Quilladin</t>
  </si>
  <si>
    <t xml:space="preserve">Skrelp</t>
  </si>
  <si>
    <t xml:space="preserve">Squirtle</t>
  </si>
  <si>
    <t xml:space="preserve">Chip Away</t>
  </si>
  <si>
    <t xml:space="preserve">Conversion 2</t>
  </si>
  <si>
    <t xml:space="preserve">Circle Throw</t>
  </si>
  <si>
    <t xml:space="preserve">Copycat</t>
  </si>
  <si>
    <t xml:space="preserve">Tentacool</t>
  </si>
  <si>
    <t xml:space="preserve">Staryu</t>
  </si>
  <si>
    <t xml:space="preserve">Gothita</t>
  </si>
  <si>
    <t xml:space="preserve">Clamp</t>
  </si>
  <si>
    <t xml:space="preserve">Cosmic Power</t>
  </si>
  <si>
    <t xml:space="preserve">Steenee</t>
  </si>
  <si>
    <t xml:space="preserve">Close Combat</t>
  </si>
  <si>
    <t xml:space="preserve">Cotton Guard</t>
  </si>
  <si>
    <t xml:space="preserve">Ducklett</t>
  </si>
  <si>
    <t xml:space="preserve">Shaymin-Sky</t>
  </si>
  <si>
    <t xml:space="preserve">Gorrebyss</t>
  </si>
  <si>
    <t xml:space="preserve">Comet Punch</t>
  </si>
  <si>
    <t xml:space="preserve">Cotton Spore</t>
  </si>
  <si>
    <t xml:space="preserve">Trubbish</t>
  </si>
  <si>
    <t xml:space="preserve">Skiploon</t>
  </si>
  <si>
    <t xml:space="preserve">Constrict</t>
  </si>
  <si>
    <t xml:space="preserve">Crafty Shield</t>
  </si>
  <si>
    <t xml:space="preserve">Venipede</t>
  </si>
  <si>
    <t xml:space="preserve">Counter</t>
  </si>
  <si>
    <t xml:space="preserve">Curse</t>
  </si>
  <si>
    <t xml:space="preserve">Cranidos</t>
  </si>
  <si>
    <t xml:space="preserve">Snorunt</t>
  </si>
  <si>
    <t xml:space="preserve">Snivy</t>
  </si>
  <si>
    <t xml:space="preserve">Covet</t>
  </si>
  <si>
    <t xml:space="preserve">Dark Void</t>
  </si>
  <si>
    <t xml:space="preserve">Venonat</t>
  </si>
  <si>
    <t xml:space="preserve">Tyrogue</t>
  </si>
  <si>
    <t xml:space="preserve">Spritzee</t>
  </si>
  <si>
    <t xml:space="preserve">Igglybuff</t>
  </si>
  <si>
    <t xml:space="preserve">Crabhammer</t>
  </si>
  <si>
    <t xml:space="preserve">Defend Order</t>
  </si>
  <si>
    <t xml:space="preserve">Cubone</t>
  </si>
  <si>
    <t xml:space="preserve">Wartortle</t>
  </si>
  <si>
    <t xml:space="preserve">Jigglypuff</t>
  </si>
  <si>
    <t xml:space="preserve">Cross Chop</t>
  </si>
  <si>
    <t xml:space="preserve">Defense Curl</t>
  </si>
  <si>
    <t xml:space="preserve">Whirlipede</t>
  </si>
  <si>
    <t xml:space="preserve">Finneon</t>
  </si>
  <si>
    <t xml:space="preserve">Cross Poison</t>
  </si>
  <si>
    <t xml:space="preserve">Wimpod</t>
  </si>
  <si>
    <t xml:space="preserve">Yamask</t>
  </si>
  <si>
    <t xml:space="preserve">Crunch</t>
  </si>
  <si>
    <t xml:space="preserve">Destiny Bond</t>
  </si>
  <si>
    <t xml:space="preserve">Fletchling</t>
  </si>
  <si>
    <t xml:space="preserve">Crush Claw</t>
  </si>
  <si>
    <t xml:space="preserve">Detect</t>
  </si>
  <si>
    <t xml:space="preserve">Ledyba</t>
  </si>
  <si>
    <t xml:space="preserve">Crush Grip</t>
  </si>
  <si>
    <t xml:space="preserve">Disable</t>
  </si>
  <si>
    <t xml:space="preserve">Dialga</t>
  </si>
  <si>
    <t xml:space="preserve">Cut</t>
  </si>
  <si>
    <t xml:space="preserve">Double Team</t>
  </si>
  <si>
    <t xml:space="preserve">Banned</t>
  </si>
  <si>
    <t xml:space="preserve">Xerneas</t>
  </si>
  <si>
    <t xml:space="preserve">Darkest Lariat</t>
  </si>
  <si>
    <t xml:space="preserve">Dragon Dance</t>
  </si>
  <si>
    <t xml:space="preserve">Giratina</t>
  </si>
  <si>
    <t xml:space="preserve">Diamond Storm</t>
  </si>
  <si>
    <t xml:space="preserve">Eerie Impulse</t>
  </si>
  <si>
    <t xml:space="preserve">Diglett</t>
  </si>
  <si>
    <t xml:space="preserve">Giratina-Origin</t>
  </si>
  <si>
    <t xml:space="preserve">Dig</t>
  </si>
  <si>
    <t xml:space="preserve">Electric Terrain</t>
  </si>
  <si>
    <t xml:space="preserve">Field</t>
  </si>
  <si>
    <t xml:space="preserve">Diglett-Alola</t>
  </si>
  <si>
    <t xml:space="preserve">Dive</t>
  </si>
  <si>
    <t xml:space="preserve">Electrify</t>
  </si>
  <si>
    <t xml:space="preserve">Mawile-Mega</t>
  </si>
  <si>
    <t xml:space="preserve">Dizzy Punch</t>
  </si>
  <si>
    <t xml:space="preserve">Embargo</t>
  </si>
  <si>
    <t xml:space="preserve">Double Hit</t>
  </si>
  <si>
    <t xml:space="preserve">Encore</t>
  </si>
  <si>
    <t xml:space="preserve">Double Kick</t>
  </si>
  <si>
    <t xml:space="preserve">Endure</t>
  </si>
  <si>
    <t xml:space="preserve">Ho-oh</t>
  </si>
  <si>
    <t xml:space="preserve">Meditite</t>
  </si>
  <si>
    <t xml:space="preserve">Double Slap</t>
  </si>
  <si>
    <t xml:space="preserve">Entrainment</t>
  </si>
  <si>
    <t xml:space="preserve">Double-Edge</t>
  </si>
  <si>
    <t xml:space="preserve">Fairy Lock</t>
  </si>
  <si>
    <t xml:space="preserve">Hoothoot</t>
  </si>
  <si>
    <t xml:space="preserve">Mareep</t>
  </si>
  <si>
    <t xml:space="preserve">Mienfoo</t>
  </si>
  <si>
    <t xml:space="preserve">Dragon Ascent</t>
  </si>
  <si>
    <t xml:space="preserve">Fake Tears</t>
  </si>
  <si>
    <t xml:space="preserve">Dragon Claw</t>
  </si>
  <si>
    <t xml:space="preserve">Feather Dance</t>
  </si>
  <si>
    <t xml:space="preserve">Mime Jr.</t>
  </si>
  <si>
    <t xml:space="preserve">Dragon Hammer</t>
  </si>
  <si>
    <t xml:space="preserve">Flash</t>
  </si>
  <si>
    <t xml:space="preserve">Dragon Rush</t>
  </si>
  <si>
    <t xml:space="preserve">Flatter</t>
  </si>
  <si>
    <t xml:space="preserve">Dragon Tail</t>
  </si>
  <si>
    <t xml:space="preserve">Floral Healing</t>
  </si>
  <si>
    <t xml:space="preserve">Munna</t>
  </si>
  <si>
    <t xml:space="preserve">Drain Punch</t>
  </si>
  <si>
    <t xml:space="preserve">Flower Shield</t>
  </si>
  <si>
    <t xml:space="preserve">Drill Peck</t>
  </si>
  <si>
    <t xml:space="preserve">Focus Energy</t>
  </si>
  <si>
    <t xml:space="preserve">Natu</t>
  </si>
  <si>
    <t xml:space="preserve">Drill Run</t>
  </si>
  <si>
    <t xml:space="preserve">Follow Me</t>
  </si>
  <si>
    <t xml:space="preserve">Dual Chop</t>
  </si>
  <si>
    <t xml:space="preserve">Foresight</t>
  </si>
  <si>
    <t xml:space="preserve">Dynamic Punch</t>
  </si>
  <si>
    <t xml:space="preserve">Forest's Curse</t>
  </si>
  <si>
    <t xml:space="preserve">Geodude</t>
  </si>
  <si>
    <t xml:space="preserve">Earthquake</t>
  </si>
  <si>
    <t xml:space="preserve">Gastro Acid</t>
  </si>
  <si>
    <t xml:space="preserve">Geodude-Alola</t>
  </si>
  <si>
    <t xml:space="preserve">Egg Bomb</t>
  </si>
  <si>
    <t xml:space="preserve">Gear Up</t>
  </si>
  <si>
    <t xml:space="preserve">Gible</t>
  </si>
  <si>
    <t xml:space="preserve">Lugia</t>
  </si>
  <si>
    <t xml:space="preserve">Endeavor</t>
  </si>
  <si>
    <t xml:space="preserve">Geomancy</t>
  </si>
  <si>
    <t xml:space="preserve">Explosion</t>
  </si>
  <si>
    <t xml:space="preserve">Glare</t>
  </si>
  <si>
    <t xml:space="preserve">Patrat</t>
  </si>
  <si>
    <t xml:space="preserve">Extreme Speed</t>
  </si>
  <si>
    <t xml:space="preserve">Grass Whistle</t>
  </si>
  <si>
    <t xml:space="preserve">Poochyena</t>
  </si>
  <si>
    <t xml:space="preserve">Facade</t>
  </si>
  <si>
    <t xml:space="preserve">Grassy Terrain</t>
  </si>
  <si>
    <t xml:space="preserve">Skitty</t>
  </si>
  <si>
    <t xml:space="preserve">Fake Out</t>
  </si>
  <si>
    <t xml:space="preserve">Gravity</t>
  </si>
  <si>
    <t xml:space="preserve">False Swipe</t>
  </si>
  <si>
    <t xml:space="preserve">Growl</t>
  </si>
  <si>
    <t xml:space="preserve">Golett</t>
  </si>
  <si>
    <t xml:space="preserve">Smoochum</t>
  </si>
  <si>
    <t xml:space="preserve">Feint</t>
  </si>
  <si>
    <t xml:space="preserve">Growth</t>
  </si>
  <si>
    <t xml:space="preserve">Snubbull</t>
  </si>
  <si>
    <t xml:space="preserve">Rowlet</t>
  </si>
  <si>
    <t xml:space="preserve">Feint Attack</t>
  </si>
  <si>
    <t xml:space="preserve">Grudge</t>
  </si>
  <si>
    <t xml:space="preserve">Graveler</t>
  </si>
  <si>
    <t xml:space="preserve">Spoink</t>
  </si>
  <si>
    <t xml:space="preserve">Fell Stinger</t>
  </si>
  <si>
    <t xml:space="preserve">Guard Split</t>
  </si>
  <si>
    <t xml:space="preserve">Graveler-Alola</t>
  </si>
  <si>
    <t xml:space="preserve">Fire Fang</t>
  </si>
  <si>
    <t xml:space="preserve">Guard Swap</t>
  </si>
  <si>
    <t xml:space="preserve">Grotle</t>
  </si>
  <si>
    <t xml:space="preserve">Swablu</t>
  </si>
  <si>
    <t xml:space="preserve">Fire Lash</t>
  </si>
  <si>
    <t xml:space="preserve">Hail</t>
  </si>
  <si>
    <t xml:space="preserve">Groudon</t>
  </si>
  <si>
    <t xml:space="preserve">Fire Punch</t>
  </si>
  <si>
    <t xml:space="preserve">Happy Hour</t>
  </si>
  <si>
    <t xml:space="preserve">Groudon-Primal</t>
  </si>
  <si>
    <t xml:space="preserve">First Impression</t>
  </si>
  <si>
    <t xml:space="preserve">Harden</t>
  </si>
  <si>
    <t xml:space="preserve">Noibat</t>
  </si>
  <si>
    <t xml:space="preserve">Sentret</t>
  </si>
  <si>
    <t xml:space="preserve">Fissure</t>
  </si>
  <si>
    <t xml:space="preserve">KO</t>
  </si>
  <si>
    <t xml:space="preserve">Haze</t>
  </si>
  <si>
    <t xml:space="preserve">Hippopotas</t>
  </si>
  <si>
    <t xml:space="preserve">Togepi</t>
  </si>
  <si>
    <t xml:space="preserve">Flail</t>
  </si>
  <si>
    <t xml:space="preserve">Nuzleaf</t>
  </si>
  <si>
    <t xml:space="preserve">Flame Charge</t>
  </si>
  <si>
    <t xml:space="preserve">Heal Block</t>
  </si>
  <si>
    <t xml:space="preserve">Flame Wheel</t>
  </si>
  <si>
    <t xml:space="preserve">Heal Order</t>
  </si>
  <si>
    <t xml:space="preserve">Flare Blitz</t>
  </si>
  <si>
    <t xml:space="preserve">Heal Pulse</t>
  </si>
  <si>
    <t xml:space="preserve">Fling</t>
  </si>
  <si>
    <t xml:space="preserve">Healing Wish</t>
  </si>
  <si>
    <t xml:space="preserve">Vulpix-Alola</t>
  </si>
  <si>
    <t xml:space="preserve">Spearow</t>
  </si>
  <si>
    <t xml:space="preserve">Fly</t>
  </si>
  <si>
    <t xml:space="preserve">Heart Swap</t>
  </si>
  <si>
    <t xml:space="preserve">Flying Press</t>
  </si>
  <si>
    <t xml:space="preserve">Helping Hand</t>
  </si>
  <si>
    <t xml:space="preserve">Focus Punch</t>
  </si>
  <si>
    <t xml:space="preserve">Hold Hands</t>
  </si>
  <si>
    <t xml:space="preserve">Force Palm</t>
  </si>
  <si>
    <t xml:space="preserve">Hone Claws</t>
  </si>
  <si>
    <t xml:space="preserve">Krokorok</t>
  </si>
  <si>
    <t xml:space="preserve">Pidgeotto</t>
  </si>
  <si>
    <t xml:space="preserve">Foul Play</t>
  </si>
  <si>
    <t xml:space="preserve">Howl</t>
  </si>
  <si>
    <t xml:space="preserve">Freeze Shock</t>
  </si>
  <si>
    <t xml:space="preserve">Hypnosis</t>
  </si>
  <si>
    <t xml:space="preserve">Lairon</t>
  </si>
  <si>
    <t xml:space="preserve">Pidgey</t>
  </si>
  <si>
    <t xml:space="preserve">Frustration</t>
  </si>
  <si>
    <t xml:space="preserve">Imprison</t>
  </si>
  <si>
    <t xml:space="preserve">Pidove</t>
  </si>
  <si>
    <t xml:space="preserve">Fury Attack</t>
  </si>
  <si>
    <t xml:space="preserve">Ingrain</t>
  </si>
  <si>
    <t xml:space="preserve">Pikipek</t>
  </si>
  <si>
    <t xml:space="preserve">Fury Cutter</t>
  </si>
  <si>
    <t xml:space="preserve">Instruct</t>
  </si>
  <si>
    <t xml:space="preserve">Larvitar</t>
  </si>
  <si>
    <t xml:space="preserve">Fury Swipes</t>
  </si>
  <si>
    <t xml:space="preserve">Ion Deluge</t>
  </si>
  <si>
    <t xml:space="preserve">Lileep</t>
  </si>
  <si>
    <t xml:space="preserve">Torchic</t>
  </si>
  <si>
    <t xml:space="preserve">Fusion Bolt</t>
  </si>
  <si>
    <t xml:space="preserve">Iron Defense</t>
  </si>
  <si>
    <t xml:space="preserve">Rayquaza</t>
  </si>
  <si>
    <t xml:space="preserve">Gear Grind</t>
  </si>
  <si>
    <t xml:space="preserve">Kinesis</t>
  </si>
  <si>
    <t xml:space="preserve">Rayquaza-Mega</t>
  </si>
  <si>
    <t xml:space="preserve">Giga Impact</t>
  </si>
  <si>
    <t xml:space="preserve">King's Shield</t>
  </si>
  <si>
    <t xml:space="preserve">Reshiram</t>
  </si>
  <si>
    <t xml:space="preserve">Guillotine</t>
  </si>
  <si>
    <t xml:space="preserve">Laser Focus</t>
  </si>
  <si>
    <t xml:space="preserve">Gunk Shot</t>
  </si>
  <si>
    <t xml:space="preserve">Leech Seed</t>
  </si>
  <si>
    <t xml:space="preserve">Gyro Ball</t>
  </si>
  <si>
    <t xml:space="preserve">Leer</t>
  </si>
  <si>
    <t xml:space="preserve">Hammer Arm</t>
  </si>
  <si>
    <t xml:space="preserve">Light Screen</t>
  </si>
  <si>
    <t xml:space="preserve">Head Charge</t>
  </si>
  <si>
    <t xml:space="preserve">Lock-On</t>
  </si>
  <si>
    <t xml:space="preserve">Head Smash</t>
  </si>
  <si>
    <t xml:space="preserve">Lovely Kiss</t>
  </si>
  <si>
    <t xml:space="preserve">Marshtomp</t>
  </si>
  <si>
    <t xml:space="preserve">Headbutt</t>
  </si>
  <si>
    <t xml:space="preserve">Lucky Chant</t>
  </si>
  <si>
    <t xml:space="preserve">Heart Stamp</t>
  </si>
  <si>
    <t xml:space="preserve">Lunar Dance</t>
  </si>
  <si>
    <t xml:space="preserve">Heat Crash</t>
  </si>
  <si>
    <t xml:space="preserve">Magic Coat</t>
  </si>
  <si>
    <t xml:space="preserve">Rufflet</t>
  </si>
  <si>
    <t xml:space="preserve">Heavy Slam</t>
  </si>
  <si>
    <t xml:space="preserve">Magic Room</t>
  </si>
  <si>
    <t xml:space="preserve">High Horsepower</t>
  </si>
  <si>
    <t xml:space="preserve">Magnet Rise</t>
  </si>
  <si>
    <t xml:space="preserve">Salamence-Mega</t>
  </si>
  <si>
    <t xml:space="preserve">High Jump Kick</t>
  </si>
  <si>
    <t xml:space="preserve">Magnetic Flux</t>
  </si>
  <si>
    <t xml:space="preserve">Hold Back</t>
  </si>
  <si>
    <t xml:space="preserve">Mat Block</t>
  </si>
  <si>
    <t xml:space="preserve">Horn Attack</t>
  </si>
  <si>
    <t xml:space="preserve">Me First</t>
  </si>
  <si>
    <t xml:space="preserve">Horn Drill</t>
  </si>
  <si>
    <t xml:space="preserve">Mean Look</t>
  </si>
  <si>
    <t xml:space="preserve">Seedot</t>
  </si>
  <si>
    <t xml:space="preserve">Horn Leech</t>
  </si>
  <si>
    <t xml:space="preserve">Meditate</t>
  </si>
  <si>
    <t xml:space="preserve">Hyper Fang</t>
  </si>
  <si>
    <t xml:space="preserve">Memento</t>
  </si>
  <si>
    <t xml:space="preserve">Hyperspace Fury</t>
  </si>
  <si>
    <t xml:space="preserve">Metal Sound</t>
  </si>
  <si>
    <t xml:space="preserve">Ice Ball</t>
  </si>
  <si>
    <t xml:space="preserve">Metronome</t>
  </si>
  <si>
    <t xml:space="preserve">Ice Fang</t>
  </si>
  <si>
    <t xml:space="preserve">Milk Drink</t>
  </si>
  <si>
    <t xml:space="preserve">Ice Hammer</t>
  </si>
  <si>
    <t xml:space="preserve">Mimic</t>
  </si>
  <si>
    <t xml:space="preserve">Ice Punch</t>
  </si>
  <si>
    <t xml:space="preserve">Mind Reader</t>
  </si>
  <si>
    <t xml:space="preserve">Ice Shard</t>
  </si>
  <si>
    <t xml:space="preserve">Minimize</t>
  </si>
  <si>
    <t xml:space="preserve">Icicle Crash</t>
  </si>
  <si>
    <t xml:space="preserve">Miracle Eye</t>
  </si>
  <si>
    <t xml:space="preserve">Nosepass</t>
  </si>
  <si>
    <t xml:space="preserve">Icicle Spear</t>
  </si>
  <si>
    <t xml:space="preserve">Mirror Move</t>
  </si>
  <si>
    <t xml:space="preserve">Numel</t>
  </si>
  <si>
    <t xml:space="preserve">Iron Head</t>
  </si>
  <si>
    <t xml:space="preserve">Mist</t>
  </si>
  <si>
    <t xml:space="preserve">Staravia</t>
  </si>
  <si>
    <t xml:space="preserve">Iron Tail</t>
  </si>
  <si>
    <t xml:space="preserve">Misty Terrain</t>
  </si>
  <si>
    <t xml:space="preserve">Starly</t>
  </si>
  <si>
    <t xml:space="preserve">Jump Kick</t>
  </si>
  <si>
    <t xml:space="preserve">Moonlight</t>
  </si>
  <si>
    <t xml:space="preserve">Onix</t>
  </si>
  <si>
    <t xml:space="preserve">Stunky</t>
  </si>
  <si>
    <t xml:space="preserve">Karate Chop</t>
  </si>
  <si>
    <t xml:space="preserve">Morning Sun</t>
  </si>
  <si>
    <t xml:space="preserve">Knock Off</t>
  </si>
  <si>
    <t xml:space="preserve">Mud Sport</t>
  </si>
  <si>
    <t xml:space="preserve">Palpitoad</t>
  </si>
  <si>
    <t xml:space="preserve">Land's Wrath</t>
  </si>
  <si>
    <t xml:space="preserve">Nasty Plot</t>
  </si>
  <si>
    <t xml:space="preserve">Last Resort</t>
  </si>
  <si>
    <t xml:space="preserve">Nightmare</t>
  </si>
  <si>
    <t xml:space="preserve">Phanpy</t>
  </si>
  <si>
    <t xml:space="preserve">Leaf Blade</t>
  </si>
  <si>
    <t xml:space="preserve">Noble Roar</t>
  </si>
  <si>
    <t xml:space="preserve">Taillow</t>
  </si>
  <si>
    <t xml:space="preserve">Leafage</t>
  </si>
  <si>
    <t xml:space="preserve">Odor Sleuth</t>
  </si>
  <si>
    <t xml:space="preserve">Leech Life</t>
  </si>
  <si>
    <t xml:space="preserve">Pain Split</t>
  </si>
  <si>
    <t xml:space="preserve">Lick</t>
  </si>
  <si>
    <t xml:space="preserve">Parting Shot</t>
  </si>
  <si>
    <t xml:space="preserve">Liquidation</t>
  </si>
  <si>
    <t xml:space="preserve">Perish Song</t>
  </si>
  <si>
    <t xml:space="preserve">Low Kick</t>
  </si>
  <si>
    <t xml:space="preserve">Play Nice</t>
  </si>
  <si>
    <t xml:space="preserve">Low Sweep</t>
  </si>
  <si>
    <t xml:space="preserve">Poison Gas</t>
  </si>
  <si>
    <t xml:space="preserve">Lunge</t>
  </si>
  <si>
    <t xml:space="preserve">Poison Powder</t>
  </si>
  <si>
    <t xml:space="preserve">Pupitar</t>
  </si>
  <si>
    <t xml:space="preserve">Mach Punch</t>
  </si>
  <si>
    <t xml:space="preserve">Powder</t>
  </si>
  <si>
    <t xml:space="preserve">Magnet Bomb</t>
  </si>
  <si>
    <t xml:space="preserve">Power Split</t>
  </si>
  <si>
    <t xml:space="preserve">Magnitude</t>
  </si>
  <si>
    <t xml:space="preserve">Power Swap</t>
  </si>
  <si>
    <t xml:space="preserve">Mega Kick</t>
  </si>
  <si>
    <t xml:space="preserve">Power Trick</t>
  </si>
  <si>
    <t xml:space="preserve">Mega Punch</t>
  </si>
  <si>
    <t xml:space="preserve">Protect</t>
  </si>
  <si>
    <t xml:space="preserve">Tranquill</t>
  </si>
  <si>
    <t xml:space="preserve">Megahorn</t>
  </si>
  <si>
    <t xml:space="preserve">Psych Up</t>
  </si>
  <si>
    <t xml:space="preserve">Rhyhorn</t>
  </si>
  <si>
    <t xml:space="preserve">Metal Burst</t>
  </si>
  <si>
    <t xml:space="preserve">Psychic Terrain</t>
  </si>
  <si>
    <t xml:space="preserve">Trumbeak</t>
  </si>
  <si>
    <t xml:space="preserve">Metal Claw</t>
  </si>
  <si>
    <t xml:space="preserve">Psycho Shift</t>
  </si>
  <si>
    <t xml:space="preserve">Rockruff</t>
  </si>
  <si>
    <t xml:space="preserve">Meteor Mash</t>
  </si>
  <si>
    <t xml:space="preserve">Purify</t>
  </si>
  <si>
    <t xml:space="preserve">Roggenrola</t>
  </si>
  <si>
    <t xml:space="preserve">Natural Gift</t>
  </si>
  <si>
    <t xml:space="preserve">Quash</t>
  </si>
  <si>
    <t xml:space="preserve">Sandile</t>
  </si>
  <si>
    <t xml:space="preserve">Needle Arm</t>
  </si>
  <si>
    <t xml:space="preserve">Quick Guard</t>
  </si>
  <si>
    <t xml:space="preserve">Night Slash</t>
  </si>
  <si>
    <t xml:space="preserve">Quiver Dance</t>
  </si>
  <si>
    <t xml:space="preserve">Nuzzle</t>
  </si>
  <si>
    <t xml:space="preserve">Rage Powder</t>
  </si>
  <si>
    <t xml:space="preserve">Outrage</t>
  </si>
  <si>
    <t xml:space="preserve">Rain Dance</t>
  </si>
  <si>
    <t xml:space="preserve">Pay Day</t>
  </si>
  <si>
    <t xml:space="preserve">Recover</t>
  </si>
  <si>
    <t xml:space="preserve">Payback</t>
  </si>
  <si>
    <t xml:space="preserve">Recycle</t>
  </si>
  <si>
    <t xml:space="preserve">Shieldon</t>
  </si>
  <si>
    <t xml:space="preserve">Peck</t>
  </si>
  <si>
    <t xml:space="preserve">Reflect</t>
  </si>
  <si>
    <t xml:space="preserve">Petal Blizzard</t>
  </si>
  <si>
    <t xml:space="preserve">Reflect Type</t>
  </si>
  <si>
    <t xml:space="preserve">Wingull</t>
  </si>
  <si>
    <t xml:space="preserve">Phantom Force</t>
  </si>
  <si>
    <t xml:space="preserve">Refresh</t>
  </si>
  <si>
    <t xml:space="preserve">Woobat</t>
  </si>
  <si>
    <t xml:space="preserve">Pin Missile</t>
  </si>
  <si>
    <t xml:space="preserve">Rest</t>
  </si>
  <si>
    <t xml:space="preserve">Play Rough</t>
  </si>
  <si>
    <t xml:space="preserve">Roar</t>
  </si>
  <si>
    <t xml:space="preserve">Pluck</t>
  </si>
  <si>
    <t xml:space="preserve">Rock Polish</t>
  </si>
  <si>
    <t xml:space="preserve">Yanma</t>
  </si>
  <si>
    <t xml:space="preserve">Poison Fang</t>
  </si>
  <si>
    <t xml:space="preserve">Role Play</t>
  </si>
  <si>
    <t xml:space="preserve">Yveltal</t>
  </si>
  <si>
    <t xml:space="preserve">Poison Jab</t>
  </si>
  <si>
    <t xml:space="preserve">Roost</t>
  </si>
  <si>
    <t xml:space="preserve">Poison Sting</t>
  </si>
  <si>
    <t xml:space="preserve">Rototiller</t>
  </si>
  <si>
    <t xml:space="preserve">Poison Tail</t>
  </si>
  <si>
    <t xml:space="preserve">Safeguard</t>
  </si>
  <si>
    <t xml:space="preserve">Zekrom</t>
  </si>
  <si>
    <t xml:space="preserve">Pound</t>
  </si>
  <si>
    <t xml:space="preserve">Sand Attack</t>
  </si>
  <si>
    <t xml:space="preserve">Swinub</t>
  </si>
  <si>
    <t xml:space="preserve">Zubat</t>
  </si>
  <si>
    <t xml:space="preserve">Power Trip</t>
  </si>
  <si>
    <t xml:space="preserve">Sandstorm</t>
  </si>
  <si>
    <t xml:space="preserve">Power Whip</t>
  </si>
  <si>
    <t xml:space="preserve">Scary Face</t>
  </si>
  <si>
    <t xml:space="preserve">Tirtouga</t>
  </si>
  <si>
    <t xml:space="preserve">Power-Up Punch</t>
  </si>
  <si>
    <t xml:space="preserve">Screech</t>
  </si>
  <si>
    <t xml:space="preserve">Precipice Blades</t>
  </si>
  <si>
    <t xml:space="preserve">Sharpen</t>
  </si>
  <si>
    <t xml:space="preserve">Present</t>
  </si>
  <si>
    <t xml:space="preserve">Shell Smash</t>
  </si>
  <si>
    <t xml:space="preserve">Turtwig</t>
  </si>
  <si>
    <t xml:space="preserve">Psychic Fangs</t>
  </si>
  <si>
    <t xml:space="preserve">Shift Gear</t>
  </si>
  <si>
    <t xml:space="preserve">Psycho Cut</t>
  </si>
  <si>
    <t xml:space="preserve">Shore Up</t>
  </si>
  <si>
    <t xml:space="preserve">Punishment</t>
  </si>
  <si>
    <t xml:space="preserve">Simple Beam</t>
  </si>
  <si>
    <t xml:space="preserve">Pursuit</t>
  </si>
  <si>
    <t xml:space="preserve">Sing</t>
  </si>
  <si>
    <t xml:space="preserve">Tyrunt</t>
  </si>
  <si>
    <t xml:space="preserve">Quick Attack</t>
  </si>
  <si>
    <t xml:space="preserve">Sketch</t>
  </si>
  <si>
    <t xml:space="preserve">Rage</t>
  </si>
  <si>
    <t xml:space="preserve">Skill Swap</t>
  </si>
  <si>
    <t xml:space="preserve">Slack Off</t>
  </si>
  <si>
    <t xml:space="preserve">Razor Leaf</t>
  </si>
  <si>
    <t xml:space="preserve">Sleep Powder</t>
  </si>
  <si>
    <t xml:space="preserve">Razor Shell</t>
  </si>
  <si>
    <t xml:space="preserve">Sleep Talk</t>
  </si>
  <si>
    <t xml:space="preserve">Retaliate</t>
  </si>
  <si>
    <t xml:space="preserve">Smokescreen</t>
  </si>
  <si>
    <t xml:space="preserve">Return</t>
  </si>
  <si>
    <t xml:space="preserve">Snatch</t>
  </si>
  <si>
    <t xml:space="preserve">Revenge</t>
  </si>
  <si>
    <t xml:space="preserve">Soak</t>
  </si>
  <si>
    <t xml:space="preserve">Reversal</t>
  </si>
  <si>
    <t xml:space="preserve">Soft-Boiled</t>
  </si>
  <si>
    <t xml:space="preserve">Rock Blast</t>
  </si>
  <si>
    <t xml:space="preserve">Speed Swap</t>
  </si>
  <si>
    <t xml:space="preserve">Rock Climb</t>
  </si>
  <si>
    <t xml:space="preserve">Spider Web</t>
  </si>
  <si>
    <t xml:space="preserve">Rock Slide</t>
  </si>
  <si>
    <t xml:space="preserve">Hazards</t>
  </si>
  <si>
    <t xml:space="preserve">Rock Smash</t>
  </si>
  <si>
    <t xml:space="preserve">Spiky Shield</t>
  </si>
  <si>
    <t xml:space="preserve">Rock Throw</t>
  </si>
  <si>
    <t xml:space="preserve">Spite</t>
  </si>
  <si>
    <t xml:space="preserve">Rock Tomb</t>
  </si>
  <si>
    <t xml:space="preserve">Splash</t>
  </si>
  <si>
    <t xml:space="preserve">Rock Wrecker</t>
  </si>
  <si>
    <t xml:space="preserve">Spore</t>
  </si>
  <si>
    <t xml:space="preserve">Rolling Kick</t>
  </si>
  <si>
    <t xml:space="preserve">Spotlight</t>
  </si>
  <si>
    <t xml:space="preserve">Rollout</t>
  </si>
  <si>
    <t xml:space="preserve">Sacred Fire</t>
  </si>
  <si>
    <t xml:space="preserve">Sacred Sword</t>
  </si>
  <si>
    <t xml:space="preserve">Stockpile</t>
  </si>
  <si>
    <t xml:space="preserve">Sand Tomb</t>
  </si>
  <si>
    <t xml:space="preserve">Strength Sap</t>
  </si>
  <si>
    <t xml:space="preserve">Scratch</t>
  </si>
  <si>
    <t xml:space="preserve">String Shot</t>
  </si>
  <si>
    <t xml:space="preserve">Secret Power</t>
  </si>
  <si>
    <t xml:space="preserve">Stun Spore</t>
  </si>
  <si>
    <t xml:space="preserve">Seed Bomb</t>
  </si>
  <si>
    <t xml:space="preserve">Substitute</t>
  </si>
  <si>
    <t xml:space="preserve">Seismic Toss</t>
  </si>
  <si>
    <t xml:space="preserve">50 dmg</t>
  </si>
  <si>
    <t xml:space="preserve">Sunny Day</t>
  </si>
  <si>
    <t xml:space="preserve">Self-Destruct</t>
  </si>
  <si>
    <t xml:space="preserve">Supersonic</t>
  </si>
  <si>
    <t xml:space="preserve">Shadow Bone</t>
  </si>
  <si>
    <t xml:space="preserve">Swagger</t>
  </si>
  <si>
    <t xml:space="preserve">Shadow Claw</t>
  </si>
  <si>
    <t xml:space="preserve">Swallow</t>
  </si>
  <si>
    <t xml:space="preserve">Shadow Force</t>
  </si>
  <si>
    <t xml:space="preserve">Sweet Kiss</t>
  </si>
  <si>
    <t xml:space="preserve">Shadow Punch</t>
  </si>
  <si>
    <t xml:space="preserve">Sweet Scent</t>
  </si>
  <si>
    <t xml:space="preserve">Shadow Sneak</t>
  </si>
  <si>
    <t xml:space="preserve">Switcheroo</t>
  </si>
  <si>
    <t xml:space="preserve">Skull Bash</t>
  </si>
  <si>
    <t xml:space="preserve">Swords Dance</t>
  </si>
  <si>
    <t xml:space="preserve">Sky Attack</t>
  </si>
  <si>
    <t xml:space="preserve">Synthesis</t>
  </si>
  <si>
    <t xml:space="preserve">Sky Drop</t>
  </si>
  <si>
    <t xml:space="preserve">Tail Glow</t>
  </si>
  <si>
    <t xml:space="preserve">Sky Uppercut</t>
  </si>
  <si>
    <t xml:space="preserve">Tail Whip</t>
  </si>
  <si>
    <t xml:space="preserve">Slam</t>
  </si>
  <si>
    <t xml:space="preserve">Tailwind</t>
  </si>
  <si>
    <t xml:space="preserve">Slash</t>
  </si>
  <si>
    <t xml:space="preserve">Taunt</t>
  </si>
  <si>
    <t xml:space="preserve">Smack Down</t>
  </si>
  <si>
    <t xml:space="preserve">Tearful Look</t>
  </si>
  <si>
    <t xml:space="preserve">Smart Strike</t>
  </si>
  <si>
    <t xml:space="preserve">Teeter Dance</t>
  </si>
  <si>
    <t xml:space="preserve">Smelling Salts</t>
  </si>
  <si>
    <t xml:space="preserve">Telekinesis</t>
  </si>
  <si>
    <t xml:space="preserve">Solar Blade</t>
  </si>
  <si>
    <t xml:space="preserve">Teleport</t>
  </si>
  <si>
    <t xml:space="preserve">Spark</t>
  </si>
  <si>
    <t xml:space="preserve">Thunder Wave</t>
  </si>
  <si>
    <t xml:space="preserve">Spectral Thief</t>
  </si>
  <si>
    <t xml:space="preserve">Tickle</t>
  </si>
  <si>
    <t xml:space="preserve">Spike Cannon</t>
  </si>
  <si>
    <t xml:space="preserve">Topsy-Turvy</t>
  </si>
  <si>
    <t xml:space="preserve">Spirit Shackle</t>
  </si>
  <si>
    <t xml:space="preserve">Torment</t>
  </si>
  <si>
    <t xml:space="preserve">Steamroller</t>
  </si>
  <si>
    <t xml:space="preserve">Toxic</t>
  </si>
  <si>
    <t xml:space="preserve">Steel Wing</t>
  </si>
  <si>
    <t xml:space="preserve">Stomp</t>
  </si>
  <si>
    <t xml:space="preserve">Toxic Thread</t>
  </si>
  <si>
    <t xml:space="preserve">Stomping Tantrum</t>
  </si>
  <si>
    <t xml:space="preserve">Transform</t>
  </si>
  <si>
    <t xml:space="preserve">Stone Edge</t>
  </si>
  <si>
    <t xml:space="preserve">Trick</t>
  </si>
  <si>
    <t xml:space="preserve">Storm Throw</t>
  </si>
  <si>
    <t xml:space="preserve">Trick Room</t>
  </si>
  <si>
    <t xml:space="preserve">Strength</t>
  </si>
  <si>
    <t xml:space="preserve">Trick-or-Treat</t>
  </si>
  <si>
    <t xml:space="preserve">Struggle</t>
  </si>
  <si>
    <t xml:space="preserve">Venom Drench</t>
  </si>
  <si>
    <t xml:space="preserve">Submission</t>
  </si>
  <si>
    <t xml:space="preserve">Water Sport</t>
  </si>
  <si>
    <t xml:space="preserve">Sucker Punch</t>
  </si>
  <si>
    <t xml:space="preserve">Whirlwind</t>
  </si>
  <si>
    <t xml:space="preserve">Sunsteel Strike</t>
  </si>
  <si>
    <t xml:space="preserve">Wide Guard</t>
  </si>
  <si>
    <t xml:space="preserve">Super Fang</t>
  </si>
  <si>
    <t xml:space="preserve">1/2 HP</t>
  </si>
  <si>
    <t xml:space="preserve">Will-O-Wisp</t>
  </si>
  <si>
    <t xml:space="preserve">Superpower</t>
  </si>
  <si>
    <t xml:space="preserve">Wish</t>
  </si>
  <si>
    <t xml:space="preserve">Tackle</t>
  </si>
  <si>
    <t xml:space="preserve">Withdraw</t>
  </si>
  <si>
    <t xml:space="preserve">Tail Slap</t>
  </si>
  <si>
    <t xml:space="preserve">Wonder Room</t>
  </si>
  <si>
    <t xml:space="preserve">Take Down</t>
  </si>
  <si>
    <t xml:space="preserve">Work Up</t>
  </si>
  <si>
    <t xml:space="preserve">Thief</t>
  </si>
  <si>
    <t xml:space="preserve">Worry Seed</t>
  </si>
  <si>
    <t xml:space="preserve">Thousand Arrows</t>
  </si>
  <si>
    <t xml:space="preserve">Yawn</t>
  </si>
  <si>
    <t xml:space="preserve">Thousand Waves</t>
  </si>
  <si>
    <t xml:space="preserve">Thrash</t>
  </si>
  <si>
    <t xml:space="preserve">Throat Chop</t>
  </si>
  <si>
    <t xml:space="preserve">Thunder Fang</t>
  </si>
  <si>
    <t xml:space="preserve">Thunder Punch</t>
  </si>
  <si>
    <t xml:space="preserve">Triple Kick</t>
  </si>
  <si>
    <t xml:space="preserve">Trop Kick</t>
  </si>
  <si>
    <t xml:space="preserve">Twineedle</t>
  </si>
  <si>
    <t xml:space="preserve">U-turn</t>
  </si>
  <si>
    <t xml:space="preserve">V-create</t>
  </si>
  <si>
    <t xml:space="preserve">Vice Grip</t>
  </si>
  <si>
    <t xml:space="preserve">Vine Whip</t>
  </si>
  <si>
    <t xml:space="preserve">Vital Throw</t>
  </si>
  <si>
    <t xml:space="preserve">Volt Tackle</t>
  </si>
  <si>
    <t xml:space="preserve">Wake-Up Slap</t>
  </si>
  <si>
    <t xml:space="preserve">Waterfall</t>
  </si>
  <si>
    <t xml:space="preserve">Wild Charge</t>
  </si>
  <si>
    <t xml:space="preserve">Wing Attack</t>
  </si>
  <si>
    <t xml:space="preserve">Wood Hammer</t>
  </si>
  <si>
    <t xml:space="preserve">Wrap</t>
  </si>
  <si>
    <t xml:space="preserve">X-Scissor</t>
  </si>
  <si>
    <t xml:space="preserve">Zen Headbutt</t>
  </si>
  <si>
    <t xml:space="preserve">Zing Zap</t>
  </si>
  <si>
    <t xml:space="preserve">Absorb</t>
  </si>
  <si>
    <t xml:space="preserve">Special</t>
  </si>
  <si>
    <t xml:space="preserve">Acid</t>
  </si>
  <si>
    <t xml:space="preserve">Acid Spray</t>
  </si>
  <si>
    <t xml:space="preserve">Aeroblast</t>
  </si>
  <si>
    <t xml:space="preserve">Air Cutter</t>
  </si>
  <si>
    <t xml:space="preserve">Air Slash</t>
  </si>
  <si>
    <t xml:space="preserve">Ancient Power</t>
  </si>
  <si>
    <t xml:space="preserve">Aura Sphere</t>
  </si>
  <si>
    <t xml:space="preserve">Aurora Beam</t>
  </si>
  <si>
    <t xml:space="preserve">Belch</t>
  </si>
  <si>
    <t xml:space="preserve">Blast Burn</t>
  </si>
  <si>
    <t xml:space="preserve">Blizzard</t>
  </si>
  <si>
    <t xml:space="preserve">Blue Flare</t>
  </si>
  <si>
    <t xml:space="preserve">Boomburst</t>
  </si>
  <si>
    <t xml:space="preserve">Brine</t>
  </si>
  <si>
    <t xml:space="preserve">Bubble</t>
  </si>
  <si>
    <t xml:space="preserve">Bubble Beam</t>
  </si>
  <si>
    <t xml:space="preserve">Bug Buzz</t>
  </si>
  <si>
    <t xml:space="preserve">Burn Up</t>
  </si>
  <si>
    <t xml:space="preserve">Charge Beam</t>
  </si>
  <si>
    <t xml:space="preserve">Chatter</t>
  </si>
  <si>
    <t xml:space="preserve">Clanging Scales</t>
  </si>
  <si>
    <t xml:space="preserve">Clear Smog</t>
  </si>
  <si>
    <t xml:space="preserve">Confusion</t>
  </si>
  <si>
    <t xml:space="preserve">Core Enforcer</t>
  </si>
  <si>
    <t xml:space="preserve">Dark Pulse</t>
  </si>
  <si>
    <t xml:space="preserve">Dazzling Gleam</t>
  </si>
  <si>
    <t xml:space="preserve">Disarming Voice</t>
  </si>
  <si>
    <t xml:space="preserve">Discharge</t>
  </si>
  <si>
    <t xml:space="preserve">Doom Desire</t>
  </si>
  <si>
    <t xml:space="preserve">Draco Meteor</t>
  </si>
  <si>
    <t xml:space="preserve">Dragon Breath</t>
  </si>
  <si>
    <t xml:space="preserve">Dragon Pulse</t>
  </si>
  <si>
    <t xml:space="preserve">Dragon Rage</t>
  </si>
  <si>
    <t xml:space="preserve">40 dmg</t>
  </si>
  <si>
    <t xml:space="preserve">Draining Kiss</t>
  </si>
  <si>
    <t xml:space="preserve">Dream Eater</t>
  </si>
  <si>
    <t xml:space="preserve">Earth Power</t>
  </si>
  <si>
    <t xml:space="preserve">Echoed Voice</t>
  </si>
  <si>
    <t xml:space="preserve">Electro Ball</t>
  </si>
  <si>
    <t xml:space="preserve">Electroweb</t>
  </si>
  <si>
    <t xml:space="preserve">Ember</t>
  </si>
  <si>
    <t xml:space="preserve">Energy Ball</t>
  </si>
  <si>
    <t xml:space="preserve">Eruption</t>
  </si>
  <si>
    <t xml:space="preserve">Extrasensory</t>
  </si>
  <si>
    <t xml:space="preserve">Fairy Wind</t>
  </si>
  <si>
    <t xml:space="preserve">Fiery Dance</t>
  </si>
  <si>
    <t xml:space="preserve">Final Gambit</t>
  </si>
  <si>
    <t xml:space="preserve">Fire Blast</t>
  </si>
  <si>
    <t xml:space="preserve">Fire Pledge</t>
  </si>
  <si>
    <t xml:space="preserve">Fire Spin</t>
  </si>
  <si>
    <t xml:space="preserve">Flame Burst</t>
  </si>
  <si>
    <t xml:space="preserve">Flamethrower</t>
  </si>
  <si>
    <t xml:space="preserve">Flash Cannon</t>
  </si>
  <si>
    <t xml:space="preserve">Fleur Cannon</t>
  </si>
  <si>
    <t xml:space="preserve">Focus Blast</t>
  </si>
  <si>
    <t xml:space="preserve">Freeze-Dry</t>
  </si>
  <si>
    <t xml:space="preserve">Frenzy Plant</t>
  </si>
  <si>
    <t xml:space="preserve">Frost Breath</t>
  </si>
  <si>
    <t xml:space="preserve">Fusion Flare</t>
  </si>
  <si>
    <t xml:space="preserve">Future Sight</t>
  </si>
  <si>
    <t xml:space="preserve">Giga Drain</t>
  </si>
  <si>
    <t xml:space="preserve">Glaciate</t>
  </si>
  <si>
    <t xml:space="preserve">Grass Knot</t>
  </si>
  <si>
    <t xml:space="preserve">Grass Pledge</t>
  </si>
  <si>
    <t xml:space="preserve">Gust</t>
  </si>
  <si>
    <t xml:space="preserve">Heat Wave</t>
  </si>
  <si>
    <t xml:space="preserve">Hex</t>
  </si>
  <si>
    <t xml:space="preserve">Hidden Power</t>
  </si>
  <si>
    <t xml:space="preserve">Hurricane</t>
  </si>
  <si>
    <t xml:space="preserve">Hydro Cannon</t>
  </si>
  <si>
    <t xml:space="preserve">Hydro Pump</t>
  </si>
  <si>
    <t xml:space="preserve">Hyper Beam</t>
  </si>
  <si>
    <t xml:space="preserve">Hyper Voice</t>
  </si>
  <si>
    <t xml:space="preserve">Hyperspace Hole</t>
  </si>
  <si>
    <t xml:space="preserve">Ice Beam</t>
  </si>
  <si>
    <t xml:space="preserve">Ice Burn</t>
  </si>
  <si>
    <t xml:space="preserve">Icy Wind</t>
  </si>
  <si>
    <t xml:space="preserve">Incinerate</t>
  </si>
  <si>
    <t xml:space="preserve">Inferno</t>
  </si>
  <si>
    <t xml:space="preserve">Infestation</t>
  </si>
  <si>
    <t xml:space="preserve">Judgment</t>
  </si>
  <si>
    <t xml:space="preserve">Lava Plume</t>
  </si>
  <si>
    <t xml:space="preserve">Leaf Storm</t>
  </si>
  <si>
    <t xml:space="preserve">Leaf Tornado</t>
  </si>
  <si>
    <t xml:space="preserve">Light of Ruin</t>
  </si>
  <si>
    <t xml:space="preserve">Luster Purge</t>
  </si>
  <si>
    <t xml:space="preserve">Magical Leaf</t>
  </si>
  <si>
    <t xml:space="preserve">Magma Storm</t>
  </si>
  <si>
    <t xml:space="preserve">Mega Drain</t>
  </si>
  <si>
    <t xml:space="preserve">Mirror Coat</t>
  </si>
  <si>
    <t xml:space="preserve">Mirror Shot</t>
  </si>
  <si>
    <t xml:space="preserve">Mist Ball</t>
  </si>
  <si>
    <t xml:space="preserve">Moonblast</t>
  </si>
  <si>
    <t xml:space="preserve">Moongeist Beam</t>
  </si>
  <si>
    <t xml:space="preserve">Mud Bomb</t>
  </si>
  <si>
    <t xml:space="preserve">Mud Shot</t>
  </si>
  <si>
    <t xml:space="preserve">Mud-Slap</t>
  </si>
  <si>
    <t xml:space="preserve">Muddy Water</t>
  </si>
  <si>
    <t xml:space="preserve">Mystical Fire</t>
  </si>
  <si>
    <t xml:space="preserve">Nature Power</t>
  </si>
  <si>
    <t xml:space="preserve">Nature's Madness</t>
  </si>
  <si>
    <t xml:space="preserve">Night Daze</t>
  </si>
  <si>
    <t xml:space="preserve">Night Shade</t>
  </si>
  <si>
    <t xml:space="preserve">Oblivion Wing</t>
  </si>
  <si>
    <t xml:space="preserve">Octazooka</t>
  </si>
  <si>
    <t xml:space="preserve">Ominous Wind</t>
  </si>
  <si>
    <t xml:space="preserve">Origin Pulse</t>
  </si>
  <si>
    <t xml:space="preserve">Overheat</t>
  </si>
  <si>
    <t xml:space="preserve">Parabolic Charge</t>
  </si>
  <si>
    <t xml:space="preserve">Petal Dance</t>
  </si>
  <si>
    <t xml:space="preserve">Pollen Puff</t>
  </si>
  <si>
    <t xml:space="preserve">Powder Snow</t>
  </si>
  <si>
    <t xml:space="preserve">Power Gem</t>
  </si>
  <si>
    <t xml:space="preserve">Prismatic Laser</t>
  </si>
  <si>
    <t xml:space="preserve">Psybeam</t>
  </si>
  <si>
    <t xml:space="preserve">Psycho Boost</t>
  </si>
  <si>
    <t xml:space="preserve">Psyshock</t>
  </si>
  <si>
    <t xml:space="preserve">Psystrike</t>
  </si>
  <si>
    <t xml:space="preserve">Psywave</t>
  </si>
  <si>
    <t xml:space="preserve">Razor Wind</t>
  </si>
  <si>
    <t xml:space="preserve">Relic Song</t>
  </si>
  <si>
    <t xml:space="preserve">Revelation Dancer</t>
  </si>
  <si>
    <t xml:space="preserve">Roar of Time</t>
  </si>
  <si>
    <t xml:space="preserve">Round</t>
  </si>
  <si>
    <t xml:space="preserve">Scald</t>
  </si>
  <si>
    <t xml:space="preserve">Searing Shot</t>
  </si>
  <si>
    <t xml:space="preserve">Secret Sword</t>
  </si>
  <si>
    <t xml:space="preserve">Seed Flare</t>
  </si>
  <si>
    <t xml:space="preserve">Shadow Ball</t>
  </si>
  <si>
    <t xml:space="preserve">Sheer Cold</t>
  </si>
  <si>
    <t xml:space="preserve">Shell Trap</t>
  </si>
  <si>
    <t xml:space="preserve">Shock Wave</t>
  </si>
  <si>
    <t xml:space="preserve">Signal Beam</t>
  </si>
  <si>
    <t xml:space="preserve">Silver Wind</t>
  </si>
  <si>
    <t xml:space="preserve">Sludge</t>
  </si>
  <si>
    <t xml:space="preserve">Sludge Bomb</t>
  </si>
  <si>
    <t xml:space="preserve">Sludge Wave</t>
  </si>
  <si>
    <t xml:space="preserve">Smog</t>
  </si>
  <si>
    <t xml:space="preserve">Snarl</t>
  </si>
  <si>
    <t xml:space="preserve">Snore</t>
  </si>
  <si>
    <t xml:space="preserve">Solar Beam</t>
  </si>
  <si>
    <t xml:space="preserve">Sonic Boom</t>
  </si>
  <si>
    <t xml:space="preserve">20 dmg</t>
  </si>
  <si>
    <t xml:space="preserve">Spacial Rend</t>
  </si>
  <si>
    <t xml:space="preserve">Sparkling Aria</t>
  </si>
  <si>
    <t xml:space="preserve">Spit Up</t>
  </si>
  <si>
    <t xml:space="preserve">Steam Eruption</t>
  </si>
  <si>
    <t xml:space="preserve">Stored Power</t>
  </si>
  <si>
    <t xml:space="preserve">Struggle Bug</t>
  </si>
  <si>
    <t xml:space="preserve">Surf</t>
  </si>
  <si>
    <t xml:space="preserve">Swift</t>
  </si>
  <si>
    <t xml:space="preserve">Synchronoise</t>
  </si>
  <si>
    <t xml:space="preserve">Techno Blast</t>
  </si>
  <si>
    <t xml:space="preserve">Thunder</t>
  </si>
  <si>
    <t xml:space="preserve">Thunder Shock</t>
  </si>
  <si>
    <t xml:space="preserve">Thunderbolt</t>
  </si>
  <si>
    <t xml:space="preserve">Tri Attack</t>
  </si>
  <si>
    <t xml:space="preserve">Trump Card</t>
  </si>
  <si>
    <t xml:space="preserve">Twister</t>
  </si>
  <si>
    <t xml:space="preserve">Uproar</t>
  </si>
  <si>
    <t xml:space="preserve">Vacuum Wave</t>
  </si>
  <si>
    <t xml:space="preserve">Venoshock</t>
  </si>
  <si>
    <t xml:space="preserve">Volt Switch</t>
  </si>
  <si>
    <t xml:space="preserve">Water Gun</t>
  </si>
  <si>
    <t xml:space="preserve">Water Pledge</t>
  </si>
  <si>
    <t xml:space="preserve">Water Pulse</t>
  </si>
  <si>
    <t xml:space="preserve">Water Shuriken</t>
  </si>
  <si>
    <t xml:space="preserve">Water Spout</t>
  </si>
  <si>
    <t xml:space="preserve">Weather Ball</t>
  </si>
  <si>
    <t xml:space="preserve">Whirlpool</t>
  </si>
  <si>
    <t xml:space="preserve">Wring Out</t>
  </si>
  <si>
    <t xml:space="preserve">Zap Cannon</t>
  </si>
  <si>
    <t xml:space="preserve">Acid Downpour</t>
  </si>
  <si>
    <t xml:space="preserve">Z-Move</t>
  </si>
  <si>
    <t xml:space="preserve">All-Out Pummeling</t>
  </si>
  <si>
    <t xml:space="preserve">Black Hole Eclipse</t>
  </si>
  <si>
    <t xml:space="preserve">Bloom Doom</t>
  </si>
  <si>
    <t xml:space="preserve">Breakneck Blitz</t>
  </si>
  <si>
    <t xml:space="preserve">Continental Crush</t>
  </si>
  <si>
    <t xml:space="preserve">Corkscrew Crash</t>
  </si>
  <si>
    <t xml:space="preserve">Devastating Drake</t>
  </si>
  <si>
    <t xml:space="preserve">Gigavolt Havoc</t>
  </si>
  <si>
    <t xml:space="preserve">Guardian of Alola</t>
  </si>
  <si>
    <t xml:space="preserve">3/4 HP</t>
  </si>
  <si>
    <t xml:space="preserve">Hydro Vortex</t>
  </si>
  <si>
    <t xml:space="preserve">Inferno Overdrive</t>
  </si>
  <si>
    <t xml:space="preserve">Never-Ending Nightmare</t>
  </si>
  <si>
    <t xml:space="preserve">Savage Spin-out</t>
  </si>
  <si>
    <t xml:space="preserve">Shattered Psyche</t>
  </si>
  <si>
    <t xml:space="preserve">Subzero Slammer</t>
  </si>
  <si>
    <t xml:space="preserve">Supersonic Skystrike</t>
  </si>
  <si>
    <t xml:space="preserve">Tectonic Rage</t>
  </si>
  <si>
    <t xml:space="preserve">Twinkle Tackle</t>
  </si>
  <si>
    <t xml:space="preserve">Catastropika</t>
  </si>
  <si>
    <t xml:space="preserve">Z-Phys</t>
  </si>
  <si>
    <t xml:space="preserve">Malicious Moonsault</t>
  </si>
  <si>
    <t xml:space="preserve">Pulverizing Pancake</t>
  </si>
  <si>
    <t xml:space="preserve">Sinister Arrow Raid</t>
  </si>
  <si>
    <t xml:space="preserve">Soul-Stealing 7-Star Strike</t>
  </si>
  <si>
    <t xml:space="preserve">10,000,000 Volt Thunderbolt</t>
  </si>
  <si>
    <t xml:space="preserve">Z-Spec</t>
  </si>
  <si>
    <t xml:space="preserve">Genesis Supernova</t>
  </si>
  <si>
    <t xml:space="preserve">Oceanic Operetta</t>
  </si>
  <si>
    <t xml:space="preserve">Stoked Sparksurfer</t>
  </si>
  <si>
    <t xml:space="preserve">Extreme Evoboost</t>
  </si>
  <si>
    <t xml:space="preserve">Z-Stat</t>
  </si>
  <si>
    <t xml:space="preserve">Burn</t>
  </si>
  <si>
    <t xml:space="preserve">Passive</t>
  </si>
  <si>
    <t xml:space="preserve">Poison/Toxic</t>
  </si>
  <si>
    <t xml:space="preserve">Rocky Helmet</t>
  </si>
  <si>
    <t xml:space="preserve">Atk Recoil</t>
  </si>
  <si>
    <t xml:space="preserve">LO Recoil</t>
  </si>
  <si>
    <t xml:space="preserve">Suicide</t>
  </si>
  <si>
    <t xml:space="preserve">LEAGUE LEADERS EXPANDED CHART</t>
  </si>
  <si>
    <t xml:space="preserve">MASTER FREE AGENCY LOG</t>
  </si>
  <si>
    <t xml:space="preserve">FREE AGENCY LOG (HIDDEN REVERSE LOG) - HIDE THIS TABLE</t>
  </si>
  <si>
    <t xml:space="preserve">MASTER TRADING LOG</t>
  </si>
  <si>
    <t xml:space="preserve">MASTER TRADING LOG (REVERSE) - HIDE THIS TABLE</t>
  </si>
  <si>
    <t xml:space="preserve">MASTER TRADING LOG (REVERSE FOR OTHER TEAM) - HIDE THIS TABLE</t>
  </si>
  <si>
    <t xml:space="preserve">#</t>
  </si>
  <si>
    <t xml:space="preserve">Trades for this Pokemon</t>
  </si>
  <si>
    <t xml:space="preserve">Week13</t>
  </si>
  <si>
    <t xml:space="preserve">Two-Trade Deal</t>
  </si>
  <si>
    <t xml:space="preserve">Week11</t>
  </si>
  <si>
    <t xml:space="preserve">Week10</t>
  </si>
  <si>
    <t xml:space="preserve">Week12</t>
  </si>
  <si>
    <t xml:space="preserve">Week14</t>
  </si>
  <si>
    <t xml:space="preserve">Week15</t>
  </si>
  <si>
    <t xml:space="preserve">Week16</t>
  </si>
  <si>
    <t xml:space="preserve">Week17</t>
  </si>
  <si>
    <t xml:space="preserve">Team Name:</t>
  </si>
  <si>
    <t xml:space="preserve">Kingston Kecleons</t>
  </si>
  <si>
    <t xml:space="preserve">Abbr:</t>
  </si>
  <si>
    <t xml:space="preserve">Coach:</t>
  </si>
  <si>
    <t xml:space="preserve">Colin Cain</t>
  </si>
  <si>
    <t xml:space="preserve">Team Mascot:</t>
  </si>
  <si>
    <t xml:space="preserve">Division:</t>
  </si>
  <si>
    <t xml:space="preserve">Sun/Moon Division</t>
  </si>
  <si>
    <t xml:space="preserve">In-Game Name:</t>
  </si>
  <si>
    <t xml:space="preserve">DoctorC3</t>
  </si>
  <si>
    <t xml:space="preserve">Friend Code:</t>
  </si>
  <si>
    <t xml:space="preserve">Not Avaliable Yet</t>
  </si>
  <si>
    <t xml:space="preserve">Showdown:</t>
  </si>
  <si>
    <t xml:space="preserve">WIN:</t>
  </si>
  <si>
    <t xml:space="preserve">LOSS:</t>
  </si>
  <si>
    <t xml:space="preserve">+/-:</t>
  </si>
  <si>
    <t xml:space="preserve">DNP:</t>
  </si>
  <si>
    <t xml:space="preserve">STRK:</t>
  </si>
  <si>
    <t xml:space="preserve">Playoffs:</t>
  </si>
  <si>
    <t xml:space="preserve">Current Roster</t>
  </si>
  <si>
    <t xml:space="preserve">Stats</t>
  </si>
  <si>
    <t xml:space="preserve">Tiers</t>
  </si>
  <si>
    <t xml:space="preserve">Rank</t>
  </si>
  <si>
    <t xml:space="preserve">Z-ASSISTANT CAPTAINS</t>
  </si>
  <si>
    <t xml:space="preserve">Hazard Removal</t>
  </si>
  <si>
    <t xml:space="preserve">Total</t>
  </si>
  <si>
    <t xml:space="preserve"># Free Agency Remaining:</t>
  </si>
  <si>
    <t xml:space="preserve"># Trades Remaining:</t>
  </si>
  <si>
    <t xml:space="preserve">Infinite</t>
  </si>
  <si>
    <t xml:space="preserve"># Z-Captaincy Trades Rem:</t>
  </si>
  <si>
    <t xml:space="preserve">Trading Drops</t>
  </si>
  <si>
    <t xml:space="preserve">Trading Adds</t>
  </si>
  <si>
    <t xml:space="preserve">Trade Partner</t>
  </si>
  <si>
    <t xml:space="preserve">Cleric / Baton Pass</t>
  </si>
  <si>
    <t xml:space="preserve">BASE STATS</t>
  </si>
  <si>
    <t xml:space="preserve">Type 1</t>
  </si>
  <si>
    <t xml:space="preserve">Type 2</t>
  </si>
  <si>
    <t xml:space="preserve">Average</t>
  </si>
  <si>
    <t xml:space="preserve">Potential Abilities</t>
  </si>
  <si>
    <t xml:space="preserve">Hazard Setters</t>
  </si>
  <si>
    <t xml:space="preserve">TYPE MATCHUPS</t>
  </si>
  <si>
    <t xml:space="preserve">Weaknesses</t>
  </si>
  <si>
    <t xml:space="preserve">Resistances</t>
  </si>
  <si>
    <t xml:space="preserve">Hazard Removers</t>
  </si>
  <si>
    <t xml:space="preserve">x4</t>
  </si>
  <si>
    <t xml:space="preserve">x2</t>
  </si>
  <si>
    <t xml:space="preserve">x0 (type)</t>
  </si>
  <si>
    <t xml:space="preserve">x0.5</t>
  </si>
  <si>
    <t xml:space="preserve">x0.25</t>
  </si>
  <si>
    <t xml:space="preserve">Clerics / Baton Passers</t>
  </si>
  <si>
    <t xml:space="preserve">TOTALS</t>
  </si>
  <si>
    <t xml:space="preserve">Seattle Seadras</t>
  </si>
  <si>
    <t xml:space="preserve">Sean Harrison</t>
  </si>
  <si>
    <t xml:space="preserve">Seadra</t>
  </si>
  <si>
    <t xml:space="preserve">Shemp</t>
  </si>
  <si>
    <t xml:space="preserve">0447-9165-9852</t>
  </si>
  <si>
    <t xml:space="preserve">ShempiddyDingDang</t>
  </si>
  <si>
    <t xml:space="preserve">Berlin Bronzong</t>
  </si>
  <si>
    <t xml:space="preserve">Jordan Preston</t>
  </si>
  <si>
    <t xml:space="preserve">Jacksonville Jumpluffs</t>
  </si>
  <si>
    <t xml:space="preserve">Josh Preston</t>
  </si>
  <si>
    <t xml:space="preserve">Josh</t>
  </si>
  <si>
    <t xml:space="preserve">pokemaniac87</t>
  </si>
  <si>
    <t xml:space="preserve">Louisville Crobats</t>
  </si>
  <si>
    <t xml:space="preserve">Chris Preston</t>
  </si>
  <si>
    <t xml:space="preserve">Showdown Division</t>
  </si>
  <si>
    <t xml:space="preserve">akeno</t>
  </si>
  <si>
    <t xml:space="preserve">0404 - 6859 - 4739</t>
  </si>
  <si>
    <t xml:space="preserve">YungBoncePass</t>
  </si>
  <si>
    <t xml:space="preserve">Battlin Brelooms</t>
  </si>
  <si>
    <t xml:space="preserve">Trent Thompson</t>
  </si>
  <si>
    <t xml:space="preserve">Amos</t>
  </si>
  <si>
    <t xml:space="preserve">1822-1836-2226</t>
  </si>
  <si>
    <t xml:space="preserve">VanguardFed</t>
  </si>
  <si>
    <t xml:space="preserve">Slung Patrol</t>
  </si>
  <si>
    <t xml:space="preserve">Ben Vizy</t>
  </si>
  <si>
    <t xml:space="preserve">Young Slung</t>
  </si>
  <si>
    <t xml:space="preserve">2938 - 8131 - 0791</t>
  </si>
  <si>
    <t xml:space="preserve">benvizy</t>
  </si>
  <si>
    <t xml:space="preserve">Fortree Trevenants</t>
  </si>
  <si>
    <t xml:space="preserve">Cody Woldt</t>
  </si>
  <si>
    <t xml:space="preserve">Soul</t>
  </si>
  <si>
    <t xml:space="preserve">Runic_Perplexis</t>
  </si>
  <si>
    <t xml:space="preserve">OUBL SEASON ONE MATCHUP SHEET</t>
  </si>
  <si>
    <t xml:space="preserve">TEAM:</t>
  </si>
  <si>
    <t xml:space="preserve">COACH:</t>
  </si>
  <si>
    <t xml:space="preserve">WEEK:</t>
  </si>
  <si>
    <t xml:space="preserve">TEAM BROUGHT</t>
  </si>
  <si>
    <t xml:space="preserve">TOTALS:</t>
  </si>
  <si>
    <t xml:space="preserve">Pokémon</t>
  </si>
  <si>
    <t xml:space="preserve">Ability</t>
  </si>
  <si>
    <t xml:space="preserve">Nature</t>
  </si>
  <si>
    <t xml:space="preserve">Moves</t>
  </si>
  <si>
    <t xml:space="preserve">IVs</t>
  </si>
  <si>
    <t xml:space="preserve">EVs</t>
  </si>
  <si>
    <t xml:space="preserve">Item</t>
  </si>
  <si>
    <t xml:space="preserve">Level</t>
  </si>
  <si>
    <t xml:space="preserve">SpA</t>
  </si>
  <si>
    <t xml:space="preserve">SpD</t>
  </si>
  <si>
    <t xml:space="preserve">50+</t>
  </si>
</sst>
</file>

<file path=xl/styles.xml><?xml version="1.0" encoding="utf-8"?>
<styleSheet xmlns="http://schemas.openxmlformats.org/spreadsheetml/2006/main">
  <numFmts count="3">
    <numFmt numFmtId="164" formatCode="General"/>
    <numFmt numFmtId="165" formatCode="0%"/>
    <numFmt numFmtId="166" formatCode="#,##0.00"/>
  </numFmts>
  <fonts count="51">
    <font>
      <sz val="10"/>
      <color rgb="FF000000"/>
      <name val="Arial"/>
      <family val="2"/>
      <charset val="1"/>
    </font>
    <font>
      <sz val="10"/>
      <name val="Arial"/>
      <family val="0"/>
    </font>
    <font>
      <sz val="10"/>
      <name val="Arial"/>
      <family val="0"/>
    </font>
    <font>
      <sz val="10"/>
      <name val="Arial"/>
      <family val="0"/>
    </font>
    <font>
      <sz val="11"/>
      <name val="Arial"/>
      <family val="2"/>
      <charset val="1"/>
    </font>
    <font>
      <b val="true"/>
      <sz val="11"/>
      <name val="Arial"/>
      <family val="2"/>
      <charset val="1"/>
    </font>
    <font>
      <b val="true"/>
      <sz val="12"/>
      <name val="Arial"/>
      <family val="2"/>
      <charset val="1"/>
    </font>
    <font>
      <b val="true"/>
      <sz val="11"/>
      <name val="Cambria"/>
      <family val="1"/>
      <charset val="1"/>
    </font>
    <font>
      <b val="true"/>
      <sz val="11"/>
      <color rgb="FF000000"/>
      <name val="Cambria"/>
      <family val="1"/>
      <charset val="1"/>
    </font>
    <font>
      <b val="true"/>
      <sz val="11"/>
      <color rgb="FFFFFFFF"/>
      <name val="Arial"/>
      <family val="2"/>
      <charset val="1"/>
    </font>
    <font>
      <b val="true"/>
      <sz val="9"/>
      <name val="Arial"/>
      <family val="2"/>
      <charset val="1"/>
    </font>
    <font>
      <b val="true"/>
      <sz val="8"/>
      <name val="Arial"/>
      <family val="2"/>
      <charset val="1"/>
    </font>
    <font>
      <sz val="11"/>
      <name val="Cambria"/>
      <family val="1"/>
      <charset val="1"/>
    </font>
    <font>
      <b val="true"/>
      <sz val="11"/>
      <color rgb="FFFFFF00"/>
      <name val="Cambria"/>
      <family val="1"/>
      <charset val="1"/>
    </font>
    <font>
      <b val="true"/>
      <sz val="11"/>
      <color rgb="FFFFFFFF"/>
      <name val="Cambria"/>
      <family val="1"/>
      <charset val="1"/>
    </font>
    <font>
      <b val="true"/>
      <sz val="9"/>
      <name val="Cambria"/>
      <family val="1"/>
      <charset val="1"/>
    </font>
    <font>
      <b val="true"/>
      <sz val="10"/>
      <color rgb="FF000000"/>
      <name val="Cambria"/>
      <family val="1"/>
      <charset val="1"/>
    </font>
    <font>
      <sz val="10"/>
      <color rgb="FFFFFFFF"/>
      <name val="Cambria"/>
      <family val="1"/>
      <charset val="1"/>
    </font>
    <font>
      <b val="true"/>
      <sz val="10"/>
      <name val="Cambria"/>
      <family val="1"/>
      <charset val="1"/>
    </font>
    <font>
      <b val="true"/>
      <sz val="9"/>
      <color rgb="FF000000"/>
      <name val="Cambria"/>
      <family val="1"/>
      <charset val="1"/>
    </font>
    <font>
      <sz val="11"/>
      <color rgb="FFFFFFFF"/>
      <name val="Cambria"/>
      <family val="1"/>
      <charset val="1"/>
    </font>
    <font>
      <b val="true"/>
      <sz val="11"/>
      <color rgb="FF000000"/>
      <name val="Arial"/>
      <family val="2"/>
      <charset val="1"/>
    </font>
    <font>
      <b val="true"/>
      <sz val="17"/>
      <name val="Cambria"/>
      <family val="1"/>
      <charset val="1"/>
    </font>
    <font>
      <sz val="11"/>
      <color rgb="FF000000"/>
      <name val="Cambria"/>
      <family val="1"/>
      <charset val="1"/>
    </font>
    <font>
      <b val="true"/>
      <sz val="9"/>
      <color rgb="FF000000"/>
      <name val="Arial"/>
      <family val="2"/>
      <charset val="1"/>
    </font>
    <font>
      <b val="true"/>
      <sz val="10"/>
      <color rgb="FF000000"/>
      <name val="Arial"/>
      <family val="2"/>
      <charset val="1"/>
    </font>
    <font>
      <sz val="9"/>
      <name val="Arial"/>
      <family val="2"/>
      <charset val="1"/>
    </font>
    <font>
      <b val="true"/>
      <sz val="11"/>
      <color rgb="FFEA9999"/>
      <name val="Arial"/>
      <family val="2"/>
      <charset val="1"/>
    </font>
    <font>
      <b val="true"/>
      <sz val="10"/>
      <name val="Arial"/>
      <family val="2"/>
      <charset val="1"/>
    </font>
    <font>
      <sz val="11"/>
      <color rgb="FF000000"/>
      <name val="Inconsolata"/>
      <family val="0"/>
      <charset val="1"/>
    </font>
    <font>
      <strike val="true"/>
      <sz val="11"/>
      <color rgb="FF000000"/>
      <name val="Arial"/>
      <family val="2"/>
      <charset val="1"/>
    </font>
    <font>
      <sz val="11"/>
      <color rgb="FF000000"/>
      <name val="Arial"/>
      <family val="2"/>
      <charset val="1"/>
    </font>
    <font>
      <b val="true"/>
      <sz val="8"/>
      <name val="Cambria"/>
      <family val="1"/>
      <charset val="1"/>
    </font>
    <font>
      <b val="true"/>
      <sz val="8"/>
      <color rgb="FF000000"/>
      <name val="Arial"/>
      <family val="2"/>
      <charset val="1"/>
    </font>
    <font>
      <sz val="8"/>
      <name val="Cambria"/>
      <family val="1"/>
      <charset val="1"/>
    </font>
    <font>
      <sz val="6"/>
      <name val="Arial"/>
      <family val="2"/>
      <charset val="1"/>
    </font>
    <font>
      <sz val="8"/>
      <name val="Arial"/>
      <family val="2"/>
      <charset val="1"/>
    </font>
    <font>
      <sz val="8"/>
      <color rgb="FF000000"/>
      <name val="Arial"/>
      <family val="2"/>
      <charset val="1"/>
    </font>
    <font>
      <sz val="8"/>
      <color rgb="FF000000"/>
      <name val="Cambria"/>
      <family val="1"/>
      <charset val="1"/>
    </font>
    <font>
      <sz val="11"/>
      <color rgb="FFFFFFFF"/>
      <name val="Arial"/>
      <family val="2"/>
      <charset val="1"/>
    </font>
    <font>
      <sz val="8"/>
      <color rgb="FFFFFFFF"/>
      <name val="Arial"/>
      <family val="2"/>
      <charset val="1"/>
    </font>
    <font>
      <b val="true"/>
      <sz val="8"/>
      <color rgb="FFFFFFFF"/>
      <name val="Cambria"/>
      <family val="1"/>
      <charset val="1"/>
    </font>
    <font>
      <b val="true"/>
      <sz val="8"/>
      <color rgb="FFF67A1A"/>
      <name val="Cambria"/>
      <family val="1"/>
      <charset val="1"/>
    </font>
    <font>
      <b val="true"/>
      <sz val="8"/>
      <color rgb="FFFFFF00"/>
      <name val="Cambria"/>
      <family val="1"/>
      <charset val="1"/>
    </font>
    <font>
      <b val="true"/>
      <sz val="8"/>
      <color rgb="FF000000"/>
      <name val="Cambria"/>
      <family val="1"/>
      <charset val="1"/>
    </font>
    <font>
      <sz val="9"/>
      <color rgb="FFFFFFFF"/>
      <name val="Cambria"/>
      <family val="1"/>
      <charset val="1"/>
    </font>
    <font>
      <b val="true"/>
      <sz val="8"/>
      <color rgb="FFFFFFFF"/>
      <name val="Arial"/>
      <family val="2"/>
      <charset val="1"/>
    </font>
    <font>
      <sz val="9"/>
      <name val="Cambria"/>
      <family val="1"/>
      <charset val="1"/>
    </font>
    <font>
      <sz val="10"/>
      <name val="Cambria"/>
      <family val="1"/>
      <charset val="1"/>
    </font>
    <font>
      <b val="true"/>
      <sz val="12"/>
      <name val="Cambria"/>
      <family val="1"/>
      <charset val="1"/>
    </font>
    <font>
      <i val="true"/>
      <sz val="11"/>
      <name val="Cambria"/>
      <family val="1"/>
      <charset val="1"/>
    </font>
  </fonts>
  <fills count="67">
    <fill>
      <patternFill patternType="none"/>
    </fill>
    <fill>
      <patternFill patternType="gray125"/>
    </fill>
    <fill>
      <patternFill patternType="solid">
        <fgColor rgb="FFFCE5CD"/>
        <bgColor rgb="FFFFF2CC"/>
      </patternFill>
    </fill>
    <fill>
      <patternFill patternType="solid">
        <fgColor rgb="FFFFFFFF"/>
        <bgColor rgb="FFF3F3F3"/>
      </patternFill>
    </fill>
    <fill>
      <patternFill patternType="solid">
        <fgColor rgb="FFFF9900"/>
        <bgColor rgb="FFE69138"/>
      </patternFill>
    </fill>
    <fill>
      <patternFill patternType="solid">
        <fgColor rgb="FFFFF2CC"/>
        <bgColor rgb="FFFCE5CD"/>
      </patternFill>
    </fill>
    <fill>
      <patternFill patternType="solid">
        <fgColor rgb="FFFFFF00"/>
        <bgColor rgb="FFF8D030"/>
      </patternFill>
    </fill>
    <fill>
      <patternFill patternType="solid">
        <fgColor rgb="FF6D9DEC"/>
        <bgColor rgb="FF6FA8DC"/>
      </patternFill>
    </fill>
    <fill>
      <patternFill patternType="solid">
        <fgColor rgb="FFC27BA0"/>
        <bgColor rgb="FFE06664"/>
      </patternFill>
    </fill>
    <fill>
      <patternFill patternType="mediumGray">
        <fgColor rgb="FFAF9EE9"/>
        <bgColor rgb="FFB7B7B9"/>
      </patternFill>
    </fill>
    <fill>
      <patternFill patternType="solid">
        <fgColor rgb="FF00FF00"/>
        <bgColor rgb="FF00FFFF"/>
      </patternFill>
    </fill>
    <fill>
      <patternFill patternType="solid">
        <fgColor rgb="FFFF0000"/>
        <bgColor rgb="FFCC0000"/>
      </patternFill>
    </fill>
    <fill>
      <patternFill patternType="solid">
        <fgColor rgb="FF999999"/>
        <bgColor rgb="FF8C888C"/>
      </patternFill>
    </fill>
    <fill>
      <patternFill patternType="solid">
        <fgColor rgb="FF000000"/>
        <bgColor rgb="FF434343"/>
      </patternFill>
    </fill>
    <fill>
      <patternFill patternType="solid">
        <fgColor rgb="FFD9EAD3"/>
        <bgColor rgb="FFD9D9D9"/>
      </patternFill>
    </fill>
    <fill>
      <patternFill patternType="solid">
        <fgColor rgb="FFB6D7A8"/>
        <bgColor rgb="FFB7E1CD"/>
      </patternFill>
    </fill>
    <fill>
      <patternFill patternType="solid">
        <fgColor rgb="FFEB999B"/>
        <bgColor rgb="FFD5A6BD"/>
      </patternFill>
    </fill>
    <fill>
      <patternFill patternType="solid">
        <fgColor rgb="FFF3F3F3"/>
        <bgColor rgb="FFEFEFEF"/>
      </patternFill>
    </fill>
    <fill>
      <patternFill patternType="solid">
        <fgColor rgb="FFF4CCCB"/>
        <bgColor rgb="FFEAD1DC"/>
      </patternFill>
    </fill>
    <fill>
      <patternFill patternType="solid">
        <fgColor rgb="FF00FFFF"/>
        <bgColor rgb="FF00FF00"/>
      </patternFill>
    </fill>
    <fill>
      <patternFill patternType="solid">
        <fgColor rgb="FFB7B7B9"/>
        <bgColor rgb="FFCCCCCC"/>
      </patternFill>
    </fill>
    <fill>
      <patternFill patternType="solid">
        <fgColor rgb="FFF9CB9C"/>
        <bgColor rgb="FFF4CCCB"/>
      </patternFill>
    </fill>
    <fill>
      <patternFill patternType="solid">
        <fgColor rgb="FF434343"/>
        <bgColor rgb="FF655855"/>
      </patternFill>
    </fill>
    <fill>
      <patternFill patternType="darkGray">
        <fgColor rgb="FFA24493"/>
        <bgColor rgb="FFE06664"/>
      </patternFill>
    </fill>
    <fill>
      <patternFill patternType="solid">
        <fgColor rgb="FFEFEFEF"/>
        <bgColor rgb="FFF3F3F3"/>
      </patternFill>
    </fill>
    <fill>
      <patternFill patternType="solid">
        <fgColor rgb="FF4085DA"/>
        <bgColor rgb="FF3C78D8"/>
      </patternFill>
    </fill>
    <fill>
      <patternFill patternType="solid">
        <fgColor rgb="FF8E7CC3"/>
        <bgColor rgb="FF8C888C"/>
      </patternFill>
    </fill>
    <fill>
      <patternFill patternType="solid">
        <fgColor rgb="FF6FA8DC"/>
        <bgColor rgb="FF6D9DEC"/>
      </patternFill>
    </fill>
    <fill>
      <patternFill patternType="solid">
        <fgColor rgb="FFC9DAF8"/>
        <bgColor rgb="FFDDDDFF"/>
      </patternFill>
    </fill>
    <fill>
      <patternFill patternType="solid">
        <fgColor rgb="FFCCCCCC"/>
        <bgColor rgb="FFD9D9D9"/>
      </patternFill>
    </fill>
    <fill>
      <patternFill patternType="solid">
        <fgColor rgb="FFEAD1DC"/>
        <bgColor rgb="FFF4CCCB"/>
      </patternFill>
    </fill>
    <fill>
      <patternFill patternType="solid">
        <fgColor rgb="FF3C78D8"/>
        <bgColor rgb="FF4085DA"/>
      </patternFill>
    </fill>
    <fill>
      <patternFill patternType="solid">
        <fgColor rgb="FFD5A6BD"/>
        <bgColor rgb="FFEB999B"/>
      </patternFill>
    </fill>
    <fill>
      <patternFill patternType="solid">
        <fgColor rgb="FF92C47B"/>
        <bgColor rgb="FFA8A878"/>
      </patternFill>
    </fill>
    <fill>
      <patternFill patternType="solid">
        <fgColor rgb="FFFFE599"/>
        <bgColor rgb="FFFCE5CD"/>
      </patternFill>
    </fill>
    <fill>
      <patternFill patternType="solid">
        <fgColor rgb="FFF5B66B"/>
        <bgColor rgb="FFF1C232"/>
      </patternFill>
    </fill>
    <fill>
      <patternFill patternType="solid">
        <fgColor rgb="FFD9D9D9"/>
        <bgColor rgb="FFEAD1DC"/>
      </patternFill>
    </fill>
    <fill>
      <patternFill patternType="solid">
        <fgColor rgb="FFE06664"/>
        <bgColor rgb="FFF85888"/>
      </patternFill>
    </fill>
    <fill>
      <patternFill patternType="solid">
        <fgColor rgb="FFFFD966"/>
        <bgColor rgb="FFFFE599"/>
      </patternFill>
    </fill>
    <fill>
      <patternFill patternType="solid">
        <fgColor rgb="FFA4C2F4"/>
        <bgColor rgb="FF9EC9E7"/>
      </patternFill>
    </fill>
    <fill>
      <patternFill patternType="solid">
        <fgColor rgb="FF1155CC"/>
        <bgColor rgb="FF3C78D8"/>
      </patternFill>
    </fill>
    <fill>
      <patternFill patternType="solid">
        <fgColor rgb="FFFF00FF"/>
        <bgColor rgb="FFF85888"/>
      </patternFill>
    </fill>
    <fill>
      <patternFill patternType="darkGray">
        <fgColor rgb="FFB2AA28"/>
        <bgColor rgb="FFA8A878"/>
      </patternFill>
    </fill>
    <fill>
      <patternFill patternType="solid">
        <fgColor rgb="FFC62518"/>
        <bgColor rgb="FFCC0000"/>
      </patternFill>
    </fill>
    <fill>
      <patternFill patternType="solid">
        <fgColor rgb="FFA24493"/>
        <bgColor rgb="FF7046DE"/>
      </patternFill>
    </fill>
    <fill>
      <patternFill patternType="solid">
        <fgColor rgb="FF8C888C"/>
        <bgColor rgb="FF999999"/>
      </patternFill>
    </fill>
    <fill>
      <patternFill patternType="darkGray">
        <fgColor rgb="FFAF9EE9"/>
        <bgColor rgb="FF8E7CC3"/>
      </patternFill>
    </fill>
    <fill>
      <patternFill patternType="solid">
        <fgColor rgb="FFA8A878"/>
        <bgColor rgb="FF999999"/>
      </patternFill>
    </fill>
    <fill>
      <patternFill patternType="darkGray">
        <fgColor rgb="FFB7B7B9"/>
        <bgColor rgb="FFA4C2F4"/>
      </patternFill>
    </fill>
    <fill>
      <patternFill patternType="solid">
        <fgColor rgb="FFF85888"/>
        <bgColor rgb="FFE06664"/>
      </patternFill>
    </fill>
    <fill>
      <patternFill patternType="solid">
        <fgColor rgb="FF6D9DEC"/>
        <bgColor rgb="FF6FA8DC"/>
      </patternFill>
    </fill>
    <fill>
      <patternFill patternType="solid">
        <fgColor rgb="FFC62518"/>
        <bgColor rgb="FFCC0000"/>
      </patternFill>
    </fill>
    <fill>
      <patternFill patternType="solid">
        <fgColor rgb="FF655855"/>
        <bgColor rgb="FF434343"/>
      </patternFill>
    </fill>
    <fill>
      <patternFill patternType="mediumGray">
        <fgColor rgb="FF92C47B"/>
        <bgColor rgb="FF6AA84F"/>
      </patternFill>
    </fill>
    <fill>
      <patternFill patternType="mediumGray">
        <fgColor rgb="FF655855"/>
        <bgColor rgb="FF7046DE"/>
      </patternFill>
    </fill>
    <fill>
      <patternFill patternType="solid">
        <fgColor rgb="FFEB999B"/>
        <bgColor rgb="FFD5A6BD"/>
      </patternFill>
    </fill>
    <fill>
      <patternFill patternType="solid">
        <fgColor rgb="FFB2AA28"/>
        <bgColor rgb="FFA8A878"/>
      </patternFill>
    </fill>
    <fill>
      <patternFill patternType="darkGray">
        <fgColor rgb="FF9EC9E7"/>
        <bgColor rgb="FFB7E1CD"/>
      </patternFill>
    </fill>
    <fill>
      <patternFill patternType="darkGray">
        <fgColor rgb="FFF37F27"/>
        <bgColor rgb="FFE69138"/>
      </patternFill>
    </fill>
    <fill>
      <patternFill patternType="solid">
        <fgColor rgb="FFF8D030"/>
        <bgColor rgb="FFF1C232"/>
      </patternFill>
    </fill>
    <fill>
      <patternFill patternType="darkGray">
        <fgColor rgb="FFF5B66B"/>
        <bgColor rgb="FFF1C232"/>
      </patternFill>
    </fill>
    <fill>
      <patternFill patternType="solid">
        <fgColor rgb="FF7046DE"/>
        <bgColor rgb="FFA24493"/>
      </patternFill>
    </fill>
    <fill>
      <patternFill patternType="darkGray">
        <fgColor rgb="FF655855"/>
        <bgColor rgb="FF434343"/>
      </patternFill>
    </fill>
    <fill>
      <patternFill patternType="solid">
        <fgColor rgb="FF6AA84F"/>
        <bgColor rgb="FF92C47B"/>
      </patternFill>
    </fill>
    <fill>
      <patternFill patternType="darkGray">
        <fgColor rgb="FF9EC9E7"/>
        <bgColor rgb="FFA4C2F4"/>
      </patternFill>
    </fill>
    <fill>
      <patternFill patternType="solid">
        <fgColor rgb="FF4085DA"/>
        <bgColor rgb="FF3C78D8"/>
      </patternFill>
    </fill>
    <fill>
      <patternFill patternType="solid">
        <fgColor rgb="FFF1C232"/>
        <bgColor rgb="FFF8D030"/>
      </patternFill>
    </fill>
  </fills>
  <borders count="81">
    <border diagonalUp="false" diagonalDown="false">
      <left/>
      <right/>
      <top/>
      <bottom/>
      <diagonal/>
    </border>
    <border diagonalUp="false" diagonalDown="false">
      <left style="thin"/>
      <right style="thin"/>
      <top style="thin"/>
      <bottom style="thin"/>
      <diagonal/>
    </border>
    <border diagonalUp="false" diagonalDown="false">
      <left/>
      <right/>
      <top/>
      <bottom style="thin"/>
      <diagonal/>
    </border>
    <border diagonalUp="false" diagonalDown="false">
      <left style="thin"/>
      <right style="thin"/>
      <top style="thin"/>
      <bottom/>
      <diagonal/>
    </border>
    <border diagonalUp="false" diagonalDown="false">
      <left/>
      <right style="thin"/>
      <top style="thin"/>
      <bottom style="thin"/>
      <diagonal/>
    </border>
    <border diagonalUp="false" diagonalDown="false">
      <left style="thin"/>
      <right/>
      <top/>
      <bottom/>
      <diagonal/>
    </border>
    <border diagonalUp="false" diagonalDown="false">
      <left style="thin"/>
      <right style="thin"/>
      <top/>
      <bottom style="thin"/>
      <diagonal/>
    </border>
    <border diagonalUp="false" diagonalDown="false">
      <left style="thin"/>
      <right/>
      <top style="thin"/>
      <bottom style="thin"/>
      <diagonal/>
    </border>
    <border diagonalUp="false" diagonalDown="false">
      <left style="thin"/>
      <right style="thin"/>
      <top/>
      <bottom/>
      <diagonal/>
    </border>
    <border diagonalUp="false" diagonalDown="false">
      <left/>
      <right style="thin"/>
      <top/>
      <bottom style="thin"/>
      <diagonal/>
    </border>
    <border diagonalUp="false" diagonalDown="false">
      <left/>
      <right/>
      <top style="thin"/>
      <bottom style="thin"/>
      <diagonal/>
    </border>
    <border diagonalUp="false" diagonalDown="false">
      <left/>
      <right/>
      <top style="thin"/>
      <bottom/>
      <diagonal/>
    </border>
    <border diagonalUp="false" diagonalDown="false">
      <left style="thin"/>
      <right/>
      <top/>
      <bottom style="thin"/>
      <diagonal/>
    </border>
    <border diagonalUp="false" diagonalDown="false">
      <left/>
      <right style="thin"/>
      <top/>
      <bottom/>
      <diagonal/>
    </border>
    <border diagonalUp="false" diagonalDown="false">
      <left style="thin"/>
      <right/>
      <top style="thin"/>
      <bottom/>
      <diagonal/>
    </border>
    <border diagonalUp="false" diagonalDown="false">
      <left/>
      <right style="thin">
        <color rgb="FFFFFFFF"/>
      </right>
      <top style="thin"/>
      <bottom/>
      <diagonal/>
    </border>
    <border diagonalUp="false" diagonalDown="false">
      <left style="thick">
        <color rgb="FFCC0000"/>
      </left>
      <right/>
      <top style="thin"/>
      <bottom/>
      <diagonal/>
    </border>
    <border diagonalUp="false" diagonalDown="false">
      <left/>
      <right style="thin"/>
      <top style="thin"/>
      <bottom/>
      <diagonal/>
    </border>
    <border diagonalUp="false" diagonalDown="false">
      <left style="thick">
        <color rgb="FFCC0000"/>
      </left>
      <right/>
      <top/>
      <bottom/>
      <diagonal/>
    </border>
    <border diagonalUp="false" diagonalDown="false">
      <left style="thick">
        <color rgb="FFCC0000"/>
      </left>
      <right/>
      <top/>
      <bottom style="thin"/>
      <diagonal/>
    </border>
    <border diagonalUp="false" diagonalDown="false">
      <left style="thin"/>
      <right style="thin"/>
      <top style="thin"/>
      <bottom style="medium">
        <color rgb="FFFFD966"/>
      </bottom>
      <diagonal/>
    </border>
    <border diagonalUp="false" diagonalDown="false">
      <left/>
      <right style="thin"/>
      <top/>
      <bottom style="medium">
        <color rgb="FFFFD966"/>
      </bottom>
      <diagonal/>
    </border>
    <border diagonalUp="false" diagonalDown="false">
      <left/>
      <right style="thin"/>
      <top style="thin"/>
      <bottom style="medium">
        <color rgb="FFFFD966"/>
      </bottom>
      <diagonal/>
    </border>
    <border diagonalUp="false" diagonalDown="false">
      <left style="thin"/>
      <right/>
      <top style="thin"/>
      <bottom style="medium">
        <color rgb="FFFFD966"/>
      </bottom>
      <diagonal/>
    </border>
    <border diagonalUp="false" diagonalDown="false">
      <left style="thin"/>
      <right style="thin"/>
      <top/>
      <bottom style="medium">
        <color rgb="FFCCCCCC"/>
      </bottom>
      <diagonal/>
    </border>
    <border diagonalUp="false" diagonalDown="false">
      <left/>
      <right style="thin"/>
      <top/>
      <bottom style="medium">
        <color rgb="FFCCCCCC"/>
      </bottom>
      <diagonal/>
    </border>
    <border diagonalUp="false" diagonalDown="false">
      <left style="thin"/>
      <right/>
      <top/>
      <bottom style="medium">
        <color rgb="FFCCCCCC"/>
      </bottom>
      <diagonal/>
    </border>
    <border diagonalUp="false" diagonalDown="false">
      <left style="thin"/>
      <right style="thin"/>
      <top/>
      <bottom style="medium">
        <color rgb="FFE06664"/>
      </bottom>
      <diagonal/>
    </border>
    <border diagonalUp="false" diagonalDown="false">
      <left/>
      <right style="thin"/>
      <top/>
      <bottom style="medium">
        <color rgb="FFE06664"/>
      </bottom>
      <diagonal/>
    </border>
    <border diagonalUp="false" diagonalDown="false">
      <left style="thin"/>
      <right/>
      <top/>
      <bottom style="medium">
        <color rgb="FFE06664"/>
      </bottom>
      <diagonal/>
    </border>
    <border diagonalUp="false" diagonalDown="false">
      <left style="thin"/>
      <right style="thin"/>
      <top/>
      <bottom style="thin">
        <color rgb="FFDDDDFF"/>
      </bottom>
      <diagonal/>
    </border>
    <border diagonalUp="false" diagonalDown="false">
      <left/>
      <right style="thin">
        <color rgb="FFDDDDFF"/>
      </right>
      <top style="thin"/>
      <bottom style="thin">
        <color rgb="FFDDDDFF"/>
      </bottom>
      <diagonal/>
    </border>
    <border diagonalUp="false" diagonalDown="false">
      <left style="thin">
        <color rgb="FFDDDDFF"/>
      </left>
      <right style="thin">
        <color rgb="FFDDDDFF"/>
      </right>
      <top style="thin"/>
      <bottom style="thin">
        <color rgb="FFDDDDFF"/>
      </bottom>
      <diagonal/>
    </border>
    <border diagonalUp="false" diagonalDown="false">
      <left style="thin">
        <color rgb="FFDDDDFF"/>
      </left>
      <right style="thin"/>
      <top style="thin"/>
      <bottom style="thin">
        <color rgb="FFDDDDFF"/>
      </bottom>
      <diagonal/>
    </border>
    <border diagonalUp="false" diagonalDown="false">
      <left style="thin">
        <color rgb="FFDDDDFF"/>
      </left>
      <right/>
      <top/>
      <bottom style="thin">
        <color rgb="FFDDDDFF"/>
      </bottom>
      <diagonal/>
    </border>
    <border diagonalUp="false" diagonalDown="false">
      <left style="thin"/>
      <right style="thin"/>
      <top style="thin"/>
      <bottom style="thin">
        <color rgb="FFDDDDFF"/>
      </bottom>
      <diagonal/>
    </border>
    <border diagonalUp="false" diagonalDown="false">
      <left/>
      <right style="thin">
        <color rgb="FFDDDDFF"/>
      </right>
      <top style="thin">
        <color rgb="FFDDDDFF"/>
      </top>
      <bottom style="thin">
        <color rgb="FFDDDDFF"/>
      </bottom>
      <diagonal/>
    </border>
    <border diagonalUp="false" diagonalDown="false">
      <left style="thin">
        <color rgb="FFDDDDFF"/>
      </left>
      <right style="thin">
        <color rgb="FFDDDDFF"/>
      </right>
      <top style="thin">
        <color rgb="FFDDDDFF"/>
      </top>
      <bottom style="thin">
        <color rgb="FFDDDDFF"/>
      </bottom>
      <diagonal/>
    </border>
    <border diagonalUp="false" diagonalDown="false">
      <left style="thin">
        <color rgb="FFDDDDFF"/>
      </left>
      <right style="thin"/>
      <top style="thin">
        <color rgb="FFDDDDFF"/>
      </top>
      <bottom style="thin">
        <color rgb="FFDDDDFF"/>
      </bottom>
      <diagonal/>
    </border>
    <border diagonalUp="false" diagonalDown="false">
      <left style="thin">
        <color rgb="FFDDDDFF"/>
      </left>
      <right style="thin">
        <color rgb="FFDDDDFF"/>
      </right>
      <top/>
      <bottom style="thin">
        <color rgb="FFDDDDFF"/>
      </bottom>
      <diagonal/>
    </border>
    <border diagonalUp="false" diagonalDown="false">
      <left style="thin"/>
      <right style="thin"/>
      <top style="thin">
        <color rgb="FFDDDDFF"/>
      </top>
      <bottom style="thin">
        <color rgb="FFDDDDFF"/>
      </bottom>
      <diagonal/>
    </border>
    <border diagonalUp="false" diagonalDown="false">
      <left style="thin">
        <color rgb="FFDDDDFF"/>
      </left>
      <right/>
      <top style="thin">
        <color rgb="FFDDDDFF"/>
      </top>
      <bottom style="thin">
        <color rgb="FFDDDDFF"/>
      </bottom>
      <diagonal/>
    </border>
    <border diagonalUp="false" diagonalDown="false">
      <left style="thin"/>
      <right style="thin"/>
      <top style="thin">
        <color rgb="FFDDDDFF"/>
      </top>
      <bottom/>
      <diagonal/>
    </border>
    <border diagonalUp="false" diagonalDown="false">
      <left/>
      <right style="thin">
        <color rgb="FFDDDDFF"/>
      </right>
      <top style="thin">
        <color rgb="FFDDDDFF"/>
      </top>
      <bottom/>
      <diagonal/>
    </border>
    <border diagonalUp="false" diagonalDown="false">
      <left style="thin">
        <color rgb="FFDDDDFF"/>
      </left>
      <right style="thin">
        <color rgb="FFDDDDFF"/>
      </right>
      <top style="thin">
        <color rgb="FFDDDDFF"/>
      </top>
      <bottom/>
      <diagonal/>
    </border>
    <border diagonalUp="false" diagonalDown="false">
      <left style="thin">
        <color rgb="FFDDDDFF"/>
      </left>
      <right style="thin"/>
      <top style="thin">
        <color rgb="FFDDDDFF"/>
      </top>
      <bottom/>
      <diagonal/>
    </border>
    <border diagonalUp="false" diagonalDown="false">
      <left/>
      <right style="thin">
        <color rgb="FFDDDDFF"/>
      </right>
      <top/>
      <bottom style="thin">
        <color rgb="FFDDDDFF"/>
      </bottom>
      <diagonal/>
    </border>
    <border diagonalUp="false" diagonalDown="false">
      <left style="thin">
        <color rgb="FFDDDDFF"/>
      </left>
      <right style="thin"/>
      <top/>
      <bottom style="thin">
        <color rgb="FFDDDDFF"/>
      </bottom>
      <diagonal/>
    </border>
    <border diagonalUp="false" diagonalDown="false">
      <left style="thin"/>
      <right style="thin"/>
      <top style="thin">
        <color rgb="FFDDDDFF"/>
      </top>
      <bottom style="thin"/>
      <diagonal/>
    </border>
    <border diagonalUp="false" diagonalDown="false">
      <left/>
      <right style="thin">
        <color rgb="FFDDDDFF"/>
      </right>
      <top style="thin">
        <color rgb="FFDDDDFF"/>
      </top>
      <bottom style="thin"/>
      <diagonal/>
    </border>
    <border diagonalUp="false" diagonalDown="false">
      <left style="thin">
        <color rgb="FFDDDDFF"/>
      </left>
      <right style="thin">
        <color rgb="FFDDDDFF"/>
      </right>
      <top style="thin">
        <color rgb="FFDDDDFF"/>
      </top>
      <bottom style="thin"/>
      <diagonal/>
    </border>
    <border diagonalUp="false" diagonalDown="false">
      <left style="thin">
        <color rgb="FFDDDDFF"/>
      </left>
      <right style="thin"/>
      <top style="thin">
        <color rgb="FFDDDDFF"/>
      </top>
      <bottom style="thin"/>
      <diagonal/>
    </border>
    <border diagonalUp="false" diagonalDown="false">
      <left style="thin"/>
      <right/>
      <top style="thin">
        <color rgb="FFDDDDFF"/>
      </top>
      <bottom style="thin">
        <color rgb="FFDDDDFF"/>
      </bottom>
      <diagonal/>
    </border>
    <border diagonalUp="false" diagonalDown="false">
      <left style="thin"/>
      <right/>
      <top style="thin">
        <color rgb="FFDDDDFF"/>
      </top>
      <bottom style="thin"/>
      <diagonal/>
    </border>
    <border diagonalUp="false" diagonalDown="false">
      <left style="thin"/>
      <right/>
      <top style="thin"/>
      <bottom style="thin">
        <color rgb="FFDDDDFF"/>
      </bottom>
      <diagonal/>
    </border>
    <border diagonalUp="false" diagonalDown="false">
      <left style="thin"/>
      <right style="thin"/>
      <top style="thin"/>
      <bottom style="medium">
        <color rgb="FFFFFF00"/>
      </bottom>
      <diagonal/>
    </border>
    <border diagonalUp="false" diagonalDown="false">
      <left/>
      <right style="thin"/>
      <top style="thin"/>
      <bottom style="medium">
        <color rgb="FFFFFF00"/>
      </bottom>
      <diagonal/>
    </border>
    <border diagonalUp="false" diagonalDown="false">
      <left/>
      <right/>
      <top style="thin"/>
      <bottom style="medium">
        <color rgb="FFFFFF00"/>
      </bottom>
      <diagonal/>
    </border>
    <border diagonalUp="false" diagonalDown="false">
      <left style="thin"/>
      <right/>
      <top/>
      <bottom style="medium">
        <color rgb="FFFFFF00"/>
      </bottom>
      <diagonal/>
    </border>
    <border diagonalUp="false" diagonalDown="false">
      <left style="thin"/>
      <right style="thin"/>
      <top/>
      <bottom style="medium">
        <color rgb="FFD9D9D9"/>
      </bottom>
      <diagonal/>
    </border>
    <border diagonalUp="false" diagonalDown="false">
      <left/>
      <right style="thin"/>
      <top/>
      <bottom style="medium">
        <color rgb="FFD9D9D9"/>
      </bottom>
      <diagonal/>
    </border>
    <border diagonalUp="false" diagonalDown="false">
      <left/>
      <right/>
      <top/>
      <bottom style="medium">
        <color rgb="FFD9D9D9"/>
      </bottom>
      <diagonal/>
    </border>
    <border diagonalUp="false" diagonalDown="false">
      <left style="thin"/>
      <right/>
      <top/>
      <bottom style="medium">
        <color rgb="FFD9D9D9"/>
      </bottom>
      <diagonal/>
    </border>
    <border diagonalUp="false" diagonalDown="false">
      <left style="thin"/>
      <right style="thin"/>
      <top/>
      <bottom style="medium">
        <color rgb="FFE69138"/>
      </bottom>
      <diagonal/>
    </border>
    <border diagonalUp="false" diagonalDown="false">
      <left/>
      <right style="thin"/>
      <top/>
      <bottom style="medium">
        <color rgb="FFE69138"/>
      </bottom>
      <diagonal/>
    </border>
    <border diagonalUp="false" diagonalDown="false">
      <left/>
      <right/>
      <top/>
      <bottom style="medium">
        <color rgb="FFE69138"/>
      </bottom>
      <diagonal/>
    </border>
    <border diagonalUp="false" diagonalDown="false">
      <left style="thin"/>
      <right/>
      <top/>
      <bottom style="medium">
        <color rgb="FFE69138"/>
      </bottom>
      <diagonal/>
    </border>
    <border diagonalUp="false" diagonalDown="false">
      <left style="thin"/>
      <right style="thin"/>
      <top/>
      <bottom style="thick"/>
      <diagonal/>
    </border>
    <border diagonalUp="false" diagonalDown="false">
      <left/>
      <right style="thin"/>
      <top/>
      <bottom style="thick"/>
      <diagonal/>
    </border>
    <border diagonalUp="false" diagonalDown="false">
      <left/>
      <right/>
      <top/>
      <bottom style="thick"/>
      <diagonal/>
    </border>
    <border diagonalUp="false" diagonalDown="false">
      <left style="thin"/>
      <right/>
      <top/>
      <bottom style="thick"/>
      <diagonal/>
    </border>
    <border diagonalUp="false" diagonalDown="false">
      <left style="medium"/>
      <right style="medium"/>
      <top style="medium"/>
      <bottom style="medium"/>
      <diagonal/>
    </border>
    <border diagonalUp="false" diagonalDown="false">
      <left style="thin"/>
      <right style="hair"/>
      <top style="thin"/>
      <bottom style="hair"/>
      <diagonal/>
    </border>
    <border diagonalUp="false" diagonalDown="false">
      <left style="hair"/>
      <right style="hair"/>
      <top style="thin"/>
      <bottom style="hair"/>
      <diagonal/>
    </border>
    <border diagonalUp="false" diagonalDown="false">
      <left style="hair"/>
      <right style="thin"/>
      <top style="thin"/>
      <bottom style="hair"/>
      <diagonal/>
    </border>
    <border diagonalUp="false" diagonalDown="false">
      <left style="thin"/>
      <right style="hair"/>
      <top style="hair"/>
      <bottom style="hair"/>
      <diagonal/>
    </border>
    <border diagonalUp="false" diagonalDown="false">
      <left style="hair"/>
      <right style="hair"/>
      <top style="hair"/>
      <bottom style="hair"/>
      <diagonal/>
    </border>
    <border diagonalUp="false" diagonalDown="false">
      <left style="hair"/>
      <right style="thin"/>
      <top style="hair"/>
      <bottom style="hair"/>
      <diagonal/>
    </border>
    <border diagonalUp="false" diagonalDown="false">
      <left style="thin"/>
      <right style="hair"/>
      <top style="hair"/>
      <bottom style="thin"/>
      <diagonal/>
    </border>
    <border diagonalUp="false" diagonalDown="false">
      <left style="hair"/>
      <right style="hair"/>
      <top style="hair"/>
      <bottom style="thin"/>
      <diagonal/>
    </border>
    <border diagonalUp="false" diagonalDown="false">
      <left style="hair"/>
      <right style="thin"/>
      <top style="hair"/>
      <bottom style="thin"/>
      <diagonal/>
    </border>
  </borders>
  <cellStyleXfs count="20">
    <xf numFmtId="164" fontId="0" fillId="0" borderId="0" applyFont="true" applyBorder="true" applyAlignment="true" applyProtection="true">
      <alignment horizontal="general" vertical="bottom" textRotation="0" wrapText="false" indent="0" shrinkToFit="false"/>
      <protection locked="true" hidden="false"/>
    </xf>
    <xf numFmtId="0" fontId="1" fillId="0" borderId="0" applyFont="true" applyBorder="false" applyAlignment="false" applyProtection="false"/>
    <xf numFmtId="0" fontId="1" fillId="0" borderId="0" applyFont="true" applyBorder="false" applyAlignment="false" applyProtection="false"/>
    <xf numFmtId="0" fontId="2" fillId="0" borderId="0" applyFont="true" applyBorder="false" applyAlignment="false" applyProtection="false"/>
    <xf numFmtId="0" fontId="2"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43" fontId="1" fillId="0" borderId="0" applyFont="true" applyBorder="false" applyAlignment="false" applyProtection="false"/>
    <xf numFmtId="41" fontId="1" fillId="0" borderId="0" applyFont="true" applyBorder="false" applyAlignment="false" applyProtection="false"/>
    <xf numFmtId="44" fontId="1" fillId="0" borderId="0" applyFont="true" applyBorder="false" applyAlignment="false" applyProtection="false"/>
    <xf numFmtId="42" fontId="1" fillId="0" borderId="0" applyFont="true" applyBorder="false" applyAlignment="false" applyProtection="false"/>
    <xf numFmtId="9" fontId="1" fillId="0" borderId="0" applyFont="true" applyBorder="false" applyAlignment="false" applyProtection="false"/>
  </cellStyleXfs>
  <cellXfs count="986">
    <xf numFmtId="164" fontId="0" fillId="0" borderId="0" xfId="0" applyFont="false" applyBorder="false" applyAlignment="false" applyProtection="false">
      <alignment horizontal="general" vertical="bottom" textRotation="0" wrapText="false" indent="0" shrinkToFit="false"/>
      <protection locked="true" hidden="false"/>
    </xf>
    <xf numFmtId="164" fontId="4" fillId="2" borderId="0" xfId="0" applyFont="true" applyBorder="true" applyAlignment="true" applyProtection="false">
      <alignment horizontal="general" vertical="center" textRotation="0" wrapText="true" indent="0" shrinkToFit="false"/>
      <protection locked="true" hidden="false"/>
    </xf>
    <xf numFmtId="164" fontId="4" fillId="3" borderId="0" xfId="0" applyFont="true" applyBorder="false" applyAlignment="true" applyProtection="false">
      <alignment horizontal="general" vertical="center" textRotation="0" wrapText="false" indent="0" shrinkToFit="false"/>
      <protection locked="true" hidden="false"/>
    </xf>
    <xf numFmtId="164" fontId="5" fillId="4" borderId="0" xfId="0" applyFont="true" applyBorder="true" applyAlignment="true" applyProtection="false">
      <alignment horizontal="general" vertical="center" textRotation="0" wrapText="true" indent="0" shrinkToFit="false"/>
      <protection locked="true" hidden="false"/>
    </xf>
    <xf numFmtId="164" fontId="5" fillId="0" borderId="0" xfId="0" applyFont="true" applyBorder="true" applyAlignment="true" applyProtection="false">
      <alignment horizontal="general" vertical="center" textRotation="0" wrapText="true" indent="0" shrinkToFit="false"/>
      <protection locked="true" hidden="false"/>
    </xf>
    <xf numFmtId="164" fontId="5" fillId="5" borderId="0" xfId="0" applyFont="true" applyBorder="true" applyAlignment="true" applyProtection="false">
      <alignment horizontal="general" vertical="center" textRotation="0" wrapText="true" indent="0" shrinkToFit="false"/>
      <protection locked="true" hidden="false"/>
    </xf>
    <xf numFmtId="164" fontId="6" fillId="6" borderId="1" xfId="0" applyFont="true" applyBorder="true" applyAlignment="true" applyProtection="false">
      <alignment horizontal="center" vertical="center" textRotation="0" wrapText="false" indent="0" shrinkToFit="false"/>
      <protection locked="true" hidden="false"/>
    </xf>
    <xf numFmtId="164" fontId="4" fillId="0" borderId="2" xfId="0" applyFont="true" applyBorder="true" applyAlignment="true" applyProtection="false">
      <alignment horizontal="general" vertical="center" textRotation="0" wrapText="false" indent="0" shrinkToFit="false"/>
      <protection locked="true" hidden="false"/>
    </xf>
    <xf numFmtId="164" fontId="7" fillId="7" borderId="3" xfId="0" applyFont="true" applyBorder="true" applyAlignment="true" applyProtection="false">
      <alignment horizontal="center" vertical="center" textRotation="0" wrapText="false" indent="0" shrinkToFit="false"/>
      <protection locked="true" hidden="false"/>
    </xf>
    <xf numFmtId="164" fontId="8" fillId="8" borderId="3" xfId="0" applyFont="true" applyBorder="true" applyAlignment="true" applyProtection="false">
      <alignment horizontal="center" vertical="center" textRotation="0" wrapText="false" indent="0" shrinkToFit="false"/>
      <protection locked="true" hidden="false"/>
    </xf>
    <xf numFmtId="164" fontId="5" fillId="9" borderId="1" xfId="0" applyFont="true" applyBorder="true" applyAlignment="true" applyProtection="false">
      <alignment horizontal="center" vertical="center" textRotation="0" wrapText="false" indent="0" shrinkToFit="false"/>
      <protection locked="true" hidden="false"/>
    </xf>
    <xf numFmtId="164" fontId="5" fillId="10" borderId="4" xfId="0" applyFont="true" applyBorder="true" applyAlignment="true" applyProtection="false">
      <alignment horizontal="center" vertical="center" textRotation="0" wrapText="false" indent="0" shrinkToFit="false"/>
      <protection locked="true" hidden="false"/>
    </xf>
    <xf numFmtId="164" fontId="5" fillId="11" borderId="4" xfId="0" applyFont="true" applyBorder="true" applyAlignment="true" applyProtection="false">
      <alignment horizontal="center" vertical="center" textRotation="0" wrapText="false" indent="0" shrinkToFit="false"/>
      <protection locked="true" hidden="false"/>
    </xf>
    <xf numFmtId="164" fontId="5" fillId="12" borderId="3" xfId="0" applyFont="true" applyBorder="true" applyAlignment="true" applyProtection="false">
      <alignment horizontal="center" vertical="center" textRotation="0" wrapText="false" indent="0" shrinkToFit="false"/>
      <protection locked="true" hidden="false"/>
    </xf>
    <xf numFmtId="164" fontId="5" fillId="13" borderId="3" xfId="0" applyFont="true" applyBorder="true" applyAlignment="true" applyProtection="false">
      <alignment horizontal="center" vertical="center" textRotation="0" wrapText="false" indent="0" shrinkToFit="false"/>
      <protection locked="true" hidden="false"/>
    </xf>
    <xf numFmtId="164" fontId="5" fillId="9" borderId="4" xfId="0" applyFont="true" applyBorder="true" applyAlignment="true" applyProtection="false">
      <alignment horizontal="center" vertical="center" textRotation="0" wrapText="false" indent="0" shrinkToFit="false"/>
      <protection locked="true" hidden="false"/>
    </xf>
    <xf numFmtId="164" fontId="9" fillId="13" borderId="5" xfId="0" applyFont="true" applyBorder="true" applyAlignment="true" applyProtection="false">
      <alignment horizontal="center" vertical="center" textRotation="0" wrapText="false" indent="0" shrinkToFit="false"/>
      <protection locked="true" hidden="false"/>
    </xf>
    <xf numFmtId="164" fontId="5" fillId="14" borderId="3" xfId="0" applyFont="true" applyBorder="true" applyAlignment="true" applyProtection="false">
      <alignment horizontal="center" vertical="center" textRotation="0" wrapText="false" indent="0" shrinkToFit="false"/>
      <protection locked="true" hidden="false"/>
    </xf>
    <xf numFmtId="164" fontId="10" fillId="5" borderId="6" xfId="0" applyFont="true" applyBorder="true" applyAlignment="true" applyProtection="false">
      <alignment horizontal="center" vertical="center" textRotation="0" wrapText="false" indent="0" shrinkToFit="false"/>
      <protection locked="true" hidden="false"/>
    </xf>
    <xf numFmtId="164" fontId="11" fillId="15" borderId="7" xfId="0" applyFont="true" applyBorder="true" applyAlignment="true" applyProtection="false">
      <alignment horizontal="center" vertical="center" textRotation="0" wrapText="false" indent="0" shrinkToFit="false"/>
      <protection locked="true" hidden="false"/>
    </xf>
    <xf numFmtId="164" fontId="11" fillId="16" borderId="2" xfId="0" applyFont="true" applyBorder="true" applyAlignment="true" applyProtection="false">
      <alignment horizontal="center" vertical="center" textRotation="0" wrapText="false" indent="0" shrinkToFit="false"/>
      <protection locked="true" hidden="false"/>
    </xf>
    <xf numFmtId="164" fontId="11" fillId="12" borderId="8" xfId="0" applyFont="true" applyBorder="true" applyAlignment="true" applyProtection="false">
      <alignment horizontal="center" vertical="center" textRotation="0" wrapText="false" indent="0" shrinkToFit="false"/>
      <protection locked="true" hidden="false"/>
    </xf>
    <xf numFmtId="164" fontId="11" fillId="13" borderId="8" xfId="0" applyFont="true" applyBorder="true" applyAlignment="true" applyProtection="false">
      <alignment horizontal="center" vertical="center" textRotation="0" wrapText="false" indent="0" shrinkToFit="false"/>
      <protection locked="true" hidden="false"/>
    </xf>
    <xf numFmtId="164" fontId="10" fillId="5" borderId="9" xfId="0" applyFont="true" applyBorder="true" applyAlignment="true" applyProtection="false">
      <alignment horizontal="center" vertical="center" textRotation="0" wrapText="false" indent="0" shrinkToFit="false"/>
      <protection locked="true" hidden="false"/>
    </xf>
    <xf numFmtId="164" fontId="5" fillId="14" borderId="8" xfId="0" applyFont="true" applyBorder="true" applyAlignment="true" applyProtection="false">
      <alignment horizontal="center" vertical="center" textRotation="0" wrapText="false" indent="0" shrinkToFit="false"/>
      <protection locked="true" hidden="false"/>
    </xf>
    <xf numFmtId="164" fontId="5" fillId="17" borderId="8" xfId="0" applyFont="true" applyBorder="true" applyAlignment="true" applyProtection="false">
      <alignment horizontal="center" vertical="center" textRotation="0" wrapText="false" indent="0" shrinkToFit="false"/>
      <protection locked="true" hidden="false"/>
    </xf>
    <xf numFmtId="164" fontId="4" fillId="14" borderId="5" xfId="0" applyFont="true" applyBorder="true" applyAlignment="true" applyProtection="false">
      <alignment horizontal="center" vertical="center" textRotation="0" wrapText="false" indent="0" shrinkToFit="false"/>
      <protection locked="true" hidden="false"/>
    </xf>
    <xf numFmtId="164" fontId="4" fillId="18" borderId="0" xfId="0" applyFont="true" applyBorder="false" applyAlignment="true" applyProtection="false">
      <alignment horizontal="center" vertical="center" textRotation="0" wrapText="false" indent="0" shrinkToFit="false"/>
      <protection locked="true" hidden="false"/>
    </xf>
    <xf numFmtId="164" fontId="4" fillId="12" borderId="8" xfId="0" applyFont="true" applyBorder="true" applyAlignment="true" applyProtection="false">
      <alignment horizontal="center" vertical="center" textRotation="0" wrapText="false" indent="0" shrinkToFit="false"/>
      <protection locked="true" hidden="false"/>
    </xf>
    <xf numFmtId="164" fontId="4" fillId="13" borderId="8" xfId="0" applyFont="true" applyBorder="true" applyAlignment="true" applyProtection="false">
      <alignment horizontal="center" vertical="center" textRotation="0" wrapText="false" indent="0" shrinkToFit="false"/>
      <protection locked="true" hidden="false"/>
    </xf>
    <xf numFmtId="164" fontId="12" fillId="5" borderId="10" xfId="0" applyFont="true" applyBorder="true" applyAlignment="true" applyProtection="false">
      <alignment horizontal="general" vertical="bottom" textRotation="0" wrapText="false" indent="0" shrinkToFit="false"/>
      <protection locked="true" hidden="false"/>
    </xf>
    <xf numFmtId="164" fontId="12" fillId="5" borderId="11" xfId="0" applyFont="true" applyBorder="true" applyAlignment="true" applyProtection="false">
      <alignment horizontal="center" vertical="center" textRotation="0" wrapText="true" indent="0" shrinkToFit="false"/>
      <protection locked="true" hidden="false"/>
    </xf>
    <xf numFmtId="164" fontId="5" fillId="17" borderId="6" xfId="0" applyFont="true" applyBorder="true" applyAlignment="true" applyProtection="false">
      <alignment horizontal="center" vertical="center" textRotation="0" wrapText="false" indent="0" shrinkToFit="false"/>
      <protection locked="true" hidden="false"/>
    </xf>
    <xf numFmtId="164" fontId="4" fillId="14" borderId="12" xfId="0" applyFont="true" applyBorder="true" applyAlignment="true" applyProtection="false">
      <alignment horizontal="center" vertical="center" textRotation="0" wrapText="false" indent="0" shrinkToFit="false"/>
      <protection locked="true" hidden="false"/>
    </xf>
    <xf numFmtId="164" fontId="4" fillId="18" borderId="2" xfId="0" applyFont="true" applyBorder="true" applyAlignment="true" applyProtection="false">
      <alignment horizontal="center" vertical="center" textRotation="0" wrapText="false" indent="0" shrinkToFit="false"/>
      <protection locked="true" hidden="false"/>
    </xf>
    <xf numFmtId="164" fontId="5" fillId="3" borderId="6" xfId="0" applyFont="true" applyBorder="true" applyAlignment="true" applyProtection="false">
      <alignment horizontal="center" vertical="center" textRotation="0" wrapText="false" indent="0" shrinkToFit="false"/>
      <protection locked="true" hidden="false"/>
    </xf>
    <xf numFmtId="164" fontId="13" fillId="13" borderId="2" xfId="0" applyFont="true" applyBorder="true" applyAlignment="true" applyProtection="false">
      <alignment horizontal="center" vertical="center" textRotation="0" wrapText="false" indent="0" shrinkToFit="false"/>
      <protection locked="true" hidden="false"/>
    </xf>
    <xf numFmtId="164" fontId="5" fillId="19" borderId="1" xfId="0" applyFont="true" applyBorder="true" applyAlignment="true" applyProtection="false">
      <alignment horizontal="center" vertical="center" textRotation="0" wrapText="false" indent="0" shrinkToFit="false"/>
      <protection locked="true" hidden="false"/>
    </xf>
    <xf numFmtId="164" fontId="5" fillId="12" borderId="6" xfId="0" applyFont="true" applyBorder="true" applyAlignment="true" applyProtection="false">
      <alignment horizontal="center" vertical="center" textRotation="0" wrapText="false" indent="0" shrinkToFit="false"/>
      <protection locked="true" hidden="false"/>
    </xf>
    <xf numFmtId="164" fontId="5" fillId="13" borderId="6" xfId="0" applyFont="true" applyBorder="true" applyAlignment="true" applyProtection="false">
      <alignment horizontal="center" vertical="center" textRotation="0" wrapText="false" indent="0" shrinkToFit="false"/>
      <protection locked="true" hidden="false"/>
    </xf>
    <xf numFmtId="164" fontId="5" fillId="3" borderId="1" xfId="0" applyFont="true" applyBorder="true" applyAlignment="true" applyProtection="false">
      <alignment horizontal="center" vertical="center" textRotation="0" wrapText="false" indent="0" shrinkToFit="false"/>
      <protection locked="true" hidden="false"/>
    </xf>
    <xf numFmtId="164" fontId="7" fillId="13" borderId="2" xfId="0" applyFont="true" applyBorder="true" applyAlignment="true" applyProtection="false">
      <alignment horizontal="center" vertical="center" textRotation="0" wrapText="false" indent="0" shrinkToFit="false"/>
      <protection locked="true" hidden="false"/>
    </xf>
    <xf numFmtId="164" fontId="9" fillId="13" borderId="12" xfId="0" applyFont="true" applyBorder="true" applyAlignment="true" applyProtection="false">
      <alignment horizontal="center" vertical="center" textRotation="0" wrapText="false" indent="0" shrinkToFit="false"/>
      <protection locked="true" hidden="false"/>
    </xf>
    <xf numFmtId="164" fontId="5" fillId="14" borderId="6" xfId="0" applyFont="true" applyBorder="true" applyAlignment="true" applyProtection="false">
      <alignment horizontal="center" vertical="center" textRotation="0" wrapText="false" indent="0" shrinkToFit="false"/>
      <protection locked="true" hidden="false"/>
    </xf>
    <xf numFmtId="164" fontId="12" fillId="0" borderId="0" xfId="0" applyFont="true" applyBorder="false" applyAlignment="true" applyProtection="false">
      <alignment horizontal="general" vertical="center" textRotation="0" wrapText="false" indent="0" shrinkToFit="false"/>
      <protection locked="true" hidden="false"/>
    </xf>
    <xf numFmtId="164" fontId="4" fillId="13" borderId="0" xfId="0" applyFont="true" applyBorder="true" applyAlignment="true" applyProtection="false">
      <alignment horizontal="general" vertical="center" textRotation="0" wrapText="false" indent="0" shrinkToFit="false"/>
      <protection locked="true" hidden="false"/>
    </xf>
    <xf numFmtId="164" fontId="4" fillId="13" borderId="2" xfId="0" applyFont="true" applyBorder="true" applyAlignment="true" applyProtection="false">
      <alignment horizontal="general" vertical="center" textRotation="0" wrapText="false" indent="0" shrinkToFit="false"/>
      <protection locked="true" hidden="false"/>
    </xf>
    <xf numFmtId="164" fontId="4" fillId="13" borderId="9" xfId="0" applyFont="true" applyBorder="true" applyAlignment="true" applyProtection="false">
      <alignment horizontal="general" vertical="center" textRotation="0" wrapText="false" indent="0" shrinkToFit="false"/>
      <protection locked="true" hidden="false"/>
    </xf>
    <xf numFmtId="164" fontId="5" fillId="14" borderId="13" xfId="0" applyFont="true" applyBorder="true" applyAlignment="true" applyProtection="false">
      <alignment horizontal="center" vertical="center" textRotation="0" wrapText="false" indent="0" shrinkToFit="false"/>
      <protection locked="true" hidden="false"/>
    </xf>
    <xf numFmtId="164" fontId="5" fillId="14" borderId="9" xfId="0" applyFont="true" applyBorder="true" applyAlignment="true" applyProtection="false">
      <alignment horizontal="center" vertical="center" textRotation="0" wrapText="false" indent="0" shrinkToFit="false"/>
      <protection locked="true" hidden="false"/>
    </xf>
    <xf numFmtId="164" fontId="12" fillId="0" borderId="0" xfId="0" applyFont="true" applyBorder="false" applyAlignment="true" applyProtection="false">
      <alignment horizontal="center" vertical="center" textRotation="0" wrapText="false" indent="0" shrinkToFit="false"/>
      <protection locked="true" hidden="false"/>
    </xf>
    <xf numFmtId="164" fontId="4" fillId="0" borderId="0" xfId="0" applyFont="true" applyBorder="false" applyAlignment="true" applyProtection="false">
      <alignment horizontal="center" vertical="center" textRotation="0" wrapText="false" indent="0" shrinkToFit="false"/>
      <protection locked="true" hidden="false"/>
    </xf>
    <xf numFmtId="164" fontId="5" fillId="0" borderId="0" xfId="0" applyFont="true" applyBorder="false" applyAlignment="true" applyProtection="false">
      <alignment horizontal="center" vertical="center" textRotation="0" wrapText="false" indent="0" shrinkToFit="false"/>
      <protection locked="true" hidden="false"/>
    </xf>
    <xf numFmtId="164" fontId="11" fillId="0" borderId="0" xfId="0" applyFont="true" applyBorder="false" applyAlignment="true" applyProtection="false">
      <alignment horizontal="center" vertical="center" textRotation="0" wrapText="false" indent="0" shrinkToFit="false"/>
      <protection locked="true" hidden="false"/>
    </xf>
    <xf numFmtId="164" fontId="5" fillId="3" borderId="2" xfId="0" applyFont="true" applyBorder="true" applyAlignment="true" applyProtection="false">
      <alignment horizontal="center" vertical="center" textRotation="0" wrapText="false" indent="0" shrinkToFit="false"/>
      <protection locked="true" hidden="false"/>
    </xf>
    <xf numFmtId="164" fontId="6" fillId="0" borderId="0" xfId="0" applyFont="true" applyBorder="false" applyAlignment="true" applyProtection="false">
      <alignment horizontal="center" vertical="center" textRotation="0" wrapText="false" indent="0" shrinkToFit="false"/>
      <protection locked="true" hidden="false"/>
    </xf>
    <xf numFmtId="164" fontId="5" fillId="17" borderId="3" xfId="0" applyFont="true" applyBorder="true" applyAlignment="true" applyProtection="false">
      <alignment horizontal="center" vertical="center" textRotation="0" wrapText="false" indent="0" shrinkToFit="false"/>
      <protection locked="true" hidden="false"/>
    </xf>
    <xf numFmtId="164" fontId="10" fillId="5" borderId="4" xfId="0" applyFont="true" applyBorder="true" applyAlignment="true" applyProtection="false">
      <alignment horizontal="center" vertical="bottom" textRotation="0" wrapText="false" indent="0" shrinkToFit="false"/>
      <protection locked="true" hidden="false"/>
    </xf>
    <xf numFmtId="164" fontId="6" fillId="6" borderId="7" xfId="0" applyFont="true" applyBorder="true" applyAlignment="true" applyProtection="false">
      <alignment horizontal="center" vertical="center" textRotation="0" wrapText="false" indent="0" shrinkToFit="false"/>
      <protection locked="true" hidden="false"/>
    </xf>
    <xf numFmtId="164" fontId="14" fillId="13" borderId="3" xfId="0" applyFont="true" applyBorder="true" applyAlignment="true" applyProtection="false">
      <alignment horizontal="center" vertical="center" textRotation="0" wrapText="false" indent="0" shrinkToFit="false"/>
      <protection locked="true" hidden="false"/>
    </xf>
    <xf numFmtId="164" fontId="8" fillId="7" borderId="0" xfId="0" applyFont="true" applyBorder="false" applyAlignment="true" applyProtection="false">
      <alignment horizontal="general" vertical="center" textRotation="0" wrapText="false" indent="0" shrinkToFit="false"/>
      <protection locked="true" hidden="false"/>
    </xf>
    <xf numFmtId="164" fontId="15" fillId="7" borderId="0" xfId="0" applyFont="true" applyBorder="true" applyAlignment="true" applyProtection="false">
      <alignment horizontal="general" vertical="center" textRotation="0" wrapText="false" indent="0" shrinkToFit="false"/>
      <protection locked="true" hidden="false"/>
    </xf>
    <xf numFmtId="164" fontId="7" fillId="20" borderId="13" xfId="0" applyFont="true" applyBorder="true" applyAlignment="true" applyProtection="false">
      <alignment horizontal="center" vertical="center" textRotation="0" wrapText="false" indent="0" shrinkToFit="false"/>
      <protection locked="true" hidden="false"/>
    </xf>
    <xf numFmtId="164" fontId="16" fillId="21" borderId="11" xfId="0" applyFont="true" applyBorder="true" applyAlignment="true" applyProtection="false">
      <alignment horizontal="center" vertical="center" textRotation="0" wrapText="false" indent="0" shrinkToFit="false"/>
      <protection locked="true" hidden="false"/>
    </xf>
    <xf numFmtId="164" fontId="17" fillId="22" borderId="3" xfId="0" applyFont="true" applyBorder="true" applyAlignment="true" applyProtection="false">
      <alignment horizontal="center" vertical="center" textRotation="0" wrapText="false" indent="0" shrinkToFit="false"/>
      <protection locked="true" hidden="false"/>
    </xf>
    <xf numFmtId="164" fontId="18" fillId="21" borderId="11" xfId="0" applyFont="true" applyBorder="true" applyAlignment="true" applyProtection="false">
      <alignment horizontal="center" vertical="center" textRotation="0" wrapText="false" indent="0" shrinkToFit="false"/>
      <protection locked="true" hidden="false"/>
    </xf>
    <xf numFmtId="164" fontId="7" fillId="20" borderId="3" xfId="0" applyFont="true" applyBorder="true" applyAlignment="true" applyProtection="false">
      <alignment horizontal="center" vertical="center" textRotation="0" wrapText="false" indent="0" shrinkToFit="false"/>
      <protection locked="true" hidden="false"/>
    </xf>
    <xf numFmtId="164" fontId="7" fillId="20" borderId="8" xfId="0" applyFont="true" applyBorder="true" applyAlignment="true" applyProtection="false">
      <alignment horizontal="center" vertical="center" textRotation="0" wrapText="false" indent="0" shrinkToFit="false"/>
      <protection locked="true" hidden="false"/>
    </xf>
    <xf numFmtId="164" fontId="7" fillId="7" borderId="0" xfId="0" applyFont="true" applyBorder="false" applyAlignment="true" applyProtection="false">
      <alignment horizontal="general" vertical="center" textRotation="0" wrapText="false" indent="0" shrinkToFit="false"/>
      <protection locked="true" hidden="false"/>
    </xf>
    <xf numFmtId="164" fontId="19" fillId="0" borderId="11" xfId="0" applyFont="true" applyBorder="true" applyAlignment="true" applyProtection="false">
      <alignment horizontal="general" vertical="center" textRotation="0" wrapText="false" indent="0" shrinkToFit="false"/>
      <protection locked="true" hidden="false"/>
    </xf>
    <xf numFmtId="164" fontId="20" fillId="22" borderId="1" xfId="0" applyFont="true" applyBorder="true" applyAlignment="true" applyProtection="false">
      <alignment horizontal="center" vertical="center" textRotation="0" wrapText="false" indent="0" shrinkToFit="false"/>
      <protection locked="true" hidden="false"/>
    </xf>
    <xf numFmtId="164" fontId="15" fillId="0" borderId="11" xfId="0" applyFont="true" applyBorder="true" applyAlignment="true" applyProtection="false">
      <alignment horizontal="right" vertical="center" textRotation="0" wrapText="false" indent="0" shrinkToFit="false"/>
      <protection locked="true" hidden="false"/>
    </xf>
    <xf numFmtId="164" fontId="15" fillId="0" borderId="11" xfId="0" applyFont="true" applyBorder="true" applyAlignment="true" applyProtection="false">
      <alignment horizontal="left" vertical="center" textRotation="0" wrapText="false" indent="0" shrinkToFit="false"/>
      <protection locked="true" hidden="false"/>
    </xf>
    <xf numFmtId="164" fontId="7" fillId="20" borderId="5" xfId="0" applyFont="true" applyBorder="true" applyAlignment="true" applyProtection="false">
      <alignment horizontal="center" vertical="center" textRotation="0" wrapText="false" indent="0" shrinkToFit="false"/>
      <protection locked="true" hidden="false"/>
    </xf>
    <xf numFmtId="164" fontId="15" fillId="0" borderId="3" xfId="0" applyFont="true" applyBorder="true" applyAlignment="true" applyProtection="false">
      <alignment horizontal="general" vertical="center" textRotation="0" wrapText="false" indent="0" shrinkToFit="false"/>
      <protection locked="true" hidden="false"/>
    </xf>
    <xf numFmtId="164" fontId="20" fillId="22" borderId="4" xfId="0" applyFont="true" applyBorder="true" applyAlignment="true" applyProtection="false">
      <alignment horizontal="center" vertical="center" textRotation="0" wrapText="false" indent="0" shrinkToFit="false"/>
      <protection locked="true" hidden="false"/>
    </xf>
    <xf numFmtId="164" fontId="15" fillId="0" borderId="0" xfId="0" applyFont="true" applyBorder="true" applyAlignment="true" applyProtection="false">
      <alignment horizontal="general" vertical="center" textRotation="0" wrapText="false" indent="0" shrinkToFit="false"/>
      <protection locked="true" hidden="false"/>
    </xf>
    <xf numFmtId="164" fontId="15" fillId="0" borderId="0" xfId="0" applyFont="true" applyBorder="true" applyAlignment="true" applyProtection="false">
      <alignment horizontal="right" vertical="center" textRotation="0" wrapText="false" indent="0" shrinkToFit="false"/>
      <protection locked="true" hidden="false"/>
    </xf>
    <xf numFmtId="164" fontId="15" fillId="0" borderId="0" xfId="0" applyFont="true" applyBorder="true" applyAlignment="true" applyProtection="false">
      <alignment horizontal="left" vertical="center" textRotation="0" wrapText="false" indent="0" shrinkToFit="false"/>
      <protection locked="true" hidden="false"/>
    </xf>
    <xf numFmtId="164" fontId="15" fillId="0" borderId="8" xfId="0" applyFont="true" applyBorder="true" applyAlignment="true" applyProtection="false">
      <alignment horizontal="general" vertical="center" textRotation="0" wrapText="false" indent="0" shrinkToFit="false"/>
      <protection locked="true" hidden="false"/>
    </xf>
    <xf numFmtId="164" fontId="19" fillId="0" borderId="0" xfId="0" applyFont="true" applyBorder="true" applyAlignment="true" applyProtection="false">
      <alignment horizontal="general" vertical="center" textRotation="0" wrapText="false" indent="0" shrinkToFit="false"/>
      <protection locked="true" hidden="false"/>
    </xf>
    <xf numFmtId="164" fontId="15" fillId="0" borderId="8" xfId="0" applyFont="true" applyBorder="true" applyAlignment="true" applyProtection="false">
      <alignment horizontal="left" vertical="center" textRotation="0" wrapText="false" indent="0" shrinkToFit="false"/>
      <protection locked="true" hidden="false"/>
    </xf>
    <xf numFmtId="164" fontId="19" fillId="0" borderId="0" xfId="0" applyFont="true" applyBorder="true" applyAlignment="true" applyProtection="false">
      <alignment horizontal="right" vertical="center" textRotation="0" wrapText="false" indent="0" shrinkToFit="false"/>
      <protection locked="true" hidden="false"/>
    </xf>
    <xf numFmtId="164" fontId="8" fillId="8" borderId="0" xfId="0" applyFont="true" applyBorder="false" applyAlignment="true" applyProtection="false">
      <alignment horizontal="general" vertical="center" textRotation="0" wrapText="false" indent="0" shrinkToFit="false"/>
      <protection locked="true" hidden="false"/>
    </xf>
    <xf numFmtId="164" fontId="19" fillId="8" borderId="0" xfId="0" applyFont="true" applyBorder="true" applyAlignment="true" applyProtection="false">
      <alignment horizontal="general" vertical="center" textRotation="0" wrapText="false" indent="0" shrinkToFit="false"/>
      <protection locked="true" hidden="false"/>
    </xf>
    <xf numFmtId="164" fontId="7" fillId="20" borderId="6" xfId="0" applyFont="true" applyBorder="true" applyAlignment="true" applyProtection="false">
      <alignment horizontal="center" vertical="center" textRotation="0" wrapText="false" indent="0" shrinkToFit="false"/>
      <protection locked="true" hidden="false"/>
    </xf>
    <xf numFmtId="164" fontId="15" fillId="0" borderId="2" xfId="0" applyFont="true" applyBorder="true" applyAlignment="true" applyProtection="false">
      <alignment horizontal="left" vertical="center" textRotation="0" wrapText="false" indent="0" shrinkToFit="false"/>
      <protection locked="true" hidden="false"/>
    </xf>
    <xf numFmtId="164" fontId="15" fillId="0" borderId="2" xfId="0" applyFont="true" applyBorder="true" applyAlignment="true" applyProtection="false">
      <alignment horizontal="right" vertical="center" textRotation="0" wrapText="false" indent="0" shrinkToFit="false"/>
      <protection locked="true" hidden="false"/>
    </xf>
    <xf numFmtId="164" fontId="7" fillId="20" borderId="12" xfId="0" applyFont="true" applyBorder="true" applyAlignment="true" applyProtection="false">
      <alignment horizontal="center" vertical="center" textRotation="0" wrapText="false" indent="0" shrinkToFit="false"/>
      <protection locked="true" hidden="false"/>
    </xf>
    <xf numFmtId="164" fontId="15" fillId="0" borderId="6" xfId="0" applyFont="true" applyBorder="true" applyAlignment="true" applyProtection="false">
      <alignment horizontal="left" vertical="center" textRotation="0" wrapText="false" indent="0" shrinkToFit="false"/>
      <protection locked="true" hidden="false"/>
    </xf>
    <xf numFmtId="164" fontId="14" fillId="13" borderId="14" xfId="0" applyFont="true" applyBorder="true" applyAlignment="true" applyProtection="false">
      <alignment horizontal="center" vertical="center" textRotation="0" wrapText="false" indent="0" shrinkToFit="false"/>
      <protection locked="true" hidden="false"/>
    </xf>
    <xf numFmtId="164" fontId="7" fillId="8" borderId="0" xfId="0" applyFont="true" applyBorder="false" applyAlignment="true" applyProtection="false">
      <alignment horizontal="general" vertical="center" textRotation="0" wrapText="false" indent="0" shrinkToFit="false"/>
      <protection locked="true" hidden="false"/>
    </xf>
    <xf numFmtId="164" fontId="7" fillId="8" borderId="0" xfId="0" applyFont="true" applyBorder="true" applyAlignment="true" applyProtection="false">
      <alignment horizontal="general" vertical="center" textRotation="0" wrapText="false" indent="0" shrinkToFit="false"/>
      <protection locked="true" hidden="false"/>
    </xf>
    <xf numFmtId="164" fontId="12" fillId="3" borderId="0" xfId="0" applyFont="true" applyBorder="false" applyAlignment="true" applyProtection="false">
      <alignment horizontal="general" vertical="center" textRotation="0" wrapText="false" indent="0" shrinkToFit="false"/>
      <protection locked="true" hidden="false"/>
    </xf>
    <xf numFmtId="164" fontId="15" fillId="0" borderId="11" xfId="0" applyFont="true" applyBorder="true" applyAlignment="true" applyProtection="false">
      <alignment horizontal="general" vertical="center" textRotation="0" wrapText="false" indent="0" shrinkToFit="false"/>
      <protection locked="true" hidden="false"/>
    </xf>
    <xf numFmtId="164" fontId="20" fillId="22" borderId="10" xfId="0" applyFont="true" applyBorder="true" applyAlignment="true" applyProtection="false">
      <alignment horizontal="center" vertical="center" textRotation="0" wrapText="false" indent="0" shrinkToFit="false"/>
      <protection locked="true" hidden="false"/>
    </xf>
    <xf numFmtId="164" fontId="15" fillId="0" borderId="3" xfId="0" applyFont="true" applyBorder="true" applyAlignment="true" applyProtection="false">
      <alignment horizontal="right" vertical="center" textRotation="0" wrapText="false" indent="0" shrinkToFit="false"/>
      <protection locked="true" hidden="false"/>
    </xf>
    <xf numFmtId="164" fontId="15" fillId="0" borderId="8" xfId="0" applyFont="true" applyBorder="true" applyAlignment="true" applyProtection="false">
      <alignment horizontal="right" vertical="center" textRotation="0" wrapText="false" indent="0" shrinkToFit="false"/>
      <protection locked="true" hidden="false"/>
    </xf>
    <xf numFmtId="164" fontId="19" fillId="0" borderId="8" xfId="0" applyFont="true" applyBorder="true" applyAlignment="true" applyProtection="false">
      <alignment horizontal="right" vertical="center" textRotation="0" wrapText="false" indent="0" shrinkToFit="false"/>
      <protection locked="true" hidden="false"/>
    </xf>
    <xf numFmtId="164" fontId="15" fillId="0" borderId="2" xfId="0" applyFont="true" applyBorder="true" applyAlignment="true" applyProtection="false">
      <alignment horizontal="general" vertical="center" textRotation="0" wrapText="false" indent="0" shrinkToFit="false"/>
      <protection locked="true" hidden="false"/>
    </xf>
    <xf numFmtId="164" fontId="15" fillId="0" borderId="6" xfId="0" applyFont="true" applyBorder="true" applyAlignment="true" applyProtection="false">
      <alignment horizontal="right" vertical="center" textRotation="0" wrapText="false" indent="0" shrinkToFit="false"/>
      <protection locked="true" hidden="false"/>
    </xf>
    <xf numFmtId="164" fontId="7" fillId="20" borderId="14" xfId="0" applyFont="true" applyBorder="true" applyAlignment="true" applyProtection="false">
      <alignment horizontal="center" vertical="center" textRotation="0" wrapText="false" indent="0" shrinkToFit="false"/>
      <protection locked="true" hidden="false"/>
    </xf>
    <xf numFmtId="164" fontId="16" fillId="21" borderId="3" xfId="0" applyFont="true" applyBorder="true" applyAlignment="true" applyProtection="false">
      <alignment horizontal="center" vertical="center" textRotation="0" wrapText="false" indent="0" shrinkToFit="false"/>
      <protection locked="true" hidden="false"/>
    </xf>
    <xf numFmtId="164" fontId="18" fillId="21" borderId="1" xfId="0" applyFont="true" applyBorder="true" applyAlignment="true" applyProtection="false">
      <alignment horizontal="center" vertical="center" textRotation="0" wrapText="false" indent="0" shrinkToFit="false"/>
      <protection locked="true" hidden="false"/>
    </xf>
    <xf numFmtId="164" fontId="16" fillId="21" borderId="10" xfId="0" applyFont="true" applyBorder="true" applyAlignment="true" applyProtection="false">
      <alignment horizontal="center" vertical="center" textRotation="0" wrapText="false" indent="0" shrinkToFit="false"/>
      <protection locked="true" hidden="false"/>
    </xf>
    <xf numFmtId="164" fontId="19" fillId="0" borderId="5" xfId="0" applyFont="true" applyBorder="true" applyAlignment="true" applyProtection="false">
      <alignment horizontal="general" vertical="center" textRotation="0" wrapText="false" indent="0" shrinkToFit="false"/>
      <protection locked="true" hidden="false"/>
    </xf>
    <xf numFmtId="164" fontId="15" fillId="0" borderId="13" xfId="0" applyFont="true" applyBorder="true" applyAlignment="true" applyProtection="false">
      <alignment horizontal="right" vertical="center" textRotation="0" wrapText="false" indent="0" shrinkToFit="false"/>
      <protection locked="true" hidden="false"/>
    </xf>
    <xf numFmtId="164" fontId="19" fillId="0" borderId="2" xfId="0" applyFont="true" applyBorder="true" applyAlignment="true" applyProtection="false">
      <alignment horizontal="right" vertical="center" textRotation="0" wrapText="false" indent="0" shrinkToFit="false"/>
      <protection locked="true" hidden="false"/>
    </xf>
    <xf numFmtId="164" fontId="15" fillId="0" borderId="12" xfId="0" applyFont="true" applyBorder="true" applyAlignment="true" applyProtection="false">
      <alignment horizontal="left" vertical="center" textRotation="0" wrapText="false" indent="0" shrinkToFit="false"/>
      <protection locked="true" hidden="false"/>
    </xf>
    <xf numFmtId="164" fontId="15" fillId="0" borderId="9" xfId="0" applyFont="true" applyBorder="true" applyAlignment="true" applyProtection="false">
      <alignment horizontal="right" vertical="center" textRotation="0" wrapText="false" indent="0" shrinkToFit="false"/>
      <protection locked="true" hidden="false"/>
    </xf>
    <xf numFmtId="164" fontId="7" fillId="20" borderId="9" xfId="0" applyFont="true" applyBorder="true" applyAlignment="true" applyProtection="false">
      <alignment horizontal="center" vertical="center" textRotation="0" wrapText="false" indent="0" shrinkToFit="false"/>
      <protection locked="true" hidden="false"/>
    </xf>
    <xf numFmtId="164" fontId="7" fillId="0" borderId="0" xfId="0" applyFont="true" applyBorder="false" applyAlignment="true" applyProtection="false">
      <alignment horizontal="center" vertical="center" textRotation="0" wrapText="false" indent="0" shrinkToFit="false"/>
      <protection locked="true" hidden="false"/>
    </xf>
    <xf numFmtId="164" fontId="15" fillId="0" borderId="0" xfId="0" applyFont="true" applyBorder="false" applyAlignment="true" applyProtection="false">
      <alignment horizontal="general" vertical="center" textRotation="0" wrapText="false" indent="0" shrinkToFit="false"/>
      <protection locked="true" hidden="false"/>
    </xf>
    <xf numFmtId="164" fontId="20" fillId="0" borderId="0" xfId="0" applyFont="true" applyBorder="false" applyAlignment="true" applyProtection="false">
      <alignment horizontal="center" vertical="center" textRotation="0" wrapText="false" indent="0" shrinkToFit="false"/>
      <protection locked="true" hidden="false"/>
    </xf>
    <xf numFmtId="164" fontId="15" fillId="0" borderId="0" xfId="0" applyFont="true" applyBorder="false" applyAlignment="true" applyProtection="false">
      <alignment horizontal="right" vertical="center" textRotation="0" wrapText="false" indent="0" shrinkToFit="false"/>
      <protection locked="true" hidden="false"/>
    </xf>
    <xf numFmtId="164" fontId="15" fillId="0" borderId="13" xfId="0" applyFont="true" applyBorder="true" applyAlignment="true" applyProtection="false">
      <alignment horizontal="left" vertical="center" textRotation="0" wrapText="false" indent="0" shrinkToFit="false"/>
      <protection locked="true" hidden="false"/>
    </xf>
    <xf numFmtId="164" fontId="19" fillId="0" borderId="2" xfId="0" applyFont="true" applyBorder="true" applyAlignment="true" applyProtection="false">
      <alignment horizontal="left" vertical="center" textRotation="0" wrapText="false" indent="0" shrinkToFit="false"/>
      <protection locked="true" hidden="false"/>
    </xf>
    <xf numFmtId="164" fontId="15" fillId="0" borderId="9" xfId="0" applyFont="true" applyBorder="true" applyAlignment="true" applyProtection="false">
      <alignment horizontal="left" vertical="center" textRotation="0" wrapText="false" indent="0" shrinkToFit="false"/>
      <protection locked="true" hidden="false"/>
    </xf>
    <xf numFmtId="164" fontId="9" fillId="13" borderId="7" xfId="0" applyFont="true" applyBorder="true" applyAlignment="true" applyProtection="false">
      <alignment horizontal="general" vertical="center" textRotation="0" wrapText="false" indent="0" shrinkToFit="false"/>
      <protection locked="true" hidden="false"/>
    </xf>
    <xf numFmtId="164" fontId="9" fillId="13" borderId="11" xfId="0" applyFont="true" applyBorder="true" applyAlignment="true" applyProtection="false">
      <alignment horizontal="center" vertical="center" textRotation="0" wrapText="false" indent="0" shrinkToFit="false"/>
      <protection locked="true" hidden="false"/>
    </xf>
    <xf numFmtId="164" fontId="9" fillId="13" borderId="1" xfId="0" applyFont="true" applyBorder="true" applyAlignment="true" applyProtection="false">
      <alignment horizontal="center" vertical="center" textRotation="0" wrapText="false" indent="0" shrinkToFit="false"/>
      <protection locked="true" hidden="false"/>
    </xf>
    <xf numFmtId="164" fontId="9" fillId="13" borderId="15" xfId="0" applyFont="true" applyBorder="true" applyAlignment="true" applyProtection="false">
      <alignment horizontal="center" vertical="center" textRotation="0" wrapText="false" indent="0" shrinkToFit="false"/>
      <protection locked="true" hidden="false"/>
    </xf>
    <xf numFmtId="164" fontId="9" fillId="13" borderId="16" xfId="0" applyFont="true" applyBorder="true" applyAlignment="true" applyProtection="false">
      <alignment horizontal="center" vertical="center" textRotation="0" wrapText="false" indent="0" shrinkToFit="false"/>
      <protection locked="true" hidden="false"/>
    </xf>
    <xf numFmtId="164" fontId="9" fillId="13" borderId="4" xfId="0" applyFont="true" applyBorder="true" applyAlignment="true" applyProtection="false">
      <alignment horizontal="center" vertical="center" textRotation="0" wrapText="false" indent="0" shrinkToFit="false"/>
      <protection locked="true" hidden="false"/>
    </xf>
    <xf numFmtId="164" fontId="18" fillId="23" borderId="14" xfId="0" applyFont="true" applyBorder="true" applyAlignment="true" applyProtection="false">
      <alignment horizontal="general" vertical="center" textRotation="0" wrapText="false" indent="0" shrinkToFit="false"/>
      <protection locked="true" hidden="false"/>
    </xf>
    <xf numFmtId="164" fontId="18" fillId="24" borderId="14" xfId="0" applyFont="true" applyBorder="true" applyAlignment="true" applyProtection="false">
      <alignment horizontal="center" vertical="center" textRotation="0" wrapText="false" indent="0" shrinkToFit="false"/>
      <protection locked="true" hidden="false"/>
    </xf>
    <xf numFmtId="164" fontId="16" fillId="24" borderId="11" xfId="0" applyFont="true" applyBorder="true" applyAlignment="true" applyProtection="false">
      <alignment horizontal="center" vertical="center" textRotation="0" wrapText="false" indent="0" shrinkToFit="false"/>
      <protection locked="true" hidden="false"/>
    </xf>
    <xf numFmtId="164" fontId="18" fillId="24" borderId="0" xfId="0" applyFont="true" applyBorder="false" applyAlignment="true" applyProtection="false">
      <alignment horizontal="center" vertical="center" textRotation="0" wrapText="false" indent="0" shrinkToFit="false"/>
      <protection locked="true" hidden="false"/>
    </xf>
    <xf numFmtId="164" fontId="18" fillId="24" borderId="11" xfId="0" applyFont="true" applyBorder="true" applyAlignment="true" applyProtection="false">
      <alignment horizontal="center" vertical="center" textRotation="0" wrapText="false" indent="0" shrinkToFit="false"/>
      <protection locked="true" hidden="false"/>
    </xf>
    <xf numFmtId="164" fontId="18" fillId="24" borderId="16" xfId="0" applyFont="true" applyBorder="true" applyAlignment="true" applyProtection="false">
      <alignment horizontal="center" vertical="center" textRotation="0" wrapText="false" indent="0" shrinkToFit="false"/>
      <protection locked="true" hidden="false"/>
    </xf>
    <xf numFmtId="164" fontId="18" fillId="24" borderId="17" xfId="0" applyFont="true" applyBorder="true" applyAlignment="true" applyProtection="false">
      <alignment horizontal="center" vertical="center" textRotation="0" wrapText="false" indent="0" shrinkToFit="false"/>
      <protection locked="true" hidden="false"/>
    </xf>
    <xf numFmtId="164" fontId="5" fillId="3" borderId="17" xfId="0" applyFont="true" applyBorder="true" applyAlignment="true" applyProtection="false">
      <alignment horizontal="center" vertical="center" textRotation="0" wrapText="false" indent="0" shrinkToFit="false"/>
      <protection locked="true" hidden="false"/>
    </xf>
    <xf numFmtId="164" fontId="5" fillId="24" borderId="5" xfId="0" applyFont="true" applyBorder="true" applyAlignment="true" applyProtection="false">
      <alignment horizontal="center" vertical="center" textRotation="0" wrapText="false" indent="0" shrinkToFit="false"/>
      <protection locked="true" hidden="false"/>
    </xf>
    <xf numFmtId="164" fontId="5" fillId="24" borderId="0" xfId="0" applyFont="true" applyBorder="false" applyAlignment="true" applyProtection="false">
      <alignment horizontal="center" vertical="center" textRotation="0" wrapText="false" indent="0" shrinkToFit="false"/>
      <protection locked="true" hidden="false"/>
    </xf>
    <xf numFmtId="164" fontId="5" fillId="24" borderId="18" xfId="0" applyFont="true" applyBorder="true" applyAlignment="true" applyProtection="false">
      <alignment horizontal="center" vertical="center" textRotation="0" wrapText="false" indent="0" shrinkToFit="false"/>
      <protection locked="true" hidden="false"/>
    </xf>
    <xf numFmtId="164" fontId="5" fillId="24" borderId="13" xfId="0" applyFont="true" applyBorder="true" applyAlignment="true" applyProtection="false">
      <alignment horizontal="center" vertical="center" textRotation="0" wrapText="false" indent="0" shrinkToFit="false"/>
      <protection locked="true" hidden="false"/>
    </xf>
    <xf numFmtId="164" fontId="16" fillId="24" borderId="14" xfId="0" applyFont="true" applyBorder="true" applyAlignment="true" applyProtection="false">
      <alignment horizontal="center" vertical="center" textRotation="0" wrapText="false" indent="0" shrinkToFit="false"/>
      <protection locked="true" hidden="false"/>
    </xf>
    <xf numFmtId="164" fontId="16" fillId="24" borderId="16" xfId="0" applyFont="true" applyBorder="true" applyAlignment="true" applyProtection="false">
      <alignment horizontal="center" vertical="center" textRotation="0" wrapText="false" indent="0" shrinkToFit="false"/>
      <protection locked="true" hidden="false"/>
    </xf>
    <xf numFmtId="164" fontId="16" fillId="24" borderId="17" xfId="0" applyFont="true" applyBorder="true" applyAlignment="true" applyProtection="false">
      <alignment horizontal="center" vertical="center" textRotation="0" wrapText="false" indent="0" shrinkToFit="false"/>
      <protection locked="true" hidden="false"/>
    </xf>
    <xf numFmtId="164" fontId="5" fillId="24" borderId="19" xfId="0" applyFont="true" applyBorder="true" applyAlignment="true" applyProtection="false">
      <alignment horizontal="center" vertical="center" textRotation="0" wrapText="false" indent="0" shrinkToFit="false"/>
      <protection locked="true" hidden="false"/>
    </xf>
    <xf numFmtId="164" fontId="5" fillId="24" borderId="2" xfId="0" applyFont="true" applyBorder="true" applyAlignment="true" applyProtection="false">
      <alignment horizontal="center" vertical="center" textRotation="0" wrapText="false" indent="0" shrinkToFit="false"/>
      <protection locked="true" hidden="false"/>
    </xf>
    <xf numFmtId="164" fontId="5" fillId="24" borderId="9" xfId="0" applyFont="true" applyBorder="true" applyAlignment="true" applyProtection="false">
      <alignment horizontal="center" vertical="center" textRotation="0" wrapText="false" indent="0" shrinkToFit="false"/>
      <protection locked="true" hidden="false"/>
    </xf>
    <xf numFmtId="164" fontId="16" fillId="24" borderId="18" xfId="0" applyFont="true" applyBorder="true" applyAlignment="true" applyProtection="false">
      <alignment horizontal="center" vertical="center" textRotation="0" wrapText="false" indent="0" shrinkToFit="false"/>
      <protection locked="true" hidden="false"/>
    </xf>
    <xf numFmtId="164" fontId="16" fillId="24" borderId="13" xfId="0" applyFont="true" applyBorder="true" applyAlignment="true" applyProtection="false">
      <alignment horizontal="center" vertical="center" textRotation="0" wrapText="false" indent="0" shrinkToFit="false"/>
      <protection locked="true" hidden="false"/>
    </xf>
    <xf numFmtId="164" fontId="5" fillId="24" borderId="12" xfId="0" applyFont="true" applyBorder="true" applyAlignment="true" applyProtection="false">
      <alignment horizontal="center" vertical="center" textRotation="0" wrapText="false" indent="0" shrinkToFit="false"/>
      <protection locked="true" hidden="false"/>
    </xf>
    <xf numFmtId="164" fontId="18" fillId="25" borderId="14" xfId="0" applyFont="true" applyBorder="true" applyAlignment="true" applyProtection="false">
      <alignment horizontal="general" vertical="center" textRotation="0" wrapText="false" indent="0" shrinkToFit="false"/>
      <protection locked="true" hidden="false"/>
    </xf>
    <xf numFmtId="164" fontId="16" fillId="24" borderId="0" xfId="0" applyFont="true" applyBorder="false" applyAlignment="true" applyProtection="false">
      <alignment horizontal="center" vertical="center" textRotation="0" wrapText="false" indent="0" shrinkToFit="false"/>
      <protection locked="true" hidden="false"/>
    </xf>
    <xf numFmtId="164" fontId="16" fillId="24" borderId="5" xfId="0" applyFont="true" applyBorder="true" applyAlignment="true" applyProtection="false">
      <alignment horizontal="center" vertical="center" textRotation="0" wrapText="false" indent="0" shrinkToFit="false"/>
      <protection locked="true" hidden="false"/>
    </xf>
    <xf numFmtId="164" fontId="15" fillId="25" borderId="14" xfId="0" applyFont="true" applyBorder="true" applyAlignment="true" applyProtection="false">
      <alignment horizontal="general" vertical="center" textRotation="0" wrapText="false" indent="0" shrinkToFit="false"/>
      <protection locked="true" hidden="false"/>
    </xf>
    <xf numFmtId="164" fontId="5" fillId="3" borderId="4" xfId="0" applyFont="true" applyBorder="true" applyAlignment="true" applyProtection="false">
      <alignment horizontal="center" vertical="center" textRotation="0" wrapText="false" indent="0" shrinkToFit="false"/>
      <protection locked="true" hidden="false"/>
    </xf>
    <xf numFmtId="164" fontId="21" fillId="26" borderId="1" xfId="0" applyFont="true" applyBorder="true" applyAlignment="true" applyProtection="false">
      <alignment horizontal="center" vertical="center" textRotation="0" wrapText="false" indent="0" shrinkToFit="false"/>
      <protection locked="true" hidden="false"/>
    </xf>
    <xf numFmtId="164" fontId="22" fillId="16" borderId="1" xfId="0" applyFont="true" applyBorder="true" applyAlignment="true" applyProtection="false">
      <alignment horizontal="center" vertical="center" textRotation="0" wrapText="true" indent="0" shrinkToFit="false"/>
      <protection locked="true" hidden="false"/>
    </xf>
    <xf numFmtId="164" fontId="12" fillId="5" borderId="1" xfId="0" applyFont="true" applyBorder="true" applyAlignment="true" applyProtection="false">
      <alignment horizontal="left" vertical="center" textRotation="0" wrapText="true" indent="0" shrinkToFit="false"/>
      <protection locked="true" hidden="false"/>
    </xf>
    <xf numFmtId="164" fontId="5" fillId="27" borderId="1" xfId="0" applyFont="true" applyBorder="true" applyAlignment="true" applyProtection="false">
      <alignment horizontal="general" vertical="center" textRotation="0" wrapText="false" indent="0" shrinkToFit="false"/>
      <protection locked="true" hidden="false"/>
    </xf>
    <xf numFmtId="164" fontId="5" fillId="27" borderId="2" xfId="0" applyFont="true" applyBorder="true" applyAlignment="true" applyProtection="false">
      <alignment horizontal="center" vertical="center" textRotation="0" wrapText="false" indent="0" shrinkToFit="false"/>
      <protection locked="true" hidden="false"/>
    </xf>
    <xf numFmtId="164" fontId="5" fillId="27" borderId="9" xfId="0" applyFont="true" applyBorder="true" applyAlignment="true" applyProtection="false">
      <alignment horizontal="center" vertical="center" textRotation="0" wrapText="false" indent="0" shrinkToFit="false"/>
      <protection locked="true" hidden="false"/>
    </xf>
    <xf numFmtId="164" fontId="5" fillId="7" borderId="9" xfId="0" applyFont="true" applyBorder="true" applyAlignment="true" applyProtection="false">
      <alignment horizontal="center" vertical="center" textRotation="0" wrapText="false" indent="0" shrinkToFit="false"/>
      <protection locked="true" hidden="false"/>
    </xf>
    <xf numFmtId="164" fontId="4" fillId="28" borderId="3" xfId="0" applyFont="true" applyBorder="true" applyAlignment="true" applyProtection="false">
      <alignment horizontal="general" vertical="center" textRotation="0" wrapText="false" indent="0" shrinkToFit="false"/>
      <protection locked="true" hidden="false"/>
    </xf>
    <xf numFmtId="164" fontId="4" fillId="28" borderId="0" xfId="0" applyFont="true" applyBorder="false" applyAlignment="true" applyProtection="false">
      <alignment horizontal="center" vertical="center" textRotation="0" wrapText="false" indent="0" shrinkToFit="false"/>
      <protection locked="true" hidden="false"/>
    </xf>
    <xf numFmtId="164" fontId="4" fillId="28" borderId="13" xfId="0" applyFont="true" applyBorder="true" applyAlignment="true" applyProtection="false">
      <alignment horizontal="center" vertical="center" textRotation="0" wrapText="false" indent="0" shrinkToFit="false"/>
      <protection locked="true" hidden="false"/>
    </xf>
    <xf numFmtId="164" fontId="4" fillId="29" borderId="13" xfId="0" applyFont="true" applyBorder="true" applyAlignment="true" applyProtection="false">
      <alignment horizontal="center" vertical="center" textRotation="0" wrapText="false" indent="0" shrinkToFit="false"/>
      <protection locked="true" hidden="false"/>
    </xf>
    <xf numFmtId="164" fontId="5" fillId="20" borderId="13" xfId="0" applyFont="true" applyBorder="true" applyAlignment="true" applyProtection="false">
      <alignment horizontal="center" vertical="center" textRotation="0" wrapText="false" indent="0" shrinkToFit="false"/>
      <protection locked="true" hidden="false"/>
    </xf>
    <xf numFmtId="164" fontId="4" fillId="20" borderId="13" xfId="0" applyFont="true" applyBorder="true" applyAlignment="true" applyProtection="false">
      <alignment horizontal="general" vertical="center" textRotation="0" wrapText="false" indent="0" shrinkToFit="false"/>
      <protection locked="true" hidden="false"/>
    </xf>
    <xf numFmtId="164" fontId="4" fillId="30" borderId="8" xfId="0" applyFont="true" applyBorder="true" applyAlignment="true" applyProtection="false">
      <alignment horizontal="general" vertical="center" textRotation="0" wrapText="false" indent="0" shrinkToFit="false"/>
      <protection locked="true" hidden="false"/>
    </xf>
    <xf numFmtId="164" fontId="4" fillId="30" borderId="0" xfId="0" applyFont="true" applyBorder="false" applyAlignment="true" applyProtection="false">
      <alignment horizontal="center" vertical="center" textRotation="0" wrapText="false" indent="0" shrinkToFit="false"/>
      <protection locked="true" hidden="false"/>
    </xf>
    <xf numFmtId="164" fontId="4" fillId="30" borderId="13" xfId="0" applyFont="true" applyBorder="true" applyAlignment="true" applyProtection="false">
      <alignment horizontal="center" vertical="center" textRotation="0" wrapText="false" indent="0" shrinkToFit="false"/>
      <protection locked="true" hidden="false"/>
    </xf>
    <xf numFmtId="164" fontId="4" fillId="28" borderId="8" xfId="0" applyFont="true" applyBorder="true" applyAlignment="true" applyProtection="false">
      <alignment horizontal="general" vertical="center" textRotation="0" wrapText="false" indent="0" shrinkToFit="false"/>
      <protection locked="true" hidden="false"/>
    </xf>
    <xf numFmtId="164" fontId="7" fillId="6" borderId="1" xfId="0" applyFont="true" applyBorder="true" applyAlignment="true" applyProtection="false">
      <alignment horizontal="center" vertical="center" textRotation="0" wrapText="false" indent="0" shrinkToFit="false"/>
      <protection locked="true" hidden="false"/>
    </xf>
    <xf numFmtId="164" fontId="4" fillId="30" borderId="6" xfId="0" applyFont="true" applyBorder="true" applyAlignment="true" applyProtection="false">
      <alignment horizontal="general" vertical="center" textRotation="0" wrapText="false" indent="0" shrinkToFit="false"/>
      <protection locked="true" hidden="false"/>
    </xf>
    <xf numFmtId="164" fontId="4" fillId="30" borderId="2" xfId="0" applyFont="true" applyBorder="true" applyAlignment="true" applyProtection="false">
      <alignment horizontal="center" vertical="center" textRotation="0" wrapText="false" indent="0" shrinkToFit="false"/>
      <protection locked="true" hidden="false"/>
    </xf>
    <xf numFmtId="164" fontId="4" fillId="30" borderId="9" xfId="0" applyFont="true" applyBorder="true" applyAlignment="true" applyProtection="false">
      <alignment horizontal="center" vertical="center" textRotation="0" wrapText="false" indent="0" shrinkToFit="false"/>
      <protection locked="true" hidden="false"/>
    </xf>
    <xf numFmtId="164" fontId="4" fillId="20" borderId="9" xfId="0" applyFont="true" applyBorder="true" applyAlignment="true" applyProtection="false">
      <alignment horizontal="general" vertical="center" textRotation="0" wrapText="false" indent="0" shrinkToFit="false"/>
      <protection locked="true" hidden="false"/>
    </xf>
    <xf numFmtId="164" fontId="7" fillId="5" borderId="3" xfId="0" applyFont="true" applyBorder="true" applyAlignment="true" applyProtection="false">
      <alignment horizontal="center" vertical="center" textRotation="0" wrapText="false" indent="0" shrinkToFit="false"/>
      <protection locked="true" hidden="false"/>
    </xf>
    <xf numFmtId="164" fontId="7" fillId="5" borderId="17" xfId="0" applyFont="true" applyBorder="true" applyAlignment="true" applyProtection="false">
      <alignment horizontal="center" vertical="center" textRotation="0" wrapText="false" indent="0" shrinkToFit="false"/>
      <protection locked="true" hidden="false"/>
    </xf>
    <xf numFmtId="164" fontId="21" fillId="8" borderId="1" xfId="0" applyFont="true" applyBorder="true" applyAlignment="true" applyProtection="false">
      <alignment horizontal="general" vertical="center" textRotation="0" wrapText="false" indent="0" shrinkToFit="false"/>
      <protection locked="true" hidden="false"/>
    </xf>
    <xf numFmtId="164" fontId="21" fillId="8" borderId="2" xfId="0" applyFont="true" applyBorder="true" applyAlignment="true" applyProtection="false">
      <alignment horizontal="center" vertical="center" textRotation="0" wrapText="false" indent="0" shrinkToFit="false"/>
      <protection locked="true" hidden="false"/>
    </xf>
    <xf numFmtId="164" fontId="21" fillId="8" borderId="9" xfId="0" applyFont="true" applyBorder="true" applyAlignment="true" applyProtection="false">
      <alignment horizontal="center" vertical="center" textRotation="0" wrapText="false" indent="0" shrinkToFit="false"/>
      <protection locked="true" hidden="false"/>
    </xf>
    <xf numFmtId="164" fontId="21" fillId="8" borderId="13" xfId="0" applyFont="true" applyBorder="true" applyAlignment="true" applyProtection="false">
      <alignment horizontal="center" vertical="center" textRotation="0" wrapText="false" indent="0" shrinkToFit="false"/>
      <protection locked="true" hidden="false"/>
    </xf>
    <xf numFmtId="164" fontId="21" fillId="8" borderId="4" xfId="0" applyFont="true" applyBorder="true" applyAlignment="true" applyProtection="false">
      <alignment horizontal="center" vertical="center" textRotation="0" wrapText="false" indent="0" shrinkToFit="false"/>
      <protection locked="true" hidden="false"/>
    </xf>
    <xf numFmtId="164" fontId="7" fillId="7" borderId="14" xfId="0" applyFont="true" applyBorder="true" applyAlignment="true" applyProtection="false">
      <alignment horizontal="center" vertical="center" textRotation="0" wrapText="false" indent="0" shrinkToFit="false"/>
      <protection locked="true" hidden="false"/>
    </xf>
    <xf numFmtId="164" fontId="8" fillId="7" borderId="3" xfId="0" applyFont="true" applyBorder="true" applyAlignment="true" applyProtection="false">
      <alignment horizontal="center" vertical="center" textRotation="0" wrapText="false" indent="0" shrinkToFit="false"/>
      <protection locked="true" hidden="false"/>
    </xf>
    <xf numFmtId="164" fontId="15" fillId="7" borderId="17" xfId="0" applyFont="true" applyBorder="true" applyAlignment="true" applyProtection="false">
      <alignment horizontal="center" vertical="center" textRotation="0" wrapText="false" indent="0" shrinkToFit="false"/>
      <protection locked="true" hidden="false"/>
    </xf>
    <xf numFmtId="164" fontId="4" fillId="20" borderId="8" xfId="0" applyFont="true" applyBorder="true" applyAlignment="true" applyProtection="false">
      <alignment horizontal="center" vertical="center" textRotation="0" wrapText="false" indent="0" shrinkToFit="false"/>
      <protection locked="true" hidden="false"/>
    </xf>
    <xf numFmtId="164" fontId="5" fillId="7" borderId="5" xfId="0" applyFont="true" applyBorder="true" applyAlignment="true" applyProtection="false">
      <alignment horizontal="center" vertical="bottom" textRotation="0" wrapText="false" indent="0" shrinkToFit="false"/>
      <protection locked="true" hidden="false"/>
    </xf>
    <xf numFmtId="164" fontId="8" fillId="7" borderId="8" xfId="0" applyFont="true" applyBorder="true" applyAlignment="true" applyProtection="false">
      <alignment horizontal="center" vertical="center" textRotation="0" wrapText="false" indent="0" shrinkToFit="false"/>
      <protection locked="true" hidden="false"/>
    </xf>
    <xf numFmtId="164" fontId="10" fillId="7" borderId="13" xfId="0" applyFont="true" applyBorder="true" applyAlignment="true" applyProtection="false">
      <alignment horizontal="center" vertical="bottom" textRotation="0" wrapText="false" indent="0" shrinkToFit="false"/>
      <protection locked="true" hidden="false"/>
    </xf>
    <xf numFmtId="164" fontId="7" fillId="6" borderId="3" xfId="0" applyFont="true" applyBorder="true" applyAlignment="true" applyProtection="false">
      <alignment horizontal="general" vertical="center" textRotation="0" wrapText="false" indent="0" shrinkToFit="false"/>
      <protection locked="true" hidden="false"/>
    </xf>
    <xf numFmtId="164" fontId="12" fillId="5" borderId="17" xfId="0" applyFont="true" applyBorder="true" applyAlignment="true" applyProtection="false">
      <alignment horizontal="center" vertical="center" textRotation="0" wrapText="false" indent="0" shrinkToFit="false"/>
      <protection locked="true" hidden="false"/>
    </xf>
    <xf numFmtId="164" fontId="4" fillId="28" borderId="6" xfId="0" applyFont="true" applyBorder="true" applyAlignment="true" applyProtection="false">
      <alignment horizontal="general" vertical="center" textRotation="0" wrapText="false" indent="0" shrinkToFit="false"/>
      <protection locked="true" hidden="false"/>
    </xf>
    <xf numFmtId="164" fontId="4" fillId="28" borderId="2" xfId="0" applyFont="true" applyBorder="true" applyAlignment="true" applyProtection="false">
      <alignment horizontal="center" vertical="center" textRotation="0" wrapText="false" indent="0" shrinkToFit="false"/>
      <protection locked="true" hidden="false"/>
    </xf>
    <xf numFmtId="164" fontId="4" fillId="28" borderId="9" xfId="0" applyFont="true" applyBorder="true" applyAlignment="true" applyProtection="false">
      <alignment horizontal="center" vertical="center" textRotation="0" wrapText="false" indent="0" shrinkToFit="false"/>
      <protection locked="true" hidden="false"/>
    </xf>
    <xf numFmtId="164" fontId="4" fillId="29" borderId="9" xfId="0" applyFont="true" applyBorder="true" applyAlignment="true" applyProtection="false">
      <alignment horizontal="center" vertical="center" textRotation="0" wrapText="false" indent="0" shrinkToFit="false"/>
      <protection locked="true" hidden="false"/>
    </xf>
    <xf numFmtId="164" fontId="5" fillId="20" borderId="9" xfId="0" applyFont="true" applyBorder="true" applyAlignment="true" applyProtection="false">
      <alignment horizontal="center" vertical="center" textRotation="0" wrapText="false" indent="0" shrinkToFit="false"/>
      <protection locked="true" hidden="false"/>
    </xf>
    <xf numFmtId="164" fontId="4" fillId="20" borderId="6" xfId="0" applyFont="true" applyBorder="true" applyAlignment="true" applyProtection="false">
      <alignment horizontal="center" vertical="center" textRotation="0" wrapText="false" indent="0" shrinkToFit="false"/>
      <protection locked="true" hidden="false"/>
    </xf>
    <xf numFmtId="164" fontId="15" fillId="8" borderId="14" xfId="0" applyFont="true" applyBorder="true" applyAlignment="true" applyProtection="false">
      <alignment horizontal="general" vertical="center" textRotation="0" wrapText="false" indent="0" shrinkToFit="false"/>
      <protection locked="true" hidden="false"/>
    </xf>
    <xf numFmtId="164" fontId="7" fillId="8" borderId="17" xfId="0" applyFont="true" applyBorder="true" applyAlignment="true" applyProtection="false">
      <alignment horizontal="general" vertical="center" textRotation="0" wrapText="false" indent="0" shrinkToFit="false"/>
      <protection locked="true" hidden="false"/>
    </xf>
    <xf numFmtId="164" fontId="12" fillId="5" borderId="13" xfId="0" applyFont="true" applyBorder="true" applyAlignment="true" applyProtection="false">
      <alignment horizontal="center" vertical="center" textRotation="0" wrapText="true" indent="0" shrinkToFit="false"/>
      <protection locked="true" hidden="false"/>
    </xf>
    <xf numFmtId="164" fontId="15" fillId="8" borderId="5" xfId="0" applyFont="true" applyBorder="true" applyAlignment="true" applyProtection="false">
      <alignment horizontal="general" vertical="center" textRotation="0" wrapText="false" indent="0" shrinkToFit="false"/>
      <protection locked="true" hidden="false"/>
    </xf>
    <xf numFmtId="164" fontId="7" fillId="8" borderId="13" xfId="0" applyFont="true" applyBorder="true" applyAlignment="true" applyProtection="false">
      <alignment horizontal="general" vertical="center" textRotation="0" wrapText="false" indent="0" shrinkToFit="false"/>
      <protection locked="true" hidden="false"/>
    </xf>
    <xf numFmtId="164" fontId="15" fillId="8" borderId="12" xfId="0" applyFont="true" applyBorder="true" applyAlignment="true" applyProtection="false">
      <alignment horizontal="general" vertical="center" textRotation="0" wrapText="false" indent="0" shrinkToFit="false"/>
      <protection locked="true" hidden="false"/>
    </xf>
    <xf numFmtId="164" fontId="7" fillId="8" borderId="9" xfId="0" applyFont="true" applyBorder="true" applyAlignment="true" applyProtection="false">
      <alignment horizontal="general" vertical="center" textRotation="0" wrapText="false" indent="0" shrinkToFit="false"/>
      <protection locked="true" hidden="false"/>
    </xf>
    <xf numFmtId="164" fontId="19" fillId="7" borderId="14" xfId="0" applyFont="true" applyBorder="true" applyAlignment="true" applyProtection="false">
      <alignment horizontal="general" vertical="center" textRotation="0" wrapText="false" indent="0" shrinkToFit="false"/>
      <protection locked="true" hidden="false"/>
    </xf>
    <xf numFmtId="164" fontId="8" fillId="7" borderId="17" xfId="0" applyFont="true" applyBorder="true" applyAlignment="true" applyProtection="false">
      <alignment horizontal="general" vertical="center" textRotation="0" wrapText="false" indent="0" shrinkToFit="false"/>
      <protection locked="true" hidden="false"/>
    </xf>
    <xf numFmtId="164" fontId="19" fillId="7" borderId="5" xfId="0" applyFont="true" applyBorder="true" applyAlignment="true" applyProtection="false">
      <alignment horizontal="general" vertical="center" textRotation="0" wrapText="false" indent="0" shrinkToFit="false"/>
      <protection locked="true" hidden="false"/>
    </xf>
    <xf numFmtId="164" fontId="8" fillId="7" borderId="13" xfId="0" applyFont="true" applyBorder="true" applyAlignment="true" applyProtection="false">
      <alignment horizontal="general" vertical="center" textRotation="0" wrapText="false" indent="0" shrinkToFit="false"/>
      <protection locked="true" hidden="false"/>
    </xf>
    <xf numFmtId="164" fontId="5" fillId="7" borderId="12" xfId="0" applyFont="true" applyBorder="true" applyAlignment="true" applyProtection="false">
      <alignment horizontal="center" vertical="bottom" textRotation="0" wrapText="false" indent="0" shrinkToFit="false"/>
      <protection locked="true" hidden="false"/>
    </xf>
    <xf numFmtId="164" fontId="8" fillId="7" borderId="6" xfId="0" applyFont="true" applyBorder="true" applyAlignment="true" applyProtection="false">
      <alignment horizontal="center" vertical="center" textRotation="0" wrapText="false" indent="0" shrinkToFit="false"/>
      <protection locked="true" hidden="false"/>
    </xf>
    <xf numFmtId="164" fontId="10" fillId="7" borderId="9" xfId="0" applyFont="true" applyBorder="true" applyAlignment="true" applyProtection="false">
      <alignment horizontal="center" vertical="bottom" textRotation="0" wrapText="false" indent="0" shrinkToFit="false"/>
      <protection locked="true" hidden="false"/>
    </xf>
    <xf numFmtId="164" fontId="12" fillId="5" borderId="9" xfId="0" applyFont="true" applyBorder="true" applyAlignment="true" applyProtection="false">
      <alignment horizontal="center" vertical="center" textRotation="0" wrapText="false" indent="0" shrinkToFit="false"/>
      <protection locked="true" hidden="false"/>
    </xf>
    <xf numFmtId="164" fontId="7" fillId="31" borderId="8" xfId="0" applyFont="true" applyBorder="true" applyAlignment="true" applyProtection="false">
      <alignment horizontal="center" vertical="center" textRotation="0" wrapText="false" indent="0" shrinkToFit="false"/>
      <protection locked="true" hidden="false"/>
    </xf>
    <xf numFmtId="164" fontId="8" fillId="31" borderId="0" xfId="0" applyFont="true" applyBorder="false" applyAlignment="true" applyProtection="false">
      <alignment horizontal="center" vertical="center" textRotation="0" wrapText="false" indent="0" shrinkToFit="false"/>
      <protection locked="true" hidden="false"/>
    </xf>
    <xf numFmtId="164" fontId="15" fillId="31" borderId="8" xfId="0" applyFont="true" applyBorder="true" applyAlignment="true" applyProtection="false">
      <alignment horizontal="center" vertical="center" textRotation="0" wrapText="false" indent="0" shrinkToFit="false"/>
      <protection locked="true" hidden="false"/>
    </xf>
    <xf numFmtId="164" fontId="4" fillId="30" borderId="14" xfId="0" applyFont="true" applyBorder="true" applyAlignment="true" applyProtection="false">
      <alignment horizontal="general" vertical="center" textRotation="0" wrapText="false" indent="0" shrinkToFit="false"/>
      <protection locked="true" hidden="false"/>
    </xf>
    <xf numFmtId="164" fontId="4" fillId="30" borderId="14" xfId="0" applyFont="true" applyBorder="true" applyAlignment="true" applyProtection="false">
      <alignment horizontal="center" vertical="center" textRotation="0" wrapText="false" indent="0" shrinkToFit="false"/>
      <protection locked="true" hidden="false"/>
    </xf>
    <xf numFmtId="164" fontId="4" fillId="30" borderId="11" xfId="0" applyFont="true" applyBorder="true" applyAlignment="true" applyProtection="false">
      <alignment horizontal="center" vertical="center" textRotation="0" wrapText="false" indent="0" shrinkToFit="false"/>
      <protection locked="true" hidden="false"/>
    </xf>
    <xf numFmtId="164" fontId="4" fillId="20" borderId="14" xfId="0" applyFont="true" applyBorder="true" applyAlignment="true" applyProtection="false">
      <alignment horizontal="center" vertical="center" textRotation="0" wrapText="false" indent="0" shrinkToFit="false"/>
      <protection locked="true" hidden="false"/>
    </xf>
    <xf numFmtId="164" fontId="4" fillId="20" borderId="11" xfId="0" applyFont="true" applyBorder="true" applyAlignment="true" applyProtection="false">
      <alignment horizontal="center" vertical="center" textRotation="0" wrapText="false" indent="0" shrinkToFit="false"/>
      <protection locked="true" hidden="false"/>
    </xf>
    <xf numFmtId="164" fontId="4" fillId="20" borderId="3" xfId="0" applyFont="true" applyBorder="true" applyAlignment="true" applyProtection="false">
      <alignment horizontal="center" vertical="center" textRotation="0" wrapText="false" indent="0" shrinkToFit="false"/>
      <protection locked="true" hidden="false"/>
    </xf>
    <xf numFmtId="164" fontId="23" fillId="26" borderId="11" xfId="0" applyFont="true" applyBorder="true" applyAlignment="true" applyProtection="false">
      <alignment horizontal="general" vertical="center" textRotation="0" wrapText="false" indent="0" shrinkToFit="false"/>
      <protection locked="true" hidden="false"/>
    </xf>
    <xf numFmtId="164" fontId="23" fillId="26" borderId="17" xfId="0" applyFont="true" applyBorder="true" applyAlignment="true" applyProtection="false">
      <alignment horizontal="center" vertical="center" textRotation="0" wrapText="false" indent="0" shrinkToFit="false"/>
      <protection locked="true" hidden="false"/>
    </xf>
    <xf numFmtId="164" fontId="12" fillId="5" borderId="14" xfId="0" applyFont="true" applyBorder="true" applyAlignment="true" applyProtection="false">
      <alignment horizontal="general" vertical="center" textRotation="0" wrapText="false" indent="0" shrinkToFit="false"/>
      <protection locked="true" hidden="false"/>
    </xf>
    <xf numFmtId="164" fontId="4" fillId="28" borderId="5" xfId="0" applyFont="true" applyBorder="true" applyAlignment="true" applyProtection="false">
      <alignment horizontal="general" vertical="center" textRotation="0" wrapText="false" indent="0" shrinkToFit="false"/>
      <protection locked="true" hidden="false"/>
    </xf>
    <xf numFmtId="164" fontId="4" fillId="28" borderId="5" xfId="0" applyFont="true" applyBorder="true" applyAlignment="true" applyProtection="false">
      <alignment horizontal="center" vertical="center" textRotation="0" wrapText="false" indent="0" shrinkToFit="false"/>
      <protection locked="true" hidden="false"/>
    </xf>
    <xf numFmtId="164" fontId="4" fillId="20" borderId="5" xfId="0" applyFont="true" applyBorder="true" applyAlignment="true" applyProtection="false">
      <alignment horizontal="center" vertical="center" textRotation="0" wrapText="false" indent="0" shrinkToFit="false"/>
      <protection locked="true" hidden="false"/>
    </xf>
    <xf numFmtId="164" fontId="4" fillId="20" borderId="0" xfId="0" applyFont="true" applyBorder="false" applyAlignment="true" applyProtection="false">
      <alignment horizontal="center" vertical="center" textRotation="0" wrapText="false" indent="0" shrinkToFit="false"/>
      <protection locked="true" hidden="false"/>
    </xf>
    <xf numFmtId="164" fontId="23" fillId="26" borderId="0" xfId="0" applyFont="true" applyBorder="true" applyAlignment="true" applyProtection="false">
      <alignment horizontal="general" vertical="center" textRotation="0" wrapText="false" indent="0" shrinkToFit="false"/>
      <protection locked="true" hidden="false"/>
    </xf>
    <xf numFmtId="164" fontId="23" fillId="26" borderId="13" xfId="0" applyFont="true" applyBorder="true" applyAlignment="true" applyProtection="false">
      <alignment horizontal="center" vertical="center" textRotation="0" wrapText="false" indent="0" shrinkToFit="false"/>
      <protection locked="true" hidden="false"/>
    </xf>
    <xf numFmtId="164" fontId="12" fillId="5" borderId="5" xfId="0" applyFont="true" applyBorder="true" applyAlignment="true" applyProtection="false">
      <alignment horizontal="left" vertical="center" textRotation="0" wrapText="true" indent="0" shrinkToFit="false"/>
      <protection locked="true" hidden="false"/>
    </xf>
    <xf numFmtId="164" fontId="4" fillId="30" borderId="5" xfId="0" applyFont="true" applyBorder="true" applyAlignment="true" applyProtection="false">
      <alignment horizontal="general" vertical="center" textRotation="0" wrapText="false" indent="0" shrinkToFit="false"/>
      <protection locked="true" hidden="false"/>
    </xf>
    <xf numFmtId="164" fontId="4" fillId="30" borderId="5" xfId="0" applyFont="true" applyBorder="true" applyAlignment="true" applyProtection="false">
      <alignment horizontal="center" vertical="center" textRotation="0" wrapText="false" indent="0" shrinkToFit="false"/>
      <protection locked="true" hidden="false"/>
    </xf>
    <xf numFmtId="164" fontId="4" fillId="20" borderId="5" xfId="0" applyFont="true" applyBorder="true" applyAlignment="true" applyProtection="false">
      <alignment horizontal="center" vertical="bottom" textRotation="0" wrapText="false" indent="0" shrinkToFit="false"/>
      <protection locked="true" hidden="false"/>
    </xf>
    <xf numFmtId="164" fontId="4" fillId="20" borderId="0" xfId="0" applyFont="true" applyBorder="false" applyAlignment="true" applyProtection="false">
      <alignment horizontal="center" vertical="bottom" textRotation="0" wrapText="false" indent="0" shrinkToFit="false"/>
      <protection locked="true" hidden="false"/>
    </xf>
    <xf numFmtId="164" fontId="4" fillId="20" borderId="8" xfId="0" applyFont="true" applyBorder="true" applyAlignment="true" applyProtection="false">
      <alignment horizontal="general" vertical="bottom" textRotation="0" wrapText="false" indent="0" shrinkToFit="false"/>
      <protection locked="true" hidden="false"/>
    </xf>
    <xf numFmtId="164" fontId="4" fillId="28" borderId="12" xfId="0" applyFont="true" applyBorder="true" applyAlignment="true" applyProtection="false">
      <alignment horizontal="general" vertical="center" textRotation="0" wrapText="false" indent="0" shrinkToFit="false"/>
      <protection locked="true" hidden="false"/>
    </xf>
    <xf numFmtId="164" fontId="4" fillId="20" borderId="12" xfId="0" applyFont="true" applyBorder="true" applyAlignment="true" applyProtection="false">
      <alignment horizontal="center" vertical="bottom" textRotation="0" wrapText="false" indent="0" shrinkToFit="false"/>
      <protection locked="true" hidden="false"/>
    </xf>
    <xf numFmtId="164" fontId="4" fillId="20" borderId="2" xfId="0" applyFont="true" applyBorder="true" applyAlignment="true" applyProtection="false">
      <alignment horizontal="center" vertical="bottom" textRotation="0" wrapText="false" indent="0" shrinkToFit="false"/>
      <protection locked="true" hidden="false"/>
    </xf>
    <xf numFmtId="164" fontId="4" fillId="20" borderId="3" xfId="0" applyFont="true" applyBorder="true" applyAlignment="true" applyProtection="false">
      <alignment horizontal="general" vertical="bottom" textRotation="0" wrapText="false" indent="0" shrinkToFit="false"/>
      <protection locked="true" hidden="false"/>
    </xf>
    <xf numFmtId="164" fontId="12" fillId="5" borderId="12" xfId="0" applyFont="true" applyBorder="true" applyAlignment="true" applyProtection="false">
      <alignment horizontal="general" vertical="center" textRotation="0" wrapText="false" indent="0" shrinkToFit="false"/>
      <protection locked="true" hidden="false"/>
    </xf>
    <xf numFmtId="164" fontId="4" fillId="28" borderId="12" xfId="0" applyFont="true" applyBorder="true" applyAlignment="true" applyProtection="false">
      <alignment horizontal="center" vertical="center" textRotation="0" wrapText="false" indent="0" shrinkToFit="false"/>
      <protection locked="true" hidden="false"/>
    </xf>
    <xf numFmtId="164" fontId="4" fillId="20" borderId="6" xfId="0" applyFont="true" applyBorder="true" applyAlignment="true" applyProtection="false">
      <alignment horizontal="general" vertical="bottom" textRotation="0" wrapText="false" indent="0" shrinkToFit="false"/>
      <protection locked="true" hidden="false"/>
    </xf>
    <xf numFmtId="164" fontId="23" fillId="26" borderId="2" xfId="0" applyFont="true" applyBorder="true" applyAlignment="true" applyProtection="false">
      <alignment horizontal="general" vertical="center" textRotation="0" wrapText="false" indent="0" shrinkToFit="false"/>
      <protection locked="true" hidden="false"/>
    </xf>
    <xf numFmtId="164" fontId="23" fillId="26" borderId="9" xfId="0" applyFont="true" applyBorder="true" applyAlignment="true" applyProtection="false">
      <alignment horizontal="center" vertical="center" textRotation="0" wrapText="false" indent="0" shrinkToFit="false"/>
      <protection locked="true" hidden="false"/>
    </xf>
    <xf numFmtId="164" fontId="8" fillId="31" borderId="2" xfId="0" applyFont="true" applyBorder="true" applyAlignment="true" applyProtection="false">
      <alignment horizontal="center" vertical="center" textRotation="0" wrapText="false" indent="0" shrinkToFit="false"/>
      <protection locked="true" hidden="false"/>
    </xf>
    <xf numFmtId="164" fontId="8" fillId="7" borderId="0" xfId="0" applyFont="true" applyBorder="false" applyAlignment="true" applyProtection="false">
      <alignment horizontal="center" vertical="center" textRotation="0" wrapText="false" indent="0" shrinkToFit="false"/>
      <protection locked="true" hidden="false"/>
    </xf>
    <xf numFmtId="164" fontId="15" fillId="7" borderId="3" xfId="0" applyFont="true" applyBorder="true" applyAlignment="true" applyProtection="false">
      <alignment horizontal="center" vertical="center" textRotation="0" wrapText="false" indent="0" shrinkToFit="false"/>
      <protection locked="true" hidden="false"/>
    </xf>
    <xf numFmtId="164" fontId="4" fillId="0" borderId="0" xfId="0" applyFont="true" applyBorder="false" applyAlignment="true" applyProtection="false">
      <alignment horizontal="general" vertical="center" textRotation="0" wrapText="false" indent="0" shrinkToFit="false"/>
      <protection locked="true" hidden="false"/>
    </xf>
    <xf numFmtId="164" fontId="7" fillId="7" borderId="8" xfId="0" applyFont="true" applyBorder="true" applyAlignment="true" applyProtection="false">
      <alignment horizontal="center" vertical="center" textRotation="0" wrapText="false" indent="0" shrinkToFit="false"/>
      <protection locked="true" hidden="false"/>
    </xf>
    <xf numFmtId="164" fontId="15" fillId="7" borderId="8" xfId="0" applyFont="true" applyBorder="true" applyAlignment="true" applyProtection="false">
      <alignment horizontal="center" vertical="center" textRotation="0" wrapText="false" indent="0" shrinkToFit="false"/>
      <protection locked="true" hidden="false"/>
    </xf>
    <xf numFmtId="164" fontId="7" fillId="7" borderId="6" xfId="0" applyFont="true" applyBorder="true" applyAlignment="true" applyProtection="false">
      <alignment horizontal="center" vertical="center" textRotation="0" wrapText="false" indent="0" shrinkToFit="false"/>
      <protection locked="true" hidden="false"/>
    </xf>
    <xf numFmtId="164" fontId="8" fillId="7" borderId="2" xfId="0" applyFont="true" applyBorder="true" applyAlignment="true" applyProtection="false">
      <alignment horizontal="center" vertical="center" textRotation="0" wrapText="false" indent="0" shrinkToFit="false"/>
      <protection locked="true" hidden="false"/>
    </xf>
    <xf numFmtId="164" fontId="15" fillId="7" borderId="6" xfId="0" applyFont="true" applyBorder="true" applyAlignment="true" applyProtection="false">
      <alignment horizontal="center" vertical="center" textRotation="0" wrapText="false" indent="0" shrinkToFit="false"/>
      <protection locked="true" hidden="false"/>
    </xf>
    <xf numFmtId="164" fontId="5" fillId="31" borderId="8" xfId="0" applyFont="true" applyBorder="true" applyAlignment="true" applyProtection="false">
      <alignment horizontal="center" vertical="bottom" textRotation="0" wrapText="false" indent="0" shrinkToFit="false"/>
      <protection locked="true" hidden="false"/>
    </xf>
    <xf numFmtId="164" fontId="21" fillId="31" borderId="13" xfId="0" applyFont="true" applyBorder="true" applyAlignment="true" applyProtection="false">
      <alignment horizontal="center" vertical="bottom" textRotation="0" wrapText="false" indent="0" shrinkToFit="false"/>
      <protection locked="true" hidden="false"/>
    </xf>
    <xf numFmtId="164" fontId="10" fillId="31" borderId="13" xfId="0" applyFont="true" applyBorder="true" applyAlignment="true" applyProtection="false">
      <alignment horizontal="center" vertical="bottom" textRotation="0" wrapText="false" indent="0" shrinkToFit="false"/>
      <protection locked="true" hidden="false"/>
    </xf>
    <xf numFmtId="164" fontId="8" fillId="8" borderId="14" xfId="0" applyFont="true" applyBorder="true" applyAlignment="true" applyProtection="false">
      <alignment horizontal="center" vertical="center" textRotation="0" wrapText="false" indent="0" shrinkToFit="false"/>
      <protection locked="true" hidden="false"/>
    </xf>
    <xf numFmtId="164" fontId="19" fillId="8" borderId="17" xfId="0" applyFont="true" applyBorder="true" applyAlignment="true" applyProtection="false">
      <alignment horizontal="center" vertical="center" textRotation="0" wrapText="false" indent="0" shrinkToFit="false"/>
      <protection locked="true" hidden="false"/>
    </xf>
    <xf numFmtId="164" fontId="8" fillId="8" borderId="5" xfId="0" applyFont="true" applyBorder="true" applyAlignment="true" applyProtection="false">
      <alignment horizontal="center" vertical="center" textRotation="0" wrapText="false" indent="0" shrinkToFit="false"/>
      <protection locked="true" hidden="false"/>
    </xf>
    <xf numFmtId="164" fontId="8" fillId="8" borderId="8" xfId="0" applyFont="true" applyBorder="true" applyAlignment="true" applyProtection="false">
      <alignment horizontal="center" vertical="center" textRotation="0" wrapText="false" indent="0" shrinkToFit="false"/>
      <protection locked="true" hidden="false"/>
    </xf>
    <xf numFmtId="164" fontId="19" fillId="8" borderId="13" xfId="0" applyFont="true" applyBorder="true" applyAlignment="true" applyProtection="false">
      <alignment horizontal="center" vertical="center" textRotation="0" wrapText="false" indent="0" shrinkToFit="false"/>
      <protection locked="true" hidden="false"/>
    </xf>
    <xf numFmtId="164" fontId="8" fillId="8" borderId="12" xfId="0" applyFont="true" applyBorder="true" applyAlignment="true" applyProtection="false">
      <alignment horizontal="center" vertical="center" textRotation="0" wrapText="false" indent="0" shrinkToFit="false"/>
      <protection locked="true" hidden="false"/>
    </xf>
    <xf numFmtId="164" fontId="8" fillId="8" borderId="6" xfId="0" applyFont="true" applyBorder="true" applyAlignment="true" applyProtection="false">
      <alignment horizontal="center" vertical="center" textRotation="0" wrapText="false" indent="0" shrinkToFit="false"/>
      <protection locked="true" hidden="false"/>
    </xf>
    <xf numFmtId="164" fontId="19" fillId="8" borderId="9" xfId="0" applyFont="true" applyBorder="true" applyAlignment="true" applyProtection="false">
      <alignment horizontal="center" vertical="center" textRotation="0" wrapText="false" indent="0" shrinkToFit="false"/>
      <protection locked="true" hidden="false"/>
    </xf>
    <xf numFmtId="164" fontId="8" fillId="32" borderId="8" xfId="0" applyFont="true" applyBorder="true" applyAlignment="true" applyProtection="false">
      <alignment horizontal="center" vertical="center" textRotation="0" wrapText="false" indent="0" shrinkToFit="false"/>
      <protection locked="true" hidden="false"/>
    </xf>
    <xf numFmtId="164" fontId="8" fillId="32" borderId="0" xfId="0" applyFont="true" applyBorder="false" applyAlignment="true" applyProtection="false">
      <alignment horizontal="center" vertical="center" textRotation="0" wrapText="false" indent="0" shrinkToFit="false"/>
      <protection locked="true" hidden="false"/>
    </xf>
    <xf numFmtId="164" fontId="19" fillId="32" borderId="8" xfId="0" applyFont="true" applyBorder="true" applyAlignment="true" applyProtection="false">
      <alignment horizontal="center" vertical="center" textRotation="0" wrapText="false" indent="0" shrinkToFit="false"/>
      <protection locked="true" hidden="false"/>
    </xf>
    <xf numFmtId="164" fontId="21" fillId="32" borderId="8" xfId="0" applyFont="true" applyBorder="true" applyAlignment="true" applyProtection="false">
      <alignment horizontal="center" vertical="bottom" textRotation="0" wrapText="false" indent="0" shrinkToFit="false"/>
      <protection locked="true" hidden="false"/>
    </xf>
    <xf numFmtId="164" fontId="8" fillId="32" borderId="13" xfId="0" applyFont="true" applyBorder="true" applyAlignment="true" applyProtection="false">
      <alignment horizontal="center" vertical="center" textRotation="0" wrapText="false" indent="0" shrinkToFit="false"/>
      <protection locked="true" hidden="false"/>
    </xf>
    <xf numFmtId="164" fontId="24" fillId="32" borderId="13" xfId="0" applyFont="true" applyBorder="true" applyAlignment="true" applyProtection="false">
      <alignment horizontal="center" vertical="bottom" textRotation="0" wrapText="false" indent="0" shrinkToFit="false"/>
      <protection locked="true" hidden="false"/>
    </xf>
    <xf numFmtId="164" fontId="8" fillId="32" borderId="9" xfId="0" applyFont="true" applyBorder="true" applyAlignment="true" applyProtection="false">
      <alignment horizontal="center" vertical="center" textRotation="0" wrapText="false" indent="0" shrinkToFit="false"/>
      <protection locked="true" hidden="false"/>
    </xf>
    <xf numFmtId="164" fontId="19" fillId="8" borderId="3" xfId="0" applyFont="true" applyBorder="true" applyAlignment="true" applyProtection="false">
      <alignment horizontal="center" vertical="center" textRotation="0" wrapText="false" indent="0" shrinkToFit="false"/>
      <protection locked="true" hidden="false"/>
    </xf>
    <xf numFmtId="164" fontId="9" fillId="0" borderId="0" xfId="0" applyFont="true" applyBorder="true" applyAlignment="true" applyProtection="false">
      <alignment horizontal="center" vertical="center" textRotation="0" wrapText="false" indent="0" shrinkToFit="false"/>
      <protection locked="true" hidden="false"/>
    </xf>
    <xf numFmtId="164" fontId="21" fillId="33" borderId="1" xfId="0" applyFont="true" applyBorder="true" applyAlignment="true" applyProtection="false">
      <alignment horizontal="center" vertical="center" textRotation="0" wrapText="false" indent="0" shrinkToFit="false"/>
      <protection locked="true" hidden="false"/>
    </xf>
    <xf numFmtId="164" fontId="9" fillId="13" borderId="7" xfId="0" applyFont="true" applyBorder="true" applyAlignment="true" applyProtection="false">
      <alignment horizontal="center" vertical="center" textRotation="0" wrapText="false" indent="0" shrinkToFit="false"/>
      <protection locked="true" hidden="false"/>
    </xf>
    <xf numFmtId="164" fontId="7" fillId="34" borderId="17" xfId="0" applyFont="true" applyBorder="true" applyAlignment="true" applyProtection="false">
      <alignment horizontal="general" vertical="center" textRotation="0" wrapText="false" indent="0" shrinkToFit="false"/>
      <protection locked="true" hidden="false"/>
    </xf>
    <xf numFmtId="164" fontId="5" fillId="8" borderId="1" xfId="0" applyFont="true" applyBorder="true" applyAlignment="true" applyProtection="false">
      <alignment horizontal="general" vertical="center" textRotation="0" wrapText="false" indent="0" shrinkToFit="false"/>
      <protection locked="true" hidden="false"/>
    </xf>
    <xf numFmtId="164" fontId="5" fillId="8" borderId="2" xfId="0" applyFont="true" applyBorder="true" applyAlignment="true" applyProtection="false">
      <alignment horizontal="center" vertical="center" textRotation="0" wrapText="false" indent="0" shrinkToFit="false"/>
      <protection locked="true" hidden="false"/>
    </xf>
    <xf numFmtId="164" fontId="5" fillId="8" borderId="9" xfId="0" applyFont="true" applyBorder="true" applyAlignment="true" applyProtection="false">
      <alignment horizontal="center" vertical="center" textRotation="0" wrapText="false" indent="0" shrinkToFit="false"/>
      <protection locked="true" hidden="false"/>
    </xf>
    <xf numFmtId="164" fontId="5" fillId="10" borderId="5" xfId="0" applyFont="true" applyBorder="true" applyAlignment="true" applyProtection="false">
      <alignment horizontal="center" vertical="center" textRotation="0" wrapText="false" indent="0" shrinkToFit="false"/>
      <protection locked="true" hidden="false"/>
    </xf>
    <xf numFmtId="164" fontId="25" fillId="33" borderId="3" xfId="0" applyFont="true" applyBorder="true" applyAlignment="true" applyProtection="false">
      <alignment horizontal="center" vertical="center" textRotation="0" wrapText="false" indent="0" shrinkToFit="false"/>
      <protection locked="true" hidden="false"/>
    </xf>
    <xf numFmtId="164" fontId="5" fillId="5" borderId="1" xfId="0" applyFont="true" applyBorder="true" applyAlignment="true" applyProtection="false">
      <alignment horizontal="center" vertical="center" textRotation="0" wrapText="false" indent="0" shrinkToFit="false"/>
      <protection locked="true" hidden="false"/>
    </xf>
    <xf numFmtId="164" fontId="5" fillId="5" borderId="4" xfId="0" applyFont="true" applyBorder="true" applyAlignment="true" applyProtection="false">
      <alignment horizontal="general" vertical="center" textRotation="0" wrapText="false" indent="0" shrinkToFit="false"/>
      <protection locked="true" hidden="false"/>
    </xf>
    <xf numFmtId="164" fontId="11" fillId="15" borderId="9" xfId="0" applyFont="true" applyBorder="true" applyAlignment="true" applyProtection="false">
      <alignment horizontal="center" vertical="center" textRotation="0" wrapText="false" indent="0" shrinkToFit="false"/>
      <protection locked="true" hidden="false"/>
    </xf>
    <xf numFmtId="164" fontId="11" fillId="21" borderId="9" xfId="0" applyFont="true" applyBorder="true" applyAlignment="true" applyProtection="false">
      <alignment horizontal="center" vertical="center" textRotation="0" wrapText="false" indent="0" shrinkToFit="false"/>
      <protection locked="true" hidden="false"/>
    </xf>
    <xf numFmtId="164" fontId="5" fillId="4" borderId="7" xfId="0" applyFont="true" applyBorder="true" applyAlignment="true" applyProtection="false">
      <alignment horizontal="center" vertical="center" textRotation="0" wrapText="false" indent="0" shrinkToFit="false"/>
      <protection locked="true" hidden="false"/>
    </xf>
    <xf numFmtId="164" fontId="5" fillId="4" borderId="4" xfId="0" applyFont="true" applyBorder="true" applyAlignment="true" applyProtection="false">
      <alignment horizontal="center" vertical="center" textRotation="0" wrapText="false" indent="0" shrinkToFit="false"/>
      <protection locked="true" hidden="false"/>
    </xf>
    <xf numFmtId="164" fontId="5" fillId="14" borderId="4" xfId="0" applyFont="true" applyBorder="true" applyAlignment="true" applyProtection="false">
      <alignment horizontal="center" vertical="center" textRotation="0" wrapText="false" indent="0" shrinkToFit="false"/>
      <protection locked="true" hidden="false"/>
    </xf>
    <xf numFmtId="164" fontId="7" fillId="34" borderId="13" xfId="0" applyFont="true" applyBorder="true" applyAlignment="true" applyProtection="false">
      <alignment horizontal="general" vertical="center" textRotation="0" wrapText="false" indent="0" shrinkToFit="false"/>
      <protection locked="true" hidden="false"/>
    </xf>
    <xf numFmtId="164" fontId="4" fillId="30" borderId="3" xfId="0" applyFont="true" applyBorder="true" applyAlignment="true" applyProtection="false">
      <alignment horizontal="general" vertical="center" textRotation="0" wrapText="false" indent="0" shrinkToFit="false"/>
      <protection locked="true" hidden="false"/>
    </xf>
    <xf numFmtId="164" fontId="4" fillId="30" borderId="17" xfId="0" applyFont="true" applyBorder="true" applyAlignment="true" applyProtection="false">
      <alignment horizontal="center" vertical="center" textRotation="0" wrapText="false" indent="0" shrinkToFit="false"/>
      <protection locked="true" hidden="false"/>
    </xf>
    <xf numFmtId="164" fontId="4" fillId="29" borderId="17" xfId="0" applyFont="true" applyBorder="true" applyAlignment="true" applyProtection="false">
      <alignment horizontal="center" vertical="center" textRotation="0" wrapText="false" indent="0" shrinkToFit="false"/>
      <protection locked="true" hidden="false"/>
    </xf>
    <xf numFmtId="164" fontId="5" fillId="20" borderId="17" xfId="0" applyFont="true" applyBorder="true" applyAlignment="true" applyProtection="false">
      <alignment horizontal="center" vertical="center" textRotation="0" wrapText="false" indent="0" shrinkToFit="false"/>
      <protection locked="true" hidden="false"/>
    </xf>
    <xf numFmtId="164" fontId="5" fillId="15" borderId="7" xfId="0" applyFont="true" applyBorder="true" applyAlignment="true" applyProtection="false">
      <alignment horizontal="center" vertical="center" textRotation="0" wrapText="false" indent="0" shrinkToFit="false"/>
      <protection locked="true" hidden="false"/>
    </xf>
    <xf numFmtId="164" fontId="25" fillId="3" borderId="3" xfId="0" applyFont="true" applyBorder="true" applyAlignment="true" applyProtection="false">
      <alignment horizontal="center" vertical="bottom" textRotation="0" wrapText="false" indent="0" shrinkToFit="false"/>
      <protection locked="true" hidden="false"/>
    </xf>
    <xf numFmtId="164" fontId="5" fillId="14" borderId="20" xfId="0" applyFont="true" applyBorder="true" applyAlignment="true" applyProtection="false">
      <alignment horizontal="right" vertical="center" textRotation="0" wrapText="false" indent="0" shrinkToFit="false"/>
      <protection locked="true" hidden="false"/>
    </xf>
    <xf numFmtId="164" fontId="25" fillId="3" borderId="21" xfId="0" applyFont="true" applyBorder="true" applyAlignment="true" applyProtection="false">
      <alignment horizontal="center" vertical="bottom" textRotation="0" wrapText="false" indent="0" shrinkToFit="false"/>
      <protection locked="true" hidden="false"/>
    </xf>
    <xf numFmtId="164" fontId="5" fillId="0" borderId="22" xfId="0" applyFont="true" applyBorder="true" applyAlignment="true" applyProtection="false">
      <alignment horizontal="left" vertical="center" textRotation="0" wrapText="false" indent="0" shrinkToFit="false"/>
      <protection locked="true" hidden="false"/>
    </xf>
    <xf numFmtId="164" fontId="5" fillId="0" borderId="22" xfId="0" applyFont="true" applyBorder="true" applyAlignment="true" applyProtection="false">
      <alignment horizontal="center" vertical="center" textRotation="0" wrapText="false" indent="0" shrinkToFit="false"/>
      <protection locked="true" hidden="false"/>
    </xf>
    <xf numFmtId="164" fontId="5" fillId="0" borderId="23" xfId="0" applyFont="true" applyBorder="true" applyAlignment="true" applyProtection="false">
      <alignment horizontal="center" vertical="center" textRotation="0" wrapText="false" indent="0" shrinkToFit="false"/>
      <protection locked="true" hidden="false"/>
    </xf>
    <xf numFmtId="164" fontId="7" fillId="0" borderId="20" xfId="0" applyFont="true" applyBorder="true" applyAlignment="true" applyProtection="false">
      <alignment horizontal="right" vertical="center" textRotation="0" wrapText="false" indent="0" shrinkToFit="false"/>
      <protection locked="true" hidden="false"/>
    </xf>
    <xf numFmtId="164" fontId="5" fillId="3" borderId="8" xfId="0" applyFont="true" applyBorder="true" applyAlignment="true" applyProtection="false">
      <alignment horizontal="center" vertical="center" textRotation="0" wrapText="false" indent="0" shrinkToFit="false"/>
      <protection locked="true" hidden="false"/>
    </xf>
    <xf numFmtId="164" fontId="5" fillId="14" borderId="24" xfId="0" applyFont="true" applyBorder="true" applyAlignment="true" applyProtection="false">
      <alignment horizontal="right" vertical="center" textRotation="0" wrapText="false" indent="0" shrinkToFit="false"/>
      <protection locked="true" hidden="false"/>
    </xf>
    <xf numFmtId="164" fontId="5" fillId="0" borderId="25" xfId="0" applyFont="true" applyBorder="true" applyAlignment="true" applyProtection="false">
      <alignment horizontal="center" vertical="center" textRotation="0" wrapText="false" indent="0" shrinkToFit="false"/>
      <protection locked="true" hidden="false"/>
    </xf>
    <xf numFmtId="164" fontId="5" fillId="0" borderId="25" xfId="0" applyFont="true" applyBorder="true" applyAlignment="true" applyProtection="false">
      <alignment horizontal="left" vertical="center" textRotation="0" wrapText="false" indent="0" shrinkToFit="false"/>
      <protection locked="true" hidden="false"/>
    </xf>
    <xf numFmtId="164" fontId="5" fillId="0" borderId="26" xfId="0" applyFont="true" applyBorder="true" applyAlignment="true" applyProtection="false">
      <alignment horizontal="center" vertical="center" textRotation="0" wrapText="false" indent="0" shrinkToFit="false"/>
      <protection locked="true" hidden="false"/>
    </xf>
    <xf numFmtId="164" fontId="7" fillId="0" borderId="24" xfId="0" applyFont="true" applyBorder="true" applyAlignment="true" applyProtection="false">
      <alignment horizontal="right" vertical="center" textRotation="0" wrapText="false" indent="0" shrinkToFit="false"/>
      <protection locked="true" hidden="false"/>
    </xf>
    <xf numFmtId="164" fontId="5" fillId="14" borderId="27" xfId="0" applyFont="true" applyBorder="true" applyAlignment="true" applyProtection="false">
      <alignment horizontal="right" vertical="center" textRotation="0" wrapText="false" indent="0" shrinkToFit="false"/>
      <protection locked="true" hidden="false"/>
    </xf>
    <xf numFmtId="164" fontId="5" fillId="0" borderId="28" xfId="0" applyFont="true" applyBorder="true" applyAlignment="true" applyProtection="false">
      <alignment horizontal="center" vertical="center" textRotation="0" wrapText="false" indent="0" shrinkToFit="false"/>
      <protection locked="true" hidden="false"/>
    </xf>
    <xf numFmtId="164" fontId="5" fillId="0" borderId="28" xfId="0" applyFont="true" applyBorder="true" applyAlignment="true" applyProtection="false">
      <alignment horizontal="left" vertical="center" textRotation="0" wrapText="false" indent="0" shrinkToFit="false"/>
      <protection locked="true" hidden="false"/>
    </xf>
    <xf numFmtId="164" fontId="5" fillId="0" borderId="29" xfId="0" applyFont="true" applyBorder="true" applyAlignment="true" applyProtection="false">
      <alignment horizontal="center" vertical="center" textRotation="0" wrapText="false" indent="0" shrinkToFit="false"/>
      <protection locked="true" hidden="false"/>
    </xf>
    <xf numFmtId="164" fontId="7" fillId="0" borderId="27" xfId="0" applyFont="true" applyBorder="true" applyAlignment="true" applyProtection="false">
      <alignment horizontal="right" vertical="center" textRotation="0" wrapText="false" indent="0" shrinkToFit="false"/>
      <protection locked="true" hidden="false"/>
    </xf>
    <xf numFmtId="164" fontId="8" fillId="35" borderId="13" xfId="0" applyFont="true" applyBorder="true" applyAlignment="true" applyProtection="false">
      <alignment horizontal="general" vertical="center" textRotation="0" wrapText="false" indent="0" shrinkToFit="false"/>
      <protection locked="true" hidden="false"/>
    </xf>
    <xf numFmtId="164" fontId="5" fillId="14" borderId="8" xfId="0" applyFont="true" applyBorder="true" applyAlignment="true" applyProtection="false">
      <alignment horizontal="right" vertical="center" textRotation="0" wrapText="false" indent="0" shrinkToFit="false"/>
      <protection locked="true" hidden="false"/>
    </xf>
    <xf numFmtId="164" fontId="5" fillId="0" borderId="13" xfId="0" applyFont="true" applyBorder="true" applyAlignment="true" applyProtection="false">
      <alignment horizontal="center" vertical="center" textRotation="0" wrapText="false" indent="0" shrinkToFit="false"/>
      <protection locked="true" hidden="false"/>
    </xf>
    <xf numFmtId="164" fontId="5" fillId="0" borderId="13" xfId="0" applyFont="true" applyBorder="true" applyAlignment="true" applyProtection="false">
      <alignment horizontal="left" vertical="center" textRotation="0" wrapText="false" indent="0" shrinkToFit="false"/>
      <protection locked="true" hidden="false"/>
    </xf>
    <xf numFmtId="164" fontId="5" fillId="0" borderId="5" xfId="0" applyFont="true" applyBorder="true" applyAlignment="true" applyProtection="false">
      <alignment horizontal="center" vertical="center" textRotation="0" wrapText="false" indent="0" shrinkToFit="false"/>
      <protection locked="true" hidden="false"/>
    </xf>
    <xf numFmtId="164" fontId="7" fillId="0" borderId="8" xfId="0" applyFont="true" applyBorder="true" applyAlignment="true" applyProtection="false">
      <alignment horizontal="right" vertical="center" textRotation="0" wrapText="false" indent="0" shrinkToFit="false"/>
      <protection locked="true" hidden="false"/>
    </xf>
    <xf numFmtId="164" fontId="21" fillId="7" borderId="1" xfId="0" applyFont="true" applyBorder="true" applyAlignment="true" applyProtection="false">
      <alignment horizontal="general" vertical="center" textRotation="0" wrapText="false" indent="0" shrinkToFit="false"/>
      <protection locked="true" hidden="false"/>
    </xf>
    <xf numFmtId="164" fontId="21" fillId="7" borderId="2" xfId="0" applyFont="true" applyBorder="true" applyAlignment="true" applyProtection="false">
      <alignment horizontal="center" vertical="center" textRotation="0" wrapText="false" indent="0" shrinkToFit="false"/>
      <protection locked="true" hidden="false"/>
    </xf>
    <xf numFmtId="164" fontId="21" fillId="7" borderId="9" xfId="0" applyFont="true" applyBorder="true" applyAlignment="true" applyProtection="false">
      <alignment horizontal="center" vertical="center" textRotation="0" wrapText="false" indent="0" shrinkToFit="false"/>
      <protection locked="true" hidden="false"/>
    </xf>
    <xf numFmtId="164" fontId="21" fillId="7" borderId="13" xfId="0" applyFont="true" applyBorder="true" applyAlignment="true" applyProtection="false">
      <alignment horizontal="center" vertical="center" textRotation="0" wrapText="false" indent="0" shrinkToFit="false"/>
      <protection locked="true" hidden="false"/>
    </xf>
    <xf numFmtId="164" fontId="5" fillId="0" borderId="8" xfId="0" applyFont="true" applyBorder="true" applyAlignment="true" applyProtection="false">
      <alignment horizontal="center" vertical="center" textRotation="0" wrapText="false" indent="0" shrinkToFit="false"/>
      <protection locked="true" hidden="false"/>
    </xf>
    <xf numFmtId="164" fontId="4" fillId="28" borderId="11" xfId="0" applyFont="true" applyBorder="true" applyAlignment="true" applyProtection="false">
      <alignment horizontal="center" vertical="center" textRotation="0" wrapText="false" indent="0" shrinkToFit="false"/>
      <protection locked="true" hidden="false"/>
    </xf>
    <xf numFmtId="164" fontId="4" fillId="28" borderId="17" xfId="0" applyFont="true" applyBorder="true" applyAlignment="true" applyProtection="false">
      <alignment horizontal="center" vertical="center" textRotation="0" wrapText="false" indent="0" shrinkToFit="false"/>
      <protection locked="true" hidden="false"/>
    </xf>
    <xf numFmtId="164" fontId="7" fillId="7" borderId="13" xfId="0" applyFont="true" applyBorder="true" applyAlignment="true" applyProtection="false">
      <alignment horizontal="general" vertical="center" textRotation="0" wrapText="false" indent="0" shrinkToFit="false"/>
      <protection locked="true" hidden="false"/>
    </xf>
    <xf numFmtId="164" fontId="5" fillId="0" borderId="6" xfId="0" applyFont="true" applyBorder="true" applyAlignment="true" applyProtection="false">
      <alignment horizontal="center" vertical="center" textRotation="0" wrapText="false" indent="0" shrinkToFit="false"/>
      <protection locked="true" hidden="false"/>
    </xf>
    <xf numFmtId="164" fontId="5" fillId="14" borderId="6" xfId="0" applyFont="true" applyBorder="true" applyAlignment="true" applyProtection="false">
      <alignment horizontal="right" vertical="center" textRotation="0" wrapText="false" indent="0" shrinkToFit="false"/>
      <protection locked="true" hidden="false"/>
    </xf>
    <xf numFmtId="164" fontId="5" fillId="0" borderId="9" xfId="0" applyFont="true" applyBorder="true" applyAlignment="true" applyProtection="false">
      <alignment horizontal="center" vertical="center" textRotation="0" wrapText="false" indent="0" shrinkToFit="false"/>
      <protection locked="true" hidden="false"/>
    </xf>
    <xf numFmtId="164" fontId="5" fillId="0" borderId="9" xfId="0" applyFont="true" applyBorder="true" applyAlignment="true" applyProtection="false">
      <alignment horizontal="left" vertical="center" textRotation="0" wrapText="false" indent="0" shrinkToFit="false"/>
      <protection locked="true" hidden="false"/>
    </xf>
    <xf numFmtId="164" fontId="5" fillId="0" borderId="12" xfId="0" applyFont="true" applyBorder="true" applyAlignment="true" applyProtection="false">
      <alignment horizontal="center" vertical="center" textRotation="0" wrapText="false" indent="0" shrinkToFit="false"/>
      <protection locked="true" hidden="false"/>
    </xf>
    <xf numFmtId="164" fontId="7" fillId="0" borderId="6" xfId="0" applyFont="true" applyBorder="true" applyAlignment="true" applyProtection="false">
      <alignment horizontal="right" vertical="center" textRotation="0" wrapText="false" indent="0" shrinkToFit="false"/>
      <protection locked="true" hidden="false"/>
    </xf>
    <xf numFmtId="164" fontId="21" fillId="0" borderId="0" xfId="0" applyFont="true" applyBorder="false" applyAlignment="true" applyProtection="false">
      <alignment horizontal="center" vertical="center" textRotation="0" wrapText="false" indent="0" shrinkToFit="false"/>
      <protection locked="true" hidden="false"/>
    </xf>
    <xf numFmtId="164" fontId="8" fillId="8" borderId="13" xfId="0" applyFont="true" applyBorder="true" applyAlignment="true" applyProtection="false">
      <alignment horizontal="general" vertical="center" textRotation="0" wrapText="false" indent="0" shrinkToFit="false"/>
      <protection locked="true" hidden="false"/>
    </xf>
    <xf numFmtId="164" fontId="5" fillId="5" borderId="14" xfId="0" applyFont="true" applyBorder="true" applyAlignment="true" applyProtection="false">
      <alignment horizontal="center" vertical="center" textRotation="0" wrapText="false" indent="0" shrinkToFit="false"/>
      <protection locked="true" hidden="false"/>
    </xf>
    <xf numFmtId="164" fontId="10" fillId="5" borderId="14" xfId="0" applyFont="true" applyBorder="true" applyAlignment="true" applyProtection="false">
      <alignment horizontal="center" vertical="center" textRotation="0" wrapText="false" indent="0" shrinkToFit="false"/>
      <protection locked="true" hidden="false"/>
    </xf>
    <xf numFmtId="164" fontId="5" fillId="5" borderId="7" xfId="0" applyFont="true" applyBorder="true" applyAlignment="true" applyProtection="false">
      <alignment horizontal="center" vertical="center" textRotation="0" wrapText="false" indent="0" shrinkToFit="false"/>
      <protection locked="true" hidden="false"/>
    </xf>
    <xf numFmtId="164" fontId="10" fillId="5" borderId="7" xfId="0" applyFont="true" applyBorder="true" applyAlignment="true" applyProtection="false">
      <alignment horizontal="center" vertical="center" textRotation="0" wrapText="false" indent="0" shrinkToFit="false"/>
      <protection locked="true" hidden="false"/>
    </xf>
    <xf numFmtId="164" fontId="11" fillId="5" borderId="7" xfId="0" applyFont="true" applyBorder="true" applyAlignment="true" applyProtection="false">
      <alignment horizontal="center" vertical="center" textRotation="0" wrapText="false" indent="0" shrinkToFit="false"/>
      <protection locked="true" hidden="false"/>
    </xf>
    <xf numFmtId="164" fontId="11" fillId="5" borderId="1" xfId="0" applyFont="true" applyBorder="true" applyAlignment="true" applyProtection="false">
      <alignment horizontal="center" vertical="center" textRotation="0" wrapText="false" indent="0" shrinkToFit="false"/>
      <protection locked="true" hidden="false"/>
    </xf>
    <xf numFmtId="164" fontId="5" fillId="0" borderId="14" xfId="0" applyFont="true" applyBorder="true" applyAlignment="true" applyProtection="false">
      <alignment horizontal="center" vertical="center" textRotation="0" wrapText="false" indent="0" shrinkToFit="false"/>
      <protection locked="true" hidden="false"/>
    </xf>
    <xf numFmtId="164" fontId="5" fillId="0" borderId="3" xfId="0" applyFont="true" applyBorder="true" applyAlignment="true" applyProtection="false">
      <alignment horizontal="center" vertical="center" textRotation="0" wrapText="false" indent="0" shrinkToFit="false"/>
      <protection locked="true" hidden="false"/>
    </xf>
    <xf numFmtId="164" fontId="8" fillId="8" borderId="9" xfId="0" applyFont="true" applyBorder="true" applyAlignment="true" applyProtection="false">
      <alignment horizontal="general" vertical="center" textRotation="0" wrapText="false" indent="0" shrinkToFit="false"/>
      <protection locked="true" hidden="false"/>
    </xf>
    <xf numFmtId="164" fontId="9" fillId="13" borderId="14" xfId="0" applyFont="true" applyBorder="true" applyAlignment="true" applyProtection="false">
      <alignment horizontal="center" vertical="center" textRotation="0" wrapText="false" indent="0" shrinkToFit="false"/>
      <protection locked="true" hidden="false"/>
    </xf>
    <xf numFmtId="164" fontId="9" fillId="13" borderId="3" xfId="0" applyFont="true" applyBorder="true" applyAlignment="true" applyProtection="false">
      <alignment horizontal="center" vertical="center" textRotation="0" wrapText="false" indent="0" shrinkToFit="false"/>
      <protection locked="true" hidden="false"/>
    </xf>
    <xf numFmtId="164" fontId="9" fillId="0" borderId="0" xfId="0" applyFont="true" applyBorder="false" applyAlignment="true" applyProtection="false">
      <alignment horizontal="center" vertical="center" textRotation="0" wrapText="false" indent="0" shrinkToFit="false"/>
      <protection locked="true" hidden="false"/>
    </xf>
    <xf numFmtId="164" fontId="14" fillId="0" borderId="0" xfId="0" applyFont="true" applyBorder="false" applyAlignment="true" applyProtection="false">
      <alignment horizontal="center" vertical="center" textRotation="0" wrapText="false" indent="0" shrinkToFit="false"/>
      <protection locked="true" hidden="false"/>
    </xf>
    <xf numFmtId="164" fontId="4" fillId="36" borderId="3" xfId="0" applyFont="true" applyBorder="true" applyAlignment="true" applyProtection="false">
      <alignment horizontal="general" vertical="center" textRotation="0" wrapText="false" indent="0" shrinkToFit="false"/>
      <protection locked="true" hidden="false"/>
    </xf>
    <xf numFmtId="164" fontId="26" fillId="36" borderId="3" xfId="0" applyFont="true" applyBorder="true" applyAlignment="true" applyProtection="false">
      <alignment horizontal="general" vertical="center" textRotation="0" wrapText="false" indent="0" shrinkToFit="false"/>
      <protection locked="true" hidden="false"/>
    </xf>
    <xf numFmtId="164" fontId="26" fillId="36" borderId="3" xfId="0" applyFont="true" applyBorder="true" applyAlignment="true" applyProtection="false">
      <alignment horizontal="center" vertical="center" textRotation="0" wrapText="false" indent="0" shrinkToFit="false"/>
      <protection locked="true" hidden="false"/>
    </xf>
    <xf numFmtId="164" fontId="26" fillId="15" borderId="3" xfId="0" applyFont="true" applyBorder="true" applyAlignment="true" applyProtection="false">
      <alignment horizontal="center" vertical="center" textRotation="0" wrapText="false" indent="0" shrinkToFit="false"/>
      <protection locked="true" hidden="false"/>
    </xf>
    <xf numFmtId="164" fontId="4" fillId="36" borderId="8" xfId="0" applyFont="true" applyBorder="true" applyAlignment="true" applyProtection="false">
      <alignment horizontal="general" vertical="center" textRotation="0" wrapText="false" indent="0" shrinkToFit="false"/>
      <protection locked="true" hidden="false"/>
    </xf>
    <xf numFmtId="164" fontId="26" fillId="36" borderId="8" xfId="0" applyFont="true" applyBorder="true" applyAlignment="true" applyProtection="false">
      <alignment horizontal="general" vertical="center" textRotation="0" wrapText="false" indent="0" shrinkToFit="false"/>
      <protection locked="true" hidden="false"/>
    </xf>
    <xf numFmtId="164" fontId="4" fillId="36" borderId="8" xfId="0" applyFont="true" applyBorder="true" applyAlignment="true" applyProtection="false">
      <alignment horizontal="general" vertical="center" textRotation="0" wrapText="true" indent="0" shrinkToFit="false"/>
      <protection locked="true" hidden="false"/>
    </xf>
    <xf numFmtId="164" fontId="26" fillId="36" borderId="8" xfId="0" applyFont="true" applyBorder="true" applyAlignment="true" applyProtection="false">
      <alignment horizontal="center" vertical="center" textRotation="0" wrapText="false" indent="0" shrinkToFit="false"/>
      <protection locked="true" hidden="false"/>
    </xf>
    <xf numFmtId="164" fontId="26" fillId="15" borderId="8" xfId="0" applyFont="true" applyBorder="true" applyAlignment="true" applyProtection="false">
      <alignment horizontal="center" vertical="center" textRotation="0" wrapText="false" indent="0" shrinkToFit="false"/>
      <protection locked="true" hidden="false"/>
    </xf>
    <xf numFmtId="164" fontId="4" fillId="0" borderId="11" xfId="0" applyFont="true" applyBorder="true" applyAlignment="true" applyProtection="false">
      <alignment horizontal="general" vertical="center" textRotation="0" wrapText="true" indent="0" shrinkToFit="false"/>
      <protection locked="true" hidden="false"/>
    </xf>
    <xf numFmtId="164" fontId="26" fillId="16" borderId="8" xfId="0" applyFont="true" applyBorder="true" applyAlignment="true" applyProtection="false">
      <alignment horizontal="center" vertical="center" textRotation="0" wrapText="false" indent="0" shrinkToFit="false"/>
      <protection locked="true" hidden="false"/>
    </xf>
    <xf numFmtId="164" fontId="27" fillId="13" borderId="1" xfId="0" applyFont="true" applyBorder="true" applyAlignment="true" applyProtection="false">
      <alignment horizontal="center" vertical="bottom" textRotation="0" wrapText="false" indent="0" shrinkToFit="false"/>
      <protection locked="true" hidden="false"/>
    </xf>
    <xf numFmtId="164" fontId="4" fillId="36" borderId="6" xfId="0" applyFont="true" applyBorder="true" applyAlignment="true" applyProtection="false">
      <alignment horizontal="center" vertical="center" textRotation="0" wrapText="true" indent="0" shrinkToFit="false"/>
      <protection locked="true" hidden="false"/>
    </xf>
    <xf numFmtId="164" fontId="4" fillId="36" borderId="8" xfId="0" applyFont="true" applyBorder="true" applyAlignment="true" applyProtection="false">
      <alignment horizontal="left" vertical="center" textRotation="0" wrapText="false" indent="0" shrinkToFit="false"/>
      <protection locked="true" hidden="false"/>
    </xf>
    <xf numFmtId="164" fontId="4" fillId="36" borderId="6" xfId="0" applyFont="true" applyBorder="true" applyAlignment="true" applyProtection="false">
      <alignment horizontal="left" vertical="center" textRotation="0" wrapText="false" indent="0" shrinkToFit="false"/>
      <protection locked="true" hidden="false"/>
    </xf>
    <xf numFmtId="164" fontId="4" fillId="36" borderId="6" xfId="0" applyFont="true" applyBorder="true" applyAlignment="true" applyProtection="false">
      <alignment horizontal="general" vertical="center" textRotation="0" wrapText="false" indent="0" shrinkToFit="false"/>
      <protection locked="true" hidden="false"/>
    </xf>
    <xf numFmtId="164" fontId="26" fillId="36" borderId="6" xfId="0" applyFont="true" applyBorder="true" applyAlignment="true" applyProtection="false">
      <alignment horizontal="center" vertical="center" textRotation="0" wrapText="false" indent="0" shrinkToFit="false"/>
      <protection locked="true" hidden="false"/>
    </xf>
    <xf numFmtId="164" fontId="26" fillId="16" borderId="6" xfId="0" applyFont="true" applyBorder="true" applyAlignment="true" applyProtection="false">
      <alignment horizontal="center" vertical="center" textRotation="0" wrapText="false" indent="0" shrinkToFit="false"/>
      <protection locked="true" hidden="false"/>
    </xf>
    <xf numFmtId="164" fontId="14" fillId="13" borderId="1" xfId="0" applyFont="true" applyBorder="true" applyAlignment="true" applyProtection="false">
      <alignment horizontal="center" vertical="center" textRotation="0" wrapText="false" indent="0" shrinkToFit="false"/>
      <protection locked="true" hidden="false"/>
    </xf>
    <xf numFmtId="164" fontId="7" fillId="8" borderId="1" xfId="0" applyFont="true" applyBorder="true" applyAlignment="true" applyProtection="false">
      <alignment horizontal="center" vertical="center" textRotation="0" wrapText="false" indent="0" shrinkToFit="false"/>
      <protection locked="true" hidden="false"/>
    </xf>
    <xf numFmtId="164" fontId="7" fillId="13" borderId="1" xfId="0" applyFont="true" applyBorder="true" applyAlignment="true" applyProtection="false">
      <alignment horizontal="center" vertical="center" textRotation="0" wrapText="false" indent="0" shrinkToFit="false"/>
      <protection locked="true" hidden="false"/>
    </xf>
    <xf numFmtId="164" fontId="7" fillId="7" borderId="1" xfId="0" applyFont="true" applyBorder="true" applyAlignment="true" applyProtection="false">
      <alignment horizontal="center" vertical="center" textRotation="0" wrapText="false" indent="0" shrinkToFit="false"/>
      <protection locked="true" hidden="false"/>
    </xf>
    <xf numFmtId="164" fontId="7" fillId="5" borderId="7" xfId="0" applyFont="true" applyBorder="true" applyAlignment="true" applyProtection="false">
      <alignment horizontal="center" vertical="center" textRotation="0" wrapText="false" indent="0" shrinkToFit="false"/>
      <protection locked="true" hidden="false"/>
    </xf>
    <xf numFmtId="164" fontId="7" fillId="5" borderId="1" xfId="0" applyFont="true" applyBorder="true" applyAlignment="true" applyProtection="false">
      <alignment horizontal="center" vertical="center" textRotation="0" wrapText="false" indent="0" shrinkToFit="false"/>
      <protection locked="true" hidden="false"/>
    </xf>
    <xf numFmtId="164" fontId="7" fillId="13" borderId="0" xfId="0" applyFont="true" applyBorder="false" applyAlignment="true" applyProtection="false">
      <alignment horizontal="center" vertical="center" textRotation="0" wrapText="false" indent="0" shrinkToFit="false"/>
      <protection locked="true" hidden="false"/>
    </xf>
    <xf numFmtId="164" fontId="15" fillId="7" borderId="1" xfId="0" applyFont="true" applyBorder="true" applyAlignment="true" applyProtection="false">
      <alignment horizontal="center" vertical="center" textRotation="0" wrapText="false" indent="0" shrinkToFit="false"/>
      <protection locked="true" hidden="false"/>
    </xf>
    <xf numFmtId="164" fontId="28" fillId="14" borderId="8" xfId="0" applyFont="true" applyBorder="true" applyAlignment="true" applyProtection="false">
      <alignment horizontal="center" vertical="center" textRotation="0" wrapText="false" indent="0" shrinkToFit="false"/>
      <protection locked="true" hidden="false"/>
    </xf>
    <xf numFmtId="164" fontId="7" fillId="24" borderId="8" xfId="0" applyFont="true" applyBorder="true" applyAlignment="true" applyProtection="false">
      <alignment horizontal="center" vertical="center" textRotation="0" wrapText="false" indent="0" shrinkToFit="false"/>
      <protection locked="true" hidden="false"/>
    </xf>
    <xf numFmtId="164" fontId="21" fillId="37" borderId="6" xfId="0" applyFont="true" applyBorder="true" applyAlignment="true" applyProtection="false">
      <alignment horizontal="center" vertical="bottom" textRotation="0" wrapText="false" indent="0" shrinkToFit="false"/>
      <protection locked="true" hidden="false"/>
    </xf>
    <xf numFmtId="164" fontId="7" fillId="17" borderId="14" xfId="0" applyFont="true" applyBorder="true" applyAlignment="true" applyProtection="false">
      <alignment horizontal="center" vertical="center" textRotation="0" wrapText="false" indent="0" shrinkToFit="false"/>
      <protection locked="true" hidden="false"/>
    </xf>
    <xf numFmtId="164" fontId="12" fillId="13" borderId="0" xfId="0" applyFont="true" applyBorder="false" applyAlignment="true" applyProtection="false">
      <alignment horizontal="center" vertical="center" textRotation="0" wrapText="false" indent="0" shrinkToFit="false"/>
      <protection locked="true" hidden="false"/>
    </xf>
    <xf numFmtId="164" fontId="7" fillId="17" borderId="3" xfId="0" applyFont="true" applyBorder="true" applyAlignment="true" applyProtection="false">
      <alignment horizontal="center" vertical="center" textRotation="0" wrapText="false" indent="0" shrinkToFit="false"/>
      <protection locked="true" hidden="false"/>
    </xf>
    <xf numFmtId="164" fontId="25" fillId="3" borderId="8" xfId="0" applyFont="true" applyBorder="true" applyAlignment="true" applyProtection="false">
      <alignment horizontal="center" vertical="bottom" textRotation="0" wrapText="false" indent="0" shrinkToFit="false"/>
      <protection locked="true" hidden="false"/>
    </xf>
    <xf numFmtId="164" fontId="21" fillId="35" borderId="4" xfId="0" applyFont="true" applyBorder="true" applyAlignment="true" applyProtection="false">
      <alignment horizontal="center" vertical="bottom" textRotation="0" wrapText="false" indent="0" shrinkToFit="false"/>
      <protection locked="true" hidden="false"/>
    </xf>
    <xf numFmtId="164" fontId="7" fillId="17" borderId="5" xfId="0" applyFont="true" applyBorder="true" applyAlignment="true" applyProtection="false">
      <alignment horizontal="center" vertical="center" textRotation="0" wrapText="false" indent="0" shrinkToFit="false"/>
      <protection locked="true" hidden="false"/>
    </xf>
    <xf numFmtId="164" fontId="7" fillId="17" borderId="8" xfId="0" applyFont="true" applyBorder="true" applyAlignment="true" applyProtection="false">
      <alignment horizontal="center" vertical="center" textRotation="0" wrapText="false" indent="0" shrinkToFit="false"/>
      <protection locked="true" hidden="false"/>
    </xf>
    <xf numFmtId="164" fontId="21" fillId="38" borderId="17" xfId="0" applyFont="true" applyBorder="true" applyAlignment="true" applyProtection="false">
      <alignment horizontal="center" vertical="bottom" textRotation="0" wrapText="false" indent="0" shrinkToFit="false"/>
      <protection locked="true" hidden="false"/>
    </xf>
    <xf numFmtId="164" fontId="21" fillId="33" borderId="4" xfId="0" applyFont="true" applyBorder="true" applyAlignment="true" applyProtection="false">
      <alignment horizontal="center" vertical="bottom" textRotation="0" wrapText="false" indent="0" shrinkToFit="false"/>
      <protection locked="true" hidden="false"/>
    </xf>
    <xf numFmtId="164" fontId="21" fillId="39" borderId="4" xfId="0" applyFont="true" applyBorder="true" applyAlignment="true" applyProtection="false">
      <alignment horizontal="center" vertical="bottom" textRotation="0" wrapText="false" indent="0" shrinkToFit="false"/>
      <protection locked="true" hidden="false"/>
    </xf>
    <xf numFmtId="164" fontId="8" fillId="7" borderId="9" xfId="0" applyFont="true" applyBorder="true" applyAlignment="true" applyProtection="false">
      <alignment horizontal="general" vertical="center" textRotation="0" wrapText="false" indent="0" shrinkToFit="false"/>
      <protection locked="true" hidden="false"/>
    </xf>
    <xf numFmtId="164" fontId="21" fillId="26" borderId="4" xfId="0" applyFont="true" applyBorder="true" applyAlignment="true" applyProtection="false">
      <alignment horizontal="center" vertical="bottom" textRotation="0" wrapText="false" indent="0" shrinkToFit="false"/>
      <protection locked="true" hidden="false"/>
    </xf>
    <xf numFmtId="164" fontId="29" fillId="3" borderId="0" xfId="0" applyFont="true" applyBorder="false" applyAlignment="false" applyProtection="false">
      <alignment horizontal="general" vertical="bottom" textRotation="0" wrapText="false" indent="0" shrinkToFit="false"/>
      <protection locked="true" hidden="false"/>
    </xf>
    <xf numFmtId="164" fontId="7" fillId="8" borderId="2" xfId="0" applyFont="true" applyBorder="true" applyAlignment="true" applyProtection="false">
      <alignment horizontal="center" vertical="center" textRotation="0" wrapText="false" indent="0" shrinkToFit="false"/>
      <protection locked="true" hidden="false"/>
    </xf>
    <xf numFmtId="164" fontId="7" fillId="8" borderId="10" xfId="0" applyFont="true" applyBorder="true" applyAlignment="true" applyProtection="false">
      <alignment horizontal="center" vertical="center" textRotation="0" wrapText="false" indent="0" shrinkToFit="false"/>
      <protection locked="true" hidden="false"/>
    </xf>
    <xf numFmtId="164" fontId="7" fillId="8" borderId="11" xfId="0" applyFont="true" applyBorder="true" applyAlignment="true" applyProtection="false">
      <alignment horizontal="center" vertical="center" textRotation="0" wrapText="false" indent="0" shrinkToFit="false"/>
      <protection locked="true" hidden="false"/>
    </xf>
    <xf numFmtId="164" fontId="7" fillId="33" borderId="3" xfId="0" applyFont="true" applyBorder="true" applyAlignment="true" applyProtection="false">
      <alignment horizontal="center" vertical="center" textRotation="0" wrapText="false" indent="0" shrinkToFit="false"/>
      <protection locked="true" hidden="false"/>
    </xf>
    <xf numFmtId="164" fontId="12" fillId="13" borderId="10" xfId="0" applyFont="true" applyBorder="true" applyAlignment="true" applyProtection="false">
      <alignment horizontal="center" vertical="center" textRotation="0" wrapText="false" indent="0" shrinkToFit="false"/>
      <protection locked="true" hidden="false"/>
    </xf>
    <xf numFmtId="164" fontId="7" fillId="5" borderId="6" xfId="0" applyFont="true" applyBorder="true" applyAlignment="true" applyProtection="false">
      <alignment horizontal="center" vertical="center" textRotation="0" wrapText="false" indent="0" shrinkToFit="false"/>
      <protection locked="true" hidden="false"/>
    </xf>
    <xf numFmtId="164" fontId="15" fillId="13" borderId="0" xfId="0" applyFont="true" applyBorder="false" applyAlignment="true" applyProtection="false">
      <alignment horizontal="center" vertical="bottom" textRotation="0" wrapText="false" indent="0" shrinkToFit="false"/>
      <protection locked="true" hidden="false"/>
    </xf>
    <xf numFmtId="164" fontId="15" fillId="37" borderId="8" xfId="0" applyFont="true" applyBorder="true" applyAlignment="true" applyProtection="false">
      <alignment horizontal="center" vertical="bottom" textRotation="0" wrapText="false" indent="0" shrinkToFit="false"/>
      <protection locked="true" hidden="false"/>
    </xf>
    <xf numFmtId="164" fontId="12" fillId="13" borderId="1" xfId="0" applyFont="true" applyBorder="true" applyAlignment="false" applyProtection="false">
      <alignment horizontal="general" vertical="bottom" textRotation="0" wrapText="false" indent="0" shrinkToFit="false"/>
      <protection locked="true" hidden="false"/>
    </xf>
    <xf numFmtId="164" fontId="12" fillId="13" borderId="0" xfId="0" applyFont="true" applyBorder="false" applyAlignment="false" applyProtection="false">
      <alignment horizontal="general" vertical="bottom" textRotation="0" wrapText="false" indent="0" shrinkToFit="false"/>
      <protection locked="true" hidden="false"/>
    </xf>
    <xf numFmtId="164" fontId="12" fillId="5" borderId="3" xfId="0" applyFont="true" applyBorder="true" applyAlignment="true" applyProtection="false">
      <alignment horizontal="general" vertical="bottom" textRotation="0" wrapText="false" indent="0" shrinkToFit="false"/>
      <protection locked="true" hidden="false"/>
    </xf>
    <xf numFmtId="164" fontId="12" fillId="13" borderId="10" xfId="0" applyFont="true" applyBorder="true" applyAlignment="false" applyProtection="false">
      <alignment horizontal="general" vertical="bottom" textRotation="0" wrapText="false" indent="0" shrinkToFit="false"/>
      <protection locked="true" hidden="false"/>
    </xf>
    <xf numFmtId="164" fontId="12" fillId="5" borderId="6" xfId="0" applyFont="true" applyBorder="true" applyAlignment="true" applyProtection="false">
      <alignment horizontal="general" vertical="bottom" textRotation="0" wrapText="false" indent="0" shrinkToFit="false"/>
      <protection locked="true" hidden="false"/>
    </xf>
    <xf numFmtId="164" fontId="12" fillId="0" borderId="0" xfId="0" applyFont="true" applyBorder="false" applyAlignment="false" applyProtection="false">
      <alignment horizontal="general" vertical="bottom" textRotation="0" wrapText="false" indent="0" shrinkToFit="false"/>
      <protection locked="true" hidden="false"/>
    </xf>
    <xf numFmtId="164" fontId="28" fillId="14" borderId="5" xfId="0" applyFont="true" applyBorder="true" applyAlignment="true" applyProtection="false">
      <alignment horizontal="center" vertical="center" textRotation="0" wrapText="false" indent="0" shrinkToFit="false"/>
      <protection locked="true" hidden="false"/>
    </xf>
    <xf numFmtId="164" fontId="7" fillId="24" borderId="5" xfId="0" applyFont="true" applyBorder="true" applyAlignment="true" applyProtection="false">
      <alignment horizontal="center" vertical="center" textRotation="0" wrapText="false" indent="0" shrinkToFit="false"/>
      <protection locked="true" hidden="false"/>
    </xf>
    <xf numFmtId="164" fontId="7" fillId="0" borderId="5" xfId="0" applyFont="true" applyBorder="true" applyAlignment="true" applyProtection="false">
      <alignment horizontal="center" vertical="bottom" textRotation="0" wrapText="false" indent="0" shrinkToFit="false"/>
      <protection locked="true" hidden="false"/>
    </xf>
    <xf numFmtId="164" fontId="7" fillId="0" borderId="8" xfId="0" applyFont="true" applyBorder="true" applyAlignment="true" applyProtection="false">
      <alignment horizontal="center" vertical="bottom" textRotation="0" wrapText="false" indent="0" shrinkToFit="false"/>
      <protection locked="true" hidden="false"/>
    </xf>
    <xf numFmtId="164" fontId="28" fillId="14" borderId="12" xfId="0" applyFont="true" applyBorder="true" applyAlignment="true" applyProtection="false">
      <alignment horizontal="center" vertical="center" textRotation="0" wrapText="false" indent="0" shrinkToFit="false"/>
      <protection locked="true" hidden="false"/>
    </xf>
    <xf numFmtId="164" fontId="7" fillId="3" borderId="12" xfId="0" applyFont="true" applyBorder="true" applyAlignment="true" applyProtection="false">
      <alignment horizontal="center" vertical="center" textRotation="0" wrapText="false" indent="0" shrinkToFit="false"/>
      <protection locked="true" hidden="false"/>
    </xf>
    <xf numFmtId="164" fontId="7" fillId="3" borderId="6" xfId="0" applyFont="true" applyBorder="true" applyAlignment="true" applyProtection="false">
      <alignment horizontal="center" vertical="center" textRotation="0" wrapText="false" indent="0" shrinkToFit="false"/>
      <protection locked="true" hidden="false"/>
    </xf>
    <xf numFmtId="164" fontId="21" fillId="3" borderId="4" xfId="0" applyFont="true" applyBorder="true" applyAlignment="true" applyProtection="false">
      <alignment horizontal="center" vertical="bottom" textRotation="0" wrapText="false" indent="0" shrinkToFit="false"/>
      <protection locked="true" hidden="false"/>
    </xf>
    <xf numFmtId="164" fontId="21" fillId="3" borderId="13" xfId="0" applyFont="true" applyBorder="true" applyAlignment="true" applyProtection="false">
      <alignment horizontal="center" vertical="bottom" textRotation="0" wrapText="false" indent="0" shrinkToFit="false"/>
      <protection locked="true" hidden="false"/>
    </xf>
    <xf numFmtId="164" fontId="21" fillId="40" borderId="9" xfId="0" applyFont="true" applyBorder="true" applyAlignment="true" applyProtection="false">
      <alignment horizontal="center" vertical="bottom" textRotation="0" wrapText="false" indent="0" shrinkToFit="false"/>
      <protection locked="true" hidden="false"/>
    </xf>
    <xf numFmtId="164" fontId="21" fillId="41" borderId="13" xfId="0" applyFont="true" applyBorder="true" applyAlignment="true" applyProtection="false">
      <alignment horizontal="center" vertical="bottom" textRotation="0" wrapText="false" indent="0" shrinkToFit="false"/>
      <protection locked="true" hidden="false"/>
    </xf>
    <xf numFmtId="164" fontId="30" fillId="37" borderId="3" xfId="0" applyFont="true" applyBorder="true" applyAlignment="true" applyProtection="false">
      <alignment horizontal="center" vertical="bottom" textRotation="0" wrapText="false" indent="0" shrinkToFit="false"/>
      <protection locked="true" hidden="false"/>
    </xf>
    <xf numFmtId="164" fontId="4" fillId="22" borderId="13" xfId="0" applyFont="true" applyBorder="true" applyAlignment="true" applyProtection="false">
      <alignment horizontal="general" vertical="bottom" textRotation="0" wrapText="false" indent="0" shrinkToFit="false"/>
      <protection locked="true" hidden="false"/>
    </xf>
    <xf numFmtId="164" fontId="31" fillId="35" borderId="3" xfId="0" applyFont="true" applyBorder="true" applyAlignment="true" applyProtection="false">
      <alignment horizontal="center" vertical="bottom" textRotation="0" wrapText="false" indent="0" shrinkToFit="false"/>
      <protection locked="true" hidden="false"/>
    </xf>
    <xf numFmtId="164" fontId="4" fillId="22" borderId="0" xfId="0" applyFont="true" applyBorder="false" applyAlignment="true" applyProtection="false">
      <alignment horizontal="general" vertical="bottom" textRotation="0" wrapText="false" indent="0" shrinkToFit="false"/>
      <protection locked="true" hidden="false"/>
    </xf>
    <xf numFmtId="164" fontId="31" fillId="38" borderId="3" xfId="0" applyFont="true" applyBorder="true" applyAlignment="true" applyProtection="false">
      <alignment horizontal="center" vertical="bottom" textRotation="0" wrapText="false" indent="0" shrinkToFit="false"/>
      <protection locked="true" hidden="false"/>
    </xf>
    <xf numFmtId="164" fontId="31" fillId="33" borderId="3" xfId="0" applyFont="true" applyBorder="true" applyAlignment="true" applyProtection="false">
      <alignment horizontal="center" vertical="bottom" textRotation="0" wrapText="false" indent="0" shrinkToFit="false"/>
      <protection locked="true" hidden="false"/>
    </xf>
    <xf numFmtId="164" fontId="30" fillId="39" borderId="3" xfId="0" applyFont="true" applyBorder="true" applyAlignment="true" applyProtection="false">
      <alignment horizontal="center" vertical="bottom" textRotation="0" wrapText="false" indent="0" shrinkToFit="false"/>
      <protection locked="true" hidden="false"/>
    </xf>
    <xf numFmtId="164" fontId="31" fillId="39" borderId="3" xfId="0" applyFont="true" applyBorder="true" applyAlignment="true" applyProtection="false">
      <alignment horizontal="center" vertical="bottom" textRotation="0" wrapText="false" indent="0" shrinkToFit="false"/>
      <protection locked="true" hidden="false"/>
    </xf>
    <xf numFmtId="164" fontId="30" fillId="26" borderId="3" xfId="0" applyFont="true" applyBorder="true" applyAlignment="true" applyProtection="false">
      <alignment horizontal="center" vertical="bottom" textRotation="0" wrapText="false" indent="0" shrinkToFit="false"/>
      <protection locked="true" hidden="false"/>
    </xf>
    <xf numFmtId="164" fontId="30" fillId="40" borderId="3" xfId="0" applyFont="true" applyBorder="true" applyAlignment="true" applyProtection="false">
      <alignment horizontal="center" vertical="bottom" textRotation="0" wrapText="false" indent="0" shrinkToFit="false"/>
      <protection locked="true" hidden="false"/>
    </xf>
    <xf numFmtId="164" fontId="31" fillId="41" borderId="3" xfId="0" applyFont="true" applyBorder="true" applyAlignment="true" applyProtection="false">
      <alignment horizontal="center" vertical="bottom" textRotation="0" wrapText="false" indent="0" shrinkToFit="false"/>
      <protection locked="true" hidden="false"/>
    </xf>
    <xf numFmtId="164" fontId="30" fillId="37" borderId="8" xfId="0" applyFont="true" applyBorder="true" applyAlignment="true" applyProtection="false">
      <alignment horizontal="center" vertical="bottom" textRotation="0" wrapText="false" indent="0" shrinkToFit="false"/>
      <protection locked="true" hidden="false"/>
    </xf>
    <xf numFmtId="164" fontId="30" fillId="35" borderId="8" xfId="0" applyFont="true" applyBorder="true" applyAlignment="true" applyProtection="false">
      <alignment horizontal="center" vertical="bottom" textRotation="0" wrapText="false" indent="0" shrinkToFit="false"/>
      <protection locked="true" hidden="false"/>
    </xf>
    <xf numFmtId="164" fontId="30" fillId="38" borderId="8" xfId="0" applyFont="true" applyBorder="true" applyAlignment="true" applyProtection="false">
      <alignment horizontal="center" vertical="bottom" textRotation="0" wrapText="false" indent="0" shrinkToFit="false"/>
      <protection locked="true" hidden="false"/>
    </xf>
    <xf numFmtId="164" fontId="31" fillId="33" borderId="8" xfId="0" applyFont="true" applyBorder="true" applyAlignment="true" applyProtection="false">
      <alignment horizontal="center" vertical="bottom" textRotation="0" wrapText="false" indent="0" shrinkToFit="false"/>
      <protection locked="true" hidden="false"/>
    </xf>
    <xf numFmtId="164" fontId="12" fillId="39" borderId="8" xfId="0" applyFont="true" applyBorder="true" applyAlignment="true" applyProtection="false">
      <alignment horizontal="center" vertical="bottom" textRotation="0" wrapText="false" indent="0" shrinkToFit="false"/>
      <protection locked="true" hidden="false"/>
    </xf>
    <xf numFmtId="164" fontId="31" fillId="39" borderId="8" xfId="0" applyFont="true" applyBorder="true" applyAlignment="true" applyProtection="false">
      <alignment horizontal="center" vertical="bottom" textRotation="0" wrapText="false" indent="0" shrinkToFit="false"/>
      <protection locked="true" hidden="false"/>
    </xf>
    <xf numFmtId="164" fontId="31" fillId="26" borderId="8" xfId="0" applyFont="true" applyBorder="true" applyAlignment="true" applyProtection="false">
      <alignment horizontal="center" vertical="bottom" textRotation="0" wrapText="false" indent="0" shrinkToFit="false"/>
      <protection locked="true" hidden="false"/>
    </xf>
    <xf numFmtId="164" fontId="30" fillId="40" borderId="8" xfId="0" applyFont="true" applyBorder="true" applyAlignment="true" applyProtection="false">
      <alignment horizontal="center" vertical="bottom" textRotation="0" wrapText="false" indent="0" shrinkToFit="false"/>
      <protection locked="true" hidden="false"/>
    </xf>
    <xf numFmtId="164" fontId="31" fillId="41" borderId="8" xfId="0" applyFont="true" applyBorder="true" applyAlignment="true" applyProtection="false">
      <alignment horizontal="center" vertical="bottom" textRotation="0" wrapText="false" indent="0" shrinkToFit="false"/>
      <protection locked="true" hidden="false"/>
    </xf>
    <xf numFmtId="164" fontId="31" fillId="37" borderId="8" xfId="0" applyFont="true" applyBorder="true" applyAlignment="true" applyProtection="false">
      <alignment horizontal="center" vertical="bottom" textRotation="0" wrapText="false" indent="0" shrinkToFit="false"/>
      <protection locked="true" hidden="false"/>
    </xf>
    <xf numFmtId="164" fontId="31" fillId="35" borderId="8" xfId="0" applyFont="true" applyBorder="true" applyAlignment="true" applyProtection="false">
      <alignment horizontal="center" vertical="bottom" textRotation="0" wrapText="false" indent="0" shrinkToFit="false"/>
      <protection locked="true" hidden="false"/>
    </xf>
    <xf numFmtId="164" fontId="31" fillId="38" borderId="8" xfId="0" applyFont="true" applyBorder="true" applyAlignment="true" applyProtection="false">
      <alignment horizontal="center" vertical="bottom" textRotation="0" wrapText="false" indent="0" shrinkToFit="false"/>
      <protection locked="true" hidden="false"/>
    </xf>
    <xf numFmtId="164" fontId="30" fillId="33" borderId="8" xfId="0" applyFont="true" applyBorder="true" applyAlignment="true" applyProtection="false">
      <alignment horizontal="center" vertical="bottom" textRotation="0" wrapText="false" indent="0" shrinkToFit="false"/>
      <protection locked="true" hidden="false"/>
    </xf>
    <xf numFmtId="164" fontId="30" fillId="39" borderId="8" xfId="0" applyFont="true" applyBorder="true" applyAlignment="true" applyProtection="false">
      <alignment horizontal="center" vertical="bottom" textRotation="0" wrapText="false" indent="0" shrinkToFit="false"/>
      <protection locked="true" hidden="false"/>
    </xf>
    <xf numFmtId="164" fontId="31" fillId="40" borderId="8" xfId="0" applyFont="true" applyBorder="true" applyAlignment="true" applyProtection="false">
      <alignment horizontal="center" vertical="bottom" textRotation="0" wrapText="false" indent="0" shrinkToFit="false"/>
      <protection locked="true" hidden="false"/>
    </xf>
    <xf numFmtId="164" fontId="30" fillId="41" borderId="8" xfId="0" applyFont="true" applyBorder="true" applyAlignment="true" applyProtection="false">
      <alignment horizontal="center" vertical="bottom" textRotation="0" wrapText="false" indent="0" shrinkToFit="false"/>
      <protection locked="true" hidden="false"/>
    </xf>
    <xf numFmtId="164" fontId="30" fillId="26" borderId="8" xfId="0" applyFont="true" applyBorder="true" applyAlignment="true" applyProtection="false">
      <alignment horizontal="center" vertical="bottom" textRotation="0" wrapText="false" indent="0" shrinkToFit="false"/>
      <protection locked="true" hidden="false"/>
    </xf>
    <xf numFmtId="164" fontId="4" fillId="40" borderId="8" xfId="0" applyFont="true" applyBorder="true" applyAlignment="true" applyProtection="false">
      <alignment horizontal="general" vertical="bottom" textRotation="0" wrapText="false" indent="0" shrinkToFit="false"/>
      <protection locked="true" hidden="false"/>
    </xf>
    <xf numFmtId="164" fontId="4" fillId="41" borderId="8" xfId="0" applyFont="true" applyBorder="true" applyAlignment="true" applyProtection="false">
      <alignment horizontal="general" vertical="bottom" textRotation="0" wrapText="false" indent="0" shrinkToFit="false"/>
      <protection locked="true" hidden="false"/>
    </xf>
    <xf numFmtId="164" fontId="4" fillId="26" borderId="8" xfId="0" applyFont="true" applyBorder="true" applyAlignment="true" applyProtection="false">
      <alignment horizontal="general" vertical="bottom" textRotation="0" wrapText="false" indent="0" shrinkToFit="false"/>
      <protection locked="true" hidden="false"/>
    </xf>
    <xf numFmtId="164" fontId="5" fillId="22" borderId="13" xfId="0" applyFont="true" applyBorder="true" applyAlignment="true" applyProtection="false">
      <alignment horizontal="general" vertical="bottom" textRotation="0" wrapText="false" indent="0" shrinkToFit="false"/>
      <protection locked="true" hidden="false"/>
    </xf>
    <xf numFmtId="164" fontId="4" fillId="41" borderId="13" xfId="0" applyFont="true" applyBorder="true" applyAlignment="true" applyProtection="false">
      <alignment horizontal="general" vertical="bottom" textRotation="0" wrapText="false" indent="0" shrinkToFit="false"/>
      <protection locked="true" hidden="false"/>
    </xf>
    <xf numFmtId="164" fontId="4" fillId="37" borderId="8" xfId="0" applyFont="true" applyBorder="true" applyAlignment="true" applyProtection="false">
      <alignment horizontal="general" vertical="bottom" textRotation="0" wrapText="false" indent="0" shrinkToFit="false"/>
      <protection locked="true" hidden="false"/>
    </xf>
    <xf numFmtId="164" fontId="4" fillId="35" borderId="8" xfId="0" applyFont="true" applyBorder="true" applyAlignment="true" applyProtection="false">
      <alignment horizontal="general" vertical="bottom" textRotation="0" wrapText="false" indent="0" shrinkToFit="false"/>
      <protection locked="true" hidden="false"/>
    </xf>
    <xf numFmtId="164" fontId="4" fillId="39" borderId="8" xfId="0" applyFont="true" applyBorder="true" applyAlignment="true" applyProtection="false">
      <alignment horizontal="center" vertical="bottom" textRotation="0" wrapText="false" indent="0" shrinkToFit="false"/>
      <protection locked="true" hidden="false"/>
    </xf>
    <xf numFmtId="164" fontId="4" fillId="38" borderId="8" xfId="0" applyFont="true" applyBorder="true" applyAlignment="true" applyProtection="false">
      <alignment horizontal="general" vertical="bottom" textRotation="0" wrapText="false" indent="0" shrinkToFit="false"/>
      <protection locked="true" hidden="false"/>
    </xf>
    <xf numFmtId="164" fontId="4" fillId="33" borderId="8" xfId="0" applyFont="true" applyBorder="true" applyAlignment="true" applyProtection="false">
      <alignment horizontal="general" vertical="bottom" textRotation="0" wrapText="false" indent="0" shrinkToFit="false"/>
      <protection locked="true" hidden="false"/>
    </xf>
    <xf numFmtId="164" fontId="4" fillId="39" borderId="8" xfId="0" applyFont="true" applyBorder="true" applyAlignment="true" applyProtection="false">
      <alignment horizontal="general" vertical="bottom" textRotation="0" wrapText="false" indent="0" shrinkToFit="false"/>
      <protection locked="true" hidden="false"/>
    </xf>
    <xf numFmtId="164" fontId="12" fillId="37" borderId="8" xfId="0" applyFont="true" applyBorder="true" applyAlignment="false" applyProtection="false">
      <alignment horizontal="general" vertical="bottom" textRotation="0" wrapText="false" indent="0" shrinkToFit="false"/>
      <protection locked="true" hidden="false"/>
    </xf>
    <xf numFmtId="164" fontId="12" fillId="37" borderId="6" xfId="0" applyFont="true" applyBorder="true" applyAlignment="false" applyProtection="false">
      <alignment horizontal="general" vertical="bottom" textRotation="0" wrapText="false" indent="0" shrinkToFit="false"/>
      <protection locked="true" hidden="false"/>
    </xf>
    <xf numFmtId="164" fontId="4" fillId="35" borderId="6" xfId="0" applyFont="true" applyBorder="true" applyAlignment="true" applyProtection="false">
      <alignment horizontal="general" vertical="bottom" textRotation="0" wrapText="false" indent="0" shrinkToFit="false"/>
      <protection locked="true" hidden="false"/>
    </xf>
    <xf numFmtId="164" fontId="4" fillId="38" borderId="6" xfId="0" applyFont="true" applyBorder="true" applyAlignment="true" applyProtection="false">
      <alignment horizontal="general" vertical="bottom" textRotation="0" wrapText="false" indent="0" shrinkToFit="false"/>
      <protection locked="true" hidden="false"/>
    </xf>
    <xf numFmtId="164" fontId="4" fillId="33" borderId="6" xfId="0" applyFont="true" applyBorder="true" applyAlignment="true" applyProtection="false">
      <alignment horizontal="general" vertical="bottom" textRotation="0" wrapText="false" indent="0" shrinkToFit="false"/>
      <protection locked="true" hidden="false"/>
    </xf>
    <xf numFmtId="164" fontId="4" fillId="39" borderId="6" xfId="0" applyFont="true" applyBorder="true" applyAlignment="true" applyProtection="false">
      <alignment horizontal="general" vertical="bottom" textRotation="0" wrapText="false" indent="0" shrinkToFit="false"/>
      <protection locked="true" hidden="false"/>
    </xf>
    <xf numFmtId="164" fontId="4" fillId="40" borderId="6" xfId="0" applyFont="true" applyBorder="true" applyAlignment="true" applyProtection="false">
      <alignment horizontal="general" vertical="bottom" textRotation="0" wrapText="false" indent="0" shrinkToFit="false"/>
      <protection locked="true" hidden="false"/>
    </xf>
    <xf numFmtId="164" fontId="12" fillId="37" borderId="0" xfId="0" applyFont="true" applyBorder="false" applyAlignment="false" applyProtection="false">
      <alignment horizontal="general" vertical="bottom" textRotation="0" wrapText="false" indent="0" shrinkToFit="false"/>
      <protection locked="true" hidden="false"/>
    </xf>
    <xf numFmtId="164" fontId="4" fillId="35" borderId="0" xfId="0" applyFont="true" applyBorder="false" applyAlignment="true" applyProtection="false">
      <alignment horizontal="general" vertical="bottom" textRotation="0" wrapText="false" indent="0" shrinkToFit="false"/>
      <protection locked="true" hidden="false"/>
    </xf>
    <xf numFmtId="164" fontId="4" fillId="38" borderId="0" xfId="0" applyFont="true" applyBorder="false" applyAlignment="true" applyProtection="false">
      <alignment horizontal="general" vertical="bottom" textRotation="0" wrapText="false" indent="0" shrinkToFit="false"/>
      <protection locked="true" hidden="false"/>
    </xf>
    <xf numFmtId="164" fontId="4" fillId="33" borderId="0" xfId="0" applyFont="true" applyBorder="false" applyAlignment="true" applyProtection="false">
      <alignment horizontal="general" vertical="bottom" textRotation="0" wrapText="false" indent="0" shrinkToFit="false"/>
      <protection locked="true" hidden="false"/>
    </xf>
    <xf numFmtId="164" fontId="4" fillId="39" borderId="0" xfId="0" applyFont="true" applyBorder="false" applyAlignment="true" applyProtection="false">
      <alignment horizontal="general" vertical="bottom" textRotation="0" wrapText="false" indent="0" shrinkToFit="false"/>
      <protection locked="true" hidden="false"/>
    </xf>
    <xf numFmtId="164" fontId="4" fillId="26" borderId="6" xfId="0" applyFont="true" applyBorder="true" applyAlignment="true" applyProtection="false">
      <alignment horizontal="general" vertical="bottom" textRotation="0" wrapText="false" indent="0" shrinkToFit="false"/>
      <protection locked="true" hidden="false"/>
    </xf>
    <xf numFmtId="164" fontId="4" fillId="40" borderId="0" xfId="0" applyFont="true" applyBorder="false" applyAlignment="true" applyProtection="false">
      <alignment horizontal="general" vertical="bottom" textRotation="0" wrapText="false" indent="0" shrinkToFit="false"/>
      <protection locked="true" hidden="false"/>
    </xf>
    <xf numFmtId="164" fontId="4" fillId="41" borderId="0" xfId="0" applyFont="true" applyBorder="false" applyAlignment="true" applyProtection="false">
      <alignment horizontal="general" vertical="bottom" textRotation="0" wrapText="false" indent="0" shrinkToFit="false"/>
      <protection locked="true" hidden="false"/>
    </xf>
    <xf numFmtId="164" fontId="9" fillId="13" borderId="4" xfId="0" applyFont="true" applyBorder="true" applyAlignment="true" applyProtection="false">
      <alignment horizontal="center" vertical="bottom" textRotation="0" wrapText="false" indent="0" shrinkToFit="false"/>
      <protection locked="true" hidden="false"/>
    </xf>
    <xf numFmtId="164" fontId="20" fillId="13" borderId="0" xfId="0" applyFont="true" applyBorder="false" applyAlignment="true" applyProtection="false">
      <alignment horizontal="center" vertical="center" textRotation="0" wrapText="false" indent="0" shrinkToFit="false"/>
      <protection locked="true" hidden="false"/>
    </xf>
    <xf numFmtId="164" fontId="12" fillId="12" borderId="13" xfId="0" applyFont="true" applyBorder="true" applyAlignment="true" applyProtection="false">
      <alignment horizontal="center" vertical="center" textRotation="0" wrapText="false" indent="0" shrinkToFit="false"/>
      <protection locked="true" hidden="false"/>
    </xf>
    <xf numFmtId="164" fontId="12" fillId="0" borderId="8" xfId="0" applyFont="true" applyBorder="true" applyAlignment="true" applyProtection="false">
      <alignment horizontal="center" vertical="center" textRotation="0" wrapText="false" indent="0" shrinkToFit="false"/>
      <protection locked="true" hidden="false"/>
    </xf>
    <xf numFmtId="164" fontId="12" fillId="19" borderId="8" xfId="0" applyFont="true" applyBorder="true" applyAlignment="true" applyProtection="false">
      <alignment horizontal="center" vertical="center" textRotation="0" wrapText="false" indent="0" shrinkToFit="false"/>
      <protection locked="true" hidden="false"/>
    </xf>
    <xf numFmtId="164" fontId="12" fillId="19" borderId="0" xfId="0" applyFont="true" applyBorder="false" applyAlignment="true" applyProtection="false">
      <alignment horizontal="general" vertical="center" textRotation="0" wrapText="false" indent="0" shrinkToFit="false"/>
      <protection locked="true" hidden="false"/>
    </xf>
    <xf numFmtId="164" fontId="12" fillId="19" borderId="13" xfId="0" applyFont="true" applyBorder="true" applyAlignment="true" applyProtection="false">
      <alignment horizontal="center" vertical="center" textRotation="0" wrapText="false" indent="0" shrinkToFit="false"/>
      <protection locked="true" hidden="false"/>
    </xf>
    <xf numFmtId="164" fontId="12" fillId="13" borderId="0" xfId="0" applyFont="true" applyBorder="false" applyAlignment="true" applyProtection="false">
      <alignment horizontal="general" vertical="center" textRotation="0" wrapText="false" indent="0" shrinkToFit="false"/>
      <protection locked="true" hidden="false"/>
    </xf>
    <xf numFmtId="164" fontId="12" fillId="7" borderId="13" xfId="0" applyFont="true" applyBorder="true" applyAlignment="true" applyProtection="false">
      <alignment horizontal="general" vertical="center" textRotation="0" wrapText="false" indent="0" shrinkToFit="false"/>
      <protection locked="true" hidden="false"/>
    </xf>
    <xf numFmtId="164" fontId="23" fillId="8" borderId="13" xfId="0" applyFont="true" applyBorder="true" applyAlignment="true" applyProtection="false">
      <alignment horizontal="general" vertical="center" textRotation="0" wrapText="false" indent="0" shrinkToFit="false"/>
      <protection locked="true" hidden="false"/>
    </xf>
    <xf numFmtId="164" fontId="23" fillId="8" borderId="9" xfId="0" applyFont="true" applyBorder="true" applyAlignment="true" applyProtection="false">
      <alignment horizontal="general" vertical="center" textRotation="0" wrapText="false" indent="0" shrinkToFit="false"/>
      <protection locked="true" hidden="false"/>
    </xf>
    <xf numFmtId="164" fontId="12" fillId="0" borderId="13" xfId="0" applyFont="true" applyBorder="true" applyAlignment="true" applyProtection="false">
      <alignment horizontal="center" vertical="center" textRotation="0" wrapText="false" indent="0" shrinkToFit="false"/>
      <protection locked="true" hidden="false"/>
    </xf>
    <xf numFmtId="164" fontId="12" fillId="0" borderId="13" xfId="0" applyFont="true" applyBorder="true" applyAlignment="true" applyProtection="false">
      <alignment horizontal="general" vertical="center" textRotation="0" wrapText="false" indent="0" shrinkToFit="false"/>
      <protection locked="true" hidden="false"/>
    </xf>
    <xf numFmtId="164" fontId="12" fillId="0" borderId="8" xfId="0" applyFont="true" applyBorder="true" applyAlignment="true" applyProtection="false">
      <alignment horizontal="general" vertical="center" textRotation="0" wrapText="false" indent="0" shrinkToFit="false"/>
      <protection locked="true" hidden="false"/>
    </xf>
    <xf numFmtId="164" fontId="12" fillId="19" borderId="8" xfId="0" applyFont="true" applyBorder="true" applyAlignment="true" applyProtection="false">
      <alignment horizontal="general" vertical="center" textRotation="0" wrapText="false" indent="0" shrinkToFit="false"/>
      <protection locked="true" hidden="false"/>
    </xf>
    <xf numFmtId="164" fontId="12" fillId="19" borderId="5" xfId="0" applyFont="true" applyBorder="true" applyAlignment="true" applyProtection="false">
      <alignment horizontal="center" vertical="center" textRotation="0" wrapText="false" indent="0" shrinkToFit="false"/>
      <protection locked="true" hidden="false"/>
    </xf>
    <xf numFmtId="164" fontId="7" fillId="5" borderId="17" xfId="0" applyFont="true" applyBorder="true" applyAlignment="true" applyProtection="false">
      <alignment horizontal="general" vertical="center" textRotation="0" wrapText="false" indent="0" shrinkToFit="false"/>
      <protection locked="true" hidden="false"/>
    </xf>
    <xf numFmtId="164" fontId="32" fillId="15" borderId="14" xfId="0" applyFont="true" applyBorder="true" applyAlignment="true" applyProtection="false">
      <alignment horizontal="center" vertical="center" textRotation="0" wrapText="false" indent="0" shrinkToFit="false"/>
      <protection locked="true" hidden="false"/>
    </xf>
    <xf numFmtId="164" fontId="11" fillId="21" borderId="14" xfId="0" applyFont="true" applyBorder="true" applyAlignment="true" applyProtection="false">
      <alignment horizontal="center" vertical="center" textRotation="0" wrapText="false" indent="0" shrinkToFit="false"/>
      <protection locked="true" hidden="false"/>
    </xf>
    <xf numFmtId="164" fontId="5" fillId="4" borderId="14" xfId="0" applyFont="true" applyBorder="true" applyAlignment="true" applyProtection="false">
      <alignment horizontal="center" vertical="center" textRotation="0" wrapText="false" indent="0" shrinkToFit="false"/>
      <protection locked="true" hidden="false"/>
    </xf>
    <xf numFmtId="164" fontId="7" fillId="10" borderId="1" xfId="0" applyFont="true" applyBorder="true" applyAlignment="true" applyProtection="false">
      <alignment horizontal="center" vertical="center" textRotation="0" wrapText="false" indent="0" shrinkToFit="false"/>
      <protection locked="true" hidden="false"/>
    </xf>
    <xf numFmtId="164" fontId="12" fillId="5" borderId="11" xfId="0" applyFont="true" applyBorder="true" applyAlignment="true" applyProtection="false">
      <alignment horizontal="center" vertical="center" textRotation="0" wrapText="false" indent="0" shrinkToFit="false"/>
      <protection locked="true" hidden="false"/>
    </xf>
    <xf numFmtId="164" fontId="33" fillId="5" borderId="7" xfId="0" applyFont="true" applyBorder="true" applyAlignment="true" applyProtection="false">
      <alignment horizontal="center" vertical="center" textRotation="0" wrapText="false" indent="0" shrinkToFit="false"/>
      <protection locked="true" hidden="false"/>
    </xf>
    <xf numFmtId="164" fontId="33" fillId="5" borderId="10" xfId="0" applyFont="true" applyBorder="true" applyAlignment="true" applyProtection="false">
      <alignment horizontal="center" vertical="center" textRotation="0" wrapText="false" indent="0" shrinkToFit="false"/>
      <protection locked="true" hidden="false"/>
    </xf>
    <xf numFmtId="164" fontId="33" fillId="5" borderId="4" xfId="0" applyFont="true" applyBorder="true" applyAlignment="true" applyProtection="false">
      <alignment horizontal="center" vertical="center" textRotation="0" wrapText="false" indent="0" shrinkToFit="false"/>
      <protection locked="true" hidden="false"/>
    </xf>
    <xf numFmtId="164" fontId="34" fillId="12" borderId="14" xfId="0" applyFont="true" applyBorder="true" applyAlignment="true" applyProtection="false">
      <alignment horizontal="center" vertical="center" textRotation="0" wrapText="false" indent="0" shrinkToFit="false"/>
      <protection locked="true" hidden="false"/>
    </xf>
    <xf numFmtId="164" fontId="34" fillId="12" borderId="11" xfId="0" applyFont="true" applyBorder="true" applyAlignment="true" applyProtection="false">
      <alignment horizontal="center" vertical="center" textRotation="0" wrapText="false" indent="0" shrinkToFit="false"/>
      <protection locked="true" hidden="false"/>
    </xf>
    <xf numFmtId="164" fontId="34" fillId="12" borderId="17" xfId="0" applyFont="true" applyBorder="true" applyAlignment="true" applyProtection="false">
      <alignment horizontal="center" vertical="center" textRotation="0" wrapText="false" indent="0" shrinkToFit="false"/>
      <protection locked="true" hidden="false"/>
    </xf>
    <xf numFmtId="164" fontId="35" fillId="12" borderId="10" xfId="0" applyFont="true" applyBorder="true" applyAlignment="true" applyProtection="false">
      <alignment horizontal="center" vertical="center" textRotation="0" wrapText="false" indent="0" shrinkToFit="false"/>
      <protection locked="true" hidden="false"/>
    </xf>
    <xf numFmtId="164" fontId="35" fillId="12" borderId="4" xfId="0" applyFont="true" applyBorder="true" applyAlignment="true" applyProtection="false">
      <alignment horizontal="center" vertical="center" textRotation="0" wrapText="false" indent="0" shrinkToFit="false"/>
      <protection locked="true" hidden="false"/>
    </xf>
    <xf numFmtId="164" fontId="36" fillId="12" borderId="0" xfId="0" applyFont="true" applyBorder="false" applyAlignment="true" applyProtection="false">
      <alignment horizontal="center" vertical="center" textRotation="0" wrapText="false" indent="0" shrinkToFit="false"/>
      <protection locked="true" hidden="false"/>
    </xf>
    <xf numFmtId="164" fontId="31" fillId="41" borderId="8" xfId="0" applyFont="true" applyBorder="true" applyAlignment="true" applyProtection="false">
      <alignment horizontal="center" vertical="center" textRotation="0" wrapText="false" indent="0" shrinkToFit="false"/>
      <protection locked="true" hidden="false"/>
    </xf>
    <xf numFmtId="164" fontId="23" fillId="3" borderId="17" xfId="0" applyFont="true" applyBorder="true" applyAlignment="true" applyProtection="false">
      <alignment horizontal="general" vertical="center" textRotation="0" wrapText="false" indent="0" shrinkToFit="false"/>
      <protection locked="true" hidden="false"/>
    </xf>
    <xf numFmtId="164" fontId="23" fillId="3" borderId="0" xfId="0" applyFont="true" applyBorder="false" applyAlignment="true" applyProtection="false">
      <alignment horizontal="center" vertical="center" textRotation="0" wrapText="false" indent="0" shrinkToFit="false"/>
      <protection locked="true" hidden="false"/>
    </xf>
    <xf numFmtId="164" fontId="23" fillId="3" borderId="5" xfId="0" applyFont="true" applyBorder="true" applyAlignment="true" applyProtection="false">
      <alignment horizontal="center" vertical="center" textRotation="0" wrapText="false" indent="0" shrinkToFit="false"/>
      <protection locked="true" hidden="false"/>
    </xf>
    <xf numFmtId="164" fontId="23" fillId="3" borderId="13" xfId="0" applyFont="true" applyBorder="true" applyAlignment="true" applyProtection="false">
      <alignment horizontal="center" vertical="center" textRotation="0" wrapText="false" indent="0" shrinkToFit="false"/>
      <protection locked="true" hidden="false"/>
    </xf>
    <xf numFmtId="164" fontId="23" fillId="3" borderId="17" xfId="0" applyFont="true" applyBorder="true" applyAlignment="true" applyProtection="false">
      <alignment horizontal="center" vertical="center" textRotation="0" wrapText="false" indent="0" shrinkToFit="false"/>
      <protection locked="true" hidden="false"/>
    </xf>
    <xf numFmtId="164" fontId="23" fillId="3" borderId="11" xfId="0" applyFont="true" applyBorder="true" applyAlignment="true" applyProtection="false">
      <alignment horizontal="center" vertical="center" textRotation="0" wrapText="false" indent="0" shrinkToFit="false"/>
      <protection locked="true" hidden="false"/>
    </xf>
    <xf numFmtId="164" fontId="37" fillId="3" borderId="5" xfId="0" applyFont="true" applyBorder="true" applyAlignment="true" applyProtection="false">
      <alignment horizontal="center" vertical="center" textRotation="0" wrapText="false" indent="0" shrinkToFit="false"/>
      <protection locked="true" hidden="false"/>
    </xf>
    <xf numFmtId="164" fontId="37" fillId="3" borderId="0" xfId="0" applyFont="true" applyBorder="false" applyAlignment="true" applyProtection="false">
      <alignment horizontal="center" vertical="center" textRotation="0" wrapText="false" indent="0" shrinkToFit="false"/>
      <protection locked="true" hidden="false"/>
    </xf>
    <xf numFmtId="164" fontId="37" fillId="3" borderId="13" xfId="0" applyFont="true" applyBorder="true" applyAlignment="true" applyProtection="false">
      <alignment horizontal="center" vertical="center" textRotation="0" wrapText="false" indent="0" shrinkToFit="false"/>
      <protection locked="true" hidden="false"/>
    </xf>
    <xf numFmtId="164" fontId="31" fillId="3" borderId="0" xfId="0" applyFont="true" applyBorder="false" applyAlignment="true" applyProtection="false">
      <alignment horizontal="center" vertical="center" textRotation="0" wrapText="false" indent="0" shrinkToFit="false"/>
      <protection locked="true" hidden="false"/>
    </xf>
    <xf numFmtId="164" fontId="31" fillId="3" borderId="13" xfId="0" applyFont="true" applyBorder="true" applyAlignment="true" applyProtection="false">
      <alignment horizontal="center" vertical="center" textRotation="0" wrapText="false" indent="0" shrinkToFit="false"/>
      <protection locked="true" hidden="false"/>
    </xf>
    <xf numFmtId="164" fontId="7" fillId="8" borderId="13" xfId="0" applyFont="true" applyBorder="true" applyAlignment="true" applyProtection="false">
      <alignment horizontal="center" vertical="center" textRotation="0" wrapText="false" indent="0" shrinkToFit="false"/>
      <protection locked="true" hidden="false"/>
    </xf>
    <xf numFmtId="164" fontId="31" fillId="14" borderId="8" xfId="0" applyFont="true" applyBorder="true" applyAlignment="true" applyProtection="false">
      <alignment horizontal="center" vertical="center" textRotation="0" wrapText="false" indent="0" shrinkToFit="false"/>
      <protection locked="true" hidden="false"/>
    </xf>
    <xf numFmtId="164" fontId="23" fillId="3" borderId="13" xfId="0" applyFont="true" applyBorder="true" applyAlignment="true" applyProtection="false">
      <alignment horizontal="general" vertical="center" textRotation="0" wrapText="false" indent="0" shrinkToFit="false"/>
      <protection locked="true" hidden="false"/>
    </xf>
    <xf numFmtId="164" fontId="23" fillId="3" borderId="8" xfId="0" applyFont="true" applyBorder="true" applyAlignment="true" applyProtection="false">
      <alignment horizontal="center" vertical="center" textRotation="0" wrapText="false" indent="0" shrinkToFit="false"/>
      <protection locked="true" hidden="false"/>
    </xf>
    <xf numFmtId="164" fontId="38" fillId="3" borderId="0" xfId="0" applyFont="true" applyBorder="false" applyAlignment="true" applyProtection="false">
      <alignment horizontal="center" vertical="center" textRotation="0" wrapText="false" indent="0" shrinkToFit="false"/>
      <protection locked="true" hidden="false"/>
    </xf>
    <xf numFmtId="164" fontId="38" fillId="3" borderId="13" xfId="0" applyFont="true" applyBorder="true" applyAlignment="true" applyProtection="false">
      <alignment horizontal="center" vertical="center" textRotation="0" wrapText="false" indent="0" shrinkToFit="false"/>
      <protection locked="true" hidden="false"/>
    </xf>
    <xf numFmtId="164" fontId="4" fillId="14" borderId="8" xfId="0" applyFont="true" applyBorder="true" applyAlignment="true" applyProtection="false">
      <alignment horizontal="center" vertical="center" textRotation="0" wrapText="false" indent="0" shrinkToFit="false"/>
      <protection locked="true" hidden="false"/>
    </xf>
    <xf numFmtId="164" fontId="8" fillId="7" borderId="13" xfId="0" applyFont="true" applyBorder="true" applyAlignment="true" applyProtection="false">
      <alignment horizontal="center" vertical="center" textRotation="0" wrapText="false" indent="0" shrinkToFit="false"/>
      <protection locked="true" hidden="false"/>
    </xf>
    <xf numFmtId="164" fontId="8" fillId="7" borderId="9" xfId="0" applyFont="true" applyBorder="true" applyAlignment="true" applyProtection="false">
      <alignment horizontal="center" vertical="center" textRotation="0" wrapText="false" indent="0" shrinkToFit="false"/>
      <protection locked="true" hidden="false"/>
    </xf>
    <xf numFmtId="164" fontId="12" fillId="0" borderId="0" xfId="0" applyFont="true" applyBorder="false" applyAlignment="true" applyProtection="false">
      <alignment horizontal="center" vertical="bottom" textRotation="0" wrapText="false" indent="0" shrinkToFit="false"/>
      <protection locked="true" hidden="false"/>
    </xf>
    <xf numFmtId="164" fontId="4" fillId="0" borderId="0" xfId="0" applyFont="true" applyBorder="false" applyAlignment="true" applyProtection="false">
      <alignment horizontal="general" vertical="bottom" textRotation="0" wrapText="false" indent="0" shrinkToFit="false"/>
      <protection locked="true" hidden="false"/>
    </xf>
    <xf numFmtId="164" fontId="38" fillId="3" borderId="5" xfId="0" applyFont="true" applyBorder="true" applyAlignment="true" applyProtection="false">
      <alignment horizontal="center" vertical="center" textRotation="0" wrapText="false" indent="0" shrinkToFit="false"/>
      <protection locked="true" hidden="false"/>
    </xf>
    <xf numFmtId="164" fontId="31" fillId="34" borderId="8" xfId="0" applyFont="true" applyBorder="true" applyAlignment="true" applyProtection="false">
      <alignment horizontal="center" vertical="center" textRotation="0" wrapText="false" indent="0" shrinkToFit="false"/>
      <protection locked="true" hidden="false"/>
    </xf>
    <xf numFmtId="164" fontId="31" fillId="34" borderId="13" xfId="0" applyFont="true" applyBorder="true" applyAlignment="true" applyProtection="false">
      <alignment horizontal="general" vertical="center" textRotation="0" wrapText="false" indent="0" shrinkToFit="false"/>
      <protection locked="true" hidden="false"/>
    </xf>
    <xf numFmtId="164" fontId="4" fillId="34" borderId="13" xfId="0" applyFont="true" applyBorder="true" applyAlignment="true" applyProtection="false">
      <alignment horizontal="center" vertical="center" textRotation="0" wrapText="false" indent="0" shrinkToFit="false"/>
      <protection locked="true" hidden="false"/>
    </xf>
    <xf numFmtId="164" fontId="31" fillId="34" borderId="0" xfId="0" applyFont="true" applyBorder="false" applyAlignment="true" applyProtection="false">
      <alignment horizontal="center" vertical="center" textRotation="0" wrapText="false" indent="0" shrinkToFit="false"/>
      <protection locked="true" hidden="false"/>
    </xf>
    <xf numFmtId="164" fontId="31" fillId="34" borderId="13" xfId="0" applyFont="true" applyBorder="true" applyAlignment="true" applyProtection="false">
      <alignment horizontal="center" vertical="center" textRotation="0" wrapText="false" indent="0" shrinkToFit="false"/>
      <protection locked="true" hidden="false"/>
    </xf>
    <xf numFmtId="164" fontId="37" fillId="34" borderId="5" xfId="0" applyFont="true" applyBorder="true" applyAlignment="true" applyProtection="false">
      <alignment horizontal="center" vertical="center" textRotation="0" wrapText="false" indent="0" shrinkToFit="false"/>
      <protection locked="true" hidden="false"/>
    </xf>
    <xf numFmtId="164" fontId="37" fillId="34" borderId="0" xfId="0" applyFont="true" applyBorder="false" applyAlignment="true" applyProtection="false">
      <alignment horizontal="center" vertical="center" textRotation="0" wrapText="false" indent="0" shrinkToFit="false"/>
      <protection locked="true" hidden="false"/>
    </xf>
    <xf numFmtId="164" fontId="36" fillId="34" borderId="13" xfId="0" applyFont="true" applyBorder="true" applyAlignment="true" applyProtection="false">
      <alignment horizontal="general" vertical="center" textRotation="0" wrapText="false" indent="0" shrinkToFit="false"/>
      <protection locked="true" hidden="false"/>
    </xf>
    <xf numFmtId="164" fontId="39" fillId="22" borderId="8" xfId="0" applyFont="true" applyBorder="true" applyAlignment="true" applyProtection="false">
      <alignment horizontal="center" vertical="center" textRotation="0" wrapText="false" indent="0" shrinkToFit="false"/>
      <protection locked="true" hidden="false"/>
    </xf>
    <xf numFmtId="164" fontId="39" fillId="22" borderId="13" xfId="0" applyFont="true" applyBorder="true" applyAlignment="true" applyProtection="false">
      <alignment horizontal="general" vertical="center" textRotation="0" wrapText="false" indent="0" shrinkToFit="false"/>
      <protection locked="true" hidden="false"/>
    </xf>
    <xf numFmtId="164" fontId="39" fillId="22" borderId="13" xfId="0" applyFont="true" applyBorder="true" applyAlignment="true" applyProtection="false">
      <alignment horizontal="center" vertical="center" textRotation="0" wrapText="false" indent="0" shrinkToFit="false"/>
      <protection locked="true" hidden="false"/>
    </xf>
    <xf numFmtId="164" fontId="39" fillId="22" borderId="0" xfId="0" applyFont="true" applyBorder="false" applyAlignment="true" applyProtection="false">
      <alignment horizontal="center" vertical="center" textRotation="0" wrapText="false" indent="0" shrinkToFit="false"/>
      <protection locked="true" hidden="false"/>
    </xf>
    <xf numFmtId="164" fontId="4" fillId="22" borderId="13" xfId="0" applyFont="true" applyBorder="true" applyAlignment="true" applyProtection="false">
      <alignment horizontal="general" vertical="center" textRotation="0" wrapText="false" indent="0" shrinkToFit="false"/>
      <protection locked="true" hidden="false"/>
    </xf>
    <xf numFmtId="164" fontId="40" fillId="22" borderId="5" xfId="0" applyFont="true" applyBorder="true" applyAlignment="true" applyProtection="false">
      <alignment horizontal="center" vertical="center" textRotation="0" wrapText="false" indent="0" shrinkToFit="false"/>
      <protection locked="true" hidden="false"/>
    </xf>
    <xf numFmtId="164" fontId="40" fillId="22" borderId="0" xfId="0" applyFont="true" applyBorder="false" applyAlignment="true" applyProtection="false">
      <alignment horizontal="center" vertical="center" textRotation="0" wrapText="false" indent="0" shrinkToFit="false"/>
      <protection locked="true" hidden="false"/>
    </xf>
    <xf numFmtId="164" fontId="31" fillId="19" borderId="8" xfId="0" applyFont="true" applyBorder="true" applyAlignment="true" applyProtection="false">
      <alignment horizontal="center" vertical="center" textRotation="0" wrapText="false" indent="0" shrinkToFit="false"/>
      <protection locked="true" hidden="false"/>
    </xf>
    <xf numFmtId="164" fontId="39" fillId="22" borderId="8" xfId="0" applyFont="true" applyBorder="true" applyAlignment="true" applyProtection="false">
      <alignment horizontal="center" vertical="bottom" textRotation="0" wrapText="false" indent="0" shrinkToFit="false"/>
      <protection locked="true" hidden="false"/>
    </xf>
    <xf numFmtId="164" fontId="39" fillId="22" borderId="13" xfId="0" applyFont="true" applyBorder="true" applyAlignment="true" applyProtection="false">
      <alignment horizontal="general" vertical="bottom" textRotation="0" wrapText="false" indent="0" shrinkToFit="false"/>
      <protection locked="true" hidden="false"/>
    </xf>
    <xf numFmtId="164" fontId="4" fillId="22" borderId="13" xfId="0" applyFont="true" applyBorder="true" applyAlignment="true" applyProtection="false">
      <alignment horizontal="center" vertical="bottom" textRotation="0" wrapText="false" indent="0" shrinkToFit="false"/>
      <protection locked="true" hidden="false"/>
    </xf>
    <xf numFmtId="164" fontId="39" fillId="22" borderId="0" xfId="0" applyFont="true" applyBorder="false" applyAlignment="true" applyProtection="false">
      <alignment horizontal="center" vertical="bottom" textRotation="0" wrapText="false" indent="0" shrinkToFit="false"/>
      <protection locked="true" hidden="false"/>
    </xf>
    <xf numFmtId="164" fontId="39" fillId="22" borderId="13" xfId="0" applyFont="true" applyBorder="true" applyAlignment="true" applyProtection="false">
      <alignment horizontal="center" vertical="bottom" textRotation="0" wrapText="false" indent="0" shrinkToFit="false"/>
      <protection locked="true" hidden="false"/>
    </xf>
    <xf numFmtId="164" fontId="40" fillId="22" borderId="5" xfId="0" applyFont="true" applyBorder="true" applyAlignment="true" applyProtection="false">
      <alignment horizontal="center" vertical="bottom" textRotation="0" wrapText="false" indent="0" shrinkToFit="false"/>
      <protection locked="true" hidden="false"/>
    </xf>
    <xf numFmtId="164" fontId="40" fillId="22" borderId="0" xfId="0" applyFont="true" applyBorder="false" applyAlignment="true" applyProtection="false">
      <alignment horizontal="center" vertical="bottom" textRotation="0" wrapText="false" indent="0" shrinkToFit="false"/>
      <protection locked="true" hidden="false"/>
    </xf>
    <xf numFmtId="164" fontId="40" fillId="22" borderId="13" xfId="0" applyFont="true" applyBorder="true" applyAlignment="true" applyProtection="false">
      <alignment horizontal="center" vertical="bottom" textRotation="0" wrapText="false" indent="0" shrinkToFit="false"/>
      <protection locked="true" hidden="false"/>
    </xf>
    <xf numFmtId="164" fontId="31" fillId="14" borderId="6" xfId="0" applyFont="true" applyBorder="true" applyAlignment="true" applyProtection="false">
      <alignment horizontal="center" vertical="center" textRotation="0" wrapText="false" indent="0" shrinkToFit="false"/>
      <protection locked="true" hidden="false"/>
    </xf>
    <xf numFmtId="164" fontId="23" fillId="3" borderId="9" xfId="0" applyFont="true" applyBorder="true" applyAlignment="true" applyProtection="false">
      <alignment horizontal="general" vertical="center" textRotation="0" wrapText="false" indent="0" shrinkToFit="false"/>
      <protection locked="true" hidden="false"/>
    </xf>
    <xf numFmtId="164" fontId="23" fillId="3" borderId="9" xfId="0" applyFont="true" applyBorder="true" applyAlignment="true" applyProtection="false">
      <alignment horizontal="center" vertical="center" textRotation="0" wrapText="false" indent="0" shrinkToFit="false"/>
      <protection locked="true" hidden="false"/>
    </xf>
    <xf numFmtId="164" fontId="23" fillId="3" borderId="6" xfId="0" applyFont="true" applyBorder="true" applyAlignment="true" applyProtection="false">
      <alignment horizontal="center" vertical="center" textRotation="0" wrapText="false" indent="0" shrinkToFit="false"/>
      <protection locked="true" hidden="false"/>
    </xf>
    <xf numFmtId="164" fontId="23" fillId="3" borderId="2" xfId="0" applyFont="true" applyBorder="true" applyAlignment="true" applyProtection="false">
      <alignment horizontal="center" vertical="center" textRotation="0" wrapText="false" indent="0" shrinkToFit="false"/>
      <protection locked="true" hidden="false"/>
    </xf>
    <xf numFmtId="164" fontId="38" fillId="3" borderId="2" xfId="0" applyFont="true" applyBorder="true" applyAlignment="true" applyProtection="false">
      <alignment horizontal="center" vertical="center" textRotation="0" wrapText="false" indent="0" shrinkToFit="false"/>
      <protection locked="true" hidden="false"/>
    </xf>
    <xf numFmtId="164" fontId="23" fillId="3" borderId="0" xfId="0" applyFont="true" applyBorder="true" applyAlignment="true" applyProtection="false">
      <alignment horizontal="general" vertical="center" textRotation="0" wrapText="false" indent="0" shrinkToFit="false"/>
      <protection locked="true" hidden="false"/>
    </xf>
    <xf numFmtId="164" fontId="31" fillId="3" borderId="2" xfId="0" applyFont="true" applyBorder="true" applyAlignment="true" applyProtection="false">
      <alignment horizontal="center" vertical="center" textRotation="0" wrapText="false" indent="0" shrinkToFit="false"/>
      <protection locked="true" hidden="false"/>
    </xf>
    <xf numFmtId="164" fontId="31" fillId="3" borderId="9" xfId="0" applyFont="true" applyBorder="true" applyAlignment="true" applyProtection="false">
      <alignment horizontal="center" vertical="center" textRotation="0" wrapText="false" indent="0" shrinkToFit="false"/>
      <protection locked="true" hidden="false"/>
    </xf>
    <xf numFmtId="164" fontId="31" fillId="14" borderId="5" xfId="0" applyFont="true" applyBorder="true" applyAlignment="true" applyProtection="false">
      <alignment horizontal="center" vertical="center" textRotation="0" wrapText="false" indent="0" shrinkToFit="false"/>
      <protection locked="true" hidden="false"/>
    </xf>
    <xf numFmtId="164" fontId="23" fillId="3" borderId="8" xfId="0" applyFont="true" applyBorder="true" applyAlignment="true" applyProtection="false">
      <alignment horizontal="general" vertical="center" textRotation="0" wrapText="false" indent="0" shrinkToFit="false"/>
      <protection locked="true" hidden="false"/>
    </xf>
    <xf numFmtId="164" fontId="31" fillId="14" borderId="12" xfId="0" applyFont="true" applyBorder="true" applyAlignment="true" applyProtection="false">
      <alignment horizontal="center" vertical="center" textRotation="0" wrapText="false" indent="0" shrinkToFit="false"/>
      <protection locked="true" hidden="false"/>
    </xf>
    <xf numFmtId="164" fontId="23" fillId="3" borderId="12" xfId="0" applyFont="true" applyBorder="true" applyAlignment="true" applyProtection="false">
      <alignment horizontal="general" vertical="center" textRotation="0" wrapText="false" indent="0" shrinkToFit="false"/>
      <protection locked="true" hidden="false"/>
    </xf>
    <xf numFmtId="164" fontId="23" fillId="3" borderId="12" xfId="0" applyFont="true" applyBorder="true" applyAlignment="true" applyProtection="false">
      <alignment horizontal="center" vertical="center" textRotation="0" wrapText="false" indent="0" shrinkToFit="false"/>
      <protection locked="true" hidden="false"/>
    </xf>
    <xf numFmtId="164" fontId="38" fillId="3" borderId="12" xfId="0" applyFont="true" applyBorder="true" applyAlignment="true" applyProtection="false">
      <alignment horizontal="center" vertical="center" textRotation="0" wrapText="false" indent="0" shrinkToFit="false"/>
      <protection locked="true" hidden="false"/>
    </xf>
    <xf numFmtId="164" fontId="38" fillId="3" borderId="9" xfId="0" applyFont="true" applyBorder="true" applyAlignment="true" applyProtection="false">
      <alignment horizontal="center" vertical="center" textRotation="0" wrapText="false" indent="0" shrinkToFit="false"/>
      <protection locked="true" hidden="false"/>
    </xf>
    <xf numFmtId="164" fontId="14" fillId="13" borderId="0" xfId="0" applyFont="true" applyBorder="true" applyAlignment="true" applyProtection="false">
      <alignment horizontal="center" vertical="center" textRotation="0" wrapText="false" indent="0" shrinkToFit="false"/>
      <protection locked="true" hidden="false"/>
    </xf>
    <xf numFmtId="164" fontId="14" fillId="13" borderId="7" xfId="0" applyFont="true" applyBorder="true" applyAlignment="true" applyProtection="false">
      <alignment horizontal="center" vertical="center" textRotation="0" wrapText="false" indent="0" shrinkToFit="false"/>
      <protection locked="true" hidden="false"/>
    </xf>
    <xf numFmtId="164" fontId="8" fillId="3" borderId="0" xfId="0" applyFont="true" applyBorder="false" applyAlignment="true" applyProtection="false">
      <alignment horizontal="center" vertical="center" textRotation="0" wrapText="false" indent="0" shrinkToFit="false"/>
      <protection locked="true" hidden="false"/>
    </xf>
    <xf numFmtId="164" fontId="7" fillId="34" borderId="3" xfId="0" applyFont="true" applyBorder="true" applyAlignment="true" applyProtection="false">
      <alignment horizontal="general" vertical="center" textRotation="0" wrapText="false" indent="0" shrinkToFit="false"/>
      <protection locked="true" hidden="false"/>
    </xf>
    <xf numFmtId="164" fontId="7" fillId="34" borderId="1" xfId="0" applyFont="true" applyBorder="true" applyAlignment="true" applyProtection="false">
      <alignment horizontal="center" vertical="center" textRotation="0" wrapText="false" indent="0" shrinkToFit="false"/>
      <protection locked="true" hidden="false"/>
    </xf>
    <xf numFmtId="164" fontId="32" fillId="34" borderId="10" xfId="0" applyFont="true" applyBorder="true" applyAlignment="true" applyProtection="false">
      <alignment horizontal="center" vertical="center" textRotation="0" wrapText="false" indent="0" shrinkToFit="false"/>
      <protection locked="true" hidden="false"/>
    </xf>
    <xf numFmtId="164" fontId="32" fillId="34" borderId="4" xfId="0" applyFont="true" applyBorder="true" applyAlignment="true" applyProtection="false">
      <alignment horizontal="center" vertical="center" textRotation="0" wrapText="false" indent="0" shrinkToFit="false"/>
      <protection locked="true" hidden="false"/>
    </xf>
    <xf numFmtId="164" fontId="7" fillId="34" borderId="10" xfId="0" applyFont="true" applyBorder="true" applyAlignment="true" applyProtection="false">
      <alignment horizontal="center" vertical="center" textRotation="0" wrapText="false" indent="0" shrinkToFit="false"/>
      <protection locked="true" hidden="false"/>
    </xf>
    <xf numFmtId="164" fontId="4" fillId="36" borderId="3" xfId="0" applyFont="true" applyBorder="true" applyAlignment="true" applyProtection="false">
      <alignment horizontal="center" vertical="center" textRotation="0" wrapText="false" indent="0" shrinkToFit="false"/>
      <protection locked="true" hidden="false"/>
    </xf>
    <xf numFmtId="164" fontId="5" fillId="36" borderId="3" xfId="0" applyFont="true" applyBorder="true" applyAlignment="true" applyProtection="false">
      <alignment horizontal="general" vertical="center" textRotation="0" wrapText="false" indent="0" shrinkToFit="false"/>
      <protection locked="true" hidden="false"/>
    </xf>
    <xf numFmtId="164" fontId="4" fillId="20" borderId="17" xfId="0" applyFont="true" applyBorder="true" applyAlignment="true" applyProtection="false">
      <alignment horizontal="center" vertical="center" textRotation="0" wrapText="false" indent="0" shrinkToFit="false"/>
      <protection locked="true" hidden="false"/>
    </xf>
    <xf numFmtId="164" fontId="7" fillId="34" borderId="8" xfId="0" applyFont="true" applyBorder="true" applyAlignment="true" applyProtection="false">
      <alignment horizontal="general" vertical="center" textRotation="0" wrapText="false" indent="0" shrinkToFit="false"/>
      <protection locked="true" hidden="false"/>
    </xf>
    <xf numFmtId="164" fontId="7" fillId="0" borderId="30" xfId="0" applyFont="true" applyBorder="true" applyAlignment="true" applyProtection="false">
      <alignment horizontal="general" vertical="center" textRotation="0" wrapText="false" indent="0" shrinkToFit="false"/>
      <protection locked="true" hidden="false"/>
    </xf>
    <xf numFmtId="164" fontId="41" fillId="42" borderId="31" xfId="0" applyFont="true" applyBorder="true" applyAlignment="true" applyProtection="false">
      <alignment horizontal="center" vertical="center" textRotation="0" wrapText="false" indent="0" shrinkToFit="false"/>
      <protection locked="true" hidden="false"/>
    </xf>
    <xf numFmtId="164" fontId="42" fillId="43" borderId="32" xfId="0" applyFont="true" applyBorder="true" applyAlignment="true" applyProtection="false">
      <alignment horizontal="center" vertical="center" textRotation="0" wrapText="false" indent="0" shrinkToFit="false"/>
      <protection locked="true" hidden="false"/>
    </xf>
    <xf numFmtId="164" fontId="12" fillId="0" borderId="32" xfId="0" applyFont="true" applyBorder="true" applyAlignment="true" applyProtection="false">
      <alignment horizontal="center" vertical="center" textRotation="0" wrapText="false" indent="0" shrinkToFit="false"/>
      <protection locked="true" hidden="false"/>
    </xf>
    <xf numFmtId="165" fontId="12" fillId="0" borderId="33" xfId="0" applyFont="true" applyBorder="true" applyAlignment="true" applyProtection="false">
      <alignment horizontal="center" vertical="center" textRotation="0" wrapText="false" indent="0" shrinkToFit="false"/>
      <protection locked="true" hidden="false"/>
    </xf>
    <xf numFmtId="164" fontId="12" fillId="3" borderId="34" xfId="0" applyFont="true" applyBorder="true" applyAlignment="true" applyProtection="false">
      <alignment horizontal="general" vertical="center" textRotation="0" wrapText="false" indent="0" shrinkToFit="false"/>
      <protection locked="true" hidden="false"/>
    </xf>
    <xf numFmtId="164" fontId="7" fillId="0" borderId="35" xfId="0" applyFont="true" applyBorder="true" applyAlignment="true" applyProtection="false">
      <alignment horizontal="general" vertical="center" textRotation="0" wrapText="false" indent="0" shrinkToFit="false"/>
      <protection locked="true" hidden="false"/>
    </xf>
    <xf numFmtId="164" fontId="14" fillId="44" borderId="36" xfId="0" applyFont="true" applyBorder="true" applyAlignment="true" applyProtection="false">
      <alignment horizontal="center" vertical="center" textRotation="0" wrapText="false" indent="0" shrinkToFit="false"/>
      <protection locked="true" hidden="false"/>
    </xf>
    <xf numFmtId="164" fontId="41" fillId="45" borderId="37" xfId="0" applyFont="true" applyBorder="true" applyAlignment="true" applyProtection="false">
      <alignment horizontal="center" vertical="center" textRotation="0" wrapText="false" indent="0" shrinkToFit="false"/>
      <protection locked="true" hidden="false"/>
    </xf>
    <xf numFmtId="164" fontId="12" fillId="0" borderId="37" xfId="0" applyFont="true" applyBorder="true" applyAlignment="true" applyProtection="false">
      <alignment horizontal="center" vertical="center" textRotation="0" wrapText="false" indent="0" shrinkToFit="false"/>
      <protection locked="true" hidden="false"/>
    </xf>
    <xf numFmtId="164" fontId="12" fillId="0" borderId="38" xfId="0" applyFont="true" applyBorder="true" applyAlignment="true" applyProtection="false">
      <alignment horizontal="center" vertical="center" textRotation="0" wrapText="false" indent="0" shrinkToFit="false"/>
      <protection locked="true" hidden="false"/>
    </xf>
    <xf numFmtId="164" fontId="12" fillId="3" borderId="39" xfId="0" applyFont="true" applyBorder="true" applyAlignment="true" applyProtection="false">
      <alignment horizontal="general" vertical="center" textRotation="0" wrapText="false" indent="0" shrinkToFit="false"/>
      <protection locked="true" hidden="false"/>
    </xf>
    <xf numFmtId="164" fontId="4" fillId="36" borderId="8" xfId="0" applyFont="true" applyBorder="true" applyAlignment="true" applyProtection="false">
      <alignment horizontal="center" vertical="center" textRotation="0" wrapText="false" indent="0" shrinkToFit="false"/>
      <protection locked="true" hidden="false"/>
    </xf>
    <xf numFmtId="164" fontId="5" fillId="36" borderId="8" xfId="0" applyFont="true" applyBorder="true" applyAlignment="true" applyProtection="false">
      <alignment horizontal="general" vertical="center" textRotation="0" wrapText="false" indent="0" shrinkToFit="false"/>
      <protection locked="true" hidden="false"/>
    </xf>
    <xf numFmtId="164" fontId="5" fillId="36" borderId="13" xfId="0" applyFont="true" applyBorder="true" applyAlignment="true" applyProtection="false">
      <alignment horizontal="general" vertical="center" textRotation="0" wrapText="false" indent="0" shrinkToFit="false"/>
      <protection locked="true" hidden="false"/>
    </xf>
    <xf numFmtId="164" fontId="4" fillId="20" borderId="13" xfId="0" applyFont="true" applyBorder="true" applyAlignment="true" applyProtection="false">
      <alignment horizontal="center" vertical="center" textRotation="0" wrapText="false" indent="0" shrinkToFit="false"/>
      <protection locked="true" hidden="false"/>
    </xf>
    <xf numFmtId="164" fontId="7" fillId="0" borderId="40" xfId="0" applyFont="true" applyBorder="true" applyAlignment="true" applyProtection="false">
      <alignment horizontal="general" vertical="center" textRotation="0" wrapText="false" indent="0" shrinkToFit="false"/>
      <protection locked="true" hidden="false"/>
    </xf>
    <xf numFmtId="164" fontId="41" fillId="46" borderId="36" xfId="0" applyFont="true" applyBorder="true" applyAlignment="true" applyProtection="false">
      <alignment horizontal="center" vertical="center" textRotation="0" wrapText="false" indent="0" shrinkToFit="false"/>
      <protection locked="true" hidden="false"/>
    </xf>
    <xf numFmtId="164" fontId="42" fillId="43" borderId="37" xfId="0" applyFont="true" applyBorder="true" applyAlignment="true" applyProtection="false">
      <alignment horizontal="center" vertical="center" textRotation="0" wrapText="false" indent="0" shrinkToFit="false"/>
      <protection locked="true" hidden="false"/>
    </xf>
    <xf numFmtId="165" fontId="12" fillId="0" borderId="38" xfId="0" applyFont="true" applyBorder="true" applyAlignment="true" applyProtection="false">
      <alignment horizontal="center" vertical="center" textRotation="0" wrapText="false" indent="0" shrinkToFit="false"/>
      <protection locked="true" hidden="false"/>
    </xf>
    <xf numFmtId="164" fontId="12" fillId="3" borderId="41" xfId="0" applyFont="true" applyBorder="true" applyAlignment="true" applyProtection="false">
      <alignment horizontal="general" vertical="center" textRotation="0" wrapText="false" indent="0" shrinkToFit="false"/>
      <protection locked="true" hidden="false"/>
    </xf>
    <xf numFmtId="164" fontId="14" fillId="47" borderId="36" xfId="0" applyFont="true" applyBorder="true" applyAlignment="true" applyProtection="false">
      <alignment horizontal="center" vertical="center" textRotation="0" wrapText="false" indent="0" shrinkToFit="false"/>
      <protection locked="true" hidden="false"/>
    </xf>
    <xf numFmtId="164" fontId="12" fillId="3" borderId="37" xfId="0" applyFont="true" applyBorder="true" applyAlignment="true" applyProtection="false">
      <alignment horizontal="general" vertical="center" textRotation="0" wrapText="false" indent="0" shrinkToFit="false"/>
      <protection locked="true" hidden="false"/>
    </xf>
    <xf numFmtId="164" fontId="8" fillId="35" borderId="8" xfId="0" applyFont="true" applyBorder="true" applyAlignment="true" applyProtection="false">
      <alignment horizontal="general" vertical="center" textRotation="0" wrapText="false" indent="0" shrinkToFit="false"/>
      <protection locked="true" hidden="false"/>
    </xf>
    <xf numFmtId="164" fontId="41" fillId="48" borderId="36" xfId="0" applyFont="true" applyBorder="true" applyAlignment="true" applyProtection="false">
      <alignment horizontal="center" vertical="center" textRotation="0" wrapText="false" indent="0" shrinkToFit="false"/>
      <protection locked="true" hidden="false"/>
    </xf>
    <xf numFmtId="164" fontId="14" fillId="49" borderId="36" xfId="0" applyFont="true" applyBorder="true" applyAlignment="true" applyProtection="false">
      <alignment horizontal="center" vertical="center" textRotation="0" wrapText="false" indent="0" shrinkToFit="false"/>
      <protection locked="true" hidden="false"/>
    </xf>
    <xf numFmtId="164" fontId="41" fillId="50" borderId="36" xfId="0" applyFont="true" applyBorder="true" applyAlignment="true" applyProtection="false">
      <alignment horizontal="center" vertical="center" textRotation="0" wrapText="false" indent="0" shrinkToFit="false"/>
      <protection locked="true" hidden="false"/>
    </xf>
    <xf numFmtId="164" fontId="41" fillId="51" borderId="36" xfId="0" applyFont="true" applyBorder="true" applyAlignment="true" applyProtection="false">
      <alignment horizontal="center" vertical="center" textRotation="0" wrapText="false" indent="0" shrinkToFit="false"/>
      <protection locked="true" hidden="false"/>
    </xf>
    <xf numFmtId="164" fontId="14" fillId="50" borderId="36" xfId="0" applyFont="true" applyBorder="true" applyAlignment="true" applyProtection="false">
      <alignment horizontal="center" vertical="center" textRotation="0" wrapText="false" indent="0" shrinkToFit="false"/>
      <protection locked="true" hidden="false"/>
    </xf>
    <xf numFmtId="164" fontId="7" fillId="7" borderId="8" xfId="0" applyFont="true" applyBorder="true" applyAlignment="true" applyProtection="false">
      <alignment horizontal="general" vertical="center" textRotation="0" wrapText="false" indent="0" shrinkToFit="false"/>
      <protection locked="true" hidden="false"/>
    </xf>
    <xf numFmtId="164" fontId="41" fillId="52" borderId="36" xfId="0" applyFont="true" applyBorder="true" applyAlignment="true" applyProtection="false">
      <alignment horizontal="center" vertical="center" textRotation="0" wrapText="false" indent="0" shrinkToFit="false"/>
      <protection locked="true" hidden="false"/>
    </xf>
    <xf numFmtId="164" fontId="14" fillId="53" borderId="36" xfId="0" applyFont="true" applyBorder="true" applyAlignment="true" applyProtection="false">
      <alignment horizontal="center" vertical="center" textRotation="0" wrapText="false" indent="0" shrinkToFit="false"/>
      <protection locked="true" hidden="false"/>
    </xf>
    <xf numFmtId="164" fontId="41" fillId="54" borderId="36" xfId="0" applyFont="true" applyBorder="true" applyAlignment="true" applyProtection="false">
      <alignment horizontal="center" vertical="center" textRotation="0" wrapText="false" indent="0" shrinkToFit="false"/>
      <protection locked="true" hidden="false"/>
    </xf>
    <xf numFmtId="164" fontId="14" fillId="55" borderId="36" xfId="0" applyFont="true" applyBorder="true" applyAlignment="true" applyProtection="false">
      <alignment horizontal="center" vertical="center" textRotation="0" wrapText="false" indent="0" shrinkToFit="false"/>
      <protection locked="true" hidden="false"/>
    </xf>
    <xf numFmtId="164" fontId="41" fillId="56" borderId="36" xfId="0" applyFont="true" applyBorder="true" applyAlignment="true" applyProtection="false">
      <alignment horizontal="center" vertical="center" textRotation="0" wrapText="false" indent="0" shrinkToFit="false"/>
      <protection locked="true" hidden="false"/>
    </xf>
    <xf numFmtId="164" fontId="41" fillId="57" borderId="36" xfId="0" applyFont="true" applyBorder="true" applyAlignment="true" applyProtection="false">
      <alignment horizontal="center" vertical="center" textRotation="0" wrapText="false" indent="0" shrinkToFit="false"/>
      <protection locked="true" hidden="false"/>
    </xf>
    <xf numFmtId="164" fontId="8" fillId="8" borderId="8" xfId="0" applyFont="true" applyBorder="true" applyAlignment="true" applyProtection="false">
      <alignment horizontal="general" vertical="center" textRotation="0" wrapText="false" indent="0" shrinkToFit="false"/>
      <protection locked="true" hidden="false"/>
    </xf>
    <xf numFmtId="164" fontId="41" fillId="47" borderId="36" xfId="0" applyFont="true" applyBorder="true" applyAlignment="true" applyProtection="false">
      <alignment horizontal="center" vertical="center" textRotation="0" wrapText="false" indent="0" shrinkToFit="false"/>
      <protection locked="true" hidden="false"/>
    </xf>
    <xf numFmtId="164" fontId="14" fillId="48" borderId="36" xfId="0" applyFont="true" applyBorder="true" applyAlignment="true" applyProtection="false">
      <alignment horizontal="center" vertical="center" textRotation="0" wrapText="false" indent="0" shrinkToFit="false"/>
      <protection locked="true" hidden="false"/>
    </xf>
    <xf numFmtId="164" fontId="8" fillId="8" borderId="6" xfId="0" applyFont="true" applyBorder="true" applyAlignment="true" applyProtection="false">
      <alignment horizontal="general" vertical="center" textRotation="0" wrapText="false" indent="0" shrinkToFit="false"/>
      <protection locked="true" hidden="false"/>
    </xf>
    <xf numFmtId="164" fontId="4" fillId="36" borderId="6" xfId="0" applyFont="true" applyBorder="true" applyAlignment="true" applyProtection="false">
      <alignment horizontal="center" vertical="center" textRotation="0" wrapText="false" indent="0" shrinkToFit="false"/>
      <protection locked="true" hidden="false"/>
    </xf>
    <xf numFmtId="164" fontId="5" fillId="36" borderId="9" xfId="0" applyFont="true" applyBorder="true" applyAlignment="true" applyProtection="false">
      <alignment horizontal="general" vertical="center" textRotation="0" wrapText="false" indent="0" shrinkToFit="false"/>
      <protection locked="true" hidden="false"/>
    </xf>
    <xf numFmtId="164" fontId="4" fillId="20" borderId="9" xfId="0" applyFont="true" applyBorder="true" applyAlignment="true" applyProtection="false">
      <alignment horizontal="center" vertical="center" textRotation="0" wrapText="false" indent="0" shrinkToFit="false"/>
      <protection locked="true" hidden="false"/>
    </xf>
    <xf numFmtId="164" fontId="7" fillId="3" borderId="0" xfId="0" applyFont="true" applyBorder="false" applyAlignment="true" applyProtection="false">
      <alignment horizontal="general" vertical="center" textRotation="0" wrapText="false" indent="0" shrinkToFit="false"/>
      <protection locked="true" hidden="false"/>
    </xf>
    <xf numFmtId="164" fontId="5" fillId="36" borderId="8" xfId="0" applyFont="true" applyBorder="true" applyAlignment="true" applyProtection="false">
      <alignment horizontal="left" vertical="center" textRotation="0" wrapText="false" indent="0" shrinkToFit="false"/>
      <protection locked="true" hidden="false"/>
    </xf>
    <xf numFmtId="164" fontId="41" fillId="58" borderId="36" xfId="0" applyFont="true" applyBorder="true" applyAlignment="true" applyProtection="false">
      <alignment horizontal="center" vertical="center" textRotation="0" wrapText="false" indent="0" shrinkToFit="false"/>
      <protection locked="true" hidden="false"/>
    </xf>
    <xf numFmtId="164" fontId="41" fillId="59" borderId="36" xfId="0" applyFont="true" applyBorder="true" applyAlignment="true" applyProtection="false">
      <alignment horizontal="center" vertical="center" textRotation="0" wrapText="false" indent="0" shrinkToFit="false"/>
      <protection locked="true" hidden="false"/>
    </xf>
    <xf numFmtId="164" fontId="41" fillId="60" borderId="36" xfId="0" applyFont="true" applyBorder="true" applyAlignment="true" applyProtection="false">
      <alignment horizontal="center" vertical="center" textRotation="0" wrapText="false" indent="0" shrinkToFit="false"/>
      <protection locked="true" hidden="false"/>
    </xf>
    <xf numFmtId="164" fontId="14" fillId="51" borderId="36" xfId="0" applyFont="true" applyBorder="true" applyAlignment="true" applyProtection="false">
      <alignment horizontal="center" vertical="center" textRotation="0" wrapText="false" indent="0" shrinkToFit="false"/>
      <protection locked="true" hidden="false"/>
    </xf>
    <xf numFmtId="164" fontId="14" fillId="59" borderId="36" xfId="0" applyFont="true" applyBorder="true" applyAlignment="true" applyProtection="false">
      <alignment horizontal="center" vertical="center" textRotation="0" wrapText="false" indent="0" shrinkToFit="false"/>
      <protection locked="true" hidden="false"/>
    </xf>
    <xf numFmtId="164" fontId="14" fillId="54" borderId="36" xfId="0" applyFont="true" applyBorder="true" applyAlignment="true" applyProtection="false">
      <alignment horizontal="center" vertical="center" textRotation="0" wrapText="false" indent="0" shrinkToFit="false"/>
      <protection locked="true" hidden="false"/>
    </xf>
    <xf numFmtId="164" fontId="41" fillId="53" borderId="36" xfId="0" applyFont="true" applyBorder="true" applyAlignment="true" applyProtection="false">
      <alignment horizontal="center" vertical="center" textRotation="0" wrapText="false" indent="0" shrinkToFit="false"/>
      <protection locked="true" hidden="false"/>
    </xf>
    <xf numFmtId="164" fontId="14" fillId="52" borderId="36" xfId="0" applyFont="true" applyBorder="true" applyAlignment="true" applyProtection="false">
      <alignment horizontal="center" vertical="center" textRotation="0" wrapText="false" indent="0" shrinkToFit="false"/>
      <protection locked="true" hidden="false"/>
    </xf>
    <xf numFmtId="164" fontId="14" fillId="56" borderId="36" xfId="0" applyFont="true" applyBorder="true" applyAlignment="true" applyProtection="false">
      <alignment horizontal="center" vertical="center" textRotation="0" wrapText="false" indent="0" shrinkToFit="false"/>
      <protection locked="true" hidden="false"/>
    </xf>
    <xf numFmtId="164" fontId="12" fillId="3" borderId="11" xfId="0" applyFont="true" applyBorder="true" applyAlignment="true" applyProtection="false">
      <alignment horizontal="general" vertical="center" textRotation="0" wrapText="false" indent="0" shrinkToFit="false"/>
      <protection locked="true" hidden="false"/>
    </xf>
    <xf numFmtId="164" fontId="7" fillId="3" borderId="11" xfId="0" applyFont="true" applyBorder="true" applyAlignment="true" applyProtection="false">
      <alignment horizontal="general" vertical="center" textRotation="0" wrapText="false" indent="0" shrinkToFit="false"/>
      <protection locked="true" hidden="false"/>
    </xf>
    <xf numFmtId="164" fontId="41" fillId="44" borderId="36" xfId="0" applyFont="true" applyBorder="true" applyAlignment="true" applyProtection="false">
      <alignment horizontal="center" vertical="center" textRotation="0" wrapText="false" indent="0" shrinkToFit="false"/>
      <protection locked="true" hidden="false"/>
    </xf>
    <xf numFmtId="164" fontId="14" fillId="46" borderId="36" xfId="0" applyFont="true" applyBorder="true" applyAlignment="true" applyProtection="false">
      <alignment horizontal="center" vertical="center" textRotation="0" wrapText="false" indent="0" shrinkToFit="false"/>
      <protection locked="true" hidden="false"/>
    </xf>
    <xf numFmtId="164" fontId="5" fillId="36" borderId="6" xfId="0" applyFont="true" applyBorder="true" applyAlignment="true" applyProtection="false">
      <alignment horizontal="general" vertical="center" textRotation="0" wrapText="false" indent="0" shrinkToFit="false"/>
      <protection locked="true" hidden="false"/>
    </xf>
    <xf numFmtId="164" fontId="14" fillId="61" borderId="36" xfId="0" applyFont="true" applyBorder="true" applyAlignment="true" applyProtection="false">
      <alignment horizontal="center" vertical="center" textRotation="0" wrapText="false" indent="0" shrinkToFit="false"/>
      <protection locked="true" hidden="false"/>
    </xf>
    <xf numFmtId="164" fontId="41" fillId="42" borderId="36" xfId="0" applyFont="true" applyBorder="true" applyAlignment="true" applyProtection="false">
      <alignment horizontal="center" vertical="center" textRotation="0" wrapText="false" indent="0" shrinkToFit="false"/>
      <protection locked="true" hidden="false"/>
    </xf>
    <xf numFmtId="164" fontId="41" fillId="61" borderId="36" xfId="0" applyFont="true" applyBorder="true" applyAlignment="true" applyProtection="false">
      <alignment horizontal="center" vertical="center" textRotation="0" wrapText="false" indent="0" shrinkToFit="false"/>
      <protection locked="true" hidden="false"/>
    </xf>
    <xf numFmtId="164" fontId="41" fillId="55" borderId="36" xfId="0" applyFont="true" applyBorder="true" applyAlignment="true" applyProtection="false">
      <alignment horizontal="center" vertical="center" textRotation="0" wrapText="false" indent="0" shrinkToFit="false"/>
      <protection locked="true" hidden="false"/>
    </xf>
    <xf numFmtId="164" fontId="14" fillId="57" borderId="36" xfId="0" applyFont="true" applyBorder="true" applyAlignment="true" applyProtection="false">
      <alignment horizontal="center" vertical="center" textRotation="0" wrapText="false" indent="0" shrinkToFit="false"/>
      <protection locked="true" hidden="false"/>
    </xf>
    <xf numFmtId="164" fontId="5" fillId="36" borderId="6" xfId="0" applyFont="true" applyBorder="true" applyAlignment="true" applyProtection="false">
      <alignment horizontal="left" vertical="center" textRotation="0" wrapText="false" indent="0" shrinkToFit="false"/>
      <protection locked="true" hidden="false"/>
    </xf>
    <xf numFmtId="164" fontId="23" fillId="3" borderId="0" xfId="0" applyFont="true" applyBorder="false" applyAlignment="true" applyProtection="false">
      <alignment horizontal="general" vertical="center" textRotation="0" wrapText="false" indent="0" shrinkToFit="false"/>
      <protection locked="true" hidden="false"/>
    </xf>
    <xf numFmtId="164" fontId="41" fillId="49" borderId="36" xfId="0" applyFont="true" applyBorder="true" applyAlignment="true" applyProtection="false">
      <alignment horizontal="center" vertical="center" textRotation="0" wrapText="false" indent="0" shrinkToFit="false"/>
      <protection locked="true" hidden="false"/>
    </xf>
    <xf numFmtId="164" fontId="14" fillId="60" borderId="36" xfId="0" applyFont="true" applyBorder="true" applyAlignment="true" applyProtection="false">
      <alignment horizontal="center" vertical="center" textRotation="0" wrapText="false" indent="0" shrinkToFit="false"/>
      <protection locked="true" hidden="false"/>
    </xf>
    <xf numFmtId="164" fontId="14" fillId="42" borderId="36" xfId="0" applyFont="true" applyBorder="true" applyAlignment="true" applyProtection="false">
      <alignment horizontal="center" vertical="center" textRotation="0" wrapText="false" indent="0" shrinkToFit="false"/>
      <protection locked="true" hidden="false"/>
    </xf>
    <xf numFmtId="164" fontId="14" fillId="58" borderId="36" xfId="0" applyFont="true" applyBorder="true" applyAlignment="true" applyProtection="false">
      <alignment horizontal="center" vertical="center" textRotation="0" wrapText="false" indent="0" shrinkToFit="false"/>
      <protection locked="true" hidden="false"/>
    </xf>
    <xf numFmtId="164" fontId="7" fillId="0" borderId="42" xfId="0" applyFont="true" applyBorder="true" applyAlignment="true" applyProtection="false">
      <alignment horizontal="general" vertical="center" textRotation="0" wrapText="false" indent="0" shrinkToFit="false"/>
      <protection locked="true" hidden="false"/>
    </xf>
    <xf numFmtId="164" fontId="14" fillId="49" borderId="43" xfId="0" applyFont="true" applyBorder="true" applyAlignment="true" applyProtection="false">
      <alignment horizontal="center" vertical="center" textRotation="0" wrapText="false" indent="0" shrinkToFit="false"/>
      <protection locked="true" hidden="false"/>
    </xf>
    <xf numFmtId="164" fontId="41" fillId="45" borderId="44" xfId="0" applyFont="true" applyBorder="true" applyAlignment="true" applyProtection="false">
      <alignment horizontal="center" vertical="center" textRotation="0" wrapText="false" indent="0" shrinkToFit="false"/>
      <protection locked="true" hidden="false"/>
    </xf>
    <xf numFmtId="164" fontId="12" fillId="0" borderId="44" xfId="0" applyFont="true" applyBorder="true" applyAlignment="true" applyProtection="false">
      <alignment horizontal="center" vertical="center" textRotation="0" wrapText="false" indent="0" shrinkToFit="false"/>
      <protection locked="true" hidden="false"/>
    </xf>
    <xf numFmtId="165" fontId="12" fillId="0" borderId="45" xfId="0" applyFont="true" applyBorder="true" applyAlignment="true" applyProtection="false">
      <alignment horizontal="center" vertical="center" textRotation="0" wrapText="false" indent="0" shrinkToFit="false"/>
      <protection locked="true" hidden="false"/>
    </xf>
    <xf numFmtId="164" fontId="7" fillId="0" borderId="8" xfId="0" applyFont="true" applyBorder="true" applyAlignment="true" applyProtection="false">
      <alignment horizontal="general" vertical="center" textRotation="0" wrapText="false" indent="0" shrinkToFit="false"/>
      <protection locked="true" hidden="false"/>
    </xf>
    <xf numFmtId="164" fontId="14" fillId="49" borderId="0" xfId="0" applyFont="true" applyBorder="false" applyAlignment="true" applyProtection="false">
      <alignment horizontal="center" vertical="center" textRotation="0" wrapText="false" indent="0" shrinkToFit="false"/>
      <protection locked="true" hidden="false"/>
    </xf>
    <xf numFmtId="164" fontId="41" fillId="45" borderId="0" xfId="0" applyFont="true" applyBorder="false" applyAlignment="true" applyProtection="false">
      <alignment horizontal="center" vertical="center" textRotation="0" wrapText="false" indent="0" shrinkToFit="false"/>
      <protection locked="true" hidden="false"/>
    </xf>
    <xf numFmtId="164" fontId="12" fillId="3" borderId="36" xfId="0" applyFont="true" applyBorder="true" applyAlignment="true" applyProtection="false">
      <alignment horizontal="general" vertical="center" textRotation="0" wrapText="false" indent="0" shrinkToFit="false"/>
      <protection locked="true" hidden="false"/>
    </xf>
    <xf numFmtId="164" fontId="14" fillId="54" borderId="46" xfId="0" applyFont="true" applyBorder="true" applyAlignment="true" applyProtection="false">
      <alignment horizontal="center" vertical="center" textRotation="0" wrapText="false" indent="0" shrinkToFit="false"/>
      <protection locked="true" hidden="false"/>
    </xf>
    <xf numFmtId="164" fontId="41" fillId="45" borderId="39" xfId="0" applyFont="true" applyBorder="true" applyAlignment="true" applyProtection="false">
      <alignment horizontal="center" vertical="center" textRotation="0" wrapText="false" indent="0" shrinkToFit="false"/>
      <protection locked="true" hidden="false"/>
    </xf>
    <xf numFmtId="164" fontId="12" fillId="0" borderId="39" xfId="0" applyFont="true" applyBorder="true" applyAlignment="true" applyProtection="false">
      <alignment horizontal="center" vertical="center" textRotation="0" wrapText="false" indent="0" shrinkToFit="false"/>
      <protection locked="true" hidden="false"/>
    </xf>
    <xf numFmtId="165" fontId="12" fillId="0" borderId="47" xfId="0" applyFont="true" applyBorder="true" applyAlignment="true" applyProtection="false">
      <alignment horizontal="center" vertical="center" textRotation="0" wrapText="false" indent="0" shrinkToFit="false"/>
      <protection locked="true" hidden="false"/>
    </xf>
    <xf numFmtId="164" fontId="7" fillId="0" borderId="48" xfId="0" applyFont="true" applyBorder="true" applyAlignment="true" applyProtection="false">
      <alignment horizontal="general" vertical="center" textRotation="0" wrapText="false" indent="0" shrinkToFit="false"/>
      <protection locked="true" hidden="false"/>
    </xf>
    <xf numFmtId="164" fontId="14" fillId="47" borderId="49" xfId="0" applyFont="true" applyBorder="true" applyAlignment="true" applyProtection="false">
      <alignment horizontal="center" vertical="center" textRotation="0" wrapText="false" indent="0" shrinkToFit="false"/>
      <protection locked="true" hidden="false"/>
    </xf>
    <xf numFmtId="164" fontId="41" fillId="45" borderId="50" xfId="0" applyFont="true" applyBorder="true" applyAlignment="true" applyProtection="false">
      <alignment horizontal="center" vertical="center" textRotation="0" wrapText="false" indent="0" shrinkToFit="false"/>
      <protection locked="true" hidden="false"/>
    </xf>
    <xf numFmtId="164" fontId="12" fillId="0" borderId="50" xfId="0" applyFont="true" applyBorder="true" applyAlignment="true" applyProtection="false">
      <alignment horizontal="center" vertical="center" textRotation="0" wrapText="false" indent="0" shrinkToFit="false"/>
      <protection locked="true" hidden="false"/>
    </xf>
    <xf numFmtId="165" fontId="12" fillId="0" borderId="51" xfId="0" applyFont="true" applyBorder="true" applyAlignment="true" applyProtection="false">
      <alignment horizontal="center" vertical="center" textRotation="0" wrapText="false" indent="0" shrinkToFit="false"/>
      <protection locked="true" hidden="false"/>
    </xf>
    <xf numFmtId="165" fontId="12" fillId="0" borderId="0" xfId="0" applyFont="true" applyBorder="false" applyAlignment="true" applyProtection="false">
      <alignment horizontal="general" vertical="center" textRotation="0" wrapText="false" indent="0" shrinkToFit="false"/>
      <protection locked="true" hidden="false"/>
    </xf>
    <xf numFmtId="164" fontId="41" fillId="62" borderId="37" xfId="0" applyFont="true" applyBorder="true" applyAlignment="true" applyProtection="false">
      <alignment horizontal="center" vertical="center" textRotation="0" wrapText="false" indent="0" shrinkToFit="false"/>
      <protection locked="true" hidden="false"/>
    </xf>
    <xf numFmtId="164" fontId="7" fillId="0" borderId="52" xfId="0" applyFont="true" applyBorder="true" applyAlignment="true" applyProtection="false">
      <alignment horizontal="general" vertical="center" textRotation="0" wrapText="false" indent="0" shrinkToFit="false"/>
      <protection locked="true" hidden="false"/>
    </xf>
    <xf numFmtId="164" fontId="7" fillId="0" borderId="0" xfId="0" applyFont="true" applyBorder="false" applyAlignment="true" applyProtection="false">
      <alignment horizontal="general" vertical="center" textRotation="0" wrapText="false" indent="0" shrinkToFit="false"/>
      <protection locked="true" hidden="false"/>
    </xf>
    <xf numFmtId="164" fontId="41" fillId="8" borderId="36" xfId="0" applyFont="true" applyBorder="true" applyAlignment="true" applyProtection="false">
      <alignment horizontal="center" vertical="center" textRotation="0" wrapText="false" indent="0" shrinkToFit="false"/>
      <protection locked="true" hidden="false"/>
    </xf>
    <xf numFmtId="164" fontId="7" fillId="0" borderId="5" xfId="0" applyFont="true" applyBorder="true" applyAlignment="true" applyProtection="false">
      <alignment horizontal="general" vertical="center" textRotation="0" wrapText="false" indent="0" shrinkToFit="false"/>
      <protection locked="true" hidden="false"/>
    </xf>
    <xf numFmtId="164" fontId="43" fillId="63" borderId="37" xfId="0" applyFont="true" applyBorder="true" applyAlignment="true" applyProtection="false">
      <alignment horizontal="center" vertical="center" textRotation="0" wrapText="false" indent="0" shrinkToFit="false"/>
      <protection locked="true" hidden="false"/>
    </xf>
    <xf numFmtId="164" fontId="7" fillId="0" borderId="53" xfId="0" applyFont="true" applyBorder="true" applyAlignment="true" applyProtection="false">
      <alignment horizontal="general" vertical="center" textRotation="0" wrapText="false" indent="0" shrinkToFit="false"/>
      <protection locked="true" hidden="false"/>
    </xf>
    <xf numFmtId="164" fontId="41" fillId="47" borderId="43" xfId="0" applyFont="true" applyBorder="true" applyAlignment="true" applyProtection="false">
      <alignment horizontal="center" vertical="center" textRotation="0" wrapText="false" indent="0" shrinkToFit="false"/>
      <protection locked="true" hidden="false"/>
    </xf>
    <xf numFmtId="164" fontId="43" fillId="63" borderId="44" xfId="0" applyFont="true" applyBorder="true" applyAlignment="true" applyProtection="false">
      <alignment horizontal="center" vertical="center" textRotation="0" wrapText="false" indent="0" shrinkToFit="false"/>
      <protection locked="true" hidden="false"/>
    </xf>
    <xf numFmtId="164" fontId="12" fillId="0" borderId="45" xfId="0" applyFont="true" applyBorder="true" applyAlignment="true" applyProtection="false">
      <alignment horizontal="center" vertical="center" textRotation="0" wrapText="false" indent="0" shrinkToFit="false"/>
      <protection locked="true" hidden="false"/>
    </xf>
    <xf numFmtId="164" fontId="7" fillId="0" borderId="54" xfId="0" applyFont="true" applyBorder="true" applyAlignment="true" applyProtection="false">
      <alignment horizontal="general" vertical="center" textRotation="0" wrapText="false" indent="0" shrinkToFit="false"/>
      <protection locked="true" hidden="false"/>
    </xf>
    <xf numFmtId="164" fontId="41" fillId="13" borderId="14" xfId="0" applyFont="true" applyBorder="true" applyAlignment="true" applyProtection="false">
      <alignment horizontal="center" vertical="center" textRotation="0" wrapText="false" indent="0" shrinkToFit="false"/>
      <protection locked="true" hidden="false"/>
    </xf>
    <xf numFmtId="164" fontId="44" fillId="20" borderId="11" xfId="0" applyFont="true" applyBorder="true" applyAlignment="true" applyProtection="false">
      <alignment horizontal="center" vertical="center" textRotation="0" wrapText="false" indent="0" shrinkToFit="false"/>
      <protection locked="true" hidden="false"/>
    </xf>
    <xf numFmtId="164" fontId="12" fillId="13" borderId="14" xfId="0" applyFont="true" applyBorder="true" applyAlignment="true" applyProtection="false">
      <alignment horizontal="center" vertical="center" textRotation="0" wrapText="false" indent="0" shrinkToFit="false"/>
      <protection locked="true" hidden="false"/>
    </xf>
    <xf numFmtId="164" fontId="12" fillId="13" borderId="11" xfId="0" applyFont="true" applyBorder="true" applyAlignment="true" applyProtection="false">
      <alignment horizontal="center" vertical="center" textRotation="0" wrapText="false" indent="0" shrinkToFit="false"/>
      <protection locked="true" hidden="false"/>
    </xf>
    <xf numFmtId="164" fontId="12" fillId="13" borderId="17" xfId="0" applyFont="true" applyBorder="true" applyAlignment="true" applyProtection="false">
      <alignment horizontal="center" vertical="center" textRotation="0" wrapText="false" indent="0" shrinkToFit="false"/>
      <protection locked="true" hidden="false"/>
    </xf>
    <xf numFmtId="164" fontId="41" fillId="13" borderId="5" xfId="0" applyFont="true" applyBorder="true" applyAlignment="true" applyProtection="false">
      <alignment horizontal="center" vertical="center" textRotation="0" wrapText="false" indent="0" shrinkToFit="false"/>
      <protection locked="true" hidden="false"/>
    </xf>
    <xf numFmtId="164" fontId="44" fillId="20" borderId="0" xfId="0" applyFont="true" applyBorder="false" applyAlignment="true" applyProtection="false">
      <alignment horizontal="center" vertical="center" textRotation="0" wrapText="false" indent="0" shrinkToFit="false"/>
      <protection locked="true" hidden="false"/>
    </xf>
    <xf numFmtId="164" fontId="12" fillId="13" borderId="5" xfId="0" applyFont="true" applyBorder="true" applyAlignment="true" applyProtection="false">
      <alignment horizontal="center" vertical="center" textRotation="0" wrapText="false" indent="0" shrinkToFit="false"/>
      <protection locked="true" hidden="false"/>
    </xf>
    <xf numFmtId="164" fontId="12" fillId="13" borderId="13" xfId="0" applyFont="true" applyBorder="true" applyAlignment="true" applyProtection="false">
      <alignment horizontal="center" vertical="center" textRotation="0" wrapText="false" indent="0" shrinkToFit="false"/>
      <protection locked="true" hidden="false"/>
    </xf>
    <xf numFmtId="164" fontId="5" fillId="0" borderId="40" xfId="0" applyFont="true" applyBorder="true" applyAlignment="true" applyProtection="false">
      <alignment horizontal="general" vertical="center" textRotation="0" wrapText="false" indent="0" shrinkToFit="false"/>
      <protection locked="true" hidden="false"/>
    </xf>
    <xf numFmtId="164" fontId="36" fillId="13" borderId="0" xfId="0" applyFont="true" applyBorder="false" applyAlignment="true" applyProtection="false">
      <alignment horizontal="general" vertical="center" textRotation="0" wrapText="false" indent="0" shrinkToFit="false"/>
      <protection locked="true" hidden="false"/>
    </xf>
    <xf numFmtId="164" fontId="33" fillId="20" borderId="13" xfId="0" applyFont="true" applyBorder="true" applyAlignment="true" applyProtection="false">
      <alignment horizontal="center" vertical="center" textRotation="0" wrapText="false" indent="0" shrinkToFit="false"/>
      <protection locked="true" hidden="false"/>
    </xf>
    <xf numFmtId="164" fontId="5" fillId="0" borderId="30" xfId="0" applyFont="true" applyBorder="true" applyAlignment="true" applyProtection="false">
      <alignment horizontal="general" vertical="center" textRotation="0" wrapText="false" indent="0" shrinkToFit="false"/>
      <protection locked="true" hidden="false"/>
    </xf>
    <xf numFmtId="164" fontId="5" fillId="0" borderId="6" xfId="0" applyFont="true" applyBorder="true" applyAlignment="true" applyProtection="false">
      <alignment horizontal="general" vertical="center" textRotation="0" wrapText="false" indent="0" shrinkToFit="false"/>
      <protection locked="true" hidden="false"/>
    </xf>
    <xf numFmtId="164" fontId="36" fillId="13" borderId="2" xfId="0" applyFont="true" applyBorder="true" applyAlignment="true" applyProtection="false">
      <alignment horizontal="general" vertical="center" textRotation="0" wrapText="false" indent="0" shrinkToFit="false"/>
      <protection locked="true" hidden="false"/>
    </xf>
    <xf numFmtId="164" fontId="33" fillId="20" borderId="9" xfId="0" applyFont="true" applyBorder="true" applyAlignment="true" applyProtection="false">
      <alignment horizontal="center" vertical="center" textRotation="0" wrapText="false" indent="0" shrinkToFit="false"/>
      <protection locked="true" hidden="false"/>
    </xf>
    <xf numFmtId="164" fontId="12" fillId="13" borderId="12" xfId="0" applyFont="true" applyBorder="true" applyAlignment="true" applyProtection="false">
      <alignment horizontal="center" vertical="center" textRotation="0" wrapText="false" indent="0" shrinkToFit="false"/>
      <protection locked="true" hidden="false"/>
    </xf>
    <xf numFmtId="164" fontId="12" fillId="13" borderId="2" xfId="0" applyFont="true" applyBorder="true" applyAlignment="true" applyProtection="false">
      <alignment horizontal="center" vertical="center" textRotation="0" wrapText="false" indent="0" shrinkToFit="false"/>
      <protection locked="true" hidden="false"/>
    </xf>
    <xf numFmtId="164" fontId="12" fillId="13" borderId="9" xfId="0" applyFont="true" applyBorder="true" applyAlignment="true" applyProtection="false">
      <alignment horizontal="center" vertical="center" textRotation="0" wrapText="false" indent="0" shrinkToFit="false"/>
      <protection locked="true" hidden="false"/>
    </xf>
    <xf numFmtId="164" fontId="9" fillId="13" borderId="10" xfId="0" applyFont="true" applyBorder="true" applyAlignment="true" applyProtection="false">
      <alignment horizontal="center" vertical="center" textRotation="0" wrapText="false" indent="0" shrinkToFit="false"/>
      <protection locked="true" hidden="false"/>
    </xf>
    <xf numFmtId="164" fontId="12" fillId="12" borderId="0" xfId="0" applyFont="true" applyBorder="false" applyAlignment="true" applyProtection="false">
      <alignment horizontal="general" vertical="bottom" textRotation="0" wrapText="false" indent="0" shrinkToFit="false"/>
      <protection locked="true" hidden="false"/>
    </xf>
    <xf numFmtId="164" fontId="10" fillId="15" borderId="4" xfId="0" applyFont="true" applyBorder="true" applyAlignment="true" applyProtection="false">
      <alignment horizontal="center" vertical="center" textRotation="0" wrapText="false" indent="0" shrinkToFit="false"/>
      <protection locked="true" hidden="false"/>
    </xf>
    <xf numFmtId="164" fontId="10" fillId="21" borderId="10" xfId="0" applyFont="true" applyBorder="true" applyAlignment="true" applyProtection="false">
      <alignment horizontal="center" vertical="center" textRotation="0" wrapText="false" indent="0" shrinkToFit="false"/>
      <protection locked="true" hidden="false"/>
    </xf>
    <xf numFmtId="164" fontId="5" fillId="4" borderId="10" xfId="0" applyFont="true" applyBorder="true" applyAlignment="true" applyProtection="false">
      <alignment horizontal="center" vertical="center" textRotation="0" wrapText="false" indent="0" shrinkToFit="false"/>
      <protection locked="true" hidden="false"/>
    </xf>
    <xf numFmtId="164" fontId="5" fillId="5" borderId="4" xfId="0" applyFont="true" applyBorder="true" applyAlignment="true" applyProtection="false">
      <alignment horizontal="center" vertical="center" textRotation="0" wrapText="false" indent="0" shrinkToFit="false"/>
      <protection locked="true" hidden="false"/>
    </xf>
    <xf numFmtId="164" fontId="5" fillId="14" borderId="55" xfId="0" applyFont="true" applyBorder="true" applyAlignment="true" applyProtection="false">
      <alignment horizontal="center" vertical="center" textRotation="0" wrapText="false" indent="0" shrinkToFit="false"/>
      <protection locked="true" hidden="false"/>
    </xf>
    <xf numFmtId="164" fontId="5" fillId="0" borderId="55" xfId="0" applyFont="true" applyBorder="true" applyAlignment="true" applyProtection="false">
      <alignment horizontal="general" vertical="center" textRotation="0" wrapText="false" indent="0" shrinkToFit="false"/>
      <protection locked="true" hidden="false"/>
    </xf>
    <xf numFmtId="164" fontId="5" fillId="0" borderId="56" xfId="0" applyFont="true" applyBorder="true" applyAlignment="true" applyProtection="false">
      <alignment horizontal="left" vertical="center" textRotation="0" wrapText="false" indent="0" shrinkToFit="false"/>
      <protection locked="true" hidden="false"/>
    </xf>
    <xf numFmtId="164" fontId="5" fillId="0" borderId="56" xfId="0" applyFont="true" applyBorder="true" applyAlignment="true" applyProtection="false">
      <alignment horizontal="center" vertical="center" textRotation="0" wrapText="false" indent="0" shrinkToFit="false"/>
      <protection locked="true" hidden="false"/>
    </xf>
    <xf numFmtId="164" fontId="28" fillId="0" borderId="57" xfId="0" applyFont="true" applyBorder="true" applyAlignment="true" applyProtection="false">
      <alignment horizontal="center" vertical="center" textRotation="0" wrapText="false" indent="0" shrinkToFit="false"/>
      <protection locked="true" hidden="false"/>
    </xf>
    <xf numFmtId="164" fontId="5" fillId="0" borderId="58" xfId="0" applyFont="true" applyBorder="true" applyAlignment="true" applyProtection="false">
      <alignment horizontal="center" vertical="center" textRotation="0" wrapText="false" indent="0" shrinkToFit="false"/>
      <protection locked="true" hidden="false"/>
    </xf>
    <xf numFmtId="164" fontId="4" fillId="0" borderId="57" xfId="0" applyFont="true" applyBorder="true" applyAlignment="true" applyProtection="false">
      <alignment horizontal="center" vertical="center" textRotation="0" wrapText="false" indent="0" shrinkToFit="false"/>
      <protection locked="true" hidden="false"/>
    </xf>
    <xf numFmtId="164" fontId="4" fillId="0" borderId="56" xfId="0" applyFont="true" applyBorder="true" applyAlignment="true" applyProtection="false">
      <alignment horizontal="center" vertical="center" textRotation="0" wrapText="false" indent="0" shrinkToFit="false"/>
      <protection locked="true" hidden="false"/>
    </xf>
    <xf numFmtId="164" fontId="5" fillId="14" borderId="56" xfId="0" applyFont="true" applyBorder="true" applyAlignment="true" applyProtection="false">
      <alignment horizontal="center" vertical="center" textRotation="0" wrapText="false" indent="0" shrinkToFit="false"/>
      <protection locked="true" hidden="false"/>
    </xf>
    <xf numFmtId="164" fontId="5" fillId="14" borderId="59" xfId="0" applyFont="true" applyBorder="true" applyAlignment="true" applyProtection="false">
      <alignment horizontal="center" vertical="center" textRotation="0" wrapText="false" indent="0" shrinkToFit="false"/>
      <protection locked="true" hidden="false"/>
    </xf>
    <xf numFmtId="164" fontId="5" fillId="0" borderId="59" xfId="0" applyFont="true" applyBorder="true" applyAlignment="true" applyProtection="false">
      <alignment horizontal="general" vertical="center" textRotation="0" wrapText="false" indent="0" shrinkToFit="false"/>
      <protection locked="true" hidden="false"/>
    </xf>
    <xf numFmtId="164" fontId="5" fillId="0" borderId="60" xfId="0" applyFont="true" applyBorder="true" applyAlignment="true" applyProtection="false">
      <alignment horizontal="left" vertical="center" textRotation="0" wrapText="false" indent="0" shrinkToFit="false"/>
      <protection locked="true" hidden="false"/>
    </xf>
    <xf numFmtId="164" fontId="5" fillId="0" borderId="60" xfId="0" applyFont="true" applyBorder="true" applyAlignment="true" applyProtection="false">
      <alignment horizontal="center" vertical="center" textRotation="0" wrapText="false" indent="0" shrinkToFit="false"/>
      <protection locked="true" hidden="false"/>
    </xf>
    <xf numFmtId="164" fontId="28" fillId="0" borderId="61" xfId="0" applyFont="true" applyBorder="true" applyAlignment="true" applyProtection="false">
      <alignment horizontal="center" vertical="center" textRotation="0" wrapText="false" indent="0" shrinkToFit="false"/>
      <protection locked="true" hidden="false"/>
    </xf>
    <xf numFmtId="164" fontId="5" fillId="0" borderId="62" xfId="0" applyFont="true" applyBorder="true" applyAlignment="true" applyProtection="false">
      <alignment horizontal="center" vertical="center" textRotation="0" wrapText="false" indent="0" shrinkToFit="false"/>
      <protection locked="true" hidden="false"/>
    </xf>
    <xf numFmtId="164" fontId="4" fillId="0" borderId="61" xfId="0" applyFont="true" applyBorder="true" applyAlignment="true" applyProtection="false">
      <alignment horizontal="center" vertical="center" textRotation="0" wrapText="false" indent="0" shrinkToFit="false"/>
      <protection locked="true" hidden="false"/>
    </xf>
    <xf numFmtId="164" fontId="4" fillId="0" borderId="60" xfId="0" applyFont="true" applyBorder="true" applyAlignment="true" applyProtection="false">
      <alignment horizontal="center" vertical="center" textRotation="0" wrapText="false" indent="0" shrinkToFit="false"/>
      <protection locked="true" hidden="false"/>
    </xf>
    <xf numFmtId="164" fontId="5" fillId="14" borderId="60" xfId="0" applyFont="true" applyBorder="true" applyAlignment="true" applyProtection="false">
      <alignment horizontal="center" vertical="center" textRotation="0" wrapText="false" indent="0" shrinkToFit="false"/>
      <protection locked="true" hidden="false"/>
    </xf>
    <xf numFmtId="164" fontId="5" fillId="14" borderId="63" xfId="0" applyFont="true" applyBorder="true" applyAlignment="true" applyProtection="false">
      <alignment horizontal="center" vertical="center" textRotation="0" wrapText="false" indent="0" shrinkToFit="false"/>
      <protection locked="true" hidden="false"/>
    </xf>
    <xf numFmtId="164" fontId="5" fillId="0" borderId="63" xfId="0" applyFont="true" applyBorder="true" applyAlignment="true" applyProtection="false">
      <alignment horizontal="general" vertical="center" textRotation="0" wrapText="false" indent="0" shrinkToFit="false"/>
      <protection locked="true" hidden="false"/>
    </xf>
    <xf numFmtId="164" fontId="5" fillId="0" borderId="64" xfId="0" applyFont="true" applyBorder="true" applyAlignment="true" applyProtection="false">
      <alignment horizontal="left" vertical="center" textRotation="0" wrapText="false" indent="0" shrinkToFit="false"/>
      <protection locked="true" hidden="false"/>
    </xf>
    <xf numFmtId="164" fontId="5" fillId="0" borderId="64" xfId="0" applyFont="true" applyBorder="true" applyAlignment="true" applyProtection="false">
      <alignment horizontal="center" vertical="center" textRotation="0" wrapText="false" indent="0" shrinkToFit="false"/>
      <protection locked="true" hidden="false"/>
    </xf>
    <xf numFmtId="164" fontId="28" fillId="0" borderId="65" xfId="0" applyFont="true" applyBorder="true" applyAlignment="true" applyProtection="false">
      <alignment horizontal="center" vertical="center" textRotation="0" wrapText="false" indent="0" shrinkToFit="false"/>
      <protection locked="true" hidden="false"/>
    </xf>
    <xf numFmtId="164" fontId="5" fillId="0" borderId="66" xfId="0" applyFont="true" applyBorder="true" applyAlignment="true" applyProtection="false">
      <alignment horizontal="center" vertical="center" textRotation="0" wrapText="false" indent="0" shrinkToFit="false"/>
      <protection locked="true" hidden="false"/>
    </xf>
    <xf numFmtId="164" fontId="4" fillId="0" borderId="65" xfId="0" applyFont="true" applyBorder="true" applyAlignment="true" applyProtection="false">
      <alignment horizontal="center" vertical="center" textRotation="0" wrapText="false" indent="0" shrinkToFit="false"/>
      <protection locked="true" hidden="false"/>
    </xf>
    <xf numFmtId="164" fontId="4" fillId="0" borderId="64" xfId="0" applyFont="true" applyBorder="true" applyAlignment="true" applyProtection="false">
      <alignment horizontal="center" vertical="center" textRotation="0" wrapText="false" indent="0" shrinkToFit="false"/>
      <protection locked="true" hidden="false"/>
    </xf>
    <xf numFmtId="164" fontId="5" fillId="14" borderId="64" xfId="0" applyFont="true" applyBorder="true" applyAlignment="true" applyProtection="false">
      <alignment horizontal="center" vertical="center" textRotation="0" wrapText="false" indent="0" shrinkToFit="false"/>
      <protection locked="true" hidden="false"/>
    </xf>
    <xf numFmtId="164" fontId="5" fillId="0" borderId="8" xfId="0" applyFont="true" applyBorder="true" applyAlignment="true" applyProtection="false">
      <alignment horizontal="general" vertical="center" textRotation="0" wrapText="false" indent="0" shrinkToFit="false"/>
      <protection locked="true" hidden="false"/>
    </xf>
    <xf numFmtId="164" fontId="28" fillId="0" borderId="0" xfId="0" applyFont="true" applyBorder="false" applyAlignment="true" applyProtection="false">
      <alignment horizontal="center" vertical="center" textRotation="0" wrapText="false" indent="0" shrinkToFit="false"/>
      <protection locked="true" hidden="false"/>
    </xf>
    <xf numFmtId="164" fontId="4" fillId="0" borderId="13" xfId="0" applyFont="true" applyBorder="true" applyAlignment="true" applyProtection="false">
      <alignment horizontal="center" vertical="center" textRotation="0" wrapText="false" indent="0" shrinkToFit="false"/>
      <protection locked="true" hidden="false"/>
    </xf>
    <xf numFmtId="164" fontId="5" fillId="14" borderId="67" xfId="0" applyFont="true" applyBorder="true" applyAlignment="true" applyProtection="false">
      <alignment horizontal="center" vertical="center" textRotation="0" wrapText="false" indent="0" shrinkToFit="false"/>
      <protection locked="true" hidden="false"/>
    </xf>
    <xf numFmtId="164" fontId="5" fillId="0" borderId="67" xfId="0" applyFont="true" applyBorder="true" applyAlignment="true" applyProtection="false">
      <alignment horizontal="general" vertical="center" textRotation="0" wrapText="false" indent="0" shrinkToFit="false"/>
      <protection locked="true" hidden="false"/>
    </xf>
    <xf numFmtId="164" fontId="5" fillId="0" borderId="68" xfId="0" applyFont="true" applyBorder="true" applyAlignment="true" applyProtection="false">
      <alignment horizontal="left" vertical="center" textRotation="0" wrapText="false" indent="0" shrinkToFit="false"/>
      <protection locked="true" hidden="false"/>
    </xf>
    <xf numFmtId="164" fontId="5" fillId="0" borderId="68" xfId="0" applyFont="true" applyBorder="true" applyAlignment="true" applyProtection="false">
      <alignment horizontal="center" vertical="center" textRotation="0" wrapText="false" indent="0" shrinkToFit="false"/>
      <protection locked="true" hidden="false"/>
    </xf>
    <xf numFmtId="164" fontId="28" fillId="0" borderId="69" xfId="0" applyFont="true" applyBorder="true" applyAlignment="true" applyProtection="false">
      <alignment horizontal="center" vertical="center" textRotation="0" wrapText="false" indent="0" shrinkToFit="false"/>
      <protection locked="true" hidden="false"/>
    </xf>
    <xf numFmtId="164" fontId="5" fillId="0" borderId="70" xfId="0" applyFont="true" applyBorder="true" applyAlignment="true" applyProtection="false">
      <alignment horizontal="center" vertical="center" textRotation="0" wrapText="false" indent="0" shrinkToFit="false"/>
      <protection locked="true" hidden="false"/>
    </xf>
    <xf numFmtId="164" fontId="4" fillId="0" borderId="69" xfId="0" applyFont="true" applyBorder="true" applyAlignment="true" applyProtection="false">
      <alignment horizontal="center" vertical="center" textRotation="0" wrapText="false" indent="0" shrinkToFit="false"/>
      <protection locked="true" hidden="false"/>
    </xf>
    <xf numFmtId="164" fontId="4" fillId="0" borderId="67" xfId="0" applyFont="true" applyBorder="true" applyAlignment="true" applyProtection="false">
      <alignment horizontal="center" vertical="center" textRotation="0" wrapText="false" indent="0" shrinkToFit="false"/>
      <protection locked="true" hidden="false"/>
    </xf>
    <xf numFmtId="164" fontId="5" fillId="14" borderId="68" xfId="0" applyFont="true" applyBorder="true" applyAlignment="true" applyProtection="false">
      <alignment horizontal="center" vertical="center" textRotation="0" wrapText="false" indent="0" shrinkToFit="false"/>
      <protection locked="true" hidden="false"/>
    </xf>
    <xf numFmtId="164" fontId="5" fillId="0" borderId="13" xfId="0" applyFont="true" applyBorder="true" applyAlignment="true" applyProtection="false">
      <alignment horizontal="general" vertical="center" textRotation="0" wrapText="false" indent="0" shrinkToFit="false"/>
      <protection locked="true" hidden="false"/>
    </xf>
    <xf numFmtId="164" fontId="4" fillId="0" borderId="13" xfId="0" applyFont="true" applyBorder="true" applyAlignment="true" applyProtection="false">
      <alignment horizontal="general" vertical="center" textRotation="0" wrapText="false" indent="0" shrinkToFit="false"/>
      <protection locked="true" hidden="false"/>
    </xf>
    <xf numFmtId="164" fontId="28" fillId="0" borderId="0" xfId="0" applyFont="true" applyBorder="false" applyAlignment="true" applyProtection="false">
      <alignment horizontal="general" vertical="center" textRotation="0" wrapText="false" indent="0" shrinkToFit="false"/>
      <protection locked="true" hidden="false"/>
    </xf>
    <xf numFmtId="164" fontId="4" fillId="0" borderId="5" xfId="0" applyFont="true" applyBorder="true" applyAlignment="true" applyProtection="false">
      <alignment horizontal="general" vertical="center" textRotation="0" wrapText="false" indent="0" shrinkToFit="false"/>
      <protection locked="true" hidden="false"/>
    </xf>
    <xf numFmtId="164" fontId="4" fillId="0" borderId="9" xfId="0" applyFont="true" applyBorder="true" applyAlignment="true" applyProtection="false">
      <alignment horizontal="general" vertical="center" textRotation="0" wrapText="false" indent="0" shrinkToFit="false"/>
      <protection locked="true" hidden="false"/>
    </xf>
    <xf numFmtId="164" fontId="28" fillId="0" borderId="2" xfId="0" applyFont="true" applyBorder="true" applyAlignment="true" applyProtection="false">
      <alignment horizontal="general" vertical="center" textRotation="0" wrapText="false" indent="0" shrinkToFit="false"/>
      <protection locked="true" hidden="false"/>
    </xf>
    <xf numFmtId="164" fontId="4" fillId="0" borderId="12" xfId="0" applyFont="true" applyBorder="true" applyAlignment="true" applyProtection="false">
      <alignment horizontal="general" vertical="center" textRotation="0" wrapText="false" indent="0" shrinkToFit="false"/>
      <protection locked="true" hidden="false"/>
    </xf>
    <xf numFmtId="164" fontId="4" fillId="0" borderId="9" xfId="0" applyFont="true" applyBorder="true" applyAlignment="true" applyProtection="false">
      <alignment horizontal="center" vertical="center" textRotation="0" wrapText="false" indent="0" shrinkToFit="false"/>
      <protection locked="true" hidden="false"/>
    </xf>
    <xf numFmtId="164" fontId="5" fillId="4" borderId="1" xfId="0" applyFont="true" applyBorder="true" applyAlignment="true" applyProtection="false">
      <alignment horizontal="center" vertical="center" textRotation="0" wrapText="false" indent="0" shrinkToFit="false"/>
      <protection locked="true" hidden="false"/>
    </xf>
    <xf numFmtId="164" fontId="5" fillId="3" borderId="0" xfId="0" applyFont="true" applyBorder="false" applyAlignment="true" applyProtection="false">
      <alignment horizontal="center" vertical="center" textRotation="0" wrapText="false" indent="0" shrinkToFit="false"/>
      <protection locked="true" hidden="false"/>
    </xf>
    <xf numFmtId="164" fontId="12" fillId="12" borderId="0" xfId="0" applyFont="true" applyBorder="false" applyAlignment="true" applyProtection="false">
      <alignment horizontal="general" vertical="center" textRotation="0" wrapText="false" indent="0" shrinkToFit="false"/>
      <protection locked="true" hidden="false"/>
    </xf>
    <xf numFmtId="164" fontId="5" fillId="5" borderId="3" xfId="0" applyFont="true" applyBorder="true" applyAlignment="true" applyProtection="false">
      <alignment horizontal="center" vertical="center" textRotation="0" wrapText="false" indent="0" shrinkToFit="false"/>
      <protection locked="true" hidden="false"/>
    </xf>
    <xf numFmtId="164" fontId="11" fillId="5" borderId="3" xfId="0" applyFont="true" applyBorder="true" applyAlignment="true" applyProtection="false">
      <alignment horizontal="center" vertical="center" textRotation="0" wrapText="false" indent="0" shrinkToFit="false"/>
      <protection locked="true" hidden="false"/>
    </xf>
    <xf numFmtId="164" fontId="10" fillId="5" borderId="1" xfId="0" applyFont="true" applyBorder="true" applyAlignment="true" applyProtection="false">
      <alignment horizontal="center" vertical="center" textRotation="0" wrapText="false" indent="0" shrinkToFit="false"/>
      <protection locked="true" hidden="false"/>
    </xf>
    <xf numFmtId="164" fontId="28" fillId="5" borderId="1" xfId="0" applyFont="true" applyBorder="true" applyAlignment="true" applyProtection="false">
      <alignment horizontal="center" vertical="center" textRotation="0" wrapText="false" indent="0" shrinkToFit="false"/>
      <protection locked="true" hidden="false"/>
    </xf>
    <xf numFmtId="164" fontId="28" fillId="3" borderId="0" xfId="0" applyFont="true" applyBorder="false" applyAlignment="true" applyProtection="false">
      <alignment horizontal="center" vertical="center" textRotation="0" wrapText="false" indent="0" shrinkToFit="false"/>
      <protection locked="true" hidden="false"/>
    </xf>
    <xf numFmtId="164" fontId="5" fillId="28" borderId="3" xfId="0" applyFont="true" applyBorder="true" applyAlignment="true" applyProtection="false">
      <alignment horizontal="center" vertical="center" textRotation="0" wrapText="false" indent="0" shrinkToFit="false"/>
      <protection locked="true" hidden="false"/>
    </xf>
    <xf numFmtId="164" fontId="5" fillId="28" borderId="8" xfId="0" applyFont="true" applyBorder="true" applyAlignment="true" applyProtection="false">
      <alignment horizontal="center" vertical="center" textRotation="0" wrapText="false" indent="0" shrinkToFit="false"/>
      <protection locked="true" hidden="false"/>
    </xf>
    <xf numFmtId="164" fontId="12" fillId="28" borderId="8" xfId="0" applyFont="true" applyBorder="true" applyAlignment="true" applyProtection="false">
      <alignment horizontal="general" vertical="center" textRotation="0" wrapText="false" indent="0" shrinkToFit="false"/>
      <protection locked="true" hidden="false"/>
    </xf>
    <xf numFmtId="164" fontId="5" fillId="30" borderId="8" xfId="0" applyFont="true" applyBorder="true" applyAlignment="true" applyProtection="false">
      <alignment horizontal="center" vertical="center" textRotation="0" wrapText="false" indent="0" shrinkToFit="false"/>
      <protection locked="true" hidden="false"/>
    </xf>
    <xf numFmtId="164" fontId="12" fillId="30" borderId="8" xfId="0" applyFont="true" applyBorder="true" applyAlignment="true" applyProtection="false">
      <alignment horizontal="general" vertical="center" textRotation="0" wrapText="false" indent="0" shrinkToFit="false"/>
      <protection locked="true" hidden="false"/>
    </xf>
    <xf numFmtId="164" fontId="5" fillId="30" borderId="5" xfId="0" applyFont="true" applyBorder="true" applyAlignment="true" applyProtection="false">
      <alignment horizontal="center" vertical="center" textRotation="0" wrapText="false" indent="0" shrinkToFit="false"/>
      <protection locked="true" hidden="false"/>
    </xf>
    <xf numFmtId="164" fontId="5" fillId="28" borderId="5" xfId="0" applyFont="true" applyBorder="true" applyAlignment="true" applyProtection="false">
      <alignment horizontal="center" vertical="center" textRotation="0" wrapText="false" indent="0" shrinkToFit="false"/>
      <protection locked="true" hidden="false"/>
    </xf>
    <xf numFmtId="164" fontId="5" fillId="0" borderId="2" xfId="0" applyFont="true" applyBorder="true" applyAlignment="true" applyProtection="false">
      <alignment horizontal="center" vertical="center" textRotation="0" wrapText="false" indent="0" shrinkToFit="false"/>
      <protection locked="true" hidden="false"/>
    </xf>
    <xf numFmtId="164" fontId="5" fillId="30" borderId="6" xfId="0" applyFont="true" applyBorder="true" applyAlignment="true" applyProtection="false">
      <alignment horizontal="center" vertical="center" textRotation="0" wrapText="false" indent="0" shrinkToFit="false"/>
      <protection locked="true" hidden="false"/>
    </xf>
    <xf numFmtId="164" fontId="12" fillId="0" borderId="6" xfId="0" applyFont="true" applyBorder="true" applyAlignment="true" applyProtection="false">
      <alignment horizontal="general" vertical="center" textRotation="0" wrapText="false" indent="0" shrinkToFit="false"/>
      <protection locked="true" hidden="false"/>
    </xf>
    <xf numFmtId="164" fontId="5" fillId="28" borderId="6" xfId="0" applyFont="true" applyBorder="true" applyAlignment="true" applyProtection="false">
      <alignment horizontal="center" vertical="center" textRotation="0" wrapText="false" indent="0" shrinkToFit="false"/>
      <protection locked="true" hidden="false"/>
    </xf>
    <xf numFmtId="164" fontId="12" fillId="28" borderId="6" xfId="0" applyFont="true" applyBorder="true" applyAlignment="true" applyProtection="false">
      <alignment horizontal="general" vertical="center" textRotation="0" wrapText="false" indent="0" shrinkToFit="false"/>
      <protection locked="true" hidden="false"/>
    </xf>
    <xf numFmtId="164" fontId="7" fillId="3" borderId="14" xfId="0" applyFont="true" applyBorder="true" applyAlignment="true" applyProtection="false">
      <alignment horizontal="center" vertical="center" textRotation="0" wrapText="false" indent="0" shrinkToFit="false"/>
      <protection locked="true" hidden="false"/>
    </xf>
    <xf numFmtId="164" fontId="7" fillId="14" borderId="14" xfId="0" applyFont="true" applyBorder="true" applyAlignment="true" applyProtection="false">
      <alignment horizontal="right" vertical="center" textRotation="0" wrapText="false" indent="0" shrinkToFit="false"/>
      <protection locked="true" hidden="false"/>
    </xf>
    <xf numFmtId="164" fontId="7" fillId="2" borderId="14" xfId="0" applyFont="true" applyBorder="true" applyAlignment="true" applyProtection="false">
      <alignment horizontal="left" vertical="center" textRotation="0" wrapText="false" indent="0" shrinkToFit="false"/>
      <protection locked="true" hidden="false"/>
    </xf>
    <xf numFmtId="164" fontId="7" fillId="2" borderId="11" xfId="0" applyFont="true" applyBorder="true" applyAlignment="true" applyProtection="false">
      <alignment horizontal="left" vertical="center" textRotation="0" wrapText="false" indent="0" shrinkToFit="false"/>
      <protection locked="true" hidden="false"/>
    </xf>
    <xf numFmtId="164" fontId="7" fillId="2" borderId="17" xfId="0" applyFont="true" applyBorder="true" applyAlignment="true" applyProtection="false">
      <alignment horizontal="left" vertical="center" textRotation="0" wrapText="false" indent="0" shrinkToFit="false"/>
      <protection locked="true" hidden="false"/>
    </xf>
    <xf numFmtId="164" fontId="7" fillId="38" borderId="17" xfId="0" applyFont="true" applyBorder="true" applyAlignment="true" applyProtection="false">
      <alignment horizontal="general" vertical="center" textRotation="0" wrapText="false" indent="0" shrinkToFit="false"/>
      <protection locked="true" hidden="false"/>
    </xf>
    <xf numFmtId="164" fontId="9" fillId="3" borderId="0" xfId="0" applyFont="true" applyBorder="false" applyAlignment="true" applyProtection="false">
      <alignment horizontal="center" vertical="center" textRotation="0" wrapText="false" indent="0" shrinkToFit="false"/>
      <protection locked="true" hidden="false"/>
    </xf>
    <xf numFmtId="164" fontId="7" fillId="14" borderId="5" xfId="0" applyFont="true" applyBorder="true" applyAlignment="true" applyProtection="false">
      <alignment horizontal="right" vertical="center" textRotation="0" wrapText="false" indent="0" shrinkToFit="false"/>
      <protection locked="true" hidden="false"/>
    </xf>
    <xf numFmtId="164" fontId="12" fillId="2" borderId="8" xfId="0" applyFont="true" applyBorder="true" applyAlignment="true" applyProtection="false">
      <alignment horizontal="left" vertical="center" textRotation="0" wrapText="false" indent="0" shrinkToFit="false"/>
      <protection locked="true" hidden="false"/>
    </xf>
    <xf numFmtId="164" fontId="7" fillId="38" borderId="0" xfId="0" applyFont="true" applyBorder="false" applyAlignment="true" applyProtection="false">
      <alignment horizontal="general" vertical="center" textRotation="0" wrapText="false" indent="0" shrinkToFit="false"/>
      <protection locked="true" hidden="false"/>
    </xf>
    <xf numFmtId="164" fontId="31" fillId="3" borderId="14" xfId="0" applyFont="true" applyBorder="true" applyAlignment="true" applyProtection="false">
      <alignment horizontal="left" vertical="center" textRotation="0" wrapText="false" indent="0" shrinkToFit="false"/>
      <protection locked="true" hidden="false"/>
    </xf>
    <xf numFmtId="164" fontId="31" fillId="3" borderId="17" xfId="0" applyFont="true" applyBorder="true" applyAlignment="true" applyProtection="false">
      <alignment horizontal="left" vertical="center" textRotation="0" wrapText="false" indent="0" shrinkToFit="false"/>
      <protection locked="true" hidden="false"/>
    </xf>
    <xf numFmtId="164" fontId="31" fillId="3" borderId="0" xfId="0" applyFont="true" applyBorder="false" applyAlignment="true" applyProtection="false">
      <alignment horizontal="left" vertical="center" textRotation="0" wrapText="false" indent="0" shrinkToFit="false"/>
      <protection locked="true" hidden="false"/>
    </xf>
    <xf numFmtId="164" fontId="23" fillId="3" borderId="5" xfId="0" applyFont="true" applyBorder="true" applyAlignment="true" applyProtection="false">
      <alignment horizontal="left" vertical="center" textRotation="0" wrapText="false" indent="0" shrinkToFit="false"/>
      <protection locked="true" hidden="false"/>
    </xf>
    <xf numFmtId="164" fontId="8" fillId="35" borderId="0" xfId="0" applyFont="true" applyBorder="false" applyAlignment="true" applyProtection="false">
      <alignment horizontal="general" vertical="center" textRotation="0" wrapText="false" indent="0" shrinkToFit="false"/>
      <protection locked="true" hidden="false"/>
    </xf>
    <xf numFmtId="164" fontId="7" fillId="14" borderId="12" xfId="0" applyFont="true" applyBorder="true" applyAlignment="true" applyProtection="false">
      <alignment horizontal="right" vertical="center" textRotation="0" wrapText="false" indent="0" shrinkToFit="false"/>
      <protection locked="true" hidden="false"/>
    </xf>
    <xf numFmtId="164" fontId="12" fillId="2" borderId="6" xfId="0" applyFont="true" applyBorder="true" applyAlignment="true" applyProtection="false">
      <alignment horizontal="left" vertical="center" textRotation="0" wrapText="false" indent="0" shrinkToFit="false"/>
      <protection locked="true" hidden="false"/>
    </xf>
    <xf numFmtId="164" fontId="7" fillId="10" borderId="12" xfId="0" applyFont="true" applyBorder="true" applyAlignment="true" applyProtection="false">
      <alignment horizontal="center" vertical="center" textRotation="0" wrapText="false" indent="0" shrinkToFit="false"/>
      <protection locked="true" hidden="false"/>
    </xf>
    <xf numFmtId="164" fontId="12" fillId="14" borderId="9" xfId="0" applyFont="true" applyBorder="true" applyAlignment="true" applyProtection="false">
      <alignment horizontal="center" vertical="center" textRotation="0" wrapText="false" indent="0" shrinkToFit="false"/>
      <protection locked="true" hidden="false"/>
    </xf>
    <xf numFmtId="164" fontId="7" fillId="11" borderId="12" xfId="0" applyFont="true" applyBorder="true" applyAlignment="true" applyProtection="false">
      <alignment horizontal="center" vertical="center" textRotation="0" wrapText="false" indent="0" shrinkToFit="false"/>
      <protection locked="true" hidden="false"/>
    </xf>
    <xf numFmtId="164" fontId="12" fillId="18" borderId="9" xfId="0" applyFont="true" applyBorder="true" applyAlignment="true" applyProtection="false">
      <alignment horizontal="center" vertical="center" textRotation="0" wrapText="false" indent="0" shrinkToFit="false"/>
      <protection locked="true" hidden="false"/>
    </xf>
    <xf numFmtId="164" fontId="7" fillId="4" borderId="12" xfId="0" applyFont="true" applyBorder="true" applyAlignment="true" applyProtection="false">
      <alignment horizontal="center" vertical="center" textRotation="0" wrapText="false" indent="0" shrinkToFit="false"/>
      <protection locked="true" hidden="false"/>
    </xf>
    <xf numFmtId="164" fontId="12" fillId="21" borderId="9" xfId="0" applyFont="true" applyBorder="true" applyAlignment="true" applyProtection="false">
      <alignment horizontal="center" vertical="center" textRotation="0" wrapText="false" indent="0" shrinkToFit="false"/>
      <protection locked="true" hidden="false"/>
    </xf>
    <xf numFmtId="164" fontId="12" fillId="36" borderId="9" xfId="0" applyFont="true" applyBorder="true" applyAlignment="true" applyProtection="false">
      <alignment horizontal="center" vertical="center" textRotation="0" wrapText="false" indent="0" shrinkToFit="false"/>
      <protection locked="true" hidden="false"/>
    </xf>
    <xf numFmtId="164" fontId="7" fillId="0" borderId="4" xfId="0" applyFont="true" applyBorder="true" applyAlignment="true" applyProtection="false">
      <alignment horizontal="center" vertical="center" textRotation="0" wrapText="false" indent="0" shrinkToFit="false"/>
      <protection locked="true" hidden="false"/>
    </xf>
    <xf numFmtId="164" fontId="8" fillId="3" borderId="5" xfId="0" applyFont="true" applyBorder="true" applyAlignment="true" applyProtection="false">
      <alignment horizontal="left" vertical="center" textRotation="0" wrapText="false" indent="0" shrinkToFit="false"/>
      <protection locked="true" hidden="false"/>
    </xf>
    <xf numFmtId="164" fontId="8" fillId="3" borderId="13" xfId="0" applyFont="true" applyBorder="true" applyAlignment="true" applyProtection="false">
      <alignment horizontal="general" vertical="center" textRotation="0" wrapText="false" indent="0" shrinkToFit="false"/>
      <protection locked="true" hidden="false"/>
    </xf>
    <xf numFmtId="164" fontId="8" fillId="3" borderId="0" xfId="0" applyFont="true" applyBorder="false" applyAlignment="true" applyProtection="false">
      <alignment horizontal="general" vertical="center" textRotation="0" wrapText="false" indent="0" shrinkToFit="false"/>
      <protection locked="true" hidden="false"/>
    </xf>
    <xf numFmtId="164" fontId="14" fillId="13" borderId="5" xfId="0" applyFont="true" applyBorder="true" applyAlignment="true" applyProtection="false">
      <alignment horizontal="center" vertical="center" textRotation="0" wrapText="false" indent="0" shrinkToFit="false"/>
      <protection locked="true" hidden="false"/>
    </xf>
    <xf numFmtId="164" fontId="7" fillId="7" borderId="7" xfId="0" applyFont="true" applyBorder="true" applyAlignment="true" applyProtection="false">
      <alignment horizontal="center" vertical="center" textRotation="0" wrapText="false" indent="0" shrinkToFit="false"/>
      <protection locked="true" hidden="false"/>
    </xf>
    <xf numFmtId="164" fontId="12" fillId="64" borderId="4" xfId="0" applyFont="true" applyBorder="true" applyAlignment="true" applyProtection="false">
      <alignment horizontal="center" vertical="center" textRotation="0" wrapText="false" indent="0" shrinkToFit="false"/>
      <protection locked="true" hidden="false"/>
    </xf>
    <xf numFmtId="164" fontId="19" fillId="7" borderId="7" xfId="0" applyFont="true" applyBorder="true" applyAlignment="true" applyProtection="false">
      <alignment horizontal="center" vertical="center" textRotation="0" wrapText="false" indent="0" shrinkToFit="false"/>
      <protection locked="true" hidden="false"/>
    </xf>
    <xf numFmtId="164" fontId="45" fillId="13" borderId="2" xfId="0" applyFont="true" applyBorder="true" applyAlignment="true" applyProtection="false">
      <alignment horizontal="center" vertical="center" textRotation="0" wrapText="false" indent="0" shrinkToFit="false"/>
      <protection locked="true" hidden="false"/>
    </xf>
    <xf numFmtId="164" fontId="7" fillId="6" borderId="9" xfId="0" applyFont="true" applyBorder="true" applyAlignment="true" applyProtection="false">
      <alignment horizontal="center" vertical="center" textRotation="0" wrapText="false" indent="0" shrinkToFit="false"/>
      <protection locked="true" hidden="false"/>
    </xf>
    <xf numFmtId="164" fontId="7" fillId="27" borderId="0" xfId="0" applyFont="true" applyBorder="false" applyAlignment="true" applyProtection="false">
      <alignment horizontal="general" vertical="center" textRotation="0" wrapText="false" indent="0" shrinkToFit="false"/>
      <protection locked="true" hidden="false"/>
    </xf>
    <xf numFmtId="164" fontId="14" fillId="13" borderId="11" xfId="0" applyFont="true" applyBorder="true" applyAlignment="true" applyProtection="false">
      <alignment horizontal="general" vertical="center" textRotation="0" wrapText="false" indent="0" shrinkToFit="false"/>
      <protection locked="true" hidden="false"/>
    </xf>
    <xf numFmtId="164" fontId="7" fillId="8" borderId="14" xfId="0" applyFont="true" applyBorder="true" applyAlignment="true" applyProtection="false">
      <alignment horizontal="center" vertical="center" textRotation="0" wrapText="false" indent="0" shrinkToFit="false"/>
      <protection locked="true" hidden="false"/>
    </xf>
    <xf numFmtId="164" fontId="5" fillId="33" borderId="1" xfId="0" applyFont="true" applyBorder="true" applyAlignment="true" applyProtection="false">
      <alignment horizontal="center" vertical="bottom" textRotation="0" wrapText="false" indent="0" shrinkToFit="false"/>
      <protection locked="true" hidden="false"/>
    </xf>
    <xf numFmtId="164" fontId="8" fillId="65" borderId="1" xfId="0" applyFont="true" applyBorder="true" applyAlignment="true" applyProtection="false">
      <alignment horizontal="center" vertical="center" textRotation="0" wrapText="false" indent="0" shrinkToFit="false"/>
      <protection locked="true" hidden="false"/>
    </xf>
    <xf numFmtId="164" fontId="32" fillId="15" borderId="1" xfId="0" applyFont="true" applyBorder="true" applyAlignment="true" applyProtection="false">
      <alignment horizontal="center" vertical="center" textRotation="0" wrapText="false" indent="0" shrinkToFit="false"/>
      <protection locked="true" hidden="false"/>
    </xf>
    <xf numFmtId="164" fontId="32" fillId="16" borderId="4" xfId="0" applyFont="true" applyBorder="true" applyAlignment="true" applyProtection="false">
      <alignment horizontal="center" vertical="center" textRotation="0" wrapText="false" indent="0" shrinkToFit="false"/>
      <protection locked="true" hidden="false"/>
    </xf>
    <xf numFmtId="164" fontId="7" fillId="4" borderId="11" xfId="0" applyFont="true" applyBorder="true" applyAlignment="true" applyProtection="false">
      <alignment horizontal="center" vertical="center" textRotation="0" wrapText="false" indent="0" shrinkToFit="false"/>
      <protection locked="true" hidden="false"/>
    </xf>
    <xf numFmtId="164" fontId="7" fillId="4" borderId="14" xfId="0" applyFont="true" applyBorder="true" applyAlignment="true" applyProtection="false">
      <alignment horizontal="center" vertical="center" textRotation="0" wrapText="false" indent="0" shrinkToFit="false"/>
      <protection locked="true" hidden="false"/>
    </xf>
    <xf numFmtId="164" fontId="7" fillId="4" borderId="17" xfId="0" applyFont="true" applyBorder="true" applyAlignment="true" applyProtection="false">
      <alignment horizontal="center" vertical="center" textRotation="0" wrapText="false" indent="0" shrinkToFit="false"/>
      <protection locked="true" hidden="false"/>
    </xf>
    <xf numFmtId="164" fontId="7" fillId="6" borderId="3" xfId="0" applyFont="true" applyBorder="true" applyAlignment="true" applyProtection="false">
      <alignment horizontal="center" vertical="center" textRotation="0" wrapText="false" indent="0" shrinkToFit="false"/>
      <protection locked="true" hidden="false"/>
    </xf>
    <xf numFmtId="164" fontId="5" fillId="5" borderId="6" xfId="0" applyFont="true" applyBorder="true" applyAlignment="true" applyProtection="false">
      <alignment horizontal="center" vertical="bottom" textRotation="0" wrapText="false" indent="0" shrinkToFit="false"/>
      <protection locked="true" hidden="false"/>
    </xf>
    <xf numFmtId="164" fontId="7" fillId="0" borderId="14" xfId="0" applyFont="true" applyBorder="true" applyAlignment="true" applyProtection="false">
      <alignment horizontal="left" vertical="center" textRotation="0" wrapText="false" indent="0" shrinkToFit="false"/>
      <protection locked="true" hidden="false"/>
    </xf>
    <xf numFmtId="164" fontId="7" fillId="0" borderId="3" xfId="0" applyFont="true" applyBorder="true" applyAlignment="true" applyProtection="false">
      <alignment horizontal="center" vertical="center" textRotation="0" wrapText="false" indent="0" shrinkToFit="false"/>
      <protection locked="true" hidden="false"/>
    </xf>
    <xf numFmtId="164" fontId="12" fillId="0" borderId="11" xfId="0" applyFont="true" applyBorder="true" applyAlignment="true" applyProtection="false">
      <alignment horizontal="center" vertical="center" textRotation="0" wrapText="false" indent="0" shrinkToFit="false"/>
      <protection locked="true" hidden="false"/>
    </xf>
    <xf numFmtId="164" fontId="12" fillId="0" borderId="14" xfId="0" applyFont="true" applyBorder="true" applyAlignment="true" applyProtection="false">
      <alignment horizontal="center" vertical="center" textRotation="0" wrapText="false" indent="0" shrinkToFit="false"/>
      <protection locked="true" hidden="false"/>
    </xf>
    <xf numFmtId="164" fontId="12" fillId="0" borderId="3" xfId="0" applyFont="true" applyBorder="true" applyAlignment="true" applyProtection="false">
      <alignment horizontal="center" vertical="center" textRotation="0" wrapText="false" indent="0" shrinkToFit="false"/>
      <protection locked="true" hidden="false"/>
    </xf>
    <xf numFmtId="164" fontId="5" fillId="37" borderId="6" xfId="0" applyFont="true" applyBorder="true" applyAlignment="true" applyProtection="false">
      <alignment horizontal="center" vertical="bottom" textRotation="0" wrapText="false" indent="0" shrinkToFit="false"/>
      <protection locked="true" hidden="false"/>
    </xf>
    <xf numFmtId="164" fontId="7" fillId="0" borderId="5" xfId="0" applyFont="true" applyBorder="true" applyAlignment="true" applyProtection="false">
      <alignment horizontal="left" vertical="center" textRotation="0" wrapText="false" indent="0" shrinkToFit="false"/>
      <protection locked="true" hidden="false"/>
    </xf>
    <xf numFmtId="164" fontId="7" fillId="0" borderId="8" xfId="0" applyFont="true" applyBorder="true" applyAlignment="true" applyProtection="false">
      <alignment horizontal="center" vertical="center" textRotation="0" wrapText="false" indent="0" shrinkToFit="false"/>
      <protection locked="true" hidden="false"/>
    </xf>
    <xf numFmtId="164" fontId="5" fillId="5" borderId="8" xfId="0" applyFont="true" applyBorder="true" applyAlignment="true" applyProtection="false">
      <alignment horizontal="center" vertical="bottom" textRotation="0" wrapText="false" indent="0" shrinkToFit="false"/>
      <protection locked="true" hidden="false"/>
    </xf>
    <xf numFmtId="164" fontId="8" fillId="3" borderId="12" xfId="0" applyFont="true" applyBorder="true" applyAlignment="true" applyProtection="false">
      <alignment horizontal="left" vertical="center" textRotation="0" wrapText="false" indent="0" shrinkToFit="false"/>
      <protection locked="true" hidden="false"/>
    </xf>
    <xf numFmtId="164" fontId="8" fillId="3" borderId="9" xfId="0" applyFont="true" applyBorder="true" applyAlignment="true" applyProtection="false">
      <alignment horizontal="general" vertical="center" textRotation="0" wrapText="false" indent="0" shrinkToFit="false"/>
      <protection locked="true" hidden="false"/>
    </xf>
    <xf numFmtId="164" fontId="8" fillId="3" borderId="0" xfId="0" applyFont="true" applyBorder="false" applyAlignment="true" applyProtection="false">
      <alignment horizontal="left" vertical="center" textRotation="0" wrapText="false" indent="0" shrinkToFit="false"/>
      <protection locked="true" hidden="false"/>
    </xf>
    <xf numFmtId="164" fontId="7" fillId="0" borderId="5" xfId="0" applyFont="true" applyBorder="true" applyAlignment="true" applyProtection="false">
      <alignment horizontal="center" vertical="center" textRotation="0" wrapText="false" indent="0" shrinkToFit="false"/>
      <protection locked="true" hidden="false"/>
    </xf>
    <xf numFmtId="164" fontId="23" fillId="3" borderId="0" xfId="0" applyFont="true" applyBorder="false" applyAlignment="true" applyProtection="false">
      <alignment horizontal="left" vertical="center" textRotation="0" wrapText="false" indent="0" shrinkToFit="false"/>
      <protection locked="true" hidden="false"/>
    </xf>
    <xf numFmtId="164" fontId="12" fillId="3" borderId="0" xfId="0" applyFont="true" applyBorder="false" applyAlignment="false" applyProtection="false">
      <alignment horizontal="general" vertical="bottom" textRotation="0" wrapText="false" indent="0" shrinkToFit="false"/>
      <protection locked="true" hidden="false"/>
    </xf>
    <xf numFmtId="164" fontId="7" fillId="0" borderId="12" xfId="0" applyFont="true" applyBorder="true" applyAlignment="true" applyProtection="false">
      <alignment horizontal="left" vertical="center" textRotation="0" wrapText="false" indent="0" shrinkToFit="false"/>
      <protection locked="true" hidden="false"/>
    </xf>
    <xf numFmtId="164" fontId="7" fillId="0" borderId="6" xfId="0" applyFont="true" applyBorder="true" applyAlignment="true" applyProtection="false">
      <alignment horizontal="center" vertical="center" textRotation="0" wrapText="false" indent="0" shrinkToFit="false"/>
      <protection locked="true" hidden="false"/>
    </xf>
    <xf numFmtId="164" fontId="4" fillId="0" borderId="2" xfId="0" applyFont="true" applyBorder="true" applyAlignment="true" applyProtection="false">
      <alignment horizontal="center" vertical="center" textRotation="0" wrapText="false" indent="0" shrinkToFit="false"/>
      <protection locked="true" hidden="false"/>
    </xf>
    <xf numFmtId="164" fontId="12" fillId="0" borderId="6" xfId="0" applyFont="true" applyBorder="true" applyAlignment="true" applyProtection="false">
      <alignment horizontal="center" vertical="center" textRotation="0" wrapText="false" indent="0" shrinkToFit="false"/>
      <protection locked="true" hidden="false"/>
    </xf>
    <xf numFmtId="164" fontId="12" fillId="0" borderId="2" xfId="0" applyFont="true" applyBorder="true" applyAlignment="true" applyProtection="false">
      <alignment horizontal="center" vertical="center" textRotation="0" wrapText="false" indent="0" shrinkToFit="false"/>
      <protection locked="true" hidden="false"/>
    </xf>
    <xf numFmtId="164" fontId="12" fillId="0" borderId="9" xfId="0" applyFont="true" applyBorder="true" applyAlignment="true" applyProtection="false">
      <alignment horizontal="center" vertical="center" textRotation="0" wrapText="false" indent="0" shrinkToFit="false"/>
      <protection locked="true" hidden="false"/>
    </xf>
    <xf numFmtId="164" fontId="7" fillId="14" borderId="12" xfId="0" applyFont="true" applyBorder="true" applyAlignment="true" applyProtection="false">
      <alignment horizontal="general" vertical="center" textRotation="0" wrapText="false" indent="0" shrinkToFit="false"/>
      <protection locked="true" hidden="false"/>
    </xf>
    <xf numFmtId="164" fontId="7" fillId="15" borderId="1" xfId="0" applyFont="true" applyBorder="true" applyAlignment="true" applyProtection="false">
      <alignment horizontal="center" vertical="center" textRotation="0" wrapText="false" indent="0" shrinkToFit="false"/>
      <protection locked="true" hidden="false"/>
    </xf>
    <xf numFmtId="164" fontId="7" fillId="16" borderId="1" xfId="0" applyFont="true" applyBorder="true" applyAlignment="true" applyProtection="false">
      <alignment horizontal="center" vertical="center" textRotation="0" wrapText="false" indent="0" shrinkToFit="false"/>
      <protection locked="true" hidden="false"/>
    </xf>
    <xf numFmtId="164" fontId="32" fillId="0" borderId="0" xfId="0" applyFont="true" applyBorder="false" applyAlignment="true" applyProtection="false">
      <alignment horizontal="center" vertical="center" textRotation="0" wrapText="false" indent="0" shrinkToFit="false"/>
      <protection locked="true" hidden="false"/>
    </xf>
    <xf numFmtId="164" fontId="9" fillId="13" borderId="10" xfId="0" applyFont="true" applyBorder="true" applyAlignment="true" applyProtection="false">
      <alignment horizontal="general" vertical="center" textRotation="0" wrapText="false" indent="0" shrinkToFit="false"/>
      <protection locked="true" hidden="false"/>
    </xf>
    <xf numFmtId="164" fontId="46" fillId="13" borderId="7" xfId="0" applyFont="true" applyBorder="true" applyAlignment="true" applyProtection="false">
      <alignment horizontal="center" vertical="center" textRotation="0" wrapText="false" indent="0" shrinkToFit="false"/>
      <protection locked="true" hidden="false"/>
    </xf>
    <xf numFmtId="164" fontId="47" fillId="34" borderId="7" xfId="0" applyFont="true" applyBorder="true" applyAlignment="true" applyProtection="false">
      <alignment horizontal="general" vertical="center" textRotation="0" wrapText="false" indent="0" shrinkToFit="false"/>
      <protection locked="true" hidden="false"/>
    </xf>
    <xf numFmtId="164" fontId="12" fillId="24" borderId="1" xfId="0" applyFont="true" applyBorder="true" applyAlignment="true" applyProtection="false">
      <alignment horizontal="center" vertical="center" textRotation="0" wrapText="false" indent="0" shrinkToFit="false"/>
      <protection locked="true" hidden="false"/>
    </xf>
    <xf numFmtId="164" fontId="5" fillId="0" borderId="5" xfId="0" applyFont="true" applyBorder="true" applyAlignment="true" applyProtection="false">
      <alignment horizontal="left" vertical="center" textRotation="0" wrapText="false" indent="0" shrinkToFit="false"/>
      <protection locked="true" hidden="false"/>
    </xf>
    <xf numFmtId="164" fontId="5" fillId="0" borderId="0" xfId="0" applyFont="true" applyBorder="true" applyAlignment="true" applyProtection="false">
      <alignment horizontal="left" vertical="center" textRotation="0" wrapText="false" indent="0" shrinkToFit="false"/>
      <protection locked="true" hidden="false"/>
    </xf>
    <xf numFmtId="164" fontId="4" fillId="0" borderId="3" xfId="0" applyFont="true" applyBorder="true" applyAlignment="true" applyProtection="false">
      <alignment horizontal="center" vertical="center" textRotation="0" wrapText="false" indent="0" shrinkToFit="false"/>
      <protection locked="true" hidden="false"/>
    </xf>
    <xf numFmtId="164" fontId="26" fillId="34" borderId="7" xfId="0" applyFont="true" applyBorder="true" applyAlignment="true" applyProtection="false">
      <alignment horizontal="general" vertical="center" textRotation="0" wrapText="false" indent="0" shrinkToFit="false"/>
      <protection locked="true" hidden="false"/>
    </xf>
    <xf numFmtId="164" fontId="4" fillId="63" borderId="1" xfId="0" applyFont="true" applyBorder="true" applyAlignment="true" applyProtection="false">
      <alignment horizontal="center" vertical="center" textRotation="0" wrapText="false" indent="0" shrinkToFit="false"/>
      <protection locked="true" hidden="false"/>
    </xf>
    <xf numFmtId="164" fontId="4" fillId="0" borderId="8" xfId="0" applyFont="true" applyBorder="true" applyAlignment="true" applyProtection="false">
      <alignment horizontal="center" vertical="center" textRotation="0" wrapText="false" indent="0" shrinkToFit="false"/>
      <protection locked="true" hidden="false"/>
    </xf>
    <xf numFmtId="164" fontId="47" fillId="34" borderId="1" xfId="0" applyFont="true" applyBorder="true" applyAlignment="true" applyProtection="false">
      <alignment horizontal="left" vertical="center" textRotation="0" wrapText="true" indent="0" shrinkToFit="false"/>
      <protection locked="true" hidden="false"/>
    </xf>
    <xf numFmtId="164" fontId="48" fillId="63" borderId="1" xfId="0" applyFont="true" applyBorder="true" applyAlignment="true" applyProtection="false">
      <alignment horizontal="center" vertical="center" textRotation="0" wrapText="true" indent="0" shrinkToFit="false"/>
      <protection locked="true" hidden="false"/>
    </xf>
    <xf numFmtId="164" fontId="5" fillId="0" borderId="12" xfId="0" applyFont="true" applyBorder="true" applyAlignment="true" applyProtection="false">
      <alignment horizontal="left" vertical="center" textRotation="0" wrapText="false" indent="0" shrinkToFit="false"/>
      <protection locked="true" hidden="false"/>
    </xf>
    <xf numFmtId="164" fontId="5" fillId="0" borderId="2" xfId="0" applyFont="true" applyBorder="true" applyAlignment="true" applyProtection="false">
      <alignment horizontal="left" vertical="center" textRotation="0" wrapText="false" indent="0" shrinkToFit="false"/>
      <protection locked="true" hidden="false"/>
    </xf>
    <xf numFmtId="164" fontId="4" fillId="0" borderId="6" xfId="0" applyFont="true" applyBorder="true" applyAlignment="true" applyProtection="false">
      <alignment horizontal="center" vertical="center" textRotation="0" wrapText="false" indent="0" shrinkToFit="false"/>
      <protection locked="true" hidden="false"/>
    </xf>
    <xf numFmtId="164" fontId="32" fillId="13" borderId="5" xfId="0" applyFont="true" applyBorder="true" applyAlignment="true" applyProtection="false">
      <alignment horizontal="center" vertical="center" textRotation="0" wrapText="true" indent="0" shrinkToFit="false"/>
      <protection locked="true" hidden="false"/>
    </xf>
    <xf numFmtId="164" fontId="9" fillId="13" borderId="14" xfId="0" applyFont="true" applyBorder="true" applyAlignment="true" applyProtection="false">
      <alignment horizontal="general" vertical="center" textRotation="0" wrapText="false" indent="0" shrinkToFit="false"/>
      <protection locked="true" hidden="false"/>
    </xf>
    <xf numFmtId="164" fontId="5" fillId="0" borderId="3" xfId="0" applyFont="true" applyBorder="true" applyAlignment="true" applyProtection="false">
      <alignment horizontal="left" vertical="center" textRotation="0" wrapText="false" indent="0" shrinkToFit="false"/>
      <protection locked="true" hidden="false"/>
    </xf>
    <xf numFmtId="164" fontId="4" fillId="0" borderId="0" xfId="0" applyFont="true" applyBorder="true" applyAlignment="true" applyProtection="false">
      <alignment horizontal="center" vertical="center" textRotation="0" wrapText="false" indent="0" shrinkToFit="false"/>
      <protection locked="true" hidden="false"/>
    </xf>
    <xf numFmtId="164" fontId="4" fillId="0" borderId="5" xfId="0" applyFont="true" applyBorder="true" applyAlignment="true" applyProtection="false">
      <alignment horizontal="center" vertical="center" textRotation="0" wrapText="false" indent="0" shrinkToFit="false"/>
      <protection locked="true" hidden="false"/>
    </xf>
    <xf numFmtId="164" fontId="23" fillId="0" borderId="8" xfId="0" applyFont="true" applyBorder="true" applyAlignment="true" applyProtection="false">
      <alignment horizontal="general" vertical="center" textRotation="0" wrapText="false" indent="0" shrinkToFit="false"/>
      <protection locked="true" hidden="false"/>
    </xf>
    <xf numFmtId="164" fontId="5" fillId="0" borderId="8" xfId="0" applyFont="true" applyBorder="true" applyAlignment="true" applyProtection="false">
      <alignment horizontal="left" vertical="center" textRotation="0" wrapText="false" indent="0" shrinkToFit="false"/>
      <protection locked="true" hidden="false"/>
    </xf>
    <xf numFmtId="164" fontId="7" fillId="0" borderId="8" xfId="0" applyFont="true" applyBorder="true" applyAlignment="true" applyProtection="false">
      <alignment horizontal="left" vertical="center" textRotation="0" wrapText="false" indent="0" shrinkToFit="false"/>
      <protection locked="true" hidden="false"/>
    </xf>
    <xf numFmtId="164" fontId="12" fillId="0" borderId="0" xfId="0" applyFont="true" applyBorder="true" applyAlignment="true" applyProtection="false">
      <alignment horizontal="center" vertical="center" textRotation="0" wrapText="false" indent="0" shrinkToFit="false"/>
      <protection locked="true" hidden="false"/>
    </xf>
    <xf numFmtId="164" fontId="12" fillId="0" borderId="5" xfId="0" applyFont="true" applyBorder="true" applyAlignment="true" applyProtection="false">
      <alignment horizontal="center" vertical="center" textRotation="0" wrapText="false" indent="0" shrinkToFit="false"/>
      <protection locked="true" hidden="false"/>
    </xf>
    <xf numFmtId="164" fontId="7" fillId="0" borderId="6" xfId="0" applyFont="true" applyBorder="true" applyAlignment="true" applyProtection="false">
      <alignment horizontal="left" vertical="center" textRotation="0" wrapText="false" indent="0" shrinkToFit="false"/>
      <protection locked="true" hidden="false"/>
    </xf>
    <xf numFmtId="164" fontId="12" fillId="0" borderId="12" xfId="0" applyFont="true" applyBorder="true" applyAlignment="true" applyProtection="false">
      <alignment horizontal="center" vertical="center" textRotation="0" wrapText="false" indent="0" shrinkToFit="false"/>
      <protection locked="true" hidden="false"/>
    </xf>
    <xf numFmtId="164" fontId="23" fillId="0" borderId="6" xfId="0" applyFont="true" applyBorder="true" applyAlignment="true" applyProtection="false">
      <alignment horizontal="general" vertical="center" textRotation="0" wrapText="false" indent="0" shrinkToFit="false"/>
      <protection locked="true" hidden="false"/>
    </xf>
    <xf numFmtId="164" fontId="14" fillId="13" borderId="7" xfId="0" applyFont="true" applyBorder="true" applyAlignment="true" applyProtection="false">
      <alignment horizontal="general" vertical="center" textRotation="0" wrapText="false" indent="0" shrinkToFit="false"/>
      <protection locked="true" hidden="false"/>
    </xf>
    <xf numFmtId="164" fontId="14" fillId="13" borderId="10" xfId="0" applyFont="true" applyBorder="true" applyAlignment="true" applyProtection="false">
      <alignment horizontal="center" vertical="center" textRotation="0" wrapText="false" indent="0" shrinkToFit="false"/>
      <protection locked="true" hidden="false"/>
    </xf>
    <xf numFmtId="164" fontId="14" fillId="13" borderId="4" xfId="0" applyFont="true" applyBorder="true" applyAlignment="true" applyProtection="false">
      <alignment horizontal="center" vertical="center" textRotation="0" wrapText="false" indent="0" shrinkToFit="false"/>
      <protection locked="true" hidden="false"/>
    </xf>
    <xf numFmtId="164" fontId="4" fillId="0" borderId="14" xfId="0" applyFont="true" applyBorder="true" applyAlignment="true" applyProtection="false">
      <alignment horizontal="center" vertical="center" textRotation="0" wrapText="false" indent="0" shrinkToFit="false"/>
      <protection locked="true" hidden="false"/>
    </xf>
    <xf numFmtId="164" fontId="4" fillId="0" borderId="11" xfId="0" applyFont="true" applyBorder="true" applyAlignment="true" applyProtection="false">
      <alignment horizontal="center" vertical="center" textRotation="0" wrapText="false" indent="0" shrinkToFit="false"/>
      <protection locked="true" hidden="false"/>
    </xf>
    <xf numFmtId="164" fontId="4" fillId="0" borderId="17" xfId="0" applyFont="true" applyBorder="true" applyAlignment="true" applyProtection="false">
      <alignment horizontal="center" vertical="center" textRotation="0" wrapText="false" indent="0" shrinkToFit="false"/>
      <protection locked="true" hidden="false"/>
    </xf>
    <xf numFmtId="164" fontId="4" fillId="0" borderId="12" xfId="0" applyFont="true" applyBorder="true" applyAlignment="true" applyProtection="false">
      <alignment horizontal="center" vertical="center" textRotation="0" wrapText="false" indent="0" shrinkToFit="false"/>
      <protection locked="true" hidden="false"/>
    </xf>
    <xf numFmtId="164" fontId="5" fillId="5" borderId="14" xfId="0" applyFont="true" applyBorder="true" applyAlignment="true" applyProtection="false">
      <alignment horizontal="general" vertical="center" textRotation="0" wrapText="false" indent="0" shrinkToFit="false"/>
      <protection locked="true" hidden="false"/>
    </xf>
    <xf numFmtId="164" fontId="11" fillId="5" borderId="14" xfId="0" applyFont="true" applyBorder="true" applyAlignment="true" applyProtection="false">
      <alignment horizontal="center" vertical="center" textRotation="0" wrapText="false" indent="0" shrinkToFit="false"/>
      <protection locked="true" hidden="false"/>
    </xf>
    <xf numFmtId="164" fontId="7" fillId="5" borderId="0" xfId="0" applyFont="true" applyBorder="false" applyAlignment="true" applyProtection="false">
      <alignment horizontal="center" vertical="center" textRotation="0" wrapText="false" indent="0" shrinkToFit="false"/>
      <protection locked="true" hidden="false"/>
    </xf>
    <xf numFmtId="164" fontId="7" fillId="14" borderId="14" xfId="0" applyFont="true" applyBorder="true" applyAlignment="true" applyProtection="false">
      <alignment horizontal="general" vertical="center" textRotation="0" wrapText="false" indent="0" shrinkToFit="false"/>
      <protection locked="true" hidden="false"/>
    </xf>
    <xf numFmtId="166" fontId="12" fillId="14" borderId="14" xfId="0" applyFont="true" applyBorder="true" applyAlignment="true" applyProtection="false">
      <alignment horizontal="center" vertical="center" textRotation="0" wrapText="false" indent="0" shrinkToFit="false"/>
      <protection locked="true" hidden="false"/>
    </xf>
    <xf numFmtId="166" fontId="12" fillId="14" borderId="11" xfId="0" applyFont="true" applyBorder="true" applyAlignment="true" applyProtection="false">
      <alignment horizontal="center" vertical="center" textRotation="0" wrapText="false" indent="0" shrinkToFit="false"/>
      <protection locked="true" hidden="false"/>
    </xf>
    <xf numFmtId="166" fontId="12" fillId="14" borderId="17" xfId="0" applyFont="true" applyBorder="true" applyAlignment="true" applyProtection="false">
      <alignment horizontal="center" vertical="center" textRotation="0" wrapText="false" indent="0" shrinkToFit="false"/>
      <protection locked="true" hidden="false"/>
    </xf>
    <xf numFmtId="164" fontId="5" fillId="28" borderId="3" xfId="0" applyFont="true" applyBorder="true" applyAlignment="true" applyProtection="false">
      <alignment horizontal="left" vertical="center" textRotation="0" wrapText="false" indent="0" shrinkToFit="false"/>
      <protection locked="true" hidden="false"/>
    </xf>
    <xf numFmtId="164" fontId="4" fillId="28" borderId="3" xfId="0" applyFont="true" applyBorder="true" applyAlignment="true" applyProtection="false">
      <alignment horizontal="center" vertical="center" textRotation="0" wrapText="false" indent="0" shrinkToFit="false"/>
      <protection locked="true" hidden="false"/>
    </xf>
    <xf numFmtId="164" fontId="23" fillId="28" borderId="3" xfId="0" applyFont="true" applyBorder="true" applyAlignment="true" applyProtection="false">
      <alignment horizontal="general" vertical="center" textRotation="0" wrapText="false" indent="0" shrinkToFit="false"/>
      <protection locked="true" hidden="false"/>
    </xf>
    <xf numFmtId="164" fontId="23" fillId="28" borderId="0" xfId="0" applyFont="true" applyBorder="false" applyAlignment="true" applyProtection="false">
      <alignment horizontal="general" vertical="center" textRotation="0" wrapText="false" indent="0" shrinkToFit="false"/>
      <protection locked="true" hidden="false"/>
    </xf>
    <xf numFmtId="164" fontId="12" fillId="14" borderId="12" xfId="0" applyFont="true" applyBorder="true" applyAlignment="true" applyProtection="false">
      <alignment horizontal="center" vertical="center" textRotation="0" wrapText="false" indent="0" shrinkToFit="false"/>
      <protection locked="true" hidden="false"/>
    </xf>
    <xf numFmtId="164" fontId="12" fillId="14" borderId="2" xfId="0" applyFont="true" applyBorder="true" applyAlignment="true" applyProtection="false">
      <alignment horizontal="center" vertical="center" textRotation="0" wrapText="false" indent="0" shrinkToFit="false"/>
      <protection locked="true" hidden="false"/>
    </xf>
    <xf numFmtId="164" fontId="5" fillId="30" borderId="8" xfId="0" applyFont="true" applyBorder="true" applyAlignment="true" applyProtection="false">
      <alignment horizontal="left" vertical="center" textRotation="0" wrapText="false" indent="0" shrinkToFit="false"/>
      <protection locked="true" hidden="false"/>
    </xf>
    <xf numFmtId="164" fontId="4" fillId="30" borderId="8" xfId="0" applyFont="true" applyBorder="true" applyAlignment="true" applyProtection="false">
      <alignment horizontal="center" vertical="center" textRotation="0" wrapText="false" indent="0" shrinkToFit="false"/>
      <protection locked="true" hidden="false"/>
    </xf>
    <xf numFmtId="164" fontId="12" fillId="30" borderId="0" xfId="0" applyFont="true" applyBorder="false" applyAlignment="true" applyProtection="false">
      <alignment horizontal="general" vertical="center" textRotation="0" wrapText="false" indent="0" shrinkToFit="false"/>
      <protection locked="true" hidden="false"/>
    </xf>
    <xf numFmtId="164" fontId="7" fillId="28" borderId="8" xfId="0" applyFont="true" applyBorder="true" applyAlignment="true" applyProtection="false">
      <alignment horizontal="left" vertical="center" textRotation="0" wrapText="false" indent="0" shrinkToFit="false"/>
      <protection locked="true" hidden="false"/>
    </xf>
    <xf numFmtId="164" fontId="12" fillId="28" borderId="8" xfId="0" applyFont="true" applyBorder="true" applyAlignment="true" applyProtection="false">
      <alignment horizontal="center" vertical="center" textRotation="0" wrapText="false" indent="0" shrinkToFit="false"/>
      <protection locked="true" hidden="false"/>
    </xf>
    <xf numFmtId="164" fontId="23" fillId="28" borderId="8" xfId="0" applyFont="true" applyBorder="true" applyAlignment="true" applyProtection="false">
      <alignment horizontal="general" vertical="center" textRotation="0" wrapText="false" indent="0" shrinkToFit="false"/>
      <protection locked="true" hidden="false"/>
    </xf>
    <xf numFmtId="164" fontId="5" fillId="0" borderId="14" xfId="0" applyFont="true" applyBorder="true" applyAlignment="true" applyProtection="false">
      <alignment horizontal="left" vertical="center" textRotation="0" wrapText="false" indent="0" shrinkToFit="false"/>
      <protection locked="true" hidden="false"/>
    </xf>
    <xf numFmtId="164" fontId="21" fillId="0" borderId="14" xfId="0" applyFont="true" applyBorder="true" applyAlignment="true" applyProtection="false">
      <alignment horizontal="center" vertical="center" textRotation="0" wrapText="false" indent="0" shrinkToFit="false"/>
      <protection locked="true" hidden="false"/>
    </xf>
    <xf numFmtId="164" fontId="31" fillId="0" borderId="17" xfId="0" applyFont="true" applyBorder="true" applyAlignment="true" applyProtection="false">
      <alignment horizontal="center" vertical="center" textRotation="0" wrapText="false" indent="0" shrinkToFit="false"/>
      <protection locked="true" hidden="false"/>
    </xf>
    <xf numFmtId="164" fontId="7" fillId="0" borderId="12" xfId="0" applyFont="true" applyBorder="true" applyAlignment="true" applyProtection="false">
      <alignment horizontal="center" vertical="center" textRotation="0" wrapText="false" indent="0" shrinkToFit="false"/>
      <protection locked="true" hidden="false"/>
    </xf>
    <xf numFmtId="164" fontId="9" fillId="13" borderId="14" xfId="0" applyFont="true" applyBorder="true" applyAlignment="true" applyProtection="false">
      <alignment horizontal="center" vertical="center" textRotation="0" wrapText="true" indent="0" shrinkToFit="false"/>
      <protection locked="true" hidden="false"/>
    </xf>
    <xf numFmtId="164" fontId="5" fillId="16" borderId="7" xfId="0" applyFont="true" applyBorder="true" applyAlignment="true" applyProtection="false">
      <alignment horizontal="center" vertical="center" textRotation="0" wrapText="false" indent="0" shrinkToFit="false"/>
      <protection locked="true" hidden="false"/>
    </xf>
    <xf numFmtId="164" fontId="5" fillId="33" borderId="1" xfId="0" applyFont="true" applyBorder="true" applyAlignment="true" applyProtection="false">
      <alignment horizontal="center" vertical="center" textRotation="0" wrapText="false" indent="0" shrinkToFit="false"/>
      <protection locked="true" hidden="false"/>
    </xf>
    <xf numFmtId="164" fontId="7" fillId="28" borderId="6" xfId="0" applyFont="true" applyBorder="true" applyAlignment="true" applyProtection="false">
      <alignment horizontal="left" vertical="center" textRotation="0" wrapText="false" indent="0" shrinkToFit="false"/>
      <protection locked="true" hidden="false"/>
    </xf>
    <xf numFmtId="164" fontId="12" fillId="28" borderId="6" xfId="0" applyFont="true" applyBorder="true" applyAlignment="true" applyProtection="false">
      <alignment horizontal="center" vertical="center" textRotation="0" wrapText="false" indent="0" shrinkToFit="false"/>
      <protection locked="true" hidden="false"/>
    </xf>
    <xf numFmtId="164" fontId="23" fillId="28" borderId="6" xfId="0" applyFont="true" applyBorder="true" applyAlignment="true" applyProtection="false">
      <alignment horizontal="general" vertical="center" textRotation="0" wrapText="false" indent="0" shrinkToFit="false"/>
      <protection locked="true" hidden="false"/>
    </xf>
    <xf numFmtId="164" fontId="5" fillId="16" borderId="12" xfId="0" applyFont="true" applyBorder="true" applyAlignment="true" applyProtection="false">
      <alignment horizontal="center" vertical="center" textRotation="0" wrapText="false" indent="0" shrinkToFit="false"/>
      <protection locked="true" hidden="false"/>
    </xf>
    <xf numFmtId="164" fontId="5" fillId="16" borderId="9" xfId="0" applyFont="true" applyBorder="true" applyAlignment="true" applyProtection="false">
      <alignment horizontal="center" vertical="center" textRotation="0" wrapText="false" indent="0" shrinkToFit="false"/>
      <protection locked="true" hidden="false"/>
    </xf>
    <xf numFmtId="164" fontId="10" fillId="33" borderId="9" xfId="0" applyFont="true" applyBorder="true" applyAlignment="true" applyProtection="false">
      <alignment horizontal="center" vertical="center" textRotation="0" wrapText="false" indent="0" shrinkToFit="false"/>
      <protection locked="true" hidden="false"/>
    </xf>
    <xf numFmtId="164" fontId="5" fillId="33" borderId="2" xfId="0" applyFont="true" applyBorder="true" applyAlignment="true" applyProtection="false">
      <alignment horizontal="center" vertical="center" textRotation="0" wrapText="false" indent="0" shrinkToFit="false"/>
      <protection locked="true" hidden="false"/>
    </xf>
    <xf numFmtId="164" fontId="5" fillId="33" borderId="9" xfId="0" applyFont="true" applyBorder="true" applyAlignment="true" applyProtection="false">
      <alignment horizontal="center" vertical="center" textRotation="0" wrapText="false" indent="0" shrinkToFit="false"/>
      <protection locked="true" hidden="false"/>
    </xf>
    <xf numFmtId="164" fontId="5" fillId="28" borderId="14" xfId="0" applyFont="true" applyBorder="true" applyAlignment="true" applyProtection="false">
      <alignment horizontal="general" vertical="center" textRotation="0" wrapText="false" indent="0" shrinkToFit="false"/>
      <protection locked="true" hidden="false"/>
    </xf>
    <xf numFmtId="164" fontId="4" fillId="18" borderId="5" xfId="0" applyFont="true" applyBorder="true" applyAlignment="true" applyProtection="false">
      <alignment horizontal="center" vertical="center" textRotation="0" wrapText="false" indent="0" shrinkToFit="false"/>
      <protection locked="true" hidden="false"/>
    </xf>
    <xf numFmtId="164" fontId="4" fillId="18" borderId="13" xfId="0" applyFont="true" applyBorder="true" applyAlignment="true" applyProtection="false">
      <alignment horizontal="center" vertical="center" textRotation="0" wrapText="false" indent="0" shrinkToFit="false"/>
      <protection locked="true" hidden="false"/>
    </xf>
    <xf numFmtId="164" fontId="4" fillId="14" borderId="13" xfId="0" applyFont="true" applyBorder="true" applyAlignment="true" applyProtection="false">
      <alignment horizontal="center" vertical="center" textRotation="0" wrapText="false" indent="0" shrinkToFit="false"/>
      <protection locked="true" hidden="false"/>
    </xf>
    <xf numFmtId="164" fontId="4" fillId="14" borderId="0" xfId="0" applyFont="true" applyBorder="false" applyAlignment="true" applyProtection="false">
      <alignment horizontal="center" vertical="center" textRotation="0" wrapText="false" indent="0" shrinkToFit="false"/>
      <protection locked="true" hidden="false"/>
    </xf>
    <xf numFmtId="164" fontId="5" fillId="64" borderId="5" xfId="0" applyFont="true" applyBorder="true" applyAlignment="true" applyProtection="false">
      <alignment horizontal="general" vertical="center" textRotation="0" wrapText="false" indent="0" shrinkToFit="false"/>
      <protection locked="true" hidden="false"/>
    </xf>
    <xf numFmtId="164" fontId="4" fillId="16" borderId="5" xfId="0" applyFont="true" applyBorder="true" applyAlignment="true" applyProtection="false">
      <alignment horizontal="center" vertical="center" textRotation="0" wrapText="false" indent="0" shrinkToFit="false"/>
      <protection locked="true" hidden="false"/>
    </xf>
    <xf numFmtId="164" fontId="4" fillId="16" borderId="13" xfId="0" applyFont="true" applyBorder="true" applyAlignment="true" applyProtection="false">
      <alignment horizontal="center" vertical="center" textRotation="0" wrapText="false" indent="0" shrinkToFit="false"/>
      <protection locked="true" hidden="false"/>
    </xf>
    <xf numFmtId="164" fontId="4" fillId="15" borderId="13" xfId="0" applyFont="true" applyBorder="true" applyAlignment="true" applyProtection="false">
      <alignment horizontal="center" vertical="center" textRotation="0" wrapText="false" indent="0" shrinkToFit="false"/>
      <protection locked="true" hidden="false"/>
    </xf>
    <xf numFmtId="164" fontId="4" fillId="15" borderId="0" xfId="0" applyFont="true" applyBorder="false" applyAlignment="true" applyProtection="false">
      <alignment horizontal="center" vertical="center" textRotation="0" wrapText="false" indent="0" shrinkToFit="false"/>
      <protection locked="true" hidden="false"/>
    </xf>
    <xf numFmtId="164" fontId="5" fillId="28" borderId="5" xfId="0" applyFont="true" applyBorder="true" applyAlignment="true" applyProtection="false">
      <alignment horizontal="general" vertical="center" textRotation="0" wrapText="false" indent="0" shrinkToFit="false"/>
      <protection locked="true" hidden="false"/>
    </xf>
    <xf numFmtId="164" fontId="5" fillId="39" borderId="5" xfId="0" applyFont="true" applyBorder="true" applyAlignment="true" applyProtection="false">
      <alignment horizontal="general" vertical="center" textRotation="0" wrapText="false" indent="0" shrinkToFit="false"/>
      <protection locked="true" hidden="false"/>
    </xf>
    <xf numFmtId="164" fontId="5" fillId="39" borderId="12" xfId="0" applyFont="true" applyBorder="true" applyAlignment="true" applyProtection="false">
      <alignment horizontal="general" vertical="center" textRotation="0" wrapText="false" indent="0" shrinkToFit="false"/>
      <protection locked="true" hidden="false"/>
    </xf>
    <xf numFmtId="164" fontId="4" fillId="16" borderId="12" xfId="0" applyFont="true" applyBorder="true" applyAlignment="true" applyProtection="false">
      <alignment horizontal="center" vertical="center" textRotation="0" wrapText="false" indent="0" shrinkToFit="false"/>
      <protection locked="true" hidden="false"/>
    </xf>
    <xf numFmtId="164" fontId="4" fillId="16" borderId="9" xfId="0" applyFont="true" applyBorder="true" applyAlignment="true" applyProtection="false">
      <alignment horizontal="center" vertical="center" textRotation="0" wrapText="false" indent="0" shrinkToFit="false"/>
      <protection locked="true" hidden="false"/>
    </xf>
    <xf numFmtId="164" fontId="4" fillId="15" borderId="9" xfId="0" applyFont="true" applyBorder="true" applyAlignment="true" applyProtection="false">
      <alignment horizontal="center" vertical="center" textRotation="0" wrapText="false" indent="0" shrinkToFit="false"/>
      <protection locked="true" hidden="false"/>
    </xf>
    <xf numFmtId="164" fontId="4" fillId="15" borderId="2" xfId="0" applyFont="true" applyBorder="true" applyAlignment="true" applyProtection="false">
      <alignment horizontal="center" vertical="center" textRotation="0" wrapText="false" indent="0" shrinkToFit="false"/>
      <protection locked="true" hidden="false"/>
    </xf>
    <xf numFmtId="164" fontId="5" fillId="4" borderId="12" xfId="0" applyFont="true" applyBorder="true" applyAlignment="true" applyProtection="false">
      <alignment horizontal="general" vertical="center" textRotation="0" wrapText="false" indent="0" shrinkToFit="false"/>
      <protection locked="true" hidden="false"/>
    </xf>
    <xf numFmtId="164" fontId="4" fillId="37" borderId="12" xfId="0" applyFont="true" applyBorder="true" applyAlignment="true" applyProtection="false">
      <alignment horizontal="center" vertical="center" textRotation="0" wrapText="false" indent="0" shrinkToFit="false"/>
      <protection locked="true" hidden="false"/>
    </xf>
    <xf numFmtId="164" fontId="4" fillId="37" borderId="9" xfId="0" applyFont="true" applyBorder="true" applyAlignment="true" applyProtection="false">
      <alignment horizontal="center" vertical="center" textRotation="0" wrapText="false" indent="0" shrinkToFit="false"/>
      <protection locked="true" hidden="false"/>
    </xf>
    <xf numFmtId="164" fontId="4" fillId="63" borderId="9" xfId="0" applyFont="true" applyBorder="true" applyAlignment="true" applyProtection="false">
      <alignment horizontal="center" vertical="center" textRotation="0" wrapText="false" indent="0" shrinkToFit="false"/>
      <protection locked="true" hidden="false"/>
    </xf>
    <xf numFmtId="164" fontId="4" fillId="63" borderId="2" xfId="0" applyFont="true" applyBorder="true" applyAlignment="true" applyProtection="false">
      <alignment horizontal="center" vertical="center" textRotation="0" wrapText="false" indent="0" shrinkToFit="false"/>
      <protection locked="true" hidden="false"/>
    </xf>
    <xf numFmtId="164" fontId="5" fillId="16" borderId="5" xfId="0" applyFont="true" applyBorder="true" applyAlignment="true" applyProtection="false">
      <alignment horizontal="center" vertical="center" textRotation="0" wrapText="false" indent="0" shrinkToFit="false"/>
      <protection locked="true" hidden="false"/>
    </xf>
    <xf numFmtId="164" fontId="5" fillId="16" borderId="13" xfId="0" applyFont="true" applyBorder="true" applyAlignment="true" applyProtection="false">
      <alignment horizontal="center" vertical="center" textRotation="0" wrapText="false" indent="0" shrinkToFit="false"/>
      <protection locked="true" hidden="false"/>
    </xf>
    <xf numFmtId="164" fontId="5" fillId="16" borderId="1" xfId="0" applyFont="true" applyBorder="true" applyAlignment="true" applyProtection="false">
      <alignment horizontal="center" vertical="center" textRotation="0" wrapText="false" indent="0" shrinkToFit="false"/>
      <protection locked="true" hidden="false"/>
    </xf>
    <xf numFmtId="164" fontId="5" fillId="33" borderId="10" xfId="0" applyFont="true" applyBorder="true" applyAlignment="true" applyProtection="false">
      <alignment horizontal="center" vertical="center" textRotation="0" wrapText="false" indent="0" shrinkToFit="false"/>
      <protection locked="true" hidden="false"/>
    </xf>
    <xf numFmtId="164" fontId="12" fillId="3" borderId="0" xfId="0" applyFont="true" applyBorder="false" applyAlignment="true" applyProtection="false">
      <alignment horizontal="center" vertical="center" textRotation="0" wrapText="false" indent="0" shrinkToFit="false"/>
      <protection locked="true" hidden="false"/>
    </xf>
    <xf numFmtId="164" fontId="14" fillId="13" borderId="12" xfId="0" applyFont="true" applyBorder="true" applyAlignment="true" applyProtection="false">
      <alignment horizontal="center" vertical="center" textRotation="0" wrapText="false" indent="0" shrinkToFit="false"/>
      <protection locked="true" hidden="false"/>
    </xf>
    <xf numFmtId="164" fontId="7" fillId="0" borderId="9" xfId="0" applyFont="true" applyBorder="true" applyAlignment="true" applyProtection="false">
      <alignment horizontal="center" vertical="center" textRotation="0" wrapText="false" indent="0" shrinkToFit="false"/>
      <protection locked="true" hidden="false"/>
    </xf>
    <xf numFmtId="164" fontId="7" fillId="0" borderId="11" xfId="0" applyFont="true" applyBorder="true" applyAlignment="true" applyProtection="false">
      <alignment horizontal="left" vertical="center" textRotation="0" wrapText="false" indent="0" shrinkToFit="false"/>
      <protection locked="true" hidden="false"/>
    </xf>
    <xf numFmtId="164" fontId="7" fillId="0" borderId="0" xfId="0" applyFont="true" applyBorder="false" applyAlignment="true" applyProtection="false">
      <alignment horizontal="left" vertical="center" textRotation="0" wrapText="false" indent="0" shrinkToFit="false"/>
      <protection locked="true" hidden="false"/>
    </xf>
    <xf numFmtId="164" fontId="7" fillId="0" borderId="2" xfId="0" applyFont="true" applyBorder="true" applyAlignment="true" applyProtection="false">
      <alignment horizontal="left" vertical="center" textRotation="0" wrapText="false" indent="0" shrinkToFit="false"/>
      <protection locked="true" hidden="false"/>
    </xf>
    <xf numFmtId="164" fontId="5" fillId="33" borderId="4" xfId="0" applyFont="true" applyBorder="true" applyAlignment="true" applyProtection="false">
      <alignment horizontal="center" vertical="center" textRotation="0" wrapText="false" indent="0" shrinkToFit="false"/>
      <protection locked="true" hidden="false"/>
    </xf>
    <xf numFmtId="164" fontId="19" fillId="7" borderId="1" xfId="0" applyFont="true" applyBorder="true" applyAlignment="true" applyProtection="false">
      <alignment horizontal="center" vertical="center" textRotation="0" wrapText="false" indent="0" shrinkToFit="false"/>
      <protection locked="true" hidden="false"/>
    </xf>
    <xf numFmtId="164" fontId="5" fillId="33" borderId="7" xfId="0" applyFont="true" applyBorder="true" applyAlignment="true" applyProtection="false">
      <alignment horizontal="center" vertical="center" textRotation="0" wrapText="false" indent="0" shrinkToFit="false"/>
      <protection locked="true" hidden="false"/>
    </xf>
    <xf numFmtId="164" fontId="49" fillId="33" borderId="71" xfId="0" applyFont="true" applyBorder="true" applyAlignment="true" applyProtection="false">
      <alignment horizontal="center" vertical="center" textRotation="0" wrapText="false" indent="0" shrinkToFit="false"/>
      <protection locked="true" hidden="false"/>
    </xf>
    <xf numFmtId="164" fontId="5" fillId="9" borderId="6" xfId="0" applyFont="true" applyBorder="true" applyAlignment="true" applyProtection="false">
      <alignment horizontal="center" vertical="center" textRotation="0" wrapText="false" indent="0" shrinkToFit="false"/>
      <protection locked="true" hidden="false"/>
    </xf>
    <xf numFmtId="164" fontId="8" fillId="13" borderId="6" xfId="0" applyFont="true" applyBorder="true" applyAlignment="true" applyProtection="false">
      <alignment horizontal="center" vertical="center" textRotation="0" wrapText="false" indent="0" shrinkToFit="false"/>
      <protection locked="true" hidden="false"/>
    </xf>
    <xf numFmtId="164" fontId="7" fillId="14" borderId="8" xfId="0" applyFont="true" applyBorder="true" applyAlignment="true" applyProtection="false">
      <alignment horizontal="center" vertical="center" textRotation="0" wrapText="false" indent="0" shrinkToFit="false"/>
      <protection locked="true" hidden="false"/>
    </xf>
    <xf numFmtId="164" fontId="7" fillId="5" borderId="8" xfId="0" applyFont="true" applyBorder="true" applyAlignment="true" applyProtection="false">
      <alignment horizontal="center" vertical="center" textRotation="0" wrapText="false" indent="0" shrinkToFit="false"/>
      <protection locked="true" hidden="false"/>
    </xf>
    <xf numFmtId="164" fontId="8" fillId="13" borderId="8" xfId="0" applyFont="true" applyBorder="true" applyAlignment="true" applyProtection="false">
      <alignment horizontal="center" vertical="center" textRotation="0" wrapText="false" indent="0" shrinkToFit="false"/>
      <protection locked="true" hidden="false"/>
    </xf>
    <xf numFmtId="164" fontId="7" fillId="38" borderId="1" xfId="0" applyFont="true" applyBorder="true" applyAlignment="true" applyProtection="false">
      <alignment horizontal="center" vertical="center" textRotation="0" wrapText="false" indent="0" shrinkToFit="false"/>
      <protection locked="true" hidden="false"/>
    </xf>
    <xf numFmtId="164" fontId="5" fillId="10" borderId="1" xfId="0" applyFont="true" applyBorder="true" applyAlignment="true" applyProtection="false">
      <alignment horizontal="center" vertical="center" textRotation="0" wrapText="false" indent="0" shrinkToFit="false"/>
      <protection locked="true" hidden="false"/>
    </xf>
    <xf numFmtId="164" fontId="5" fillId="11" borderId="1" xfId="0" applyFont="true" applyBorder="true" applyAlignment="true" applyProtection="false">
      <alignment horizontal="center" vertical="center" textRotation="0" wrapText="false" indent="0" shrinkToFit="false"/>
      <protection locked="true" hidden="false"/>
    </xf>
    <xf numFmtId="164" fontId="8" fillId="13" borderId="1" xfId="0" applyFont="true" applyBorder="true" applyAlignment="true" applyProtection="false">
      <alignment horizontal="center" vertical="center" textRotation="0" wrapText="false" indent="0" shrinkToFit="false"/>
      <protection locked="true" hidden="false"/>
    </xf>
    <xf numFmtId="164" fontId="7" fillId="5" borderId="72" xfId="0" applyFont="true" applyBorder="true" applyAlignment="true" applyProtection="false">
      <alignment horizontal="center" vertical="center" textRotation="0" wrapText="false" indent="0" shrinkToFit="false"/>
      <protection locked="true" hidden="false"/>
    </xf>
    <xf numFmtId="164" fontId="5" fillId="14" borderId="73" xfId="0" applyFont="true" applyBorder="true" applyAlignment="true" applyProtection="false">
      <alignment horizontal="center" vertical="center" textRotation="0" wrapText="false" indent="0" shrinkToFit="false"/>
      <protection locked="true" hidden="false"/>
    </xf>
    <xf numFmtId="164" fontId="5" fillId="18" borderId="73" xfId="0" applyFont="true" applyBorder="true" applyAlignment="true" applyProtection="false">
      <alignment horizontal="center" vertical="center" textRotation="0" wrapText="false" indent="0" shrinkToFit="false"/>
      <protection locked="true" hidden="false"/>
    </xf>
    <xf numFmtId="164" fontId="8" fillId="13" borderId="73" xfId="0" applyFont="true" applyBorder="true" applyAlignment="true" applyProtection="false">
      <alignment horizontal="center" vertical="center" textRotation="0" wrapText="false" indent="0" shrinkToFit="false"/>
      <protection locked="true" hidden="false"/>
    </xf>
    <xf numFmtId="164" fontId="7" fillId="5" borderId="73" xfId="0" applyFont="true" applyBorder="true" applyAlignment="true" applyProtection="false">
      <alignment horizontal="center" vertical="center" textRotation="0" wrapText="false" indent="0" shrinkToFit="false"/>
      <protection locked="true" hidden="false"/>
    </xf>
    <xf numFmtId="164" fontId="5" fillId="18" borderId="74" xfId="0" applyFont="true" applyBorder="true" applyAlignment="true" applyProtection="false">
      <alignment horizontal="center" vertical="center" textRotation="0" wrapText="false" indent="0" shrinkToFit="false"/>
      <protection locked="true" hidden="false"/>
    </xf>
    <xf numFmtId="164" fontId="7" fillId="5" borderId="75" xfId="0" applyFont="true" applyBorder="true" applyAlignment="true" applyProtection="false">
      <alignment horizontal="center" vertical="center" textRotation="0" wrapText="false" indent="0" shrinkToFit="false"/>
      <protection locked="true" hidden="false"/>
    </xf>
    <xf numFmtId="164" fontId="5" fillId="14" borderId="76" xfId="0" applyFont="true" applyBorder="true" applyAlignment="true" applyProtection="false">
      <alignment horizontal="center" vertical="center" textRotation="0" wrapText="false" indent="0" shrinkToFit="false"/>
      <protection locked="true" hidden="false"/>
    </xf>
    <xf numFmtId="164" fontId="5" fillId="18" borderId="76" xfId="0" applyFont="true" applyBorder="true" applyAlignment="true" applyProtection="false">
      <alignment horizontal="center" vertical="center" textRotation="0" wrapText="false" indent="0" shrinkToFit="false"/>
      <protection locked="true" hidden="false"/>
    </xf>
    <xf numFmtId="164" fontId="8" fillId="13" borderId="76" xfId="0" applyFont="true" applyBorder="true" applyAlignment="true" applyProtection="false">
      <alignment horizontal="center" vertical="center" textRotation="0" wrapText="false" indent="0" shrinkToFit="false"/>
      <protection locked="true" hidden="false"/>
    </xf>
    <xf numFmtId="164" fontId="7" fillId="5" borderId="76" xfId="0" applyFont="true" applyBorder="true" applyAlignment="true" applyProtection="false">
      <alignment horizontal="center" vertical="center" textRotation="0" wrapText="false" indent="0" shrinkToFit="false"/>
      <protection locked="true" hidden="false"/>
    </xf>
    <xf numFmtId="164" fontId="5" fillId="18" borderId="77" xfId="0" applyFont="true" applyBorder="true" applyAlignment="true" applyProtection="false">
      <alignment horizontal="center" vertical="center" textRotation="0" wrapText="false" indent="0" shrinkToFit="false"/>
      <protection locked="true" hidden="false"/>
    </xf>
    <xf numFmtId="164" fontId="7" fillId="5" borderId="78" xfId="0" applyFont="true" applyBorder="true" applyAlignment="true" applyProtection="false">
      <alignment horizontal="center" vertical="center" textRotation="0" wrapText="false" indent="0" shrinkToFit="false"/>
      <protection locked="true" hidden="false"/>
    </xf>
    <xf numFmtId="164" fontId="5" fillId="14" borderId="79" xfId="0" applyFont="true" applyBorder="true" applyAlignment="true" applyProtection="false">
      <alignment horizontal="center" vertical="center" textRotation="0" wrapText="false" indent="0" shrinkToFit="false"/>
      <protection locked="true" hidden="false"/>
    </xf>
    <xf numFmtId="164" fontId="5" fillId="18" borderId="79" xfId="0" applyFont="true" applyBorder="true" applyAlignment="true" applyProtection="false">
      <alignment horizontal="center" vertical="center" textRotation="0" wrapText="false" indent="0" shrinkToFit="false"/>
      <protection locked="true" hidden="false"/>
    </xf>
    <xf numFmtId="164" fontId="8" fillId="13" borderId="79" xfId="0" applyFont="true" applyBorder="true" applyAlignment="true" applyProtection="false">
      <alignment horizontal="center" vertical="center" textRotation="0" wrapText="false" indent="0" shrinkToFit="false"/>
      <protection locked="true" hidden="false"/>
    </xf>
    <xf numFmtId="164" fontId="7" fillId="5" borderId="79" xfId="0" applyFont="true" applyBorder="true" applyAlignment="true" applyProtection="false">
      <alignment horizontal="center" vertical="center" textRotation="0" wrapText="false" indent="0" shrinkToFit="false"/>
      <protection locked="true" hidden="false"/>
    </xf>
    <xf numFmtId="164" fontId="5" fillId="18" borderId="80" xfId="0" applyFont="true" applyBorder="true" applyAlignment="true" applyProtection="false">
      <alignment horizontal="center" vertical="center" textRotation="0" wrapText="false" indent="0" shrinkToFit="false"/>
      <protection locked="true" hidden="false"/>
    </xf>
    <xf numFmtId="164" fontId="7" fillId="14" borderId="9" xfId="0" applyFont="true" applyBorder="true" applyAlignment="true" applyProtection="false">
      <alignment horizontal="center" vertical="center" textRotation="0" wrapText="false" indent="0" shrinkToFit="false"/>
      <protection locked="true" hidden="false"/>
    </xf>
    <xf numFmtId="164" fontId="7" fillId="18" borderId="6" xfId="0" applyFont="true" applyBorder="true" applyAlignment="true" applyProtection="false">
      <alignment horizontal="center" vertical="center" textRotation="0" wrapText="false" indent="0" shrinkToFit="false"/>
      <protection locked="true" hidden="false"/>
    </xf>
    <xf numFmtId="164" fontId="7" fillId="14" borderId="6" xfId="0" applyFont="true" applyBorder="true" applyAlignment="true" applyProtection="false">
      <alignment horizontal="center" vertical="center" textRotation="0" wrapText="false" indent="0" shrinkToFit="false"/>
      <protection locked="true" hidden="false"/>
    </xf>
    <xf numFmtId="164" fontId="5" fillId="66" borderId="1" xfId="0" applyFont="true" applyBorder="true" applyAlignment="true" applyProtection="false">
      <alignment horizontal="center" vertical="bottom" textRotation="0" wrapText="false" indent="0" shrinkToFit="false"/>
      <protection locked="true" hidden="false"/>
    </xf>
    <xf numFmtId="164" fontId="5" fillId="66" borderId="1" xfId="0" applyFont="true" applyBorder="true" applyAlignment="true" applyProtection="false">
      <alignment horizontal="general" vertical="bottom" textRotation="0" wrapText="false" indent="0" shrinkToFit="false"/>
      <protection locked="true" hidden="false"/>
    </xf>
    <xf numFmtId="164" fontId="7" fillId="63" borderId="1" xfId="0" applyFont="true" applyBorder="true" applyAlignment="true" applyProtection="false">
      <alignment horizontal="center" vertical="center" textRotation="0" wrapText="false" indent="0" shrinkToFit="false"/>
      <protection locked="true" hidden="false"/>
    </xf>
    <xf numFmtId="164" fontId="50" fillId="64" borderId="3" xfId="0" applyFont="true" applyBorder="true" applyAlignment="true" applyProtection="false">
      <alignment horizontal="center" vertical="bottom" textRotation="0" wrapText="false" indent="0" shrinkToFit="false"/>
      <protection locked="true" hidden="false"/>
    </xf>
    <xf numFmtId="164" fontId="50" fillId="64" borderId="11" xfId="0" applyFont="true" applyBorder="true" applyAlignment="true" applyProtection="false">
      <alignment horizontal="general" vertical="bottom" textRotation="0" wrapText="false" indent="0" shrinkToFit="false"/>
      <protection locked="true" hidden="false"/>
    </xf>
    <xf numFmtId="164" fontId="50" fillId="64" borderId="11" xfId="0" applyFont="true" applyBorder="true" applyAlignment="true" applyProtection="false">
      <alignment horizontal="center" vertical="bottom" textRotation="0" wrapText="false" indent="0" shrinkToFit="false"/>
      <protection locked="true" hidden="false"/>
    </xf>
    <xf numFmtId="164" fontId="50" fillId="64" borderId="14" xfId="0" applyFont="true" applyBorder="true" applyAlignment="true" applyProtection="false">
      <alignment horizontal="center" vertical="bottom" textRotation="0" wrapText="false" indent="0" shrinkToFit="false"/>
      <protection locked="true" hidden="false"/>
    </xf>
    <xf numFmtId="164" fontId="50" fillId="64" borderId="17" xfId="0" applyFont="true" applyBorder="true" applyAlignment="true" applyProtection="false">
      <alignment horizontal="center" vertical="bottom" textRotation="0" wrapText="false" indent="0" shrinkToFit="false"/>
      <protection locked="true" hidden="false"/>
    </xf>
    <xf numFmtId="164" fontId="12" fillId="0" borderId="6" xfId="0" applyFont="true" applyBorder="true" applyAlignment="true" applyProtection="false">
      <alignment horizontal="center" vertical="bottom" textRotation="0" wrapText="false" indent="0" shrinkToFit="false"/>
      <protection locked="true" hidden="false"/>
    </xf>
    <xf numFmtId="164" fontId="50" fillId="64" borderId="11" xfId="0" applyFont="true" applyBorder="true" applyAlignment="false" applyProtection="false">
      <alignment horizontal="general" vertical="bottom" textRotation="0" wrapText="false" indent="0" shrinkToFit="false"/>
      <protection locked="true" hidden="false"/>
    </xf>
    <xf numFmtId="164" fontId="12" fillId="64" borderId="3" xfId="0" applyFont="true" applyBorder="true" applyAlignment="true" applyProtection="false">
      <alignment horizontal="center" vertical="bottom" textRotation="0" wrapText="false" indent="0" shrinkToFit="false"/>
      <protection locked="true" hidden="false"/>
    </xf>
    <xf numFmtId="164" fontId="12" fillId="64" borderId="11" xfId="0" applyFont="true" applyBorder="true" applyAlignment="false" applyProtection="false">
      <alignment horizontal="general" vertical="bottom" textRotation="0" wrapText="false" indent="0" shrinkToFit="false"/>
      <protection locked="true" hidden="false"/>
    </xf>
    <xf numFmtId="164" fontId="12" fillId="64" borderId="11" xfId="0" applyFont="true" applyBorder="true" applyAlignment="true" applyProtection="false">
      <alignment horizontal="center" vertical="bottom" textRotation="0" wrapText="false" indent="0" shrinkToFit="false"/>
      <protection locked="true" hidden="false"/>
    </xf>
    <xf numFmtId="164" fontId="12" fillId="64" borderId="14" xfId="0" applyFont="true" applyBorder="true" applyAlignment="true" applyProtection="false">
      <alignment horizontal="center" vertical="bottom" textRotation="0" wrapText="false" indent="0" shrinkToFit="false"/>
      <protection locked="true" hidden="false"/>
    </xf>
    <xf numFmtId="164" fontId="12" fillId="64" borderId="17" xfId="0" applyFont="true" applyBorder="true" applyAlignment="true" applyProtection="false">
      <alignment horizontal="center" vertical="bottom" textRotation="0" wrapText="false" indent="0" shrinkToFit="false"/>
      <protection locked="true" hidden="false"/>
    </xf>
  </cellXfs>
  <cellStyles count="6">
    <cellStyle name="Normal" xfId="0" builtinId="0" customBuiltin="false"/>
    <cellStyle name="Comma" xfId="15" builtinId="3" customBuiltin="false"/>
    <cellStyle name="Comma [0]" xfId="16" builtinId="6" customBuiltin="false"/>
    <cellStyle name="Currency" xfId="17" builtinId="4" customBuiltin="false"/>
    <cellStyle name="Currency [0]" xfId="18" builtinId="7" customBuiltin="false"/>
    <cellStyle name="Percent" xfId="19" builtinId="5" customBuiltin="false"/>
  </cellStyles>
  <dxfs count="25">
    <dxf>
      <font>
        <color rgb="FF000000"/>
      </font>
      <fill>
        <patternFill>
          <bgColor rgb="FF6AA84F"/>
        </patternFill>
      </fill>
    </dxf>
    <dxf>
      <font>
        <color rgb="FF000000"/>
      </font>
      <fill>
        <patternFill>
          <bgColor rgb="FFCC0000"/>
        </patternFill>
      </fill>
    </dxf>
    <dxf>
      <font>
        <color rgb="FF000000"/>
      </font>
      <fill>
        <patternFill>
          <bgColor rgb="FFE69138"/>
        </patternFill>
      </fill>
    </dxf>
    <dxf>
      <fill>
        <patternFill>
          <bgColor rgb="FF6AA84F"/>
        </patternFill>
      </fill>
    </dxf>
    <dxf>
      <fill>
        <patternFill>
          <bgColor rgb="FFCC0000"/>
        </patternFill>
      </fill>
    </dxf>
    <dxf>
      <fill>
        <patternFill>
          <bgColor rgb="FFE69138"/>
        </patternFill>
      </fill>
    </dxf>
    <dxf>
      <font>
        <color rgb="FF000000"/>
      </font>
      <fill>
        <patternFill>
          <bgColor rgb="FFD5A6BD"/>
        </patternFill>
      </fill>
    </dxf>
    <dxf>
      <font>
        <color rgb="FF000000"/>
      </font>
      <fill>
        <patternFill>
          <bgColor rgb="FFA4C2F4"/>
        </patternFill>
      </fill>
    </dxf>
    <dxf>
      <fill>
        <patternFill>
          <bgColor rgb="FFD5A6BD"/>
        </patternFill>
      </fill>
    </dxf>
    <dxf>
      <fill>
        <patternFill>
          <bgColor rgb="FFA4C2F4"/>
        </patternFill>
      </fill>
    </dxf>
    <dxf>
      <font>
        <color rgb="FF000000"/>
      </font>
      <fill>
        <patternFill>
          <bgColor rgb="FFFF9900"/>
        </patternFill>
      </fill>
    </dxf>
    <dxf>
      <fill>
        <patternFill>
          <bgColor rgb="FFFF9900"/>
        </patternFill>
      </fill>
    </dxf>
    <dxf>
      <fill>
        <patternFill>
          <bgColor rgb="FFFFE599"/>
        </patternFill>
      </fill>
    </dxf>
    <dxf>
      <font>
        <color rgb="FF000000"/>
      </font>
      <fill>
        <patternFill>
          <bgColor rgb="FFF9CB9C"/>
        </patternFill>
      </fill>
    </dxf>
    <dxf>
      <font>
        <color rgb="FFFFFFFF"/>
      </font>
      <fill>
        <patternFill>
          <bgColor rgb="FF434343"/>
        </patternFill>
      </fill>
    </dxf>
    <dxf>
      <fill>
        <patternFill>
          <bgColor rgb="FF93C47D"/>
        </patternFill>
      </fill>
    </dxf>
    <dxf>
      <fill>
        <patternFill>
          <bgColor rgb="FFE06666"/>
        </patternFill>
      </fill>
    </dxf>
    <dxf>
      <font>
        <color rgb="FF000000"/>
      </font>
      <fill>
        <patternFill>
          <bgColor rgb="FF93C47D"/>
        </patternFill>
      </fill>
    </dxf>
    <dxf>
      <font>
        <color rgb="FF000000"/>
      </font>
      <fill>
        <patternFill>
          <bgColor rgb="FFE06666"/>
        </patternFill>
      </fill>
    </dxf>
    <dxf>
      <font>
        <color rgb="FFF3F3F3"/>
      </font>
      <fill>
        <patternFill>
          <bgColor rgb="FF434343"/>
        </patternFill>
      </fill>
    </dxf>
    <dxf>
      <fill>
        <patternFill>
          <bgColor rgb="FF434343"/>
        </patternFill>
      </fill>
    </dxf>
    <dxf>
      <font>
        <color rgb="FF000000"/>
      </font>
      <fill>
        <patternFill>
          <bgColor rgb="FF00FF00"/>
        </patternFill>
      </fill>
    </dxf>
    <dxf>
      <fill>
        <patternFill>
          <bgColor rgb="FFB7B7B7"/>
        </patternFill>
      </fill>
    </dxf>
    <dxf>
      <fill>
        <patternFill>
          <bgColor rgb="FFB7E1CD"/>
        </patternFill>
      </fill>
    </dxf>
    <dxf>
      <fill>
        <patternFill>
          <bgColor rgb="FFF4C7C3"/>
        </patternFill>
      </fill>
    </dxf>
  </dxfs>
  <colors>
    <indexedColors>
      <rgbColor rgb="FF000000"/>
      <rgbColor rgb="FFFFFFFF"/>
      <rgbColor rgb="FFFF0000"/>
      <rgbColor rgb="FF00FF00"/>
      <rgbColor rgb="FFD9D9D9"/>
      <rgbColor rgb="FFFFFF00"/>
      <rgbColor rgb="FFFF00FF"/>
      <rgbColor rgb="FF00FFFF"/>
      <rgbColor rgb="FFCC0000"/>
      <rgbColor rgb="FF92C47B"/>
      <rgbColor rgb="FFDDDDFF"/>
      <rgbColor rgb="FFA8A878"/>
      <rgbColor rgb="FFC27BA0"/>
      <rgbColor rgb="FF4085DA"/>
      <rgbColor rgb="FFB7B7B9"/>
      <rgbColor rgb="FF8C888C"/>
      <rgbColor rgb="FFAF9EE9"/>
      <rgbColor rgb="FFA24493"/>
      <rgbColor rgb="FFFFF2CC"/>
      <rgbColor rgb="FFEFEFEF"/>
      <rgbColor rgb="FFF4CCCB"/>
      <rgbColor rgb="FFE06664"/>
      <rgbColor rgb="FF1155CC"/>
      <rgbColor rgb="FFC9DAF8"/>
      <rgbColor rgb="FFFCE5CD"/>
      <rgbColor rgb="FFF5B66B"/>
      <rgbColor rgb="FFFFD966"/>
      <rgbColor rgb="FFA4C2F4"/>
      <rgbColor rgb="FFCCCCCC"/>
      <rgbColor rgb="FFF1C232"/>
      <rgbColor rgb="FF8E7CC3"/>
      <rgbColor rgb="FFEAD1DC"/>
      <rgbColor rgb="FF6D9DEC"/>
      <rgbColor rgb="FFF3F3F3"/>
      <rgbColor rgb="FFD9EAD3"/>
      <rgbColor rgb="FFFFE599"/>
      <rgbColor rgb="FF9EC9E7"/>
      <rgbColor rgb="FFEB999B"/>
      <rgbColor rgb="FFD5A6BD"/>
      <rgbColor rgb="FFF9CB9C"/>
      <rgbColor rgb="FF3C78D8"/>
      <rgbColor rgb="FF6FA8DC"/>
      <rgbColor rgb="FFB2AA28"/>
      <rgbColor rgb="FFF8D030"/>
      <rgbColor rgb="FFFF9900"/>
      <rgbColor rgb="FFF37F27"/>
      <rgbColor rgb="FF655855"/>
      <rgbColor rgb="FF999999"/>
      <rgbColor rgb="FFB6D7A8"/>
      <rgbColor rgb="FF6AA84F"/>
      <rgbColor rgb="FFB7E1CD"/>
      <rgbColor rgb="FFE69138"/>
      <rgbColor rgb="FFC62518"/>
      <rgbColor rgb="FFF85888"/>
      <rgbColor rgb="FF7046DE"/>
      <rgbColor rgb="FF434343"/>
    </indexedColors>
  </colors>
</styleSheet>
</file>

<file path=xl/_rels/workbook.xml.rels><?xml version="1.0" encoding="UTF-8"?>
<Relationships xmlns="http://schemas.openxmlformats.org/package/2006/relationships"><Relationship Id="rId1" Type="http://schemas.openxmlformats.org/officeDocument/2006/relationships/styles" Target="styles.xml"/><Relationship Id="rId2" Type="http://schemas.openxmlformats.org/officeDocument/2006/relationships/worksheet" Target="worksheets/sheet1.xml"/><Relationship Id="rId3" Type="http://schemas.openxmlformats.org/officeDocument/2006/relationships/worksheet" Target="worksheets/sheet2.xml"/><Relationship Id="rId4" Type="http://schemas.openxmlformats.org/officeDocument/2006/relationships/worksheet" Target="worksheets/sheet3.xml"/><Relationship Id="rId5" Type="http://schemas.openxmlformats.org/officeDocument/2006/relationships/worksheet" Target="worksheets/sheet4.xml"/><Relationship Id="rId6" Type="http://schemas.openxmlformats.org/officeDocument/2006/relationships/worksheet" Target="worksheets/sheet5.xml"/><Relationship Id="rId7" Type="http://schemas.openxmlformats.org/officeDocument/2006/relationships/worksheet" Target="worksheets/sheet6.xml"/><Relationship Id="rId8" Type="http://schemas.openxmlformats.org/officeDocument/2006/relationships/worksheet" Target="worksheets/sheet7.xml"/><Relationship Id="rId9" Type="http://schemas.openxmlformats.org/officeDocument/2006/relationships/worksheet" Target="worksheets/sheet8.xml"/><Relationship Id="rId10" Type="http://schemas.openxmlformats.org/officeDocument/2006/relationships/worksheet" Target="worksheets/sheet9.xml"/><Relationship Id="rId11" Type="http://schemas.openxmlformats.org/officeDocument/2006/relationships/worksheet" Target="worksheets/sheet10.xml"/><Relationship Id="rId12" Type="http://schemas.openxmlformats.org/officeDocument/2006/relationships/worksheet" Target="worksheets/sheet11.xml"/><Relationship Id="rId13" Type="http://schemas.openxmlformats.org/officeDocument/2006/relationships/worksheet" Target="worksheets/sheet12.xml"/><Relationship Id="rId14" Type="http://schemas.openxmlformats.org/officeDocument/2006/relationships/worksheet" Target="worksheets/sheet13.xml"/><Relationship Id="rId15" Type="http://schemas.openxmlformats.org/officeDocument/2006/relationships/worksheet" Target="worksheets/sheet14.xml"/><Relationship Id="rId16" Type="http://schemas.openxmlformats.org/officeDocument/2006/relationships/worksheet" Target="worksheets/sheet15.xml"/><Relationship Id="rId17" Type="http://schemas.openxmlformats.org/officeDocument/2006/relationships/worksheet" Target="worksheets/sheet16.xml"/><Relationship Id="rId18" Type="http://schemas.openxmlformats.org/officeDocument/2006/relationships/worksheet" Target="worksheets/sheet17.xml"/><Relationship Id="rId19" Type="http://schemas.openxmlformats.org/officeDocument/2006/relationships/worksheet" Target="worksheets/sheet18.xml"/><Relationship Id="rId20" Type="http://schemas.openxmlformats.org/officeDocument/2006/relationships/worksheet" Target="worksheets/sheet19.xml"/><Relationship Id="rId21" Type="http://schemas.openxmlformats.org/officeDocument/2006/relationships/worksheet" Target="worksheets/sheet20.xml"/><Relationship Id="rId22" Type="http://schemas.openxmlformats.org/officeDocument/2006/relationships/worksheet" Target="worksheets/sheet21.xml"/><Relationship Id="rId23" Type="http://schemas.openxmlformats.org/officeDocument/2006/relationships/sharedStrings" Target="sharedStrings.xml"/>
</Relationships>
</file>

<file path=xl/drawings/_rels/drawing1.xml.rels><?xml version="1.0" encoding="UTF-8"?>
<Relationships xmlns="http://schemas.openxmlformats.org/package/2006/relationships"><Relationship Id="rId1" Type="http://schemas.openxmlformats.org/officeDocument/2006/relationships/image" Target="../media/image1.png"/>
</Relationships>
</file>

<file path=xl/drawings/_rels/drawing2.xml.rels><?xml version="1.0" encoding="UTF-8"?>
<Relationships xmlns="http://schemas.openxmlformats.org/package/2006/relationships"><Relationship Id="rId1" Type="http://schemas.openxmlformats.org/officeDocument/2006/relationships/image" Target="../media/image2.png"/>
</Relationships>
</file>

<file path=xl/drawings/_rels/drawing3.xml.rels><?xml version="1.0" encoding="UTF-8"?>
<Relationships xmlns="http://schemas.openxmlformats.org/package/2006/relationships"><Relationship Id="rId1" Type="http://schemas.openxmlformats.org/officeDocument/2006/relationships/image" Target="../media/image3.png"/>
</Relationships>
</file>

<file path=xl/drawings/_rels/drawing4.xml.rels><?xml version="1.0" encoding="UTF-8"?>
<Relationships xmlns="http://schemas.openxmlformats.org/package/2006/relationships"><Relationship Id="rId1" Type="http://schemas.openxmlformats.org/officeDocument/2006/relationships/image" Target="../media/image4.png"/>
</Relationships>
</file>

<file path=xl/drawings/_rels/drawing5.xml.rels><?xml version="1.0" encoding="UTF-8"?>
<Relationships xmlns="http://schemas.openxmlformats.org/package/2006/relationships"><Relationship Id="rId1" Type="http://schemas.openxmlformats.org/officeDocument/2006/relationships/image" Target="../media/image5.png"/>
</Relationships>
</file>

<file path=xl/drawings/_rels/drawing6.xml.rels><?xml version="1.0" encoding="UTF-8"?>
<Relationships xmlns="http://schemas.openxmlformats.org/package/2006/relationships"><Relationship Id="rId1" Type="http://schemas.openxmlformats.org/officeDocument/2006/relationships/image" Target="../media/image6.png"/>
</Relationships>
</file>

<file path=xl/drawings/_rels/drawing7.xml.rels><?xml version="1.0" encoding="UTF-8"?>
<Relationships xmlns="http://schemas.openxmlformats.org/package/2006/relationships"><Relationship Id="rId1" Type="http://schemas.openxmlformats.org/officeDocument/2006/relationships/image" Target="../media/image7.png"/>
</Relationships>
</file>

<file path=xl/drawings/_rels/drawing8.xml.rels><?xml version="1.0" encoding="UTF-8"?>
<Relationships xmlns="http://schemas.openxmlformats.org/package/2006/relationships"><Relationship Id="rId1" Type="http://schemas.openxmlformats.org/officeDocument/2006/relationships/image" Target="../media/image8.jpeg"/>
</Relationships>
</file>

<file path=xl/drawings/drawing1.xml><?xml version="1.0" encoding="utf-8"?>
<xdr:wsDr xmlns:xdr="http://schemas.openxmlformats.org/drawingml/2006/spreadsheetDrawing" xmlns:a="http://schemas.openxmlformats.org/drawingml/2006/main" xmlns:r="http://schemas.openxmlformats.org/officeDocument/2006/relationships">
  <xdr:twoCellAnchor editAs="oneCell">
    <xdr:from>
      <xdr:col>21</xdr:col>
      <xdr:colOff>466560</xdr:colOff>
      <xdr:row>24</xdr:row>
      <xdr:rowOff>104760</xdr:rowOff>
    </xdr:from>
    <xdr:to>
      <xdr:col>26</xdr:col>
      <xdr:colOff>409320</xdr:colOff>
      <xdr:row>36</xdr:row>
      <xdr:rowOff>76320</xdr:rowOff>
    </xdr:to>
    <xdr:pic>
      <xdr:nvPicPr>
        <xdr:cNvPr id="0" name="image2.png" descr=""/>
        <xdr:cNvPicPr/>
      </xdr:nvPicPr>
      <xdr:blipFill>
        <a:blip r:embed="rId1"/>
        <a:stretch/>
      </xdr:blipFill>
      <xdr:spPr>
        <a:xfrm>
          <a:off x="13896000" y="4905360"/>
          <a:ext cx="2466720" cy="2371680"/>
        </a:xfrm>
        <a:prstGeom prst="rect">
          <a:avLst/>
        </a:prstGeom>
        <a:ln>
          <a:noFill/>
        </a:ln>
      </xdr:spPr>
    </xdr:pic>
    <xdr:clientData/>
  </xdr:twoCellAnchor>
</xdr:wsDr>
</file>

<file path=xl/drawings/drawing2.xml><?xml version="1.0" encoding="utf-8"?>
<xdr:wsDr xmlns:xdr="http://schemas.openxmlformats.org/drawingml/2006/spreadsheetDrawing" xmlns:a="http://schemas.openxmlformats.org/drawingml/2006/main" xmlns:r="http://schemas.openxmlformats.org/officeDocument/2006/relationships">
  <xdr:twoCellAnchor editAs="oneCell">
    <xdr:from>
      <xdr:col>0</xdr:col>
      <xdr:colOff>352440</xdr:colOff>
      <xdr:row>0</xdr:row>
      <xdr:rowOff>0</xdr:rowOff>
    </xdr:from>
    <xdr:to>
      <xdr:col>3</xdr:col>
      <xdr:colOff>18720</xdr:colOff>
      <xdr:row>7</xdr:row>
      <xdr:rowOff>199800</xdr:rowOff>
    </xdr:to>
    <xdr:pic>
      <xdr:nvPicPr>
        <xdr:cNvPr id="1" name="image1.png" descr=""/>
        <xdr:cNvPicPr/>
      </xdr:nvPicPr>
      <xdr:blipFill>
        <a:blip r:embed="rId1"/>
        <a:stretch/>
      </xdr:blipFill>
      <xdr:spPr>
        <a:xfrm>
          <a:off x="352440" y="0"/>
          <a:ext cx="1675800" cy="1599840"/>
        </a:xfrm>
        <a:prstGeom prst="rect">
          <a:avLst/>
        </a:prstGeom>
        <a:ln>
          <a:noFill/>
        </a:ln>
      </xdr:spPr>
    </xdr:pic>
    <xdr:clientData/>
  </xdr:twoCellAnchor>
</xdr:wsDr>
</file>

<file path=xl/drawings/drawing3.xml><?xml version="1.0" encoding="utf-8"?>
<xdr:wsDr xmlns:xdr="http://schemas.openxmlformats.org/drawingml/2006/spreadsheetDrawing" xmlns:a="http://schemas.openxmlformats.org/drawingml/2006/main" xmlns:r="http://schemas.openxmlformats.org/officeDocument/2006/relationships">
  <xdr:twoCellAnchor editAs="oneCell">
    <xdr:from>
      <xdr:col>0</xdr:col>
      <xdr:colOff>228600</xdr:colOff>
      <xdr:row>0</xdr:row>
      <xdr:rowOff>0</xdr:rowOff>
    </xdr:from>
    <xdr:to>
      <xdr:col>3</xdr:col>
      <xdr:colOff>199800</xdr:colOff>
      <xdr:row>7</xdr:row>
      <xdr:rowOff>199800</xdr:rowOff>
    </xdr:to>
    <xdr:pic>
      <xdr:nvPicPr>
        <xdr:cNvPr id="2" name="image3.png" descr=""/>
        <xdr:cNvPicPr/>
      </xdr:nvPicPr>
      <xdr:blipFill>
        <a:blip r:embed="rId1"/>
        <a:stretch/>
      </xdr:blipFill>
      <xdr:spPr>
        <a:xfrm>
          <a:off x="228600" y="0"/>
          <a:ext cx="1980720" cy="1599840"/>
        </a:xfrm>
        <a:prstGeom prst="rect">
          <a:avLst/>
        </a:prstGeom>
        <a:ln>
          <a:noFill/>
        </a:ln>
      </xdr:spPr>
    </xdr:pic>
    <xdr:clientData/>
  </xdr:twoCellAnchor>
</xdr:wsDr>
</file>

<file path=xl/drawings/drawing4.xml><?xml version="1.0" encoding="utf-8"?>
<xdr:wsDr xmlns:xdr="http://schemas.openxmlformats.org/drawingml/2006/spreadsheetDrawing" xmlns:a="http://schemas.openxmlformats.org/drawingml/2006/main" xmlns:r="http://schemas.openxmlformats.org/officeDocument/2006/relationships">
  <xdr:twoCellAnchor editAs="oneCell">
    <xdr:from>
      <xdr:col>0</xdr:col>
      <xdr:colOff>380880</xdr:colOff>
      <xdr:row>0</xdr:row>
      <xdr:rowOff>0</xdr:rowOff>
    </xdr:from>
    <xdr:to>
      <xdr:col>3</xdr:col>
      <xdr:colOff>56520</xdr:colOff>
      <xdr:row>8</xdr:row>
      <xdr:rowOff>9000</xdr:rowOff>
    </xdr:to>
    <xdr:pic>
      <xdr:nvPicPr>
        <xdr:cNvPr id="3" name="image4.png" descr=""/>
        <xdr:cNvPicPr/>
      </xdr:nvPicPr>
      <xdr:blipFill>
        <a:blip r:embed="rId1"/>
        <a:stretch/>
      </xdr:blipFill>
      <xdr:spPr>
        <a:xfrm>
          <a:off x="380880" y="0"/>
          <a:ext cx="1685160" cy="1609200"/>
        </a:xfrm>
        <a:prstGeom prst="rect">
          <a:avLst/>
        </a:prstGeom>
        <a:ln>
          <a:noFill/>
        </a:ln>
      </xdr:spPr>
    </xdr:pic>
    <xdr:clientData/>
  </xdr:twoCellAnchor>
</xdr:wsDr>
</file>

<file path=xl/drawings/drawing5.xml><?xml version="1.0" encoding="utf-8"?>
<xdr:wsDr xmlns:xdr="http://schemas.openxmlformats.org/drawingml/2006/spreadsheetDrawing" xmlns:a="http://schemas.openxmlformats.org/drawingml/2006/main" xmlns:r="http://schemas.openxmlformats.org/officeDocument/2006/relationships">
  <xdr:twoCellAnchor editAs="oneCell">
    <xdr:from>
      <xdr:col>0</xdr:col>
      <xdr:colOff>352440</xdr:colOff>
      <xdr:row>0</xdr:row>
      <xdr:rowOff>0</xdr:rowOff>
    </xdr:from>
    <xdr:to>
      <xdr:col>3</xdr:col>
      <xdr:colOff>85320</xdr:colOff>
      <xdr:row>8</xdr:row>
      <xdr:rowOff>66240</xdr:rowOff>
    </xdr:to>
    <xdr:pic>
      <xdr:nvPicPr>
        <xdr:cNvPr id="4" name="image8.png" descr=""/>
        <xdr:cNvPicPr/>
      </xdr:nvPicPr>
      <xdr:blipFill>
        <a:blip r:embed="rId1"/>
        <a:stretch/>
      </xdr:blipFill>
      <xdr:spPr>
        <a:xfrm>
          <a:off x="352440" y="0"/>
          <a:ext cx="1742400" cy="1666440"/>
        </a:xfrm>
        <a:prstGeom prst="rect">
          <a:avLst/>
        </a:prstGeom>
        <a:ln>
          <a:noFill/>
        </a:ln>
      </xdr:spPr>
    </xdr:pic>
    <xdr:clientData/>
  </xdr:twoCellAnchor>
</xdr:wsDr>
</file>

<file path=xl/drawings/drawing6.xml><?xml version="1.0" encoding="utf-8"?>
<xdr:wsDr xmlns:xdr="http://schemas.openxmlformats.org/drawingml/2006/spreadsheetDrawing" xmlns:a="http://schemas.openxmlformats.org/drawingml/2006/main" xmlns:r="http://schemas.openxmlformats.org/officeDocument/2006/relationships">
  <xdr:twoCellAnchor editAs="oneCell">
    <xdr:from>
      <xdr:col>0</xdr:col>
      <xdr:colOff>399960</xdr:colOff>
      <xdr:row>0</xdr:row>
      <xdr:rowOff>0</xdr:rowOff>
    </xdr:from>
    <xdr:to>
      <xdr:col>3</xdr:col>
      <xdr:colOff>104400</xdr:colOff>
      <xdr:row>8</xdr:row>
      <xdr:rowOff>37800</xdr:rowOff>
    </xdr:to>
    <xdr:pic>
      <xdr:nvPicPr>
        <xdr:cNvPr id="5" name="image9.png" descr=""/>
        <xdr:cNvPicPr/>
      </xdr:nvPicPr>
      <xdr:blipFill>
        <a:blip r:embed="rId1"/>
        <a:stretch/>
      </xdr:blipFill>
      <xdr:spPr>
        <a:xfrm>
          <a:off x="399960" y="0"/>
          <a:ext cx="1713960" cy="1638000"/>
        </a:xfrm>
        <a:prstGeom prst="rect">
          <a:avLst/>
        </a:prstGeom>
        <a:ln>
          <a:noFill/>
        </a:ln>
      </xdr:spPr>
    </xdr:pic>
    <xdr:clientData/>
  </xdr:twoCellAnchor>
</xdr:wsDr>
</file>

<file path=xl/drawings/drawing7.xml><?xml version="1.0" encoding="utf-8"?>
<xdr:wsDr xmlns:xdr="http://schemas.openxmlformats.org/drawingml/2006/spreadsheetDrawing" xmlns:a="http://schemas.openxmlformats.org/drawingml/2006/main" xmlns:r="http://schemas.openxmlformats.org/officeDocument/2006/relationships">
  <xdr:twoCellAnchor editAs="oneCell">
    <xdr:from>
      <xdr:col>0</xdr:col>
      <xdr:colOff>237960</xdr:colOff>
      <xdr:row>0</xdr:row>
      <xdr:rowOff>0</xdr:rowOff>
    </xdr:from>
    <xdr:to>
      <xdr:col>3</xdr:col>
      <xdr:colOff>228240</xdr:colOff>
      <xdr:row>7</xdr:row>
      <xdr:rowOff>180720</xdr:rowOff>
    </xdr:to>
    <xdr:pic>
      <xdr:nvPicPr>
        <xdr:cNvPr id="6" name="image5.png" descr=""/>
        <xdr:cNvPicPr/>
      </xdr:nvPicPr>
      <xdr:blipFill>
        <a:blip r:embed="rId1"/>
        <a:stretch/>
      </xdr:blipFill>
      <xdr:spPr>
        <a:xfrm>
          <a:off x="237960" y="0"/>
          <a:ext cx="1999800" cy="1580760"/>
        </a:xfrm>
        <a:prstGeom prst="rect">
          <a:avLst/>
        </a:prstGeom>
        <a:ln>
          <a:noFill/>
        </a:ln>
      </xdr:spPr>
    </xdr:pic>
    <xdr:clientData/>
  </xdr:twoCellAnchor>
</xdr:wsDr>
</file>

<file path=xl/drawings/drawing8.xml><?xml version="1.0" encoding="utf-8"?>
<xdr:wsDr xmlns:xdr="http://schemas.openxmlformats.org/drawingml/2006/spreadsheetDrawing" xmlns:a="http://schemas.openxmlformats.org/drawingml/2006/main" xmlns:r="http://schemas.openxmlformats.org/officeDocument/2006/relationships">
  <xdr:twoCellAnchor editAs="oneCell">
    <xdr:from>
      <xdr:col>0</xdr:col>
      <xdr:colOff>200160</xdr:colOff>
      <xdr:row>0</xdr:row>
      <xdr:rowOff>0</xdr:rowOff>
    </xdr:from>
    <xdr:to>
      <xdr:col>3</xdr:col>
      <xdr:colOff>190440</xdr:colOff>
      <xdr:row>7</xdr:row>
      <xdr:rowOff>171000</xdr:rowOff>
    </xdr:to>
    <xdr:pic>
      <xdr:nvPicPr>
        <xdr:cNvPr id="7" name="image6.jpg" descr=""/>
        <xdr:cNvPicPr/>
      </xdr:nvPicPr>
      <xdr:blipFill>
        <a:blip r:embed="rId1"/>
        <a:stretch/>
      </xdr:blipFill>
      <xdr:spPr>
        <a:xfrm>
          <a:off x="200160" y="0"/>
          <a:ext cx="1999800" cy="1571040"/>
        </a:xfrm>
        <a:prstGeom prst="rect">
          <a:avLst/>
        </a:prstGeom>
        <a:ln>
          <a:noFill/>
        </a:ln>
      </xdr:spPr>
    </xdr:pic>
    <xdr:clientData/>
  </xdr:twoCellAnchor>
</xdr:wsDr>
</file>

<file path=xl/drawings/drawing9.xml><?xml version="1.0" encoding="utf-8"?>
<xdr:wsDr xmlns:xdr="http://schemas.openxmlformats.org/drawingml/2006/spreadsheetDrawing" xmlns:a="http://schemas.openxmlformats.org/drawingml/2006/main" xmlns:r="http://schemas.openxmlformats.org/officeDocument/2006/relationships">
  <xdr:twoCellAnchor editAs="oneCell">
    <xdr:from>
      <xdr:col>0</xdr:col>
      <xdr:colOff>0</xdr:colOff>
      <xdr:row>0</xdr:row>
      <xdr:rowOff>0</xdr:rowOff>
    </xdr:from>
    <xdr:to>
      <xdr:col>3</xdr:col>
      <xdr:colOff>466200</xdr:colOff>
      <xdr:row>7</xdr:row>
      <xdr:rowOff>171000</xdr:rowOff>
    </xdr:to>
    <xdr:pic>
      <xdr:nvPicPr>
        <xdr:cNvPr id="8" name="image7.jpg" descr=""/>
        <xdr:cNvPicPr/>
      </xdr:nvPicPr>
      <xdr:blipFill>
        <a:blip r:embed=""/>
        <a:stretch/>
      </xdr:blipFill>
      <xdr:spPr>
        <a:xfrm>
          <a:off x="0" y="0"/>
          <a:ext cx="2475720" cy="1571040"/>
        </a:xfrm>
        <a:prstGeom prst="rect">
          <a:avLst/>
        </a:prstGeom>
        <a:ln>
          <a:noFill/>
        </a:ln>
      </xdr:spPr>
    </xdr:pic>
    <xdr:clientData/>
  </xdr:twoCellAnchor>
</xdr:wsDr>
</file>

<file path=xl/worksheets/_rels/sheet12.xml.rels><?xml version="1.0" encoding="UTF-8"?>
<Relationships xmlns="http://schemas.openxmlformats.org/package/2006/relationships"><Relationship Id="rId1" Type="http://schemas.openxmlformats.org/officeDocument/2006/relationships/drawing" Target="../drawings/drawing2.xml"/>
</Relationships>
</file>

<file path=xl/worksheets/_rels/sheet13.xml.rels><?xml version="1.0" encoding="UTF-8"?>
<Relationships xmlns="http://schemas.openxmlformats.org/package/2006/relationships"><Relationship Id="rId1" Type="http://schemas.openxmlformats.org/officeDocument/2006/relationships/drawing" Target="../drawings/drawing3.xml"/>
</Relationships>
</file>

<file path=xl/worksheets/_rels/sheet14.xml.rels><?xml version="1.0" encoding="UTF-8"?>
<Relationships xmlns="http://schemas.openxmlformats.org/package/2006/relationships"><Relationship Id="rId1" Type="http://schemas.openxmlformats.org/officeDocument/2006/relationships/drawing" Target="../drawings/drawing4.xml"/>
</Relationships>
</file>

<file path=xl/worksheets/_rels/sheet15.xml.rels><?xml version="1.0" encoding="UTF-8"?>
<Relationships xmlns="http://schemas.openxmlformats.org/package/2006/relationships"><Relationship Id="rId1" Type="http://schemas.openxmlformats.org/officeDocument/2006/relationships/drawing" Target="../drawings/drawing5.xml"/>
</Relationships>
</file>

<file path=xl/worksheets/_rels/sheet16.xml.rels><?xml version="1.0" encoding="UTF-8"?>
<Relationships xmlns="http://schemas.openxmlformats.org/package/2006/relationships"><Relationship Id="rId1" Type="http://schemas.openxmlformats.org/officeDocument/2006/relationships/drawing" Target="../drawings/drawing6.xml"/>
</Relationships>
</file>

<file path=xl/worksheets/_rels/sheet17.xml.rels><?xml version="1.0" encoding="UTF-8"?>
<Relationships xmlns="http://schemas.openxmlformats.org/package/2006/relationships"><Relationship Id="rId1" Type="http://schemas.openxmlformats.org/officeDocument/2006/relationships/drawing" Target="../drawings/drawing7.xml"/>
</Relationships>
</file>

<file path=xl/worksheets/_rels/sheet18.xml.rels><?xml version="1.0" encoding="UTF-8"?>
<Relationships xmlns="http://schemas.openxmlformats.org/package/2006/relationships"><Relationship Id="rId1" Type="http://schemas.openxmlformats.org/officeDocument/2006/relationships/drawing" Target="../drawings/drawing8.xml"/>
</Relationships>
</file>

<file path=xl/worksheets/_rels/sheet19.xml.rels><?xml version="1.0" encoding="UTF-8"?>
<Relationships xmlns="http://schemas.openxmlformats.org/package/2006/relationships"><Relationship Id="rId1" Type="http://schemas.openxmlformats.org/officeDocument/2006/relationships/drawing" Target="../drawings/drawing9.xml"/>
</Relationships>
</file>

<file path=xl/worksheets/_rels/sheet4.xml.rels><?xml version="1.0" encoding="UTF-8"?>
<Relationships xmlns="http://schemas.openxmlformats.org/package/2006/relationships"><Relationship Id="rId1" Type="http://schemas.openxmlformats.org/officeDocument/2006/relationships/drawing" Target="../drawings/drawing1.xml"/>
</Relationships>
</file>

<file path=xl/worksheets/sheet1.xml><?xml version="1.0" encoding="utf-8"?>
<worksheet xmlns="http://schemas.openxmlformats.org/spreadsheetml/2006/main" xmlns:r="http://schemas.openxmlformats.org/officeDocument/2006/relationships">
  <sheetPr filterMode="false">
    <pageSetUpPr fitToPage="false"/>
  </sheetPr>
  <dimension ref="A1:AB630"/>
  <sheetViews>
    <sheetView windowProtection="false" showFormulas="false" showGridLines="true" showRowColHeaders="true" showZeros="true" rightToLeft="false" tabSelected="true" showOutlineSymbols="true" defaultGridColor="true" view="normal" topLeftCell="A1" colorId="64" zoomScale="100" zoomScaleNormal="100" zoomScalePageLayoutView="100" workbookViewId="0">
      <selection pane="topLeft" activeCell="A1" activeCellId="0" sqref="A1"/>
    </sheetView>
  </sheetViews>
  <sheetFormatPr defaultRowHeight="15.75"/>
  <cols>
    <col collapsed="false" hidden="false" max="6" min="1" style="0" width="7.1530612244898"/>
    <col collapsed="false" hidden="false" max="7" min="7" style="0" width="0.811224489795918"/>
    <col collapsed="false" hidden="false" max="13" min="8" style="0" width="7.1530612244898"/>
    <col collapsed="false" hidden="false" max="14" min="14" style="0" width="3.10714285714286"/>
    <col collapsed="false" hidden="false" max="28" min="15" style="0" width="7.1530612244898"/>
    <col collapsed="false" hidden="false" max="1025" min="29" style="0" width="14.1734693877551"/>
  </cols>
  <sheetData>
    <row r="1" customFormat="false" ht="71.25" hidden="false" customHeight="true" outlineLevel="0" collapsed="false">
      <c r="A1" s="1" t="s">
        <v>0</v>
      </c>
      <c r="B1" s="1"/>
      <c r="C1" s="1"/>
      <c r="D1" s="1"/>
      <c r="E1" s="1"/>
      <c r="F1" s="1"/>
      <c r="G1" s="2"/>
      <c r="H1" s="3" t="s">
        <v>1</v>
      </c>
      <c r="I1" s="3"/>
      <c r="J1" s="3"/>
      <c r="K1" s="3"/>
      <c r="L1" s="3"/>
      <c r="M1" s="3"/>
      <c r="N1" s="4"/>
      <c r="O1" s="5" t="s">
        <v>2</v>
      </c>
      <c r="P1" s="5"/>
      <c r="Q1" s="5"/>
      <c r="R1" s="5"/>
      <c r="S1" s="5"/>
      <c r="T1" s="5"/>
      <c r="U1" s="5"/>
      <c r="V1" s="5"/>
      <c r="W1" s="5"/>
      <c r="X1" s="5"/>
      <c r="Y1" s="5"/>
      <c r="Z1" s="5"/>
      <c r="AA1" s="5"/>
      <c r="AB1" s="5"/>
    </row>
    <row r="2" customFormat="false" ht="17.25" hidden="false" customHeight="false" outlineLevel="0" collapsed="false">
      <c r="A2" s="6" t="s">
        <v>3</v>
      </c>
      <c r="B2" s="6"/>
      <c r="C2" s="6"/>
      <c r="D2" s="6"/>
      <c r="E2" s="6"/>
      <c r="F2" s="6"/>
      <c r="G2" s="6"/>
      <c r="H2" s="6"/>
      <c r="I2" s="6"/>
      <c r="J2" s="6"/>
      <c r="K2" s="6"/>
      <c r="L2" s="6"/>
      <c r="M2" s="6"/>
      <c r="N2" s="4"/>
      <c r="O2" s="7"/>
      <c r="P2" s="7"/>
      <c r="Q2" s="7"/>
      <c r="R2" s="8" t="str">
        <f aca="false">KKS!$L$1</f>
        <v>KKS</v>
      </c>
      <c r="S2" s="8" t="str">
        <f aca="false">SEA!$L$1</f>
        <v>SEA</v>
      </c>
      <c r="T2" s="8" t="str">
        <f aca="false">JVJ!$L$1</f>
        <v>JVJ</v>
      </c>
      <c r="U2" s="8" t="str">
        <f aca="false">BBG!$L$1</f>
        <v>BBG</v>
      </c>
      <c r="V2" s="9" t="str">
        <f aca="false">LVC!$L$1</f>
        <v>LVC</v>
      </c>
      <c r="W2" s="9" t="str">
        <f aca="false">BTB!$L$1</f>
        <v>BTB</v>
      </c>
      <c r="X2" s="9" t="str">
        <f aca="false">SGP!$L$1</f>
        <v>SGP</v>
      </c>
      <c r="Y2" s="9" t="str">
        <f aca="false">FTT!$L$1</f>
        <v>FTT</v>
      </c>
    </row>
    <row r="3" customFormat="false" ht="15.75" hidden="false" customHeight="false" outlineLevel="0" collapsed="false">
      <c r="A3" s="10" t="s">
        <v>4</v>
      </c>
      <c r="B3" s="10"/>
      <c r="C3" s="10"/>
      <c r="D3" s="11" t="s">
        <v>5</v>
      </c>
      <c r="E3" s="12" t="s">
        <v>6</v>
      </c>
      <c r="F3" s="13" t="s">
        <v>7</v>
      </c>
      <c r="G3" s="14"/>
      <c r="H3" s="15" t="s">
        <v>8</v>
      </c>
      <c r="I3" s="15"/>
      <c r="J3" s="15"/>
      <c r="K3" s="11" t="s">
        <v>5</v>
      </c>
      <c r="L3" s="12" t="s">
        <v>6</v>
      </c>
      <c r="M3" s="13" t="s">
        <v>7</v>
      </c>
      <c r="N3" s="4"/>
      <c r="O3" s="16" t="s">
        <v>9</v>
      </c>
      <c r="P3" s="16"/>
      <c r="Q3" s="16"/>
      <c r="R3" s="17" t="s">
        <v>10</v>
      </c>
      <c r="S3" s="17" t="s">
        <v>11</v>
      </c>
      <c r="T3" s="17" t="s">
        <v>11</v>
      </c>
      <c r="U3" s="17" t="s">
        <v>10</v>
      </c>
      <c r="V3" s="17" t="s">
        <v>11</v>
      </c>
      <c r="W3" s="17" t="s">
        <v>10</v>
      </c>
      <c r="X3" s="17" t="s">
        <v>10</v>
      </c>
      <c r="Y3" s="17" t="s">
        <v>11</v>
      </c>
    </row>
    <row r="4" customFormat="false" ht="15.75" hidden="false" customHeight="false" outlineLevel="0" collapsed="false">
      <c r="A4" s="18" t="str">
        <f aca="false">KKS!$G$1</f>
        <v>Kingston Kecleons</v>
      </c>
      <c r="B4" s="18"/>
      <c r="C4" s="18"/>
      <c r="D4" s="19" t="n">
        <v>1</v>
      </c>
      <c r="E4" s="20" t="n">
        <v>6</v>
      </c>
      <c r="F4" s="21" t="str">
        <f aca="false">IF(A11="WIN","W",IF(A11="LOSE","L",""))</f>
        <v>L</v>
      </c>
      <c r="G4" s="22"/>
      <c r="H4" s="23" t="str">
        <f aca="false">JVJ!$G$1</f>
        <v>Jacksonville Jumpluffs</v>
      </c>
      <c r="I4" s="23"/>
      <c r="J4" s="23"/>
      <c r="K4" s="19" t="n">
        <v>6</v>
      </c>
      <c r="L4" s="20" t="n">
        <v>1</v>
      </c>
      <c r="M4" s="21" t="str">
        <f aca="false">IF(H11="WIN","W",IF(H11="LOSE","L",""))</f>
        <v>W</v>
      </c>
      <c r="N4" s="4"/>
      <c r="O4" s="16" t="s">
        <v>12</v>
      </c>
      <c r="P4" s="16"/>
      <c r="Q4" s="16"/>
      <c r="R4" s="24" t="s">
        <v>11</v>
      </c>
      <c r="S4" s="24" t="s">
        <v>11</v>
      </c>
      <c r="T4" s="24" t="s">
        <v>11</v>
      </c>
      <c r="U4" s="24" t="s">
        <v>11</v>
      </c>
      <c r="V4" s="24" t="s">
        <v>10</v>
      </c>
      <c r="W4" s="24" t="s">
        <v>10</v>
      </c>
      <c r="X4" s="24" t="s">
        <v>10</v>
      </c>
      <c r="Y4" s="24" t="s">
        <v>10</v>
      </c>
    </row>
    <row r="5" customFormat="false" ht="15.75" hidden="false" customHeight="false" outlineLevel="0" collapsed="false">
      <c r="A5" s="25" t="s">
        <v>13</v>
      </c>
      <c r="B5" s="25"/>
      <c r="C5" s="25"/>
      <c r="D5" s="26" t="n">
        <v>1</v>
      </c>
      <c r="E5" s="27" t="n">
        <v>1</v>
      </c>
      <c r="F5" s="28" t="n">
        <f aca="false">IF(A11="WIN",1,0)</f>
        <v>0</v>
      </c>
      <c r="G5" s="29"/>
      <c r="H5" s="25" t="s">
        <v>14</v>
      </c>
      <c r="I5" s="25"/>
      <c r="J5" s="25"/>
      <c r="K5" s="26" t="n">
        <v>6</v>
      </c>
      <c r="L5" s="27" t="n">
        <v>1</v>
      </c>
      <c r="M5" s="28" t="n">
        <f aca="false">IF(H11="WIN",1,0)</f>
        <v>1</v>
      </c>
      <c r="N5" s="4"/>
      <c r="O5" s="16" t="s">
        <v>15</v>
      </c>
      <c r="P5" s="16"/>
      <c r="Q5" s="16"/>
      <c r="R5" s="24" t="s">
        <v>10</v>
      </c>
      <c r="S5" s="24" t="s">
        <v>11</v>
      </c>
      <c r="T5" s="24" t="s">
        <v>11</v>
      </c>
      <c r="U5" s="24" t="s">
        <v>10</v>
      </c>
      <c r="V5" s="24" t="s">
        <v>11</v>
      </c>
      <c r="W5" s="24" t="s">
        <v>11</v>
      </c>
      <c r="X5" s="24" t="s">
        <v>10</v>
      </c>
      <c r="Y5" s="24" t="s">
        <v>10</v>
      </c>
    </row>
    <row r="6" customFormat="false" ht="15.75" hidden="false" customHeight="false" outlineLevel="0" collapsed="false">
      <c r="A6" s="25" t="s">
        <v>16</v>
      </c>
      <c r="B6" s="25"/>
      <c r="C6" s="25"/>
      <c r="D6" s="26" t="n">
        <v>0</v>
      </c>
      <c r="E6" s="27" t="n">
        <v>1</v>
      </c>
      <c r="F6" s="28" t="n">
        <f aca="false">IF(A11="WIN",1,0)</f>
        <v>0</v>
      </c>
      <c r="G6" s="29"/>
      <c r="H6" s="25" t="s">
        <v>17</v>
      </c>
      <c r="I6" s="25"/>
      <c r="J6" s="25"/>
      <c r="K6" s="26" t="n">
        <v>0</v>
      </c>
      <c r="L6" s="27" t="n">
        <v>0</v>
      </c>
      <c r="M6" s="28" t="n">
        <f aca="false">IF(H11="WIN",1,0)</f>
        <v>1</v>
      </c>
      <c r="N6" s="4"/>
      <c r="O6" s="16" t="s">
        <v>18</v>
      </c>
      <c r="P6" s="16"/>
      <c r="Q6" s="16"/>
      <c r="R6" s="24" t="s">
        <v>11</v>
      </c>
      <c r="S6" s="24" t="s">
        <v>11</v>
      </c>
      <c r="T6" s="24" t="s">
        <v>10</v>
      </c>
      <c r="U6" s="24" t="s">
        <v>11</v>
      </c>
      <c r="V6" s="24" t="s">
        <v>10</v>
      </c>
      <c r="W6" s="24" t="s">
        <v>11</v>
      </c>
      <c r="X6" s="24" t="s">
        <v>10</v>
      </c>
      <c r="Y6" s="24" t="s">
        <v>10</v>
      </c>
    </row>
    <row r="7" customFormat="false" ht="15.75" hidden="false" customHeight="false" outlineLevel="0" collapsed="false">
      <c r="A7" s="25" t="s">
        <v>19</v>
      </c>
      <c r="B7" s="25"/>
      <c r="C7" s="25"/>
      <c r="D7" s="26" t="n">
        <v>0</v>
      </c>
      <c r="E7" s="27" t="n">
        <v>1</v>
      </c>
      <c r="F7" s="28" t="n">
        <f aca="false">IF(A11="WIN",1,0)</f>
        <v>0</v>
      </c>
      <c r="G7" s="29"/>
      <c r="H7" s="25" t="s">
        <v>20</v>
      </c>
      <c r="I7" s="25"/>
      <c r="J7" s="25"/>
      <c r="K7" s="26" t="n">
        <v>0</v>
      </c>
      <c r="L7" s="27" t="n">
        <v>0</v>
      </c>
      <c r="M7" s="28" t="n">
        <f aca="false">IF(H11="WIN",1,0)</f>
        <v>1</v>
      </c>
      <c r="N7" s="4"/>
      <c r="O7" s="16" t="s">
        <v>21</v>
      </c>
      <c r="P7" s="16"/>
      <c r="Q7" s="16"/>
      <c r="R7" s="24" t="s">
        <v>11</v>
      </c>
      <c r="S7" s="24" t="s">
        <v>10</v>
      </c>
      <c r="T7" s="24" t="s">
        <v>11</v>
      </c>
      <c r="U7" s="24" t="s">
        <v>10</v>
      </c>
      <c r="V7" s="24" t="s">
        <v>10</v>
      </c>
      <c r="W7" s="24" t="s">
        <v>11</v>
      </c>
      <c r="X7" s="24" t="s">
        <v>10</v>
      </c>
      <c r="Y7" s="24" t="s">
        <v>11</v>
      </c>
      <c r="Z7" s="30" t="s">
        <v>22</v>
      </c>
      <c r="AA7" s="30"/>
      <c r="AB7" s="30"/>
    </row>
    <row r="8" customFormat="false" ht="15.75" hidden="false" customHeight="true" outlineLevel="0" collapsed="false">
      <c r="A8" s="25" t="s">
        <v>23</v>
      </c>
      <c r="B8" s="25"/>
      <c r="C8" s="25"/>
      <c r="D8" s="26" t="n">
        <v>0</v>
      </c>
      <c r="E8" s="27" t="n">
        <v>1</v>
      </c>
      <c r="F8" s="28" t="n">
        <f aca="false">IF(A11="WIN",1,0)</f>
        <v>0</v>
      </c>
      <c r="G8" s="29"/>
      <c r="H8" s="25" t="s">
        <v>24</v>
      </c>
      <c r="I8" s="25"/>
      <c r="J8" s="25"/>
      <c r="K8" s="26" t="n">
        <v>0</v>
      </c>
      <c r="L8" s="27" t="n">
        <v>0</v>
      </c>
      <c r="M8" s="28" t="n">
        <f aca="false">IF(H11="WIN",1,0)</f>
        <v>1</v>
      </c>
      <c r="N8" s="4"/>
      <c r="O8" s="16" t="s">
        <v>25</v>
      </c>
      <c r="P8" s="16"/>
      <c r="Q8" s="16"/>
      <c r="R8" s="24" t="s">
        <v>11</v>
      </c>
      <c r="S8" s="24" t="s">
        <v>11</v>
      </c>
      <c r="T8" s="24" t="s">
        <v>11</v>
      </c>
      <c r="U8" s="24" t="s">
        <v>10</v>
      </c>
      <c r="V8" s="24" t="s">
        <v>10</v>
      </c>
      <c r="W8" s="24" t="s">
        <v>11</v>
      </c>
      <c r="X8" s="24" t="s">
        <v>10</v>
      </c>
      <c r="Y8" s="24" t="s">
        <v>10</v>
      </c>
      <c r="Z8" s="31" t="s">
        <v>26</v>
      </c>
      <c r="AA8" s="31"/>
      <c r="AB8" s="31"/>
    </row>
    <row r="9" customFormat="false" ht="15.75" hidden="false" customHeight="false" outlineLevel="0" collapsed="false">
      <c r="A9" s="25" t="s">
        <v>27</v>
      </c>
      <c r="B9" s="25"/>
      <c r="C9" s="25"/>
      <c r="D9" s="26" t="n">
        <v>0</v>
      </c>
      <c r="E9" s="27" t="n">
        <v>1</v>
      </c>
      <c r="F9" s="28" t="n">
        <f aca="false">IF(A11="WIN",1,0)</f>
        <v>0</v>
      </c>
      <c r="G9" s="29"/>
      <c r="H9" s="25" t="s">
        <v>28</v>
      </c>
      <c r="I9" s="25"/>
      <c r="J9" s="25"/>
      <c r="K9" s="26" t="n">
        <v>0</v>
      </c>
      <c r="L9" s="27" t="n">
        <v>0</v>
      </c>
      <c r="M9" s="28" t="n">
        <f aca="false">IF(H11="WIN",1,0)</f>
        <v>1</v>
      </c>
      <c r="N9" s="4"/>
      <c r="O9" s="16" t="s">
        <v>29</v>
      </c>
      <c r="P9" s="16"/>
      <c r="Q9" s="16"/>
      <c r="R9" s="24" t="s">
        <v>11</v>
      </c>
      <c r="S9" s="24" t="s">
        <v>11</v>
      </c>
      <c r="T9" s="24" t="s">
        <v>10</v>
      </c>
      <c r="U9" s="24" t="s">
        <v>10</v>
      </c>
      <c r="V9" s="24" t="s">
        <v>10</v>
      </c>
      <c r="W9" s="24" t="s">
        <v>11</v>
      </c>
      <c r="X9" s="24" t="s">
        <v>30</v>
      </c>
      <c r="Y9" s="24" t="s">
        <v>30</v>
      </c>
      <c r="Z9" s="31"/>
      <c r="AA9" s="31"/>
      <c r="AB9" s="31"/>
    </row>
    <row r="10" customFormat="false" ht="15.75" hidden="false" customHeight="false" outlineLevel="0" collapsed="false">
      <c r="A10" s="32" t="s">
        <v>31</v>
      </c>
      <c r="B10" s="32"/>
      <c r="C10" s="32"/>
      <c r="D10" s="33" t="n">
        <v>0</v>
      </c>
      <c r="E10" s="34" t="n">
        <v>1</v>
      </c>
      <c r="F10" s="28" t="n">
        <f aca="false">IF(A11="WIN",1,0)</f>
        <v>0</v>
      </c>
      <c r="G10" s="29"/>
      <c r="H10" s="25" t="s">
        <v>32</v>
      </c>
      <c r="I10" s="25"/>
      <c r="J10" s="25"/>
      <c r="K10" s="33" t="n">
        <v>0</v>
      </c>
      <c r="L10" s="34" t="n">
        <v>0</v>
      </c>
      <c r="M10" s="28" t="n">
        <f aca="false">IF(H11="WIN",1,0)</f>
        <v>1</v>
      </c>
      <c r="N10" s="4"/>
      <c r="O10" s="16" t="s">
        <v>33</v>
      </c>
      <c r="P10" s="16"/>
      <c r="Q10" s="16"/>
      <c r="R10" s="24" t="s">
        <v>11</v>
      </c>
      <c r="S10" s="24" t="s">
        <v>11</v>
      </c>
      <c r="T10" s="24" t="s">
        <v>11</v>
      </c>
      <c r="U10" s="24" t="s">
        <v>30</v>
      </c>
      <c r="V10" s="24" t="s">
        <v>30</v>
      </c>
      <c r="W10" s="24" t="s">
        <v>10</v>
      </c>
      <c r="X10" s="24" t="s">
        <v>10</v>
      </c>
      <c r="Y10" s="24" t="s">
        <v>10</v>
      </c>
      <c r="Z10" s="31"/>
      <c r="AA10" s="31"/>
      <c r="AB10" s="31"/>
    </row>
    <row r="11" customFormat="false" ht="15.75" hidden="false" customHeight="false" outlineLevel="0" collapsed="false">
      <c r="A11" s="35" t="s">
        <v>10</v>
      </c>
      <c r="B11" s="35"/>
      <c r="C11" s="35"/>
      <c r="D11" s="36"/>
      <c r="E11" s="37"/>
      <c r="F11" s="38"/>
      <c r="G11" s="39"/>
      <c r="H11" s="40" t="s">
        <v>11</v>
      </c>
      <c r="I11" s="40"/>
      <c r="J11" s="40"/>
      <c r="K11" s="41"/>
      <c r="L11" s="37"/>
      <c r="M11" s="38"/>
      <c r="N11" s="4"/>
      <c r="O11" s="16" t="s">
        <v>34</v>
      </c>
      <c r="P11" s="16"/>
      <c r="Q11" s="16"/>
      <c r="R11" s="24" t="s">
        <v>11</v>
      </c>
      <c r="S11" s="24" t="s">
        <v>10</v>
      </c>
      <c r="T11" s="24" t="s">
        <v>11</v>
      </c>
      <c r="U11" s="24" t="s">
        <v>10</v>
      </c>
      <c r="V11" s="24" t="s">
        <v>10</v>
      </c>
      <c r="W11" s="24" t="s">
        <v>10</v>
      </c>
      <c r="X11" s="24" t="s">
        <v>11</v>
      </c>
      <c r="Y11" s="24" t="s">
        <v>11</v>
      </c>
      <c r="Z11" s="31"/>
      <c r="AA11" s="31"/>
      <c r="AB11" s="31"/>
    </row>
    <row r="12" customFormat="false" ht="15.75" hidden="false" customHeight="false" outlineLevel="0" collapsed="false">
      <c r="A12" s="10" t="s">
        <v>4</v>
      </c>
      <c r="B12" s="10"/>
      <c r="C12" s="10"/>
      <c r="D12" s="11" t="s">
        <v>5</v>
      </c>
      <c r="E12" s="12" t="s">
        <v>6</v>
      </c>
      <c r="F12" s="13" t="s">
        <v>7</v>
      </c>
      <c r="G12" s="14"/>
      <c r="H12" s="15" t="s">
        <v>8</v>
      </c>
      <c r="I12" s="15"/>
      <c r="J12" s="15"/>
      <c r="K12" s="11" t="s">
        <v>5</v>
      </c>
      <c r="L12" s="12" t="s">
        <v>6</v>
      </c>
      <c r="M12" s="13" t="s">
        <v>7</v>
      </c>
      <c r="N12" s="4"/>
      <c r="O12" s="16" t="s">
        <v>35</v>
      </c>
      <c r="P12" s="16"/>
      <c r="Q12" s="16"/>
      <c r="R12" s="24" t="s">
        <v>11</v>
      </c>
      <c r="S12" s="24" t="s">
        <v>11</v>
      </c>
      <c r="T12" s="24" t="s">
        <v>30</v>
      </c>
      <c r="U12" s="24" t="s">
        <v>10</v>
      </c>
      <c r="V12" s="24" t="s">
        <v>10</v>
      </c>
      <c r="W12" s="24" t="s">
        <v>10</v>
      </c>
      <c r="X12" s="24" t="s">
        <v>30</v>
      </c>
      <c r="Y12" s="24" t="s">
        <v>11</v>
      </c>
      <c r="Z12" s="31"/>
      <c r="AA12" s="31"/>
      <c r="AB12" s="31"/>
    </row>
    <row r="13" customFormat="false" ht="15.75" hidden="false" customHeight="false" outlineLevel="0" collapsed="false">
      <c r="A13" s="18" t="str">
        <f aca="false">SEA!$G$1</f>
        <v>Seattle Seadras</v>
      </c>
      <c r="B13" s="18"/>
      <c r="C13" s="18"/>
      <c r="D13" s="19" t="n">
        <v>6</v>
      </c>
      <c r="E13" s="20" t="n">
        <v>4</v>
      </c>
      <c r="F13" s="21" t="str">
        <f aca="false">IF(A20="WIN","W",IF(A20="LOSE","L",""))</f>
        <v>W</v>
      </c>
      <c r="G13" s="22"/>
      <c r="H13" s="23" t="str">
        <f aca="false">BBG!$G$1</f>
        <v>Berlin Bronzong</v>
      </c>
      <c r="I13" s="23"/>
      <c r="J13" s="23"/>
      <c r="K13" s="19" t="n">
        <v>4</v>
      </c>
      <c r="L13" s="20" t="n">
        <v>6</v>
      </c>
      <c r="M13" s="21" t="str">
        <f aca="false">IF(H20="WIN","W",IF(H20="LOSE","L",""))</f>
        <v>L</v>
      </c>
      <c r="N13" s="4"/>
      <c r="O13" s="16" t="s">
        <v>36</v>
      </c>
      <c r="P13" s="16"/>
      <c r="Q13" s="16"/>
      <c r="R13" s="24" t="s">
        <v>11</v>
      </c>
      <c r="S13" s="24" t="s">
        <v>30</v>
      </c>
      <c r="T13" s="24" t="s">
        <v>30</v>
      </c>
      <c r="U13" s="24" t="s">
        <v>10</v>
      </c>
      <c r="V13" s="24" t="s">
        <v>10</v>
      </c>
      <c r="W13" s="24" t="s">
        <v>11</v>
      </c>
      <c r="X13" s="24" t="s">
        <v>10</v>
      </c>
      <c r="Y13" s="24" t="s">
        <v>11</v>
      </c>
      <c r="Z13" s="31"/>
      <c r="AA13" s="31"/>
      <c r="AB13" s="31"/>
    </row>
    <row r="14" customFormat="false" ht="15.75" hidden="false" customHeight="false" outlineLevel="0" collapsed="false">
      <c r="A14" s="25" t="s">
        <v>37</v>
      </c>
      <c r="B14" s="25"/>
      <c r="C14" s="25"/>
      <c r="D14" s="26" t="n">
        <v>3</v>
      </c>
      <c r="E14" s="27" t="n">
        <v>0</v>
      </c>
      <c r="F14" s="28" t="n">
        <f aca="false">IF(A20="WIN",1,0)</f>
        <v>1</v>
      </c>
      <c r="G14" s="29"/>
      <c r="H14" s="25" t="s">
        <v>38</v>
      </c>
      <c r="I14" s="25"/>
      <c r="J14" s="25"/>
      <c r="K14" s="26" t="n">
        <v>0</v>
      </c>
      <c r="L14" s="27" t="n">
        <v>1</v>
      </c>
      <c r="M14" s="28" t="n">
        <f aca="false">IF(H20="WIN",1,0)</f>
        <v>0</v>
      </c>
      <c r="N14" s="4"/>
      <c r="O14" s="42" t="s">
        <v>39</v>
      </c>
      <c r="P14" s="42"/>
      <c r="Q14" s="42"/>
      <c r="R14" s="24" t="str">
        <f aca="false">H418</f>
        <v>DNP</v>
      </c>
      <c r="S14" s="24" t="str">
        <f aca="false">H427</f>
        <v>WIN</v>
      </c>
      <c r="T14" s="24" t="str">
        <f aca="false">H436</f>
        <v>WIN</v>
      </c>
      <c r="U14" s="24" t="str">
        <f aca="false">H445</f>
        <v>LOSE</v>
      </c>
      <c r="V14" s="24" t="str">
        <f aca="false">A427</f>
        <v>LOSE</v>
      </c>
      <c r="W14" s="24" t="str">
        <f aca="false">A436</f>
        <v>LOSE</v>
      </c>
      <c r="X14" s="24" t="str">
        <f aca="false">A445</f>
        <v>WIN</v>
      </c>
      <c r="Y14" s="24" t="str">
        <f aca="false">A418</f>
        <v>DNP</v>
      </c>
      <c r="Z14" s="31"/>
      <c r="AA14" s="31"/>
      <c r="AB14" s="31"/>
    </row>
    <row r="15" customFormat="false" ht="15.75" hidden="false" customHeight="false" outlineLevel="0" collapsed="false">
      <c r="A15" s="25" t="s">
        <v>40</v>
      </c>
      <c r="B15" s="25"/>
      <c r="C15" s="25"/>
      <c r="D15" s="26" t="n">
        <v>1</v>
      </c>
      <c r="E15" s="27" t="n">
        <v>0</v>
      </c>
      <c r="F15" s="28" t="n">
        <f aca="false">IF(A20="WIN",1,0)</f>
        <v>1</v>
      </c>
      <c r="G15" s="29"/>
      <c r="H15" s="25" t="s">
        <v>41</v>
      </c>
      <c r="I15" s="25"/>
      <c r="J15" s="25"/>
      <c r="K15" s="26" t="n">
        <v>1</v>
      </c>
      <c r="L15" s="27" t="n">
        <v>1</v>
      </c>
      <c r="M15" s="28" t="n">
        <f aca="false">IF(H20="WIN",1,0)</f>
        <v>0</v>
      </c>
      <c r="N15" s="4"/>
      <c r="O15" s="16" t="s">
        <v>42</v>
      </c>
      <c r="P15" s="16"/>
      <c r="Q15" s="16"/>
      <c r="R15" s="24" t="str">
        <f aca="false">A455</f>
        <v>WIN</v>
      </c>
      <c r="S15" s="24" t="str">
        <f aca="false">A464</f>
        <v>WIN</v>
      </c>
      <c r="T15" s="24" t="str">
        <f aca="false">H455</f>
        <v>LOSE</v>
      </c>
      <c r="U15" s="24" t="str">
        <f aca="false">H464</f>
        <v>LOSE</v>
      </c>
      <c r="V15" s="24" t="str">
        <f aca="false">A473</f>
        <v>LOSE</v>
      </c>
      <c r="W15" s="24" t="str">
        <f aca="false">H473</f>
        <v>WIN</v>
      </c>
      <c r="X15" s="24" t="str">
        <f aca="false">A482</f>
        <v>DNP</v>
      </c>
      <c r="Y15" s="24" t="str">
        <f aca="false">H482</f>
        <v>DNP</v>
      </c>
      <c r="Z15" s="31"/>
      <c r="AA15" s="31"/>
      <c r="AB15" s="31"/>
    </row>
    <row r="16" customFormat="false" ht="15.75" hidden="false" customHeight="false" outlineLevel="0" collapsed="false">
      <c r="A16" s="25" t="s">
        <v>43</v>
      </c>
      <c r="B16" s="25"/>
      <c r="C16" s="25"/>
      <c r="D16" s="26" t="n">
        <v>0</v>
      </c>
      <c r="E16" s="27" t="n">
        <v>1</v>
      </c>
      <c r="F16" s="28" t="n">
        <f aca="false">IF(A20="WIN",1,0)</f>
        <v>1</v>
      </c>
      <c r="G16" s="29"/>
      <c r="H16" s="25" t="s">
        <v>44</v>
      </c>
      <c r="I16" s="25"/>
      <c r="J16" s="25"/>
      <c r="K16" s="26" t="n">
        <v>0</v>
      </c>
      <c r="L16" s="27" t="n">
        <v>1</v>
      </c>
      <c r="M16" s="28" t="n">
        <f aca="false">IF(H20="WIN",1,0)</f>
        <v>0</v>
      </c>
      <c r="N16" s="4"/>
      <c r="O16" s="16" t="s">
        <v>45</v>
      </c>
      <c r="P16" s="16"/>
      <c r="Q16" s="16"/>
      <c r="R16" s="24" t="str">
        <f aca="false">A492</f>
        <v>WIN</v>
      </c>
      <c r="S16" s="24" t="str">
        <f aca="false">A501</f>
        <v>DNP</v>
      </c>
      <c r="T16" s="24" t="str">
        <f aca="false">A510</f>
        <v>WIN</v>
      </c>
      <c r="U16" s="24" t="str">
        <f aca="false">A519</f>
        <v>LOSE</v>
      </c>
      <c r="V16" s="24" t="str">
        <f aca="false">H510</f>
        <v>LOSE</v>
      </c>
      <c r="W16" s="24" t="str">
        <f aca="false">H519</f>
        <v>WIN</v>
      </c>
      <c r="X16" s="24" t="str">
        <f aca="false">H492</f>
        <v>LOSE</v>
      </c>
      <c r="Y16" s="24" t="str">
        <f aca="false">H501</f>
        <v>DNP</v>
      </c>
      <c r="Z16" s="31"/>
      <c r="AA16" s="31"/>
      <c r="AB16" s="31"/>
    </row>
    <row r="17" customFormat="false" ht="15.75" hidden="false" customHeight="false" outlineLevel="0" collapsed="false">
      <c r="A17" s="25" t="s">
        <v>46</v>
      </c>
      <c r="B17" s="25"/>
      <c r="C17" s="25"/>
      <c r="D17" s="26" t="n">
        <v>1</v>
      </c>
      <c r="E17" s="27" t="n">
        <v>1</v>
      </c>
      <c r="F17" s="28" t="n">
        <f aca="false">IF(A20="WIN",1,0)</f>
        <v>1</v>
      </c>
      <c r="G17" s="29"/>
      <c r="H17" s="25" t="s">
        <v>47</v>
      </c>
      <c r="I17" s="25"/>
      <c r="J17" s="25"/>
      <c r="K17" s="26" t="n">
        <v>1</v>
      </c>
      <c r="L17" s="27" t="n">
        <v>1</v>
      </c>
      <c r="M17" s="28" t="n">
        <f aca="false">IF(H20="WIN",1,0)</f>
        <v>0</v>
      </c>
      <c r="N17" s="4"/>
      <c r="O17" s="16" t="s">
        <v>48</v>
      </c>
      <c r="P17" s="16"/>
      <c r="Q17" s="16"/>
      <c r="R17" s="24" t="str">
        <f aca="false">A529</f>
        <v>WIN</v>
      </c>
      <c r="S17" s="24" t="str">
        <f aca="false">H529</f>
        <v>LOSE</v>
      </c>
      <c r="T17" s="24" t="str">
        <f aca="false">A538</f>
        <v>WIN</v>
      </c>
      <c r="U17" s="24" t="str">
        <f aca="false">H538</f>
        <v>LOSE</v>
      </c>
      <c r="V17" s="24" t="str">
        <f aca="false">A547</f>
        <v>LOSE</v>
      </c>
      <c r="W17" s="24" t="str">
        <f aca="false">A556</f>
        <v>LOSE</v>
      </c>
      <c r="X17" s="24" t="str">
        <f aca="false">H547</f>
        <v>WIN</v>
      </c>
      <c r="Y17" s="24" t="str">
        <f aca="false">H556</f>
        <v>WIN</v>
      </c>
      <c r="Z17" s="31"/>
      <c r="AA17" s="31"/>
      <c r="AB17" s="31"/>
    </row>
    <row r="18" customFormat="false" ht="15.75" hidden="false" customHeight="false" outlineLevel="0" collapsed="false">
      <c r="A18" s="25" t="s">
        <v>49</v>
      </c>
      <c r="B18" s="25"/>
      <c r="C18" s="25"/>
      <c r="D18" s="26" t="n">
        <v>0</v>
      </c>
      <c r="E18" s="27" t="n">
        <v>1</v>
      </c>
      <c r="F18" s="28" t="n">
        <f aca="false">IF(A20="WIN",1,0)</f>
        <v>1</v>
      </c>
      <c r="G18" s="29"/>
      <c r="H18" s="25" t="s">
        <v>50</v>
      </c>
      <c r="I18" s="25"/>
      <c r="J18" s="25"/>
      <c r="K18" s="26" t="n">
        <v>1</v>
      </c>
      <c r="L18" s="27" t="n">
        <v>1</v>
      </c>
      <c r="M18" s="28" t="n">
        <f aca="false">IF(H20="WIN",1,0)</f>
        <v>0</v>
      </c>
      <c r="N18" s="4"/>
      <c r="O18" s="16" t="s">
        <v>51</v>
      </c>
      <c r="P18" s="16"/>
      <c r="Q18" s="16"/>
      <c r="R18" s="24" t="str">
        <f aca="false">H566</f>
        <v>WIN</v>
      </c>
      <c r="S18" s="24" t="str">
        <f aca="false">H575</f>
        <v>DNP</v>
      </c>
      <c r="T18" s="24" t="str">
        <f aca="false">H584</f>
        <v>DNP</v>
      </c>
      <c r="U18" s="24" t="str">
        <f aca="false">H593</f>
        <v>DNP</v>
      </c>
      <c r="V18" s="24" t="str">
        <f aca="false">A593</f>
        <v>DNP</v>
      </c>
      <c r="W18" s="24" t="str">
        <f aca="false">A566</f>
        <v>LOSE</v>
      </c>
      <c r="X18" s="24" t="str">
        <f aca="false">A575</f>
        <v>DNP</v>
      </c>
      <c r="Y18" s="24" t="str">
        <f aca="false">A584</f>
        <v>DNP</v>
      </c>
      <c r="Z18" s="30" t="s">
        <v>22</v>
      </c>
      <c r="AA18" s="30"/>
      <c r="AB18" s="30"/>
    </row>
    <row r="19" customFormat="false" ht="15.75" hidden="false" customHeight="false" outlineLevel="0" collapsed="false">
      <c r="A19" s="25" t="s">
        <v>52</v>
      </c>
      <c r="B19" s="25"/>
      <c r="C19" s="25"/>
      <c r="D19" s="33" t="n">
        <v>1</v>
      </c>
      <c r="E19" s="34" t="n">
        <v>1</v>
      </c>
      <c r="F19" s="28" t="n">
        <f aca="false">IF(A20="WIN",1,0)</f>
        <v>1</v>
      </c>
      <c r="G19" s="29"/>
      <c r="H19" s="25" t="s">
        <v>53</v>
      </c>
      <c r="I19" s="25"/>
      <c r="J19" s="25"/>
      <c r="K19" s="33" t="n">
        <v>1</v>
      </c>
      <c r="L19" s="34" t="n">
        <v>1</v>
      </c>
      <c r="M19" s="28" t="n">
        <f aca="false">IF(H20="WIN",1,0)</f>
        <v>0</v>
      </c>
      <c r="N19" s="4"/>
      <c r="O19" s="42" t="s">
        <v>54</v>
      </c>
      <c r="P19" s="42"/>
      <c r="Q19" s="42"/>
      <c r="R19" s="43" t="str">
        <f aca="false">H603</f>
        <v>WIN</v>
      </c>
      <c r="S19" s="43" t="str">
        <f aca="false">A612</f>
        <v>DNP</v>
      </c>
      <c r="T19" s="43" t="str">
        <f aca="false">H612</f>
        <v>DNP</v>
      </c>
      <c r="U19" s="43" t="str">
        <f aca="false">A603</f>
        <v>LOSE</v>
      </c>
      <c r="V19" s="43" t="str">
        <f aca="false">H621</f>
        <v>LOSE</v>
      </c>
      <c r="W19" s="43" t="str">
        <f aca="false">H630</f>
        <v>LOSE</v>
      </c>
      <c r="X19" s="43" t="str">
        <f aca="false">A630</f>
        <v>WIN</v>
      </c>
      <c r="Y19" s="43" t="str">
        <f aca="false">A621</f>
        <v>WIN</v>
      </c>
      <c r="Z19" s="44"/>
      <c r="AA19" s="44"/>
      <c r="AB19" s="44"/>
    </row>
    <row r="20" customFormat="false" ht="15.75" hidden="false" customHeight="false" outlineLevel="0" collapsed="false">
      <c r="A20" s="40" t="s">
        <v>11</v>
      </c>
      <c r="B20" s="40"/>
      <c r="C20" s="40"/>
      <c r="D20" s="36"/>
      <c r="E20" s="37"/>
      <c r="F20" s="38"/>
      <c r="G20" s="39"/>
      <c r="H20" s="40" t="s">
        <v>10</v>
      </c>
      <c r="I20" s="40"/>
      <c r="J20" s="40"/>
      <c r="K20" s="41"/>
      <c r="L20" s="37"/>
      <c r="M20" s="38"/>
      <c r="N20" s="4"/>
      <c r="O20" s="45"/>
      <c r="P20" s="45"/>
      <c r="Q20" s="45"/>
      <c r="R20" s="46"/>
      <c r="S20" s="46"/>
      <c r="T20" s="46"/>
      <c r="U20" s="46"/>
      <c r="V20" s="46"/>
      <c r="W20" s="46"/>
      <c r="X20" s="46"/>
      <c r="Y20" s="47"/>
      <c r="Z20" s="44"/>
      <c r="AA20" s="44"/>
      <c r="AB20" s="44"/>
    </row>
    <row r="21" customFormat="false" ht="15.75" hidden="false" customHeight="false" outlineLevel="0" collapsed="false">
      <c r="A21" s="10" t="s">
        <v>4</v>
      </c>
      <c r="B21" s="10"/>
      <c r="C21" s="10"/>
      <c r="D21" s="11" t="s">
        <v>5</v>
      </c>
      <c r="E21" s="12" t="s">
        <v>6</v>
      </c>
      <c r="F21" s="13" t="s">
        <v>7</v>
      </c>
      <c r="G21" s="14"/>
      <c r="H21" s="15" t="s">
        <v>8</v>
      </c>
      <c r="I21" s="15"/>
      <c r="J21" s="15"/>
      <c r="K21" s="11" t="s">
        <v>5</v>
      </c>
      <c r="L21" s="12" t="s">
        <v>6</v>
      </c>
      <c r="M21" s="13" t="s">
        <v>7</v>
      </c>
      <c r="N21" s="4"/>
      <c r="O21" s="16" t="s">
        <v>55</v>
      </c>
      <c r="P21" s="16"/>
      <c r="Q21" s="16"/>
      <c r="R21" s="48" t="n">
        <f aca="false">LOOKUP(1E+100,FREQUENCY(IF(R3:R19=R22,ROW(R3:R19)),IF(R3:R19&lt;&gt;R22,IF(R3:R19&lt;&gt;"",ROW(R3:R19)))))</f>
        <v>5</v>
      </c>
      <c r="S21" s="48" t="n">
        <f aca="false">LOOKUP(1E+100,FREQUENCY(IF(S3:S19=S22,ROW(S3:S19)),IF(S3:S19&lt;&gt;S22,IF(S3:S19&lt;&gt;"",ROW(S3:S19)))))</f>
        <v>2</v>
      </c>
      <c r="T21" s="48" t="n">
        <f aca="false">LOOKUP(1E+100,FREQUENCY(IF(T3:T19=T22,ROW(T3:T19)),IF(T3:T19&lt;&gt;T22,IF(T3:T19&lt;&gt;"",ROW(T3:T19)))))</f>
        <v>2</v>
      </c>
      <c r="U21" s="48" t="n">
        <f aca="false">LOOKUP(1E+100,FREQUENCY(IF(U3:U19=U22,ROW(U3:U19)),IF(U3:U19&lt;&gt;U22,IF(U3:U19&lt;&gt;"",ROW(U3:U19)))))</f>
        <v>1</v>
      </c>
      <c r="V21" s="48" t="n">
        <f aca="false">LOOKUP(1E+100,FREQUENCY(IF(V3:V19=V22,ROW(V3:V19)),IF(V3:V19&lt;&gt;V22,IF(V3:V19&lt;&gt;"",ROW(V3:V19)))))</f>
        <v>1</v>
      </c>
      <c r="W21" s="48" t="n">
        <f aca="false">LOOKUP(1E+100,FREQUENCY(IF(W3:W19=W22,ROW(W3:W19)),IF(W3:W19&lt;&gt;W22,IF(W3:W19&lt;&gt;"",ROW(W3:W19)))))</f>
        <v>3</v>
      </c>
      <c r="X21" s="48" t="n">
        <f aca="false">LOOKUP(1E+100,FREQUENCY(IF(X3:X19=X22,ROW(X3:X19)),IF(X3:X19&lt;&gt;X22,IF(X3:X19&lt;&gt;"",ROW(X3:X19)))))</f>
        <v>1</v>
      </c>
      <c r="Y21" s="48" t="n">
        <f aca="false">LOOKUP(1E+100,FREQUENCY(IF(Y3:Y19=Y22,ROW(Y3:Y19)),IF(Y3:Y19&lt;&gt;Y22,IF(Y3:Y19&lt;&gt;"",ROW(Y3:Y19)))))</f>
        <v>1</v>
      </c>
      <c r="Z21" s="44"/>
      <c r="AA21" s="44"/>
      <c r="AB21" s="44"/>
    </row>
    <row r="22" customFormat="false" ht="15.75" hidden="false" customHeight="false" outlineLevel="0" collapsed="false">
      <c r="A22" s="18" t="str">
        <f aca="false">LVC!$G$1</f>
        <v>Louisville Crobats</v>
      </c>
      <c r="B22" s="18"/>
      <c r="C22" s="18"/>
      <c r="D22" s="19" t="n">
        <v>6</v>
      </c>
      <c r="E22" s="20" t="n">
        <v>3</v>
      </c>
      <c r="F22" s="21" t="str">
        <f aca="false">IF(A29="WIN","W",IF(A29="LOSE","L",""))</f>
        <v>W</v>
      </c>
      <c r="G22" s="22"/>
      <c r="H22" s="23" t="str">
        <f aca="false">BTB!$G$1</f>
        <v>Battlin Brelooms</v>
      </c>
      <c r="I22" s="23"/>
      <c r="J22" s="23"/>
      <c r="K22" s="19" t="n">
        <v>3</v>
      </c>
      <c r="L22" s="20" t="n">
        <v>6</v>
      </c>
      <c r="M22" s="21" t="str">
        <f aca="false">IF(H29="WIN","W",IF(H29="LOSE","L",""))</f>
        <v>L</v>
      </c>
      <c r="N22" s="4"/>
      <c r="O22" s="16" t="s">
        <v>56</v>
      </c>
      <c r="P22" s="16"/>
      <c r="Q22" s="16"/>
      <c r="R22" s="49" t="str">
        <f aca="false">LOOKUP(2,1/(R3:R19&lt;&gt;""),R3:R19)</f>
        <v>WIN</v>
      </c>
      <c r="S22" s="49" t="str">
        <f aca="false">LOOKUP(2,1/(S3:S19&lt;&gt;""),S3:S19)</f>
        <v>DNP</v>
      </c>
      <c r="T22" s="49" t="str">
        <f aca="false">LOOKUP(2,1/(T3:T19&lt;&gt;""),T3:T19)</f>
        <v>DNP</v>
      </c>
      <c r="U22" s="49" t="str">
        <f aca="false">LOOKUP(2,1/(U3:U19&lt;&gt;""),U3:U19)</f>
        <v>LOSE</v>
      </c>
      <c r="V22" s="49" t="str">
        <f aca="false">LOOKUP(2,1/(V3:V19&lt;&gt;""),V3:V19)</f>
        <v>LOSE</v>
      </c>
      <c r="W22" s="49" t="str">
        <f aca="false">LOOKUP(2,1/(W3:W19&lt;&gt;""),W3:W19)</f>
        <v>LOSE</v>
      </c>
      <c r="X22" s="49" t="str">
        <f aca="false">LOOKUP(2,1/(X3:X19&lt;&gt;""),X3:X19)</f>
        <v>WIN</v>
      </c>
      <c r="Y22" s="49" t="str">
        <f aca="false">LOOKUP(2,1/(Y3:Y19&lt;&gt;""),Y3:Y19)</f>
        <v>WIN</v>
      </c>
      <c r="Z22" s="44"/>
      <c r="AA22" s="44"/>
      <c r="AB22" s="44"/>
    </row>
    <row r="23" customFormat="false" ht="15.75" hidden="false" customHeight="false" outlineLevel="0" collapsed="false">
      <c r="A23" s="25" t="s">
        <v>57</v>
      </c>
      <c r="B23" s="25"/>
      <c r="C23" s="25"/>
      <c r="D23" s="26" t="n">
        <v>2</v>
      </c>
      <c r="E23" s="27" t="n">
        <v>1</v>
      </c>
      <c r="F23" s="28" t="n">
        <f aca="false">IF(A29="WIN",1,0)</f>
        <v>1</v>
      </c>
      <c r="G23" s="29"/>
      <c r="H23" s="25" t="s">
        <v>58</v>
      </c>
      <c r="I23" s="25"/>
      <c r="J23" s="25"/>
      <c r="K23" s="26" t="n">
        <v>2</v>
      </c>
      <c r="L23" s="27" t="n">
        <v>1</v>
      </c>
      <c r="M23" s="28" t="n">
        <f aca="false">IF(H29="WIN",1,0)</f>
        <v>0</v>
      </c>
      <c r="N23" s="4"/>
      <c r="O23" s="16" t="s">
        <v>59</v>
      </c>
      <c r="P23" s="16"/>
      <c r="Q23" s="16"/>
      <c r="R23" s="49" t="str">
        <f aca="false">IF(ISNA(CONCATENATE(IF(R22="DNP","DNP",PROPER(R22)),"-",R21)),"Win-0",CONCATENATE(IF(R22="DNP","DNP",PROPER(R22)),"-",R21))</f>
        <v>Win-5</v>
      </c>
      <c r="S23" s="49" t="str">
        <f aca="false">IF(ISNA(CONCATENATE(IF(S22="DNP","DNP",PROPER(S22)),"-",S21)),"Win-0",CONCATENATE(IF(S22="DNP","DNP",PROPER(S22)),"-",S21))</f>
        <v>DNP-2</v>
      </c>
      <c r="T23" s="49" t="str">
        <f aca="false">IF(ISNA(CONCATENATE(IF(T22="DNP","DNP",PROPER(T22)),"-",T21)),"Win-0",CONCATENATE(IF(T22="DNP","DNP",PROPER(T22)),"-",T21))</f>
        <v>DNP-2</v>
      </c>
      <c r="U23" s="49" t="str">
        <f aca="false">IF(ISNA(CONCATENATE(IF(U22="DNP","DNP",PROPER(U22)),"-",U21)),"Win-0",CONCATENATE(IF(U22="DNP","DNP",PROPER(U22)),"-",U21))</f>
        <v>Lose-1</v>
      </c>
      <c r="V23" s="49" t="str">
        <f aca="false">IF(ISNA(CONCATENATE(IF(V22="DNP","DNP",PROPER(V22)),"-",V21)),"Win-0",CONCATENATE(IF(V22="DNP","DNP",PROPER(V22)),"-",V21))</f>
        <v>Lose-1</v>
      </c>
      <c r="W23" s="49" t="str">
        <f aca="false">IF(ISNA(CONCATENATE(IF(W22="DNP","DNP",PROPER(W22)),"-",W21)),"Win-0",CONCATENATE(IF(W22="DNP","DNP",PROPER(W22)),"-",W21))</f>
        <v>Lose-3</v>
      </c>
      <c r="X23" s="49" t="str">
        <f aca="false">IF(ISNA(CONCATENATE(IF(X22="DNP","DNP",PROPER(X22)),"-",X21)),"Win-0",CONCATENATE(IF(X22="DNP","DNP",PROPER(X22)),"-",X21))</f>
        <v>Win-1</v>
      </c>
      <c r="Y23" s="49" t="str">
        <f aca="false">IF(ISNA(CONCATENATE(IF(Y22="DNP","DNP",PROPER(Y22)),"-",Y21)),"Win-0",CONCATENATE(IF(Y22="DNP","DNP",PROPER(Y22)),"-",Y21))</f>
        <v>Win-1</v>
      </c>
      <c r="Z23" s="44"/>
      <c r="AA23" s="44"/>
      <c r="AB23" s="44"/>
    </row>
    <row r="24" customFormat="false" ht="15.75" hidden="false" customHeight="false" outlineLevel="0" collapsed="false">
      <c r="A24" s="25" t="s">
        <v>60</v>
      </c>
      <c r="B24" s="25"/>
      <c r="C24" s="25"/>
      <c r="D24" s="26" t="n">
        <v>2</v>
      </c>
      <c r="E24" s="27" t="n">
        <v>0</v>
      </c>
      <c r="F24" s="28" t="n">
        <f aca="false">IF(A29="WIN",1,0)</f>
        <v>1</v>
      </c>
      <c r="G24" s="29"/>
      <c r="H24" s="25" t="s">
        <v>61</v>
      </c>
      <c r="I24" s="25"/>
      <c r="J24" s="25"/>
      <c r="K24" s="26" t="n">
        <v>0</v>
      </c>
      <c r="L24" s="27" t="n">
        <v>1</v>
      </c>
      <c r="M24" s="28" t="n">
        <f aca="false">IF(H29="WIN",1,0)</f>
        <v>0</v>
      </c>
      <c r="N24" s="4"/>
      <c r="O24" s="44"/>
      <c r="P24" s="44"/>
      <c r="Q24" s="44"/>
      <c r="R24" s="44"/>
      <c r="S24" s="44"/>
      <c r="T24" s="44"/>
      <c r="U24" s="44"/>
      <c r="V24" s="50"/>
      <c r="W24" s="44"/>
      <c r="X24" s="44"/>
      <c r="Y24" s="44"/>
      <c r="Z24" s="44"/>
      <c r="AA24" s="44"/>
      <c r="AB24" s="44"/>
    </row>
    <row r="25" customFormat="false" ht="15.75" hidden="false" customHeight="false" outlineLevel="0" collapsed="false">
      <c r="A25" s="25" t="s">
        <v>62</v>
      </c>
      <c r="B25" s="25"/>
      <c r="C25" s="25"/>
      <c r="D25" s="26" t="n">
        <v>0</v>
      </c>
      <c r="E25" s="27" t="n">
        <v>1</v>
      </c>
      <c r="F25" s="28" t="n">
        <f aca="false">IF(A29="WIN",1,0)</f>
        <v>1</v>
      </c>
      <c r="G25" s="29"/>
      <c r="H25" s="25" t="s">
        <v>63</v>
      </c>
      <c r="I25" s="25"/>
      <c r="J25" s="25"/>
      <c r="K25" s="26" t="n">
        <v>0</v>
      </c>
      <c r="L25" s="27" t="n">
        <v>1</v>
      </c>
      <c r="M25" s="28" t="n">
        <f aca="false">IF(H29="WIN",1,0)</f>
        <v>0</v>
      </c>
      <c r="N25" s="4"/>
      <c r="O25" s="7"/>
      <c r="P25" s="7"/>
      <c r="Q25" s="7"/>
      <c r="R25" s="8" t="str">
        <f aca="false">KKS!$L$1</f>
        <v>KKS</v>
      </c>
      <c r="S25" s="8" t="str">
        <f aca="false">SEA!$L$1</f>
        <v>SEA</v>
      </c>
      <c r="T25" s="8" t="str">
        <f aca="false">JVJ!$L$1</f>
        <v>JVJ</v>
      </c>
      <c r="U25" s="8" t="str">
        <f aca="false">BBG!$L$1</f>
        <v>BBG</v>
      </c>
      <c r="V25" s="9" t="str">
        <f aca="false">LVC!$L$1</f>
        <v>LVC</v>
      </c>
      <c r="W25" s="9" t="str">
        <f aca="false">BTB!$L$1</f>
        <v>BTB</v>
      </c>
      <c r="X25" s="9" t="str">
        <f aca="false">SGP!$L$1</f>
        <v>SGP</v>
      </c>
      <c r="Y25" s="9" t="str">
        <f aca="false">FTT!$L$1</f>
        <v>FTT</v>
      </c>
      <c r="Z25" s="44"/>
      <c r="AA25" s="44"/>
      <c r="AB25" s="44"/>
    </row>
    <row r="26" customFormat="false" ht="15.75" hidden="false" customHeight="false" outlineLevel="0" collapsed="false">
      <c r="A26" s="25" t="s">
        <v>64</v>
      </c>
      <c r="B26" s="25"/>
      <c r="C26" s="25"/>
      <c r="D26" s="26" t="n">
        <v>0</v>
      </c>
      <c r="E26" s="27" t="n">
        <v>0</v>
      </c>
      <c r="F26" s="28" t="n">
        <f aca="false">IF(A29="WIN",1,0)</f>
        <v>1</v>
      </c>
      <c r="G26" s="29"/>
      <c r="H26" s="25" t="s">
        <v>65</v>
      </c>
      <c r="I26" s="25"/>
      <c r="J26" s="25"/>
      <c r="K26" s="26" t="n">
        <v>0</v>
      </c>
      <c r="L26" s="27" t="n">
        <v>1</v>
      </c>
      <c r="M26" s="28" t="n">
        <f aca="false">IF(H29="WIN",1,0)</f>
        <v>0</v>
      </c>
      <c r="N26" s="4"/>
      <c r="O26" s="16" t="s">
        <v>9</v>
      </c>
      <c r="P26" s="16"/>
      <c r="Q26" s="16"/>
      <c r="R26" s="17" t="n">
        <v>-5</v>
      </c>
      <c r="S26" s="17" t="n">
        <v>2</v>
      </c>
      <c r="T26" s="17" t="n">
        <v>5</v>
      </c>
      <c r="U26" s="17" t="n">
        <v>-2</v>
      </c>
      <c r="V26" s="17" t="n">
        <v>3</v>
      </c>
      <c r="W26" s="17" t="n">
        <v>-3</v>
      </c>
      <c r="X26" s="17" t="n">
        <v>-5</v>
      </c>
      <c r="Y26" s="17" t="n">
        <v>5</v>
      </c>
      <c r="Z26" s="44"/>
      <c r="AA26" s="44"/>
      <c r="AB26" s="44"/>
    </row>
    <row r="27" customFormat="false" ht="15.75" hidden="false" customHeight="false" outlineLevel="0" collapsed="false">
      <c r="A27" s="25" t="s">
        <v>66</v>
      </c>
      <c r="B27" s="25"/>
      <c r="C27" s="25"/>
      <c r="D27" s="26" t="n">
        <v>2</v>
      </c>
      <c r="E27" s="27" t="n">
        <v>1</v>
      </c>
      <c r="F27" s="28" t="n">
        <f aca="false">IF(A29="WIN",1,0)</f>
        <v>1</v>
      </c>
      <c r="G27" s="29"/>
      <c r="H27" s="25" t="s">
        <v>67</v>
      </c>
      <c r="I27" s="25"/>
      <c r="J27" s="25"/>
      <c r="K27" s="26" t="n">
        <v>1</v>
      </c>
      <c r="L27" s="27" t="n">
        <v>1</v>
      </c>
      <c r="M27" s="28" t="n">
        <f aca="false">IF(H29="WIN",1,0)</f>
        <v>0</v>
      </c>
      <c r="N27" s="4"/>
      <c r="O27" s="16" t="s">
        <v>12</v>
      </c>
      <c r="P27" s="16"/>
      <c r="Q27" s="16"/>
      <c r="R27" s="24" t="n">
        <v>5</v>
      </c>
      <c r="S27" s="24" t="n">
        <v>2</v>
      </c>
      <c r="T27" s="24" t="n">
        <v>6</v>
      </c>
      <c r="U27" s="24" t="n">
        <v>5</v>
      </c>
      <c r="V27" s="24" t="n">
        <v>-5</v>
      </c>
      <c r="W27" s="24" t="n">
        <v>-2</v>
      </c>
      <c r="X27" s="24" t="n">
        <v>-6</v>
      </c>
      <c r="Y27" s="24" t="n">
        <v>-5</v>
      </c>
      <c r="Z27" s="44"/>
      <c r="AA27" s="44"/>
      <c r="AB27" s="44"/>
    </row>
    <row r="28" customFormat="false" ht="15.75" hidden="false" customHeight="false" outlineLevel="0" collapsed="false">
      <c r="A28" s="25" t="s">
        <v>68</v>
      </c>
      <c r="B28" s="25"/>
      <c r="C28" s="25"/>
      <c r="D28" s="33" t="n">
        <v>0</v>
      </c>
      <c r="E28" s="34" t="n">
        <v>0</v>
      </c>
      <c r="F28" s="28" t="n">
        <f aca="false">IF(A29="WIN",1,0)</f>
        <v>1</v>
      </c>
      <c r="G28" s="29"/>
      <c r="H28" s="25" t="s">
        <v>69</v>
      </c>
      <c r="I28" s="25"/>
      <c r="J28" s="25"/>
      <c r="K28" s="33" t="n">
        <v>0</v>
      </c>
      <c r="L28" s="34" t="n">
        <v>1</v>
      </c>
      <c r="M28" s="28" t="n">
        <f aca="false">IF(H29="WIN",1,0)</f>
        <v>0</v>
      </c>
      <c r="N28" s="4"/>
      <c r="O28" s="16" t="s">
        <v>15</v>
      </c>
      <c r="P28" s="16"/>
      <c r="Q28" s="16"/>
      <c r="R28" s="24" t="n">
        <v>-4</v>
      </c>
      <c r="S28" s="24" t="n">
        <v>4</v>
      </c>
      <c r="T28" s="24" t="n">
        <v>5</v>
      </c>
      <c r="U28" s="24" t="n">
        <v>-5</v>
      </c>
      <c r="V28" s="24" t="n">
        <v>2</v>
      </c>
      <c r="W28" s="24" t="n">
        <v>4</v>
      </c>
      <c r="X28" s="24" t="n">
        <v>-2</v>
      </c>
      <c r="Y28" s="24" t="n">
        <v>-4</v>
      </c>
      <c r="Z28" s="44"/>
      <c r="AA28" s="44"/>
      <c r="AB28" s="44"/>
    </row>
    <row r="29" customFormat="false" ht="15.75" hidden="false" customHeight="false" outlineLevel="0" collapsed="false">
      <c r="A29" s="40" t="s">
        <v>11</v>
      </c>
      <c r="B29" s="40"/>
      <c r="C29" s="40"/>
      <c r="D29" s="36"/>
      <c r="E29" s="37"/>
      <c r="F29" s="38"/>
      <c r="G29" s="39"/>
      <c r="H29" s="40" t="s">
        <v>10</v>
      </c>
      <c r="I29" s="40"/>
      <c r="J29" s="40"/>
      <c r="K29" s="41"/>
      <c r="L29" s="37"/>
      <c r="M29" s="38"/>
      <c r="N29" s="4"/>
      <c r="O29" s="16" t="s">
        <v>18</v>
      </c>
      <c r="P29" s="16"/>
      <c r="Q29" s="16"/>
      <c r="R29" s="24" t="n">
        <v>4</v>
      </c>
      <c r="S29" s="24" t="n">
        <v>3</v>
      </c>
      <c r="T29" s="24" t="n">
        <v>-1</v>
      </c>
      <c r="U29" s="24" t="n">
        <v>4</v>
      </c>
      <c r="V29" s="24" t="n">
        <v>-3</v>
      </c>
      <c r="W29" s="24" t="n">
        <v>1</v>
      </c>
      <c r="X29" s="24" t="n">
        <v>-4</v>
      </c>
      <c r="Y29" s="24" t="n">
        <v>-4</v>
      </c>
      <c r="Z29" s="44"/>
      <c r="AA29" s="44"/>
      <c r="AB29" s="44"/>
    </row>
    <row r="30" customFormat="false" ht="15.75" hidden="false" customHeight="false" outlineLevel="0" collapsed="false">
      <c r="A30" s="10" t="s">
        <v>4</v>
      </c>
      <c r="B30" s="10"/>
      <c r="C30" s="10"/>
      <c r="D30" s="11" t="s">
        <v>5</v>
      </c>
      <c r="E30" s="12" t="s">
        <v>6</v>
      </c>
      <c r="F30" s="13" t="s">
        <v>7</v>
      </c>
      <c r="G30" s="14"/>
      <c r="H30" s="15" t="s">
        <v>8</v>
      </c>
      <c r="I30" s="15"/>
      <c r="J30" s="15"/>
      <c r="K30" s="11" t="s">
        <v>5</v>
      </c>
      <c r="L30" s="12" t="s">
        <v>6</v>
      </c>
      <c r="M30" s="13" t="s">
        <v>7</v>
      </c>
      <c r="N30" s="4"/>
      <c r="O30" s="16" t="s">
        <v>21</v>
      </c>
      <c r="P30" s="16"/>
      <c r="Q30" s="16"/>
      <c r="R30" s="24" t="n">
        <v>0</v>
      </c>
      <c r="S30" s="24" t="n">
        <v>-4</v>
      </c>
      <c r="T30" s="24" t="n">
        <v>-4</v>
      </c>
      <c r="U30" s="24" t="n">
        <v>0</v>
      </c>
      <c r="V30" s="24" t="n">
        <v>0</v>
      </c>
      <c r="W30" s="24" t="n">
        <v>3</v>
      </c>
      <c r="X30" s="24" t="n">
        <v>-3</v>
      </c>
      <c r="Y30" s="24" t="n">
        <v>0</v>
      </c>
      <c r="Z30" s="30" t="s">
        <v>22</v>
      </c>
      <c r="AA30" s="30"/>
      <c r="AB30" s="30"/>
    </row>
    <row r="31" customFormat="false" ht="15.75" hidden="false" customHeight="true" outlineLevel="0" collapsed="false">
      <c r="A31" s="18" t="str">
        <f aca="false">SGP!$G$1</f>
        <v>Slung Patrol</v>
      </c>
      <c r="B31" s="18"/>
      <c r="C31" s="18"/>
      <c r="D31" s="19" t="n">
        <v>1</v>
      </c>
      <c r="E31" s="20" t="n">
        <v>6</v>
      </c>
      <c r="F31" s="21" t="str">
        <f aca="false">IF(A38="WIN","W",IF(A38="LOSE","L",""))</f>
        <v>L</v>
      </c>
      <c r="G31" s="22"/>
      <c r="H31" s="23" t="str">
        <f aca="false">FTT!$G$1</f>
        <v>Fortree Trevenants</v>
      </c>
      <c r="I31" s="23"/>
      <c r="J31" s="23"/>
      <c r="K31" s="19" t="n">
        <v>6</v>
      </c>
      <c r="L31" s="20" t="n">
        <v>1</v>
      </c>
      <c r="M31" s="21" t="str">
        <f aca="false">IF(H38="WIN","W",IF(H38="LOSE","L",""))</f>
        <v>W</v>
      </c>
      <c r="N31" s="4"/>
      <c r="O31" s="16" t="s">
        <v>25</v>
      </c>
      <c r="P31" s="16"/>
      <c r="Q31" s="16"/>
      <c r="R31" s="24" t="n">
        <v>5</v>
      </c>
      <c r="S31" s="24" t="n">
        <v>6</v>
      </c>
      <c r="T31" s="24" t="n">
        <v>0</v>
      </c>
      <c r="U31" s="24" t="n">
        <v>0</v>
      </c>
      <c r="V31" s="24" t="n">
        <v>0</v>
      </c>
      <c r="W31" s="24" t="n">
        <v>0</v>
      </c>
      <c r="X31" s="24" t="n">
        <v>-5</v>
      </c>
      <c r="Y31" s="24" t="n">
        <v>-6</v>
      </c>
      <c r="Z31" s="31" t="s">
        <v>70</v>
      </c>
      <c r="AA31" s="31"/>
      <c r="AB31" s="31"/>
    </row>
    <row r="32" customFormat="false" ht="15.75" hidden="false" customHeight="false" outlineLevel="0" collapsed="false">
      <c r="A32" s="25" t="s">
        <v>71</v>
      </c>
      <c r="B32" s="25"/>
      <c r="C32" s="25"/>
      <c r="D32" s="26" t="n">
        <v>1</v>
      </c>
      <c r="E32" s="27" t="n">
        <v>1</v>
      </c>
      <c r="F32" s="28" t="n">
        <f aca="false">IF(A38="WIN",1,0)</f>
        <v>0</v>
      </c>
      <c r="G32" s="29"/>
      <c r="H32" s="25" t="s">
        <v>72</v>
      </c>
      <c r="I32" s="25"/>
      <c r="J32" s="25"/>
      <c r="K32" s="26" t="n">
        <v>0</v>
      </c>
      <c r="L32" s="27" t="n">
        <v>0</v>
      </c>
      <c r="M32" s="28" t="n">
        <f aca="false">IF(H38="WIN",1,0)</f>
        <v>1</v>
      </c>
      <c r="N32" s="4"/>
      <c r="O32" s="16" t="s">
        <v>29</v>
      </c>
      <c r="P32" s="16"/>
      <c r="Q32" s="16"/>
      <c r="R32" s="24" t="n">
        <v>1</v>
      </c>
      <c r="S32" s="24" t="n">
        <v>4</v>
      </c>
      <c r="T32" s="24" t="n">
        <v>-1</v>
      </c>
      <c r="U32" s="24" t="n">
        <v>-4</v>
      </c>
      <c r="V32" s="24" t="n">
        <v>0</v>
      </c>
      <c r="W32" s="24" t="n">
        <v>0</v>
      </c>
      <c r="X32" s="24"/>
      <c r="Y32" s="24"/>
      <c r="Z32" s="31"/>
      <c r="AA32" s="31"/>
      <c r="AB32" s="31"/>
    </row>
    <row r="33" customFormat="false" ht="15.75" hidden="false" customHeight="false" outlineLevel="0" collapsed="false">
      <c r="A33" s="25" t="s">
        <v>73</v>
      </c>
      <c r="B33" s="25"/>
      <c r="C33" s="25"/>
      <c r="D33" s="26" t="n">
        <v>0</v>
      </c>
      <c r="E33" s="27" t="n">
        <v>1</v>
      </c>
      <c r="F33" s="28" t="n">
        <f aca="false">IF(A38="WIN",1,0)</f>
        <v>0</v>
      </c>
      <c r="G33" s="29"/>
      <c r="H33" s="25" t="s">
        <v>74</v>
      </c>
      <c r="I33" s="25"/>
      <c r="J33" s="25"/>
      <c r="K33" s="26" t="n">
        <v>5</v>
      </c>
      <c r="L33" s="27" t="n">
        <v>0</v>
      </c>
      <c r="M33" s="28" t="n">
        <f aca="false">IF(H38="WIN",1,0)</f>
        <v>1</v>
      </c>
      <c r="N33" s="4"/>
      <c r="O33" s="16" t="s">
        <v>33</v>
      </c>
      <c r="P33" s="16"/>
      <c r="Q33" s="16"/>
      <c r="R33" s="24" t="n">
        <v>5</v>
      </c>
      <c r="S33" s="24" t="n">
        <v>2</v>
      </c>
      <c r="T33" s="24" t="n">
        <v>5</v>
      </c>
      <c r="U33" s="24"/>
      <c r="V33" s="24"/>
      <c r="W33" s="24" t="n">
        <v>-5</v>
      </c>
      <c r="X33" s="24" t="n">
        <v>-2</v>
      </c>
      <c r="Y33" s="24" t="n">
        <v>-5</v>
      </c>
      <c r="Z33" s="31"/>
      <c r="AA33" s="31"/>
      <c r="AB33" s="31"/>
    </row>
    <row r="34" customFormat="false" ht="15.75" hidden="false" customHeight="false" outlineLevel="0" collapsed="false">
      <c r="A34" s="25" t="s">
        <v>75</v>
      </c>
      <c r="B34" s="25"/>
      <c r="C34" s="25"/>
      <c r="D34" s="26" t="n">
        <v>0</v>
      </c>
      <c r="E34" s="27" t="n">
        <v>1</v>
      </c>
      <c r="F34" s="28" t="n">
        <f aca="false">IF(A38="WIN",1,0)</f>
        <v>0</v>
      </c>
      <c r="G34" s="29"/>
      <c r="H34" s="25" t="s">
        <v>76</v>
      </c>
      <c r="I34" s="25"/>
      <c r="J34" s="25"/>
      <c r="K34" s="26" t="n">
        <v>1</v>
      </c>
      <c r="L34" s="27" t="n">
        <v>1</v>
      </c>
      <c r="M34" s="28" t="n">
        <f aca="false">IF(H38="WIN",1,0)</f>
        <v>1</v>
      </c>
      <c r="N34" s="4"/>
      <c r="O34" s="16" t="s">
        <v>34</v>
      </c>
      <c r="P34" s="16"/>
      <c r="Q34" s="16"/>
      <c r="R34" s="24" t="n">
        <v>3</v>
      </c>
      <c r="S34" s="24" t="n">
        <v>-3</v>
      </c>
      <c r="T34" s="24" t="n">
        <v>0</v>
      </c>
      <c r="U34" s="24" t="n">
        <v>0</v>
      </c>
      <c r="V34" s="24" t="n">
        <v>0</v>
      </c>
      <c r="W34" s="24"/>
      <c r="X34" s="24" t="n">
        <v>0</v>
      </c>
      <c r="Y34" s="24"/>
      <c r="Z34" s="31"/>
      <c r="AA34" s="31"/>
      <c r="AB34" s="31"/>
    </row>
    <row r="35" customFormat="false" ht="15.75" hidden="false" customHeight="false" outlineLevel="0" collapsed="false">
      <c r="A35" s="25" t="s">
        <v>77</v>
      </c>
      <c r="B35" s="25"/>
      <c r="C35" s="25"/>
      <c r="D35" s="26" t="n">
        <v>0</v>
      </c>
      <c r="E35" s="27" t="n">
        <v>1</v>
      </c>
      <c r="F35" s="28" t="n">
        <f aca="false">IF(A38="WIN",1,0)</f>
        <v>0</v>
      </c>
      <c r="G35" s="29"/>
      <c r="H35" s="25" t="s">
        <v>78</v>
      </c>
      <c r="I35" s="25"/>
      <c r="J35" s="25"/>
      <c r="K35" s="26" t="n">
        <v>0</v>
      </c>
      <c r="L35" s="27" t="n">
        <v>0</v>
      </c>
      <c r="M35" s="28" t="n">
        <f aca="false">IF(H38="WIN",1,0)</f>
        <v>1</v>
      </c>
      <c r="N35" s="4"/>
      <c r="O35" s="16" t="s">
        <v>35</v>
      </c>
      <c r="P35" s="16"/>
      <c r="Q35" s="16"/>
      <c r="R35" s="24" t="n">
        <v>0</v>
      </c>
      <c r="S35" s="24"/>
      <c r="T35" s="24"/>
      <c r="U35" s="24" t="n">
        <v>0</v>
      </c>
      <c r="V35" s="24" t="n">
        <v>0</v>
      </c>
      <c r="W35" s="24"/>
      <c r="X35" s="24"/>
      <c r="Y35" s="24" t="n">
        <v>0</v>
      </c>
      <c r="Z35" s="31"/>
      <c r="AA35" s="31"/>
      <c r="AB35" s="31"/>
    </row>
    <row r="36" customFormat="false" ht="15.75" hidden="false" customHeight="false" outlineLevel="0" collapsed="false">
      <c r="A36" s="25" t="s">
        <v>79</v>
      </c>
      <c r="B36" s="25"/>
      <c r="C36" s="25"/>
      <c r="D36" s="26" t="n">
        <v>0</v>
      </c>
      <c r="E36" s="27" t="n">
        <v>1</v>
      </c>
      <c r="F36" s="28" t="n">
        <f aca="false">IF(A38="WIN",1,0)</f>
        <v>0</v>
      </c>
      <c r="G36" s="29"/>
      <c r="H36" s="25" t="s">
        <v>80</v>
      </c>
      <c r="I36" s="25"/>
      <c r="J36" s="25"/>
      <c r="K36" s="26" t="n">
        <v>0</v>
      </c>
      <c r="L36" s="27" t="n">
        <v>0</v>
      </c>
      <c r="M36" s="28" t="n">
        <f aca="false">IF(H38="WIN",1,0)</f>
        <v>1</v>
      </c>
      <c r="N36" s="4"/>
      <c r="O36" s="16" t="s">
        <v>36</v>
      </c>
      <c r="P36" s="16"/>
      <c r="Q36" s="16"/>
      <c r="R36" s="24" t="n">
        <v>0</v>
      </c>
      <c r="S36" s="24"/>
      <c r="T36" s="24"/>
      <c r="U36" s="24" t="n">
        <v>0</v>
      </c>
      <c r="V36" s="24" t="n">
        <v>0</v>
      </c>
      <c r="W36" s="24" t="n">
        <v>4</v>
      </c>
      <c r="X36" s="24" t="n">
        <v>-4</v>
      </c>
      <c r="Y36" s="24" t="n">
        <v>0</v>
      </c>
      <c r="Z36" s="31"/>
      <c r="AA36" s="31"/>
      <c r="AB36" s="31"/>
    </row>
    <row r="37" customFormat="false" ht="15.75" hidden="false" customHeight="false" outlineLevel="0" collapsed="false">
      <c r="A37" s="25" t="s">
        <v>81</v>
      </c>
      <c r="B37" s="25"/>
      <c r="C37" s="25"/>
      <c r="D37" s="33" t="n">
        <v>0</v>
      </c>
      <c r="E37" s="34" t="n">
        <v>1</v>
      </c>
      <c r="F37" s="28" t="n">
        <f aca="false">IF(A38="WIN",1,0)</f>
        <v>0</v>
      </c>
      <c r="G37" s="29"/>
      <c r="H37" s="25" t="s">
        <v>82</v>
      </c>
      <c r="I37" s="25"/>
      <c r="J37" s="25"/>
      <c r="K37" s="33" t="n">
        <v>0</v>
      </c>
      <c r="L37" s="34" t="n">
        <v>0</v>
      </c>
      <c r="M37" s="28" t="n">
        <f aca="false">IF(H38="WIN",1,0)</f>
        <v>1</v>
      </c>
      <c r="N37" s="4"/>
      <c r="O37" s="42" t="s">
        <v>39</v>
      </c>
      <c r="P37" s="42"/>
      <c r="Q37" s="42"/>
      <c r="R37" s="24" t="n">
        <f aca="false">K418</f>
        <v>0</v>
      </c>
      <c r="S37" s="24" t="n">
        <f aca="false">K427</f>
        <v>0</v>
      </c>
      <c r="T37" s="24" t="n">
        <f aca="false">K436</f>
        <v>0</v>
      </c>
      <c r="U37" s="24" t="n">
        <f aca="false">K445</f>
        <v>0</v>
      </c>
      <c r="V37" s="24" t="n">
        <f aca="false">D427</f>
        <v>0</v>
      </c>
      <c r="W37" s="24" t="n">
        <f aca="false">D436</f>
        <v>0</v>
      </c>
      <c r="X37" s="24" t="n">
        <f aca="false">D445</f>
        <v>0</v>
      </c>
      <c r="Y37" s="24" t="n">
        <f aca="false">D418</f>
        <v>0</v>
      </c>
      <c r="Z37" s="31"/>
      <c r="AA37" s="31"/>
      <c r="AB37" s="31"/>
    </row>
    <row r="38" customFormat="false" ht="15.75" hidden="false" customHeight="false" outlineLevel="0" collapsed="false">
      <c r="A38" s="40" t="s">
        <v>10</v>
      </c>
      <c r="B38" s="40"/>
      <c r="C38" s="40"/>
      <c r="D38" s="36"/>
      <c r="E38" s="37"/>
      <c r="F38" s="38"/>
      <c r="G38" s="39"/>
      <c r="H38" s="40" t="s">
        <v>11</v>
      </c>
      <c r="I38" s="40"/>
      <c r="J38" s="40"/>
      <c r="K38" s="41"/>
      <c r="L38" s="37"/>
      <c r="M38" s="38"/>
      <c r="N38" s="4"/>
      <c r="O38" s="16" t="s">
        <v>42</v>
      </c>
      <c r="P38" s="16"/>
      <c r="Q38" s="16"/>
      <c r="R38" s="24" t="n">
        <f aca="false">D455</f>
        <v>1</v>
      </c>
      <c r="S38" s="24" t="n">
        <f aca="false">D464</f>
        <v>0</v>
      </c>
      <c r="T38" s="24" t="n">
        <f aca="false">K455</f>
        <v>-1</v>
      </c>
      <c r="U38" s="24" t="n">
        <f aca="false">K464</f>
        <v>0</v>
      </c>
      <c r="V38" s="24" t="n">
        <f aca="false">D473</f>
        <v>0</v>
      </c>
      <c r="W38" s="24" t="n">
        <f aca="false">K473</f>
        <v>0</v>
      </c>
      <c r="X38" s="24" t="n">
        <f aca="false">D482</f>
        <v>0</v>
      </c>
      <c r="Y38" s="24" t="n">
        <f aca="false">K482</f>
        <v>0</v>
      </c>
      <c r="Z38" s="31"/>
      <c r="AA38" s="31"/>
      <c r="AB38" s="31"/>
    </row>
    <row r="39" customFormat="false" ht="17.25" hidden="false" customHeight="false" outlineLevel="0" collapsed="false">
      <c r="A39" s="6" t="s">
        <v>83</v>
      </c>
      <c r="B39" s="6"/>
      <c r="C39" s="6"/>
      <c r="D39" s="6"/>
      <c r="E39" s="6"/>
      <c r="F39" s="6"/>
      <c r="G39" s="6"/>
      <c r="H39" s="6"/>
      <c r="I39" s="6"/>
      <c r="J39" s="6"/>
      <c r="K39" s="6"/>
      <c r="L39" s="6"/>
      <c r="M39" s="6"/>
      <c r="N39" s="4"/>
      <c r="O39" s="16" t="s">
        <v>45</v>
      </c>
      <c r="P39" s="16"/>
      <c r="Q39" s="16"/>
      <c r="R39" s="24" t="n">
        <f aca="false">D492</f>
        <v>4</v>
      </c>
      <c r="S39" s="24" t="n">
        <f aca="false">D501</f>
        <v>0</v>
      </c>
      <c r="T39" s="24" t="n">
        <f aca="false">D510</f>
        <v>0</v>
      </c>
      <c r="U39" s="24" t="n">
        <f aca="false">D519</f>
        <v>0</v>
      </c>
      <c r="V39" s="24" t="n">
        <f aca="false">K510</f>
        <v>0</v>
      </c>
      <c r="W39" s="24" t="n">
        <f aca="false">K519</f>
        <v>0</v>
      </c>
      <c r="X39" s="24" t="n">
        <f aca="false">K492</f>
        <v>-4</v>
      </c>
      <c r="Y39" s="24" t="n">
        <f aca="false">K501</f>
        <v>0</v>
      </c>
      <c r="Z39" s="31"/>
      <c r="AA39" s="31"/>
      <c r="AB39" s="31"/>
    </row>
    <row r="40" customFormat="false" ht="15.75" hidden="false" customHeight="false" outlineLevel="0" collapsed="false">
      <c r="A40" s="10" t="s">
        <v>4</v>
      </c>
      <c r="B40" s="10"/>
      <c r="C40" s="10"/>
      <c r="D40" s="11" t="s">
        <v>5</v>
      </c>
      <c r="E40" s="12" t="s">
        <v>6</v>
      </c>
      <c r="F40" s="13" t="s">
        <v>7</v>
      </c>
      <c r="G40" s="14"/>
      <c r="H40" s="15" t="s">
        <v>8</v>
      </c>
      <c r="I40" s="15"/>
      <c r="J40" s="15"/>
      <c r="K40" s="11" t="s">
        <v>5</v>
      </c>
      <c r="L40" s="12" t="s">
        <v>6</v>
      </c>
      <c r="M40" s="13" t="s">
        <v>7</v>
      </c>
      <c r="N40" s="4"/>
      <c r="O40" s="16" t="s">
        <v>48</v>
      </c>
      <c r="P40" s="16"/>
      <c r="Q40" s="16"/>
      <c r="R40" s="24" t="n">
        <f aca="false">D529</f>
        <v>1</v>
      </c>
      <c r="S40" s="24" t="n">
        <f aca="false">K529</f>
        <v>-1</v>
      </c>
      <c r="T40" s="24" t="n">
        <f aca="false">D538</f>
        <v>0</v>
      </c>
      <c r="U40" s="24" t="n">
        <f aca="false">K538</f>
        <v>0</v>
      </c>
      <c r="V40" s="24" t="n">
        <f aca="false">D547</f>
        <v>0</v>
      </c>
      <c r="W40" s="24" t="n">
        <f aca="false">D556</f>
        <v>0</v>
      </c>
      <c r="X40" s="24" t="n">
        <f aca="false">K547</f>
        <v>0</v>
      </c>
      <c r="Y40" s="24" t="n">
        <f aca="false">K556</f>
        <v>0</v>
      </c>
      <c r="Z40" s="31"/>
      <c r="AA40" s="31"/>
      <c r="AB40" s="31"/>
    </row>
    <row r="41" customFormat="false" ht="15.75" hidden="false" customHeight="false" outlineLevel="0" collapsed="false">
      <c r="A41" s="18" t="str">
        <f aca="false">LVC!$G$1</f>
        <v>Louisville Crobats</v>
      </c>
      <c r="B41" s="18"/>
      <c r="C41" s="18"/>
      <c r="D41" s="19" t="n">
        <v>1</v>
      </c>
      <c r="E41" s="20" t="n">
        <v>6</v>
      </c>
      <c r="F41" s="21" t="str">
        <f aca="false">IF(A48="WIN","W",IF(A48="LOSE","L",""))</f>
        <v>L</v>
      </c>
      <c r="G41" s="22"/>
      <c r="H41" s="18" t="str">
        <f aca="false">KKS!$G$1</f>
        <v>Kingston Kecleons</v>
      </c>
      <c r="I41" s="18"/>
      <c r="J41" s="18"/>
      <c r="K41" s="19" t="n">
        <v>6</v>
      </c>
      <c r="L41" s="20" t="n">
        <v>1</v>
      </c>
      <c r="M41" s="21" t="str">
        <f aca="false">IF(H48="WIN","W",IF(H48="LOSE","L",""))</f>
        <v>W</v>
      </c>
      <c r="N41" s="4"/>
      <c r="O41" s="16" t="s">
        <v>51</v>
      </c>
      <c r="P41" s="16"/>
      <c r="Q41" s="16"/>
      <c r="R41" s="24" t="n">
        <f aca="false">K566</f>
        <v>0</v>
      </c>
      <c r="S41" s="24" t="n">
        <f aca="false">K575</f>
        <v>0</v>
      </c>
      <c r="T41" s="24" t="n">
        <f aca="false">K584</f>
        <v>0</v>
      </c>
      <c r="U41" s="24" t="n">
        <f aca="false">K593</f>
        <v>0</v>
      </c>
      <c r="V41" s="24" t="n">
        <f aca="false">D593</f>
        <v>0</v>
      </c>
      <c r="W41" s="24" t="n">
        <f aca="false">D566</f>
        <v>0</v>
      </c>
      <c r="X41" s="24" t="n">
        <f aca="false">D575</f>
        <v>0</v>
      </c>
      <c r="Y41" s="24" t="n">
        <f aca="false">D584</f>
        <v>0</v>
      </c>
      <c r="Z41" s="30" t="s">
        <v>22</v>
      </c>
      <c r="AA41" s="30"/>
      <c r="AB41" s="30"/>
    </row>
    <row r="42" customFormat="false" ht="15.75" hidden="false" customHeight="false" outlineLevel="0" collapsed="false">
      <c r="A42" s="25" t="s">
        <v>60</v>
      </c>
      <c r="B42" s="25"/>
      <c r="C42" s="25"/>
      <c r="D42" s="26" t="n">
        <v>0</v>
      </c>
      <c r="E42" s="27" t="n">
        <v>1</v>
      </c>
      <c r="F42" s="28" t="n">
        <f aca="false">IF(A48="WIN",1,0)</f>
        <v>0</v>
      </c>
      <c r="G42" s="29"/>
      <c r="H42" s="25" t="s">
        <v>84</v>
      </c>
      <c r="I42" s="25"/>
      <c r="J42" s="25"/>
      <c r="K42" s="26" t="n">
        <v>2</v>
      </c>
      <c r="L42" s="27" t="n">
        <v>1</v>
      </c>
      <c r="M42" s="28" t="n">
        <f aca="false">IF(H48="WIN",1,0)</f>
        <v>1</v>
      </c>
      <c r="N42" s="4"/>
      <c r="O42" s="42" t="s">
        <v>54</v>
      </c>
      <c r="P42" s="42"/>
      <c r="Q42" s="42"/>
      <c r="R42" s="43" t="n">
        <f aca="false">K603</f>
        <v>0</v>
      </c>
      <c r="S42" s="43" t="n">
        <f aca="false">D612</f>
        <v>0</v>
      </c>
      <c r="T42" s="43" t="n">
        <f aca="false">K612</f>
        <v>0</v>
      </c>
      <c r="U42" s="43" t="n">
        <f aca="false">D603</f>
        <v>0</v>
      </c>
      <c r="V42" s="43" t="n">
        <f aca="false">K621</f>
        <v>0</v>
      </c>
      <c r="W42" s="43" t="n">
        <f aca="false">K630</f>
        <v>0</v>
      </c>
      <c r="X42" s="43" t="n">
        <f aca="false">D630</f>
        <v>0</v>
      </c>
      <c r="Y42" s="43" t="n">
        <f aca="false">D621</f>
        <v>0</v>
      </c>
      <c r="Z42" s="44"/>
      <c r="AA42" s="44"/>
      <c r="AB42" s="44"/>
    </row>
    <row r="43" customFormat="false" ht="15.75" hidden="false" customHeight="false" outlineLevel="0" collapsed="false">
      <c r="A43" s="25" t="s">
        <v>64</v>
      </c>
      <c r="B43" s="25"/>
      <c r="C43" s="25"/>
      <c r="D43" s="26" t="n">
        <v>1</v>
      </c>
      <c r="E43" s="27" t="n">
        <v>1</v>
      </c>
      <c r="F43" s="28" t="n">
        <f aca="false">IF(A48="WIN",1,0)</f>
        <v>0</v>
      </c>
      <c r="G43" s="29"/>
      <c r="H43" s="25" t="s">
        <v>23</v>
      </c>
      <c r="I43" s="25"/>
      <c r="J43" s="25"/>
      <c r="K43" s="26" t="n">
        <v>3</v>
      </c>
      <c r="L43" s="27" t="n">
        <v>0</v>
      </c>
      <c r="M43" s="28" t="n">
        <f aca="false">IF(H48="WIN",1,0)</f>
        <v>1</v>
      </c>
      <c r="N43" s="4"/>
      <c r="O43" s="45"/>
      <c r="P43" s="45"/>
      <c r="Q43" s="45"/>
      <c r="R43" s="46"/>
      <c r="S43" s="46"/>
      <c r="T43" s="46"/>
      <c r="U43" s="46"/>
      <c r="V43" s="46"/>
      <c r="W43" s="46"/>
      <c r="X43" s="46"/>
      <c r="Y43" s="47"/>
      <c r="Z43" s="44"/>
      <c r="AA43" s="44"/>
      <c r="AB43" s="44"/>
    </row>
    <row r="44" customFormat="false" ht="15.75" hidden="false" customHeight="false" outlineLevel="0" collapsed="false">
      <c r="A44" s="25" t="s">
        <v>66</v>
      </c>
      <c r="B44" s="25"/>
      <c r="C44" s="25"/>
      <c r="D44" s="26" t="n">
        <v>0</v>
      </c>
      <c r="E44" s="27" t="n">
        <v>1</v>
      </c>
      <c r="F44" s="28" t="n">
        <f aca="false">IF(A48="WIN",1,0)</f>
        <v>0</v>
      </c>
      <c r="G44" s="29"/>
      <c r="H44" s="25" t="s">
        <v>85</v>
      </c>
      <c r="I44" s="25"/>
      <c r="J44" s="25"/>
      <c r="K44" s="26" t="n">
        <v>1</v>
      </c>
      <c r="L44" s="27" t="n">
        <v>0</v>
      </c>
      <c r="M44" s="28" t="n">
        <f aca="false">IF(H48="WIN",1,0)</f>
        <v>1</v>
      </c>
      <c r="N44" s="4"/>
      <c r="O44" s="16" t="s">
        <v>55</v>
      </c>
      <c r="P44" s="16"/>
      <c r="Q44" s="16"/>
      <c r="R44" s="48" t="n">
        <f aca="false">SUM(R26:R42)</f>
        <v>20</v>
      </c>
      <c r="S44" s="48" t="n">
        <f aca="false">SUM(S26:S42)</f>
        <v>15</v>
      </c>
      <c r="T44" s="48" t="n">
        <f aca="false">SUM(T26:T42)</f>
        <v>14</v>
      </c>
      <c r="U44" s="48" t="n">
        <f aca="false">SUM(U26:U42)</f>
        <v>-2</v>
      </c>
      <c r="V44" s="48" t="n">
        <f aca="false">SUM(V26:V42)</f>
        <v>-3</v>
      </c>
      <c r="W44" s="48" t="n">
        <f aca="false">SUM(W26:W42)</f>
        <v>2</v>
      </c>
      <c r="X44" s="48" t="n">
        <f aca="false">SUM(X26:X42)</f>
        <v>-35</v>
      </c>
      <c r="Y44" s="48" t="n">
        <f aca="false">SUM(Y26:Y42)</f>
        <v>-19</v>
      </c>
      <c r="Z44" s="44"/>
      <c r="AA44" s="44"/>
      <c r="AB44" s="44"/>
    </row>
    <row r="45" customFormat="false" ht="15.75" hidden="false" customHeight="false" outlineLevel="0" collapsed="false">
      <c r="A45" s="25" t="s">
        <v>86</v>
      </c>
      <c r="B45" s="25"/>
      <c r="C45" s="25"/>
      <c r="D45" s="26" t="n">
        <v>0</v>
      </c>
      <c r="E45" s="27" t="n">
        <v>1</v>
      </c>
      <c r="F45" s="28" t="n">
        <f aca="false">IF(A48="WIN",1,0)</f>
        <v>0</v>
      </c>
      <c r="G45" s="29"/>
      <c r="H45" s="25" t="s">
        <v>19</v>
      </c>
      <c r="I45" s="25"/>
      <c r="J45" s="25"/>
      <c r="K45" s="26" t="n">
        <v>0</v>
      </c>
      <c r="L45" s="27" t="n">
        <v>0</v>
      </c>
      <c r="M45" s="28" t="n">
        <f aca="false">IF(H48="WIN",1,0)</f>
        <v>1</v>
      </c>
      <c r="N45" s="4"/>
      <c r="O45" s="51"/>
      <c r="P45" s="51"/>
      <c r="Q45" s="51"/>
      <c r="R45" s="51"/>
      <c r="S45" s="51"/>
      <c r="T45" s="51"/>
      <c r="U45" s="51"/>
      <c r="V45" s="51"/>
      <c r="W45" s="51"/>
      <c r="X45" s="51"/>
      <c r="Y45" s="51"/>
      <c r="Z45" s="51"/>
      <c r="AA45" s="51"/>
      <c r="AB45" s="51"/>
    </row>
    <row r="46" customFormat="false" ht="15.75" hidden="false" customHeight="false" outlineLevel="0" collapsed="false">
      <c r="A46" s="25" t="s">
        <v>62</v>
      </c>
      <c r="B46" s="25"/>
      <c r="C46" s="25"/>
      <c r="D46" s="26" t="n">
        <v>0</v>
      </c>
      <c r="E46" s="27" t="n">
        <v>1</v>
      </c>
      <c r="F46" s="28" t="n">
        <f aca="false">IF(A48="WIN",1,0)</f>
        <v>0</v>
      </c>
      <c r="G46" s="29"/>
      <c r="H46" s="25" t="s">
        <v>87</v>
      </c>
      <c r="I46" s="25"/>
      <c r="J46" s="25"/>
      <c r="K46" s="26" t="n">
        <v>0</v>
      </c>
      <c r="L46" s="27" t="n">
        <v>0</v>
      </c>
      <c r="M46" s="28" t="n">
        <f aca="false">IF(H48="WIN",1,0)</f>
        <v>1</v>
      </c>
      <c r="N46" s="4"/>
      <c r="O46" s="51"/>
      <c r="P46" s="51"/>
      <c r="Q46" s="51"/>
      <c r="R46" s="51"/>
      <c r="S46" s="51"/>
      <c r="T46" s="51"/>
      <c r="U46" s="51"/>
      <c r="V46" s="51"/>
      <c r="W46" s="51"/>
      <c r="X46" s="51"/>
      <c r="Y46" s="51"/>
      <c r="Z46" s="51"/>
      <c r="AA46" s="51"/>
      <c r="AB46" s="51"/>
    </row>
    <row r="47" customFormat="false" ht="15.75" hidden="false" customHeight="false" outlineLevel="0" collapsed="false">
      <c r="A47" s="25" t="s">
        <v>57</v>
      </c>
      <c r="B47" s="25"/>
      <c r="C47" s="25"/>
      <c r="D47" s="33" t="n">
        <v>0</v>
      </c>
      <c r="E47" s="34" t="n">
        <v>1</v>
      </c>
      <c r="F47" s="28" t="n">
        <f aca="false">IF(A48="WIN",1,0)</f>
        <v>0</v>
      </c>
      <c r="G47" s="29"/>
      <c r="H47" s="25" t="s">
        <v>88</v>
      </c>
      <c r="I47" s="25"/>
      <c r="J47" s="25"/>
      <c r="K47" s="33" t="n">
        <v>0</v>
      </c>
      <c r="L47" s="34" t="n">
        <v>0</v>
      </c>
      <c r="M47" s="28" t="n">
        <f aca="false">IF(H48="WIN",1,0)</f>
        <v>1</v>
      </c>
      <c r="N47" s="4"/>
      <c r="O47" s="51"/>
      <c r="P47" s="51"/>
      <c r="Q47" s="51"/>
      <c r="R47" s="51"/>
      <c r="S47" s="51"/>
      <c r="T47" s="51"/>
      <c r="U47" s="51"/>
      <c r="V47" s="51"/>
      <c r="W47" s="51"/>
      <c r="X47" s="51"/>
      <c r="Y47" s="51"/>
      <c r="Z47" s="51"/>
      <c r="AA47" s="51"/>
      <c r="AB47" s="51"/>
    </row>
    <row r="48" customFormat="false" ht="15.75" hidden="false" customHeight="false" outlineLevel="0" collapsed="false">
      <c r="A48" s="40" t="s">
        <v>10</v>
      </c>
      <c r="B48" s="40"/>
      <c r="C48" s="40"/>
      <c r="D48" s="36"/>
      <c r="E48" s="37"/>
      <c r="F48" s="38"/>
      <c r="G48" s="39"/>
      <c r="H48" s="40" t="s">
        <v>11</v>
      </c>
      <c r="I48" s="40"/>
      <c r="J48" s="40"/>
      <c r="K48" s="41"/>
      <c r="L48" s="37"/>
      <c r="M48" s="38"/>
      <c r="N48" s="4"/>
      <c r="O48" s="52"/>
      <c r="P48" s="52"/>
      <c r="Q48" s="52"/>
      <c r="R48" s="52"/>
      <c r="S48" s="52"/>
      <c r="T48" s="52"/>
      <c r="U48" s="52"/>
      <c r="V48" s="52"/>
      <c r="W48" s="52"/>
      <c r="X48" s="52"/>
      <c r="Y48" s="52"/>
      <c r="Z48" s="52"/>
      <c r="AA48" s="52"/>
      <c r="AB48" s="52"/>
    </row>
    <row r="49" customFormat="false" ht="15.75" hidden="false" customHeight="false" outlineLevel="0" collapsed="false">
      <c r="A49" s="10" t="s">
        <v>4</v>
      </c>
      <c r="B49" s="10"/>
      <c r="C49" s="10"/>
      <c r="D49" s="11" t="s">
        <v>5</v>
      </c>
      <c r="E49" s="12" t="s">
        <v>6</v>
      </c>
      <c r="F49" s="13" t="s">
        <v>7</v>
      </c>
      <c r="G49" s="14"/>
      <c r="H49" s="15" t="s">
        <v>8</v>
      </c>
      <c r="I49" s="15"/>
      <c r="J49" s="15"/>
      <c r="K49" s="11" t="s">
        <v>5</v>
      </c>
      <c r="L49" s="12" t="s">
        <v>6</v>
      </c>
      <c r="M49" s="13" t="s">
        <v>7</v>
      </c>
      <c r="N49" s="4"/>
      <c r="O49" s="52"/>
      <c r="P49" s="52"/>
      <c r="Q49" s="52"/>
      <c r="R49" s="52"/>
      <c r="S49" s="52"/>
      <c r="T49" s="52"/>
      <c r="U49" s="52"/>
      <c r="V49" s="52"/>
      <c r="W49" s="52"/>
      <c r="X49" s="52"/>
      <c r="Y49" s="52"/>
      <c r="Z49" s="52"/>
      <c r="AA49" s="52"/>
      <c r="AB49" s="52"/>
    </row>
    <row r="50" customFormat="false" ht="15.75" hidden="false" customHeight="false" outlineLevel="0" collapsed="false">
      <c r="A50" s="23" t="str">
        <f aca="false">BTB!$G$1</f>
        <v>Battlin Brelooms</v>
      </c>
      <c r="B50" s="23"/>
      <c r="C50" s="23"/>
      <c r="D50" s="19" t="n">
        <v>4</v>
      </c>
      <c r="E50" s="20" t="n">
        <v>6</v>
      </c>
      <c r="F50" s="21" t="str">
        <f aca="false">IF(A57="WIN","W",IF(A57="LOSE","L",""))</f>
        <v>L</v>
      </c>
      <c r="G50" s="22"/>
      <c r="H50" s="18" t="str">
        <f aca="false">SEA!$G$1</f>
        <v>Seattle Seadras</v>
      </c>
      <c r="I50" s="18"/>
      <c r="J50" s="18"/>
      <c r="K50" s="19" t="n">
        <v>6</v>
      </c>
      <c r="L50" s="20" t="n">
        <v>4</v>
      </c>
      <c r="M50" s="21" t="str">
        <f aca="false">IF(H57="WIN","W",IF(H57="LOSE","L",""))</f>
        <v>W</v>
      </c>
      <c r="N50" s="4"/>
      <c r="O50" s="53"/>
      <c r="P50" s="53"/>
      <c r="Q50" s="53"/>
      <c r="R50" s="53"/>
      <c r="S50" s="53"/>
      <c r="T50" s="53"/>
      <c r="U50" s="53"/>
      <c r="V50" s="53"/>
      <c r="W50" s="53"/>
      <c r="X50" s="53"/>
      <c r="Y50" s="53"/>
      <c r="Z50" s="53"/>
      <c r="AA50" s="53"/>
      <c r="AB50" s="53"/>
    </row>
    <row r="51" customFormat="false" ht="15.75" hidden="false" customHeight="false" outlineLevel="0" collapsed="false">
      <c r="A51" s="25" t="s">
        <v>58</v>
      </c>
      <c r="B51" s="25"/>
      <c r="C51" s="25"/>
      <c r="D51" s="26" t="n">
        <v>0</v>
      </c>
      <c r="E51" s="27" t="n">
        <v>1</v>
      </c>
      <c r="F51" s="28" t="n">
        <f aca="false">IF(A57="WIN",1,0)</f>
        <v>0</v>
      </c>
      <c r="G51" s="29"/>
      <c r="H51" s="25" t="s">
        <v>89</v>
      </c>
      <c r="I51" s="25"/>
      <c r="J51" s="25"/>
      <c r="K51" s="26" t="n">
        <v>3</v>
      </c>
      <c r="L51" s="27" t="n">
        <v>0</v>
      </c>
      <c r="M51" s="28" t="n">
        <f aca="false">IF(H57="WIN",1,0)</f>
        <v>1</v>
      </c>
      <c r="N51" s="4"/>
      <c r="O51" s="51"/>
      <c r="P51" s="51"/>
      <c r="Q51" s="51"/>
      <c r="R51" s="51"/>
      <c r="S51" s="51"/>
      <c r="T51" s="51"/>
      <c r="U51" s="51"/>
      <c r="V51" s="51"/>
      <c r="W51" s="51"/>
      <c r="X51" s="51"/>
      <c r="Y51" s="51"/>
      <c r="Z51" s="51"/>
      <c r="AA51" s="51"/>
      <c r="AB51" s="51"/>
    </row>
    <row r="52" customFormat="false" ht="15.75" hidden="false" customHeight="false" outlineLevel="0" collapsed="false">
      <c r="A52" s="25" t="s">
        <v>69</v>
      </c>
      <c r="B52" s="25"/>
      <c r="C52" s="25"/>
      <c r="D52" s="26" t="n">
        <v>3</v>
      </c>
      <c r="E52" s="27" t="n">
        <v>1</v>
      </c>
      <c r="F52" s="28" t="n">
        <f aca="false">IF(A57="WIN",1,0)</f>
        <v>0</v>
      </c>
      <c r="G52" s="29"/>
      <c r="H52" s="25" t="s">
        <v>46</v>
      </c>
      <c r="I52" s="25"/>
      <c r="J52" s="25"/>
      <c r="K52" s="26" t="n">
        <v>0</v>
      </c>
      <c r="L52" s="27" t="n">
        <v>1</v>
      </c>
      <c r="M52" s="28" t="n">
        <f aca="false">IF(H57="WIN",1,0)</f>
        <v>1</v>
      </c>
      <c r="N52" s="4"/>
      <c r="O52" s="51"/>
      <c r="P52" s="51"/>
      <c r="Q52" s="51"/>
      <c r="R52" s="51"/>
      <c r="S52" s="51"/>
      <c r="T52" s="51"/>
      <c r="U52" s="51"/>
      <c r="V52" s="51"/>
      <c r="W52" s="51"/>
      <c r="X52" s="51"/>
      <c r="Y52" s="51"/>
      <c r="Z52" s="51"/>
      <c r="AA52" s="51"/>
      <c r="AB52" s="51"/>
    </row>
    <row r="53" customFormat="false" ht="15.75" hidden="false" customHeight="false" outlineLevel="0" collapsed="false">
      <c r="A53" s="25" t="s">
        <v>65</v>
      </c>
      <c r="B53" s="25"/>
      <c r="C53" s="25"/>
      <c r="D53" s="26" t="n">
        <v>0</v>
      </c>
      <c r="E53" s="27" t="n">
        <v>1</v>
      </c>
      <c r="F53" s="28" t="n">
        <f aca="false">IF(A57="WIN",1,0)</f>
        <v>0</v>
      </c>
      <c r="G53" s="29"/>
      <c r="H53" s="25" t="s">
        <v>90</v>
      </c>
      <c r="I53" s="25"/>
      <c r="J53" s="25"/>
      <c r="K53" s="26" t="n">
        <v>1</v>
      </c>
      <c r="L53" s="27" t="n">
        <v>1</v>
      </c>
      <c r="M53" s="28" t="n">
        <f aca="false">IF(H57="WIN",1,0)</f>
        <v>1</v>
      </c>
      <c r="N53" s="4"/>
      <c r="O53" s="51"/>
      <c r="P53" s="51"/>
      <c r="Q53" s="51"/>
      <c r="R53" s="51"/>
      <c r="S53" s="51"/>
      <c r="T53" s="51"/>
      <c r="U53" s="51"/>
      <c r="V53" s="51"/>
      <c r="W53" s="51"/>
      <c r="X53" s="51"/>
      <c r="Y53" s="51"/>
      <c r="Z53" s="51"/>
      <c r="AA53" s="51"/>
      <c r="AB53" s="51"/>
    </row>
    <row r="54" customFormat="false" ht="15.75" hidden="false" customHeight="false" outlineLevel="0" collapsed="false">
      <c r="A54" s="25" t="s">
        <v>61</v>
      </c>
      <c r="B54" s="25"/>
      <c r="C54" s="25"/>
      <c r="D54" s="26" t="n">
        <v>1</v>
      </c>
      <c r="E54" s="27" t="n">
        <v>1</v>
      </c>
      <c r="F54" s="28" t="n">
        <f aca="false">IF(A57="WIN",1,0)</f>
        <v>0</v>
      </c>
      <c r="G54" s="29"/>
      <c r="H54" s="25" t="s">
        <v>91</v>
      </c>
      <c r="I54" s="25"/>
      <c r="J54" s="25"/>
      <c r="K54" s="26" t="n">
        <v>2</v>
      </c>
      <c r="L54" s="27" t="n">
        <v>0</v>
      </c>
      <c r="M54" s="28" t="n">
        <f aca="false">IF(H57="WIN",1,0)</f>
        <v>1</v>
      </c>
      <c r="N54" s="4"/>
      <c r="O54" s="51"/>
      <c r="P54" s="51"/>
      <c r="Q54" s="51"/>
      <c r="R54" s="51"/>
      <c r="S54" s="51"/>
      <c r="T54" s="51"/>
      <c r="U54" s="51"/>
      <c r="V54" s="51"/>
      <c r="W54" s="51"/>
      <c r="X54" s="51"/>
      <c r="Y54" s="51"/>
      <c r="Z54" s="51"/>
      <c r="AA54" s="51"/>
      <c r="AB54" s="51"/>
    </row>
    <row r="55" customFormat="false" ht="15.75" hidden="false" customHeight="false" outlineLevel="0" collapsed="false">
      <c r="A55" s="25" t="s">
        <v>67</v>
      </c>
      <c r="B55" s="25"/>
      <c r="C55" s="25"/>
      <c r="D55" s="26" t="n">
        <v>0</v>
      </c>
      <c r="E55" s="27" t="n">
        <v>1</v>
      </c>
      <c r="F55" s="28" t="n">
        <f aca="false">IF(A57="WIN",1,0)</f>
        <v>0</v>
      </c>
      <c r="G55" s="29"/>
      <c r="H55" s="25" t="s">
        <v>49</v>
      </c>
      <c r="I55" s="25"/>
      <c r="J55" s="25"/>
      <c r="K55" s="26" t="n">
        <v>0</v>
      </c>
      <c r="L55" s="27" t="n">
        <v>1</v>
      </c>
      <c r="M55" s="28" t="n">
        <f aca="false">IF(H57="WIN",1,0)</f>
        <v>1</v>
      </c>
      <c r="N55" s="4"/>
      <c r="O55" s="51"/>
      <c r="P55" s="51"/>
      <c r="Q55" s="51"/>
      <c r="R55" s="51"/>
      <c r="S55" s="51"/>
      <c r="T55" s="51"/>
      <c r="U55" s="51"/>
      <c r="V55" s="51"/>
      <c r="W55" s="51"/>
      <c r="X55" s="51"/>
      <c r="Y55" s="51"/>
      <c r="Z55" s="51"/>
      <c r="AA55" s="51"/>
      <c r="AB55" s="51"/>
    </row>
    <row r="56" customFormat="false" ht="15.75" hidden="false" customHeight="false" outlineLevel="0" collapsed="false">
      <c r="A56" s="25" t="s">
        <v>63</v>
      </c>
      <c r="B56" s="25"/>
      <c r="C56" s="25"/>
      <c r="D56" s="33" t="n">
        <v>0</v>
      </c>
      <c r="E56" s="34" t="n">
        <v>1</v>
      </c>
      <c r="F56" s="28" t="n">
        <f aca="false">IF(A57="WIN",1,0)</f>
        <v>0</v>
      </c>
      <c r="G56" s="29"/>
      <c r="H56" s="25" t="s">
        <v>92</v>
      </c>
      <c r="I56" s="25"/>
      <c r="J56" s="25"/>
      <c r="K56" s="33" t="n">
        <v>0</v>
      </c>
      <c r="L56" s="34" t="n">
        <v>1</v>
      </c>
      <c r="M56" s="28" t="n">
        <f aca="false">IF(H57="WIN",1,0)</f>
        <v>1</v>
      </c>
      <c r="N56" s="4"/>
      <c r="O56" s="51"/>
      <c r="P56" s="51"/>
      <c r="Q56" s="51"/>
      <c r="R56" s="51"/>
      <c r="S56" s="51"/>
      <c r="T56" s="51"/>
      <c r="U56" s="51"/>
      <c r="V56" s="51"/>
      <c r="W56" s="51"/>
      <c r="X56" s="51"/>
      <c r="Y56" s="51"/>
      <c r="Z56" s="51"/>
      <c r="AA56" s="51"/>
      <c r="AB56" s="51"/>
    </row>
    <row r="57" customFormat="false" ht="15.75" hidden="false" customHeight="false" outlineLevel="0" collapsed="false">
      <c r="A57" s="35" t="s">
        <v>10</v>
      </c>
      <c r="B57" s="35"/>
      <c r="C57" s="35"/>
      <c r="D57" s="36"/>
      <c r="E57" s="37"/>
      <c r="F57" s="38"/>
      <c r="G57" s="39"/>
      <c r="H57" s="54" t="s">
        <v>11</v>
      </c>
      <c r="I57" s="54"/>
      <c r="J57" s="54"/>
      <c r="K57" s="41"/>
      <c r="L57" s="37"/>
      <c r="M57" s="38"/>
      <c r="N57" s="4"/>
      <c r="O57" s="52"/>
      <c r="P57" s="52"/>
      <c r="Q57" s="52"/>
      <c r="R57" s="52"/>
      <c r="S57" s="52"/>
      <c r="T57" s="52"/>
      <c r="U57" s="52"/>
      <c r="V57" s="52"/>
      <c r="W57" s="52"/>
      <c r="X57" s="52"/>
      <c r="Y57" s="52"/>
      <c r="Z57" s="52"/>
      <c r="AA57" s="52"/>
      <c r="AB57" s="52"/>
    </row>
    <row r="58" customFormat="false" ht="15.75" hidden="false" customHeight="false" outlineLevel="0" collapsed="false">
      <c r="A58" s="10" t="s">
        <v>4</v>
      </c>
      <c r="B58" s="10"/>
      <c r="C58" s="10"/>
      <c r="D58" s="11" t="s">
        <v>5</v>
      </c>
      <c r="E58" s="12" t="s">
        <v>6</v>
      </c>
      <c r="F58" s="13" t="s">
        <v>7</v>
      </c>
      <c r="G58" s="14"/>
      <c r="H58" s="15" t="s">
        <v>8</v>
      </c>
      <c r="I58" s="15"/>
      <c r="J58" s="15"/>
      <c r="K58" s="11" t="s">
        <v>5</v>
      </c>
      <c r="L58" s="12" t="s">
        <v>6</v>
      </c>
      <c r="M58" s="13" t="s">
        <v>7</v>
      </c>
      <c r="N58" s="4"/>
      <c r="O58" s="52"/>
      <c r="P58" s="52"/>
      <c r="Q58" s="52"/>
      <c r="R58" s="52"/>
      <c r="S58" s="52"/>
      <c r="T58" s="52"/>
      <c r="U58" s="52"/>
      <c r="V58" s="52"/>
      <c r="W58" s="52"/>
      <c r="X58" s="52"/>
      <c r="Y58" s="52"/>
      <c r="Z58" s="52"/>
      <c r="AA58" s="52"/>
      <c r="AB58" s="52"/>
    </row>
    <row r="59" customFormat="false" ht="15.75" hidden="false" customHeight="false" outlineLevel="0" collapsed="false">
      <c r="A59" s="18" t="str">
        <f aca="false">SGP!$G$1</f>
        <v>Slung Patrol</v>
      </c>
      <c r="B59" s="18"/>
      <c r="C59" s="18"/>
      <c r="D59" s="19" t="n">
        <v>0</v>
      </c>
      <c r="E59" s="20" t="n">
        <v>6</v>
      </c>
      <c r="F59" s="21" t="str">
        <f aca="false">IF(A66="WIN","W",IF(A66="LOSE","L",""))</f>
        <v>L</v>
      </c>
      <c r="G59" s="22"/>
      <c r="H59" s="23" t="str">
        <f aca="false">JVJ!$G$1</f>
        <v>Jacksonville Jumpluffs</v>
      </c>
      <c r="I59" s="23"/>
      <c r="J59" s="23"/>
      <c r="K59" s="19" t="n">
        <v>6</v>
      </c>
      <c r="L59" s="20" t="n">
        <v>0</v>
      </c>
      <c r="M59" s="21" t="str">
        <f aca="false">IF(H66="WIN","W",IF(H66="LOSE","L",""))</f>
        <v>W</v>
      </c>
      <c r="N59" s="4"/>
      <c r="O59" s="53"/>
      <c r="P59" s="53"/>
      <c r="Q59" s="53"/>
      <c r="R59" s="53"/>
      <c r="S59" s="53"/>
      <c r="T59" s="53"/>
      <c r="U59" s="53"/>
      <c r="V59" s="53"/>
      <c r="W59" s="53"/>
      <c r="X59" s="53"/>
      <c r="Y59" s="53"/>
      <c r="Z59" s="53"/>
      <c r="AA59" s="53"/>
      <c r="AB59" s="53"/>
    </row>
    <row r="60" customFormat="false" ht="15.75" hidden="false" customHeight="false" outlineLevel="0" collapsed="false">
      <c r="A60" s="25" t="s">
        <v>93</v>
      </c>
      <c r="B60" s="25"/>
      <c r="C60" s="25"/>
      <c r="D60" s="26" t="n">
        <v>0</v>
      </c>
      <c r="E60" s="27" t="n">
        <v>1</v>
      </c>
      <c r="F60" s="28" t="n">
        <f aca="false">IF(A66="WIN",1,0)</f>
        <v>0</v>
      </c>
      <c r="G60" s="29"/>
      <c r="H60" s="25" t="s">
        <v>94</v>
      </c>
      <c r="I60" s="25"/>
      <c r="J60" s="25"/>
      <c r="K60" s="26" t="n">
        <v>5</v>
      </c>
      <c r="L60" s="27" t="n">
        <v>0</v>
      </c>
      <c r="M60" s="28" t="n">
        <f aca="false">IF(H66="WIN",1,0)</f>
        <v>1</v>
      </c>
      <c r="N60" s="4"/>
      <c r="O60" s="51"/>
      <c r="P60" s="51"/>
      <c r="Q60" s="51"/>
      <c r="R60" s="51"/>
      <c r="S60" s="51"/>
      <c r="T60" s="51"/>
      <c r="U60" s="51"/>
      <c r="V60" s="51"/>
      <c r="W60" s="51"/>
      <c r="X60" s="51"/>
      <c r="Y60" s="51"/>
      <c r="Z60" s="51"/>
      <c r="AA60" s="51"/>
      <c r="AB60" s="51"/>
    </row>
    <row r="61" customFormat="false" ht="15.75" hidden="false" customHeight="false" outlineLevel="0" collapsed="false">
      <c r="A61" s="25" t="s">
        <v>81</v>
      </c>
      <c r="B61" s="25"/>
      <c r="C61" s="25"/>
      <c r="D61" s="26" t="n">
        <v>0</v>
      </c>
      <c r="E61" s="27" t="n">
        <v>1</v>
      </c>
      <c r="F61" s="28" t="n">
        <f aca="false">IF(A66="WIN",1,0)</f>
        <v>0</v>
      </c>
      <c r="G61" s="29"/>
      <c r="H61" s="25" t="s">
        <v>95</v>
      </c>
      <c r="I61" s="25"/>
      <c r="J61" s="25"/>
      <c r="K61" s="26" t="n">
        <v>1</v>
      </c>
      <c r="L61" s="27" t="n">
        <v>0</v>
      </c>
      <c r="M61" s="28" t="n">
        <f aca="false">IF(H66="WIN",1,0)</f>
        <v>1</v>
      </c>
      <c r="N61" s="4"/>
      <c r="O61" s="51"/>
      <c r="P61" s="51"/>
      <c r="Q61" s="51"/>
      <c r="R61" s="51"/>
      <c r="S61" s="51"/>
      <c r="T61" s="51"/>
      <c r="U61" s="51"/>
      <c r="V61" s="51"/>
      <c r="W61" s="51"/>
      <c r="X61" s="51"/>
      <c r="Y61" s="51"/>
      <c r="Z61" s="51"/>
      <c r="AA61" s="51"/>
      <c r="AB61" s="51"/>
    </row>
    <row r="62" customFormat="false" ht="15.75" hidden="false" customHeight="false" outlineLevel="0" collapsed="false">
      <c r="A62" s="25" t="s">
        <v>96</v>
      </c>
      <c r="B62" s="25"/>
      <c r="C62" s="25"/>
      <c r="D62" s="26" t="n">
        <v>0</v>
      </c>
      <c r="E62" s="27" t="n">
        <v>1</v>
      </c>
      <c r="F62" s="28" t="n">
        <f aca="false">IF(A66="WIN",1,0)</f>
        <v>0</v>
      </c>
      <c r="G62" s="29"/>
      <c r="H62" s="25" t="s">
        <v>28</v>
      </c>
      <c r="I62" s="25"/>
      <c r="J62" s="25"/>
      <c r="K62" s="26" t="n">
        <v>0</v>
      </c>
      <c r="L62" s="27" t="n">
        <v>0</v>
      </c>
      <c r="M62" s="28" t="n">
        <f aca="false">IF(H66="WIN",1,0)</f>
        <v>1</v>
      </c>
      <c r="N62" s="4"/>
      <c r="O62" s="51"/>
      <c r="P62" s="51"/>
      <c r="Q62" s="51"/>
      <c r="R62" s="51"/>
      <c r="S62" s="51"/>
      <c r="T62" s="51"/>
      <c r="U62" s="51"/>
      <c r="V62" s="51"/>
      <c r="W62" s="51"/>
      <c r="X62" s="51"/>
      <c r="Y62" s="51"/>
      <c r="Z62" s="51"/>
      <c r="AA62" s="51"/>
      <c r="AB62" s="51"/>
    </row>
    <row r="63" customFormat="false" ht="15.75" hidden="false" customHeight="false" outlineLevel="0" collapsed="false">
      <c r="A63" s="25" t="s">
        <v>77</v>
      </c>
      <c r="B63" s="25"/>
      <c r="C63" s="25"/>
      <c r="D63" s="26" t="n">
        <v>0</v>
      </c>
      <c r="E63" s="27" t="n">
        <v>1</v>
      </c>
      <c r="F63" s="28" t="n">
        <f aca="false">IF(A66="WIN",1,0)</f>
        <v>0</v>
      </c>
      <c r="G63" s="29"/>
      <c r="H63" s="25" t="s">
        <v>32</v>
      </c>
      <c r="I63" s="25"/>
      <c r="J63" s="25"/>
      <c r="K63" s="26" t="n">
        <v>0</v>
      </c>
      <c r="L63" s="27" t="n">
        <v>0</v>
      </c>
      <c r="M63" s="28" t="n">
        <f aca="false">IF(H66="WIN",1,0)</f>
        <v>1</v>
      </c>
      <c r="N63" s="4"/>
      <c r="O63" s="51"/>
      <c r="P63" s="51"/>
      <c r="Q63" s="51"/>
      <c r="R63" s="51"/>
      <c r="S63" s="51"/>
      <c r="T63" s="51"/>
      <c r="U63" s="51"/>
      <c r="V63" s="51"/>
      <c r="W63" s="51"/>
      <c r="X63" s="51"/>
      <c r="Y63" s="51"/>
      <c r="Z63" s="51"/>
      <c r="AA63" s="51"/>
      <c r="AB63" s="51"/>
    </row>
    <row r="64" customFormat="false" ht="15.75" hidden="false" customHeight="false" outlineLevel="0" collapsed="false">
      <c r="A64" s="25" t="s">
        <v>97</v>
      </c>
      <c r="B64" s="25"/>
      <c r="C64" s="25"/>
      <c r="D64" s="26" t="n">
        <v>0</v>
      </c>
      <c r="E64" s="27" t="n">
        <v>1</v>
      </c>
      <c r="F64" s="28" t="n">
        <f aca="false">IF(A66="WIN",1,0)</f>
        <v>0</v>
      </c>
      <c r="G64" s="29"/>
      <c r="H64" s="25" t="s">
        <v>20</v>
      </c>
      <c r="I64" s="25"/>
      <c r="J64" s="25"/>
      <c r="K64" s="26" t="n">
        <v>0</v>
      </c>
      <c r="L64" s="27" t="n">
        <v>0</v>
      </c>
      <c r="M64" s="28" t="n">
        <f aca="false">IF(H66="WIN",1,0)</f>
        <v>1</v>
      </c>
      <c r="N64" s="4"/>
      <c r="O64" s="51"/>
      <c r="P64" s="51"/>
      <c r="Q64" s="51"/>
      <c r="R64" s="51"/>
      <c r="S64" s="51"/>
      <c r="T64" s="51"/>
      <c r="U64" s="51"/>
      <c r="V64" s="51"/>
      <c r="W64" s="51"/>
      <c r="X64" s="51"/>
      <c r="Y64" s="51"/>
      <c r="Z64" s="51"/>
      <c r="AA64" s="51"/>
      <c r="AB64" s="51"/>
    </row>
    <row r="65" customFormat="false" ht="15.75" hidden="false" customHeight="false" outlineLevel="0" collapsed="false">
      <c r="A65" s="25" t="s">
        <v>73</v>
      </c>
      <c r="B65" s="25"/>
      <c r="C65" s="25"/>
      <c r="D65" s="33" t="n">
        <v>0</v>
      </c>
      <c r="E65" s="34" t="n">
        <v>1</v>
      </c>
      <c r="F65" s="28" t="n">
        <f aca="false">IF(A66="WIN",1,0)</f>
        <v>0</v>
      </c>
      <c r="G65" s="29"/>
      <c r="H65" s="25" t="s">
        <v>98</v>
      </c>
      <c r="I65" s="25"/>
      <c r="J65" s="25"/>
      <c r="K65" s="33" t="n">
        <v>0</v>
      </c>
      <c r="L65" s="34" t="n">
        <v>0</v>
      </c>
      <c r="M65" s="28" t="n">
        <f aca="false">IF(H66="WIN",1,0)</f>
        <v>1</v>
      </c>
      <c r="N65" s="4"/>
      <c r="O65" s="51"/>
      <c r="P65" s="51"/>
      <c r="Q65" s="51"/>
      <c r="R65" s="51"/>
      <c r="S65" s="51"/>
      <c r="T65" s="51"/>
      <c r="U65" s="51"/>
      <c r="V65" s="51"/>
      <c r="W65" s="51"/>
      <c r="X65" s="51"/>
      <c r="Y65" s="51"/>
      <c r="Z65" s="51"/>
      <c r="AA65" s="51"/>
      <c r="AB65" s="51"/>
    </row>
    <row r="66" customFormat="false" ht="15.75" hidden="false" customHeight="false" outlineLevel="0" collapsed="false">
      <c r="A66" s="35" t="s">
        <v>10</v>
      </c>
      <c r="B66" s="35"/>
      <c r="C66" s="35"/>
      <c r="D66" s="36"/>
      <c r="E66" s="37"/>
      <c r="F66" s="38"/>
      <c r="G66" s="39"/>
      <c r="H66" s="54" t="s">
        <v>11</v>
      </c>
      <c r="I66" s="54"/>
      <c r="J66" s="54"/>
      <c r="K66" s="41"/>
      <c r="L66" s="37"/>
      <c r="M66" s="38"/>
      <c r="N66" s="4"/>
      <c r="O66" s="52"/>
      <c r="P66" s="52"/>
      <c r="Q66" s="52"/>
      <c r="R66" s="52"/>
      <c r="S66" s="52"/>
      <c r="T66" s="52"/>
      <c r="U66" s="52"/>
      <c r="V66" s="52"/>
      <c r="W66" s="52"/>
      <c r="X66" s="52"/>
      <c r="Y66" s="52"/>
      <c r="Z66" s="52"/>
      <c r="AA66" s="52"/>
      <c r="AB66" s="52"/>
    </row>
    <row r="67" customFormat="false" ht="15.75" hidden="false" customHeight="false" outlineLevel="0" collapsed="false">
      <c r="A67" s="10" t="s">
        <v>4</v>
      </c>
      <c r="B67" s="10"/>
      <c r="C67" s="10"/>
      <c r="D67" s="11" t="s">
        <v>5</v>
      </c>
      <c r="E67" s="12" t="s">
        <v>6</v>
      </c>
      <c r="F67" s="13" t="s">
        <v>7</v>
      </c>
      <c r="G67" s="14"/>
      <c r="H67" s="15" t="s">
        <v>8</v>
      </c>
      <c r="I67" s="15"/>
      <c r="J67" s="15"/>
      <c r="K67" s="11" t="s">
        <v>5</v>
      </c>
      <c r="L67" s="12" t="s">
        <v>6</v>
      </c>
      <c r="M67" s="13" t="s">
        <v>7</v>
      </c>
      <c r="N67" s="4"/>
      <c r="O67" s="52"/>
      <c r="P67" s="52"/>
      <c r="Q67" s="52"/>
      <c r="R67" s="52"/>
      <c r="S67" s="52"/>
      <c r="T67" s="52"/>
      <c r="U67" s="52"/>
      <c r="V67" s="52"/>
      <c r="W67" s="52"/>
      <c r="X67" s="52"/>
      <c r="Y67" s="52"/>
      <c r="Z67" s="52"/>
      <c r="AA67" s="52"/>
      <c r="AB67" s="52"/>
    </row>
    <row r="68" customFormat="false" ht="15.75" hidden="false" customHeight="false" outlineLevel="0" collapsed="false">
      <c r="A68" s="23" t="str">
        <f aca="false">FTT!$G$1</f>
        <v>Fortree Trevenants</v>
      </c>
      <c r="B68" s="23"/>
      <c r="C68" s="23"/>
      <c r="D68" s="19" t="n">
        <v>1</v>
      </c>
      <c r="E68" s="20" t="n">
        <v>6</v>
      </c>
      <c r="F68" s="21" t="str">
        <f aca="false">IF(A75="WIN","W",IF(A75="LOSE","L",""))</f>
        <v>L</v>
      </c>
      <c r="G68" s="22"/>
      <c r="H68" s="23" t="str">
        <f aca="false">BBG!$G$1</f>
        <v>Berlin Bronzong</v>
      </c>
      <c r="I68" s="23"/>
      <c r="J68" s="23"/>
      <c r="K68" s="19" t="n">
        <v>6</v>
      </c>
      <c r="L68" s="20" t="n">
        <v>1</v>
      </c>
      <c r="M68" s="21" t="str">
        <f aca="false">IF(H75="WIN","W",IF(H75="LOSE","L",""))</f>
        <v>W</v>
      </c>
      <c r="N68" s="4"/>
      <c r="O68" s="53"/>
      <c r="P68" s="53"/>
      <c r="Q68" s="53"/>
      <c r="R68" s="53"/>
      <c r="S68" s="53"/>
      <c r="T68" s="53"/>
      <c r="U68" s="53"/>
      <c r="V68" s="53"/>
      <c r="W68" s="53"/>
      <c r="X68" s="53"/>
      <c r="Y68" s="53"/>
      <c r="Z68" s="53"/>
      <c r="AA68" s="53"/>
      <c r="AB68" s="53"/>
    </row>
    <row r="69" customFormat="false" ht="15.75" hidden="false" customHeight="false" outlineLevel="0" collapsed="false">
      <c r="A69" s="25" t="s">
        <v>74</v>
      </c>
      <c r="B69" s="25"/>
      <c r="C69" s="25"/>
      <c r="D69" s="26" t="n">
        <v>1</v>
      </c>
      <c r="E69" s="27" t="n">
        <v>1</v>
      </c>
      <c r="F69" s="28" t="n">
        <f aca="false">IF(A75="WIN",1,0)</f>
        <v>0</v>
      </c>
      <c r="G69" s="29"/>
      <c r="H69" s="25" t="s">
        <v>53</v>
      </c>
      <c r="I69" s="25"/>
      <c r="J69" s="25"/>
      <c r="K69" s="26" t="n">
        <v>0</v>
      </c>
      <c r="L69" s="27" t="n">
        <v>1</v>
      </c>
      <c r="M69" s="28" t="n">
        <f aca="false">IF(H75="WIN",1,0)</f>
        <v>1</v>
      </c>
      <c r="N69" s="4"/>
      <c r="O69" s="51"/>
      <c r="P69" s="51"/>
      <c r="Q69" s="51"/>
      <c r="R69" s="51"/>
      <c r="S69" s="51"/>
      <c r="T69" s="51"/>
      <c r="U69" s="51"/>
      <c r="V69" s="51"/>
      <c r="W69" s="51"/>
      <c r="X69" s="51"/>
      <c r="Y69" s="51"/>
      <c r="Z69" s="51"/>
      <c r="AA69" s="51"/>
      <c r="AB69" s="51"/>
    </row>
    <row r="70" customFormat="false" ht="15.75" hidden="false" customHeight="false" outlineLevel="0" collapsed="false">
      <c r="A70" s="25" t="s">
        <v>72</v>
      </c>
      <c r="B70" s="25"/>
      <c r="C70" s="25"/>
      <c r="D70" s="26" t="n">
        <v>0</v>
      </c>
      <c r="E70" s="27" t="n">
        <v>1</v>
      </c>
      <c r="F70" s="28" t="n">
        <f aca="false">IF(A75="WIN",1,0)</f>
        <v>0</v>
      </c>
      <c r="G70" s="29"/>
      <c r="H70" s="25" t="s">
        <v>38</v>
      </c>
      <c r="I70" s="25"/>
      <c r="J70" s="25"/>
      <c r="K70" s="26" t="n">
        <v>4</v>
      </c>
      <c r="L70" s="27" t="n">
        <v>0</v>
      </c>
      <c r="M70" s="28" t="n">
        <f aca="false">IF(H75="WIN",1,0)</f>
        <v>1</v>
      </c>
      <c r="N70" s="4"/>
      <c r="O70" s="51"/>
      <c r="P70" s="51"/>
      <c r="Q70" s="51"/>
      <c r="R70" s="51"/>
      <c r="S70" s="51"/>
      <c r="T70" s="51"/>
      <c r="U70" s="51"/>
      <c r="V70" s="51"/>
      <c r="W70" s="51"/>
      <c r="X70" s="51"/>
      <c r="Y70" s="51"/>
      <c r="Z70" s="51"/>
      <c r="AA70" s="51"/>
      <c r="AB70" s="51"/>
    </row>
    <row r="71" customFormat="false" ht="15.75" hidden="false" customHeight="false" outlineLevel="0" collapsed="false">
      <c r="A71" s="25" t="s">
        <v>76</v>
      </c>
      <c r="B71" s="25"/>
      <c r="C71" s="25"/>
      <c r="D71" s="26" t="n">
        <v>0</v>
      </c>
      <c r="E71" s="27" t="n">
        <v>1</v>
      </c>
      <c r="F71" s="28" t="n">
        <f aca="false">IF(A75="WIN",1,0)</f>
        <v>0</v>
      </c>
      <c r="G71" s="29"/>
      <c r="H71" s="25" t="s">
        <v>99</v>
      </c>
      <c r="I71" s="25"/>
      <c r="J71" s="25"/>
      <c r="K71" s="26" t="n">
        <v>2</v>
      </c>
      <c r="L71" s="27" t="n">
        <v>0</v>
      </c>
      <c r="M71" s="28" t="n">
        <f aca="false">IF(H75="WIN",1,0)</f>
        <v>1</v>
      </c>
      <c r="N71" s="4"/>
      <c r="O71" s="51"/>
      <c r="P71" s="51"/>
      <c r="Q71" s="51"/>
      <c r="R71" s="51"/>
      <c r="S71" s="51"/>
      <c r="T71" s="51"/>
      <c r="U71" s="51"/>
      <c r="V71" s="51"/>
      <c r="W71" s="51"/>
      <c r="X71" s="51"/>
      <c r="Y71" s="51"/>
      <c r="Z71" s="51"/>
      <c r="AA71" s="51"/>
      <c r="AB71" s="51"/>
    </row>
    <row r="72" customFormat="false" ht="15.75" hidden="false" customHeight="false" outlineLevel="0" collapsed="false">
      <c r="A72" s="25" t="s">
        <v>82</v>
      </c>
      <c r="B72" s="25"/>
      <c r="C72" s="25"/>
      <c r="D72" s="26" t="n">
        <v>0</v>
      </c>
      <c r="E72" s="27" t="n">
        <v>1</v>
      </c>
      <c r="F72" s="28" t="n">
        <f aca="false">IF(A75="WIN",1,0)</f>
        <v>0</v>
      </c>
      <c r="G72" s="29"/>
      <c r="H72" s="25" t="s">
        <v>100</v>
      </c>
      <c r="I72" s="25"/>
      <c r="J72" s="25"/>
      <c r="K72" s="26" t="n">
        <v>0</v>
      </c>
      <c r="L72" s="27" t="n">
        <v>0</v>
      </c>
      <c r="M72" s="28" t="n">
        <f aca="false">IF(H75="WIN",1,0)</f>
        <v>1</v>
      </c>
      <c r="N72" s="4"/>
      <c r="O72" s="51"/>
      <c r="P72" s="51"/>
      <c r="Q72" s="51"/>
      <c r="R72" s="51"/>
      <c r="S72" s="51"/>
      <c r="T72" s="51"/>
      <c r="U72" s="51"/>
      <c r="V72" s="51"/>
      <c r="W72" s="51"/>
      <c r="X72" s="51"/>
      <c r="Y72" s="51"/>
      <c r="Z72" s="51"/>
      <c r="AA72" s="51"/>
      <c r="AB72" s="51"/>
    </row>
    <row r="73" customFormat="false" ht="15.75" hidden="false" customHeight="false" outlineLevel="0" collapsed="false">
      <c r="A73" s="25" t="s">
        <v>80</v>
      </c>
      <c r="B73" s="25"/>
      <c r="C73" s="25"/>
      <c r="D73" s="26" t="n">
        <v>0</v>
      </c>
      <c r="E73" s="27" t="n">
        <v>1</v>
      </c>
      <c r="F73" s="28" t="n">
        <f aca="false">IF(A75="WIN",1,0)</f>
        <v>0</v>
      </c>
      <c r="G73" s="29"/>
      <c r="H73" s="25" t="s">
        <v>101</v>
      </c>
      <c r="I73" s="25"/>
      <c r="J73" s="25"/>
      <c r="K73" s="26" t="n">
        <v>0</v>
      </c>
      <c r="L73" s="27" t="n">
        <v>0</v>
      </c>
      <c r="M73" s="28" t="n">
        <f aca="false">IF(H75="WIN",1,0)</f>
        <v>1</v>
      </c>
      <c r="N73" s="4"/>
      <c r="O73" s="51"/>
      <c r="P73" s="51"/>
      <c r="Q73" s="51"/>
      <c r="R73" s="51"/>
      <c r="S73" s="51"/>
      <c r="T73" s="51"/>
      <c r="U73" s="51"/>
      <c r="V73" s="51"/>
      <c r="W73" s="51"/>
      <c r="X73" s="51"/>
      <c r="Y73" s="51"/>
      <c r="Z73" s="51"/>
      <c r="AA73" s="51"/>
      <c r="AB73" s="51"/>
    </row>
    <row r="74" customFormat="false" ht="15.75" hidden="false" customHeight="false" outlineLevel="0" collapsed="false">
      <c r="A74" s="25" t="s">
        <v>78</v>
      </c>
      <c r="B74" s="25"/>
      <c r="C74" s="25"/>
      <c r="D74" s="33" t="n">
        <v>0</v>
      </c>
      <c r="E74" s="34" t="n">
        <v>1</v>
      </c>
      <c r="F74" s="28" t="n">
        <f aca="false">IF(A75="WIN",1,0)</f>
        <v>0</v>
      </c>
      <c r="G74" s="29"/>
      <c r="H74" s="25" t="s">
        <v>47</v>
      </c>
      <c r="I74" s="25"/>
      <c r="J74" s="25"/>
      <c r="K74" s="33" t="n">
        <v>0</v>
      </c>
      <c r="L74" s="34" t="n">
        <v>0</v>
      </c>
      <c r="M74" s="28" t="n">
        <f aca="false">IF(H75="WIN",1,0)</f>
        <v>1</v>
      </c>
      <c r="N74" s="4"/>
      <c r="O74" s="51"/>
      <c r="P74" s="51"/>
      <c r="Q74" s="51"/>
      <c r="R74" s="51"/>
      <c r="S74" s="51"/>
      <c r="T74" s="51"/>
      <c r="U74" s="51"/>
      <c r="V74" s="51"/>
      <c r="W74" s="51"/>
      <c r="X74" s="51"/>
      <c r="Y74" s="51"/>
      <c r="Z74" s="51"/>
      <c r="AA74" s="51"/>
      <c r="AB74" s="51"/>
    </row>
    <row r="75" customFormat="false" ht="15.75" hidden="false" customHeight="false" outlineLevel="0" collapsed="false">
      <c r="A75" s="35" t="s">
        <v>10</v>
      </c>
      <c r="B75" s="35"/>
      <c r="C75" s="35"/>
      <c r="D75" s="36"/>
      <c r="E75" s="37"/>
      <c r="F75" s="38"/>
      <c r="G75" s="39"/>
      <c r="H75" s="54" t="s">
        <v>11</v>
      </c>
      <c r="I75" s="54"/>
      <c r="J75" s="54"/>
      <c r="K75" s="41"/>
      <c r="L75" s="37"/>
      <c r="M75" s="38"/>
      <c r="N75" s="4"/>
      <c r="O75" s="52"/>
      <c r="P75" s="52"/>
      <c r="Q75" s="52"/>
      <c r="R75" s="52"/>
      <c r="S75" s="52"/>
      <c r="T75" s="52"/>
      <c r="U75" s="52"/>
      <c r="V75" s="52"/>
      <c r="W75" s="52"/>
      <c r="X75" s="52"/>
      <c r="Y75" s="52"/>
      <c r="Z75" s="52"/>
      <c r="AA75" s="52"/>
      <c r="AB75" s="52"/>
    </row>
    <row r="76" customFormat="false" ht="17.25" hidden="false" customHeight="false" outlineLevel="0" collapsed="false">
      <c r="A76" s="6" t="s">
        <v>102</v>
      </c>
      <c r="B76" s="6"/>
      <c r="C76" s="6"/>
      <c r="D76" s="6"/>
      <c r="E76" s="6"/>
      <c r="F76" s="6"/>
      <c r="G76" s="6"/>
      <c r="H76" s="6"/>
      <c r="I76" s="6"/>
      <c r="J76" s="6"/>
      <c r="K76" s="6"/>
      <c r="L76" s="6"/>
      <c r="M76" s="6"/>
      <c r="N76" s="4"/>
      <c r="O76" s="55"/>
      <c r="P76" s="55"/>
      <c r="Q76" s="55"/>
      <c r="R76" s="55"/>
      <c r="S76" s="55"/>
      <c r="T76" s="55"/>
      <c r="U76" s="55"/>
      <c r="V76" s="55"/>
      <c r="W76" s="55"/>
      <c r="X76" s="55"/>
      <c r="Y76" s="55"/>
      <c r="Z76" s="55"/>
      <c r="AA76" s="55"/>
      <c r="AB76" s="55"/>
    </row>
    <row r="77" customFormat="false" ht="15.75" hidden="false" customHeight="false" outlineLevel="0" collapsed="false">
      <c r="A77" s="10" t="s">
        <v>4</v>
      </c>
      <c r="B77" s="10"/>
      <c r="C77" s="10"/>
      <c r="D77" s="11" t="s">
        <v>5</v>
      </c>
      <c r="E77" s="12" t="s">
        <v>6</v>
      </c>
      <c r="F77" s="13" t="s">
        <v>7</v>
      </c>
      <c r="G77" s="14"/>
      <c r="H77" s="15" t="s">
        <v>8</v>
      </c>
      <c r="I77" s="15"/>
      <c r="J77" s="15"/>
      <c r="K77" s="11" t="s">
        <v>5</v>
      </c>
      <c r="L77" s="12" t="s">
        <v>6</v>
      </c>
      <c r="M77" s="13" t="s">
        <v>7</v>
      </c>
      <c r="N77" s="4"/>
      <c r="O77" s="52"/>
      <c r="P77" s="52"/>
      <c r="Q77" s="52"/>
      <c r="R77" s="52"/>
      <c r="S77" s="52"/>
      <c r="T77" s="52"/>
      <c r="U77" s="52"/>
      <c r="V77" s="52"/>
      <c r="W77" s="52"/>
      <c r="X77" s="52"/>
      <c r="Y77" s="52"/>
      <c r="Z77" s="52"/>
      <c r="AA77" s="52"/>
      <c r="AB77" s="52"/>
    </row>
    <row r="78" customFormat="false" ht="15.75" hidden="false" customHeight="false" outlineLevel="0" collapsed="false">
      <c r="A78" s="18" t="str">
        <f aca="false">KKS!$G$1</f>
        <v>Kingston Kecleons</v>
      </c>
      <c r="B78" s="18"/>
      <c r="C78" s="18"/>
      <c r="D78" s="19" t="n">
        <v>2</v>
      </c>
      <c r="E78" s="20" t="n">
        <v>6</v>
      </c>
      <c r="F78" s="21" t="str">
        <f aca="false">IF(A85="WIN","W",IF(A85="LOSE","L",""))</f>
        <v>L</v>
      </c>
      <c r="G78" s="22"/>
      <c r="H78" s="18" t="str">
        <f aca="false">SEA!$G$1</f>
        <v>Seattle Seadras</v>
      </c>
      <c r="I78" s="18"/>
      <c r="J78" s="18"/>
      <c r="K78" s="19" t="n">
        <v>6</v>
      </c>
      <c r="L78" s="20" t="n">
        <v>2</v>
      </c>
      <c r="M78" s="21" t="str">
        <f aca="false">IF(H85="WIN","W",IF(H85="LOSE","L",""))</f>
        <v>W</v>
      </c>
      <c r="N78" s="4"/>
      <c r="O78" s="53"/>
      <c r="P78" s="53"/>
      <c r="Q78" s="53"/>
      <c r="R78" s="53"/>
      <c r="S78" s="53"/>
      <c r="T78" s="53"/>
      <c r="U78" s="53"/>
      <c r="V78" s="53"/>
      <c r="W78" s="53"/>
      <c r="X78" s="53"/>
      <c r="Y78" s="53"/>
      <c r="Z78" s="53"/>
      <c r="AA78" s="53"/>
      <c r="AB78" s="53"/>
    </row>
    <row r="79" customFormat="false" ht="15.75" hidden="false" customHeight="false" outlineLevel="0" collapsed="false">
      <c r="A79" s="25" t="s">
        <v>84</v>
      </c>
      <c r="B79" s="25"/>
      <c r="C79" s="25"/>
      <c r="D79" s="26" t="n">
        <v>0</v>
      </c>
      <c r="E79" s="27" t="n">
        <v>1</v>
      </c>
      <c r="F79" s="28" t="n">
        <f aca="false">IF(A85="WIN",1,0)</f>
        <v>0</v>
      </c>
      <c r="G79" s="29"/>
      <c r="H79" s="25" t="s">
        <v>40</v>
      </c>
      <c r="I79" s="25"/>
      <c r="J79" s="25"/>
      <c r="K79" s="26" t="n">
        <v>0</v>
      </c>
      <c r="L79" s="27" t="n">
        <v>0</v>
      </c>
      <c r="M79" s="28" t="n">
        <f aca="false">IF(H85="WIN",1,0)</f>
        <v>1</v>
      </c>
      <c r="N79" s="4"/>
      <c r="O79" s="51"/>
      <c r="P79" s="51"/>
      <c r="Q79" s="51"/>
      <c r="R79" s="51"/>
      <c r="S79" s="51"/>
      <c r="T79" s="51"/>
      <c r="U79" s="51"/>
      <c r="V79" s="51"/>
      <c r="W79" s="51"/>
      <c r="X79" s="51"/>
      <c r="Y79" s="51"/>
      <c r="Z79" s="51"/>
      <c r="AA79" s="51"/>
      <c r="AB79" s="51"/>
    </row>
    <row r="80" customFormat="false" ht="15.75" hidden="false" customHeight="false" outlineLevel="0" collapsed="false">
      <c r="A80" s="25" t="s">
        <v>85</v>
      </c>
      <c r="B80" s="25"/>
      <c r="C80" s="25"/>
      <c r="D80" s="26" t="n">
        <v>1</v>
      </c>
      <c r="E80" s="27" t="n">
        <v>1</v>
      </c>
      <c r="F80" s="28" t="n">
        <f aca="false">IF(A85="WIN",1,0)</f>
        <v>0</v>
      </c>
      <c r="G80" s="29"/>
      <c r="H80" s="25" t="s">
        <v>46</v>
      </c>
      <c r="I80" s="25"/>
      <c r="J80" s="25"/>
      <c r="K80" s="26" t="n">
        <v>0</v>
      </c>
      <c r="L80" s="27" t="n">
        <v>0</v>
      </c>
      <c r="M80" s="28" t="n">
        <f aca="false">IF(H85="WIN",1,0)</f>
        <v>1</v>
      </c>
      <c r="N80" s="4"/>
      <c r="O80" s="51"/>
      <c r="P80" s="51"/>
      <c r="Q80" s="51"/>
      <c r="R80" s="51"/>
      <c r="S80" s="51"/>
      <c r="T80" s="51"/>
      <c r="U80" s="51"/>
      <c r="V80" s="51"/>
      <c r="W80" s="51"/>
      <c r="X80" s="51"/>
      <c r="Y80" s="51"/>
      <c r="Z80" s="51"/>
      <c r="AA80" s="51"/>
      <c r="AB80" s="51"/>
    </row>
    <row r="81" customFormat="false" ht="15.75" hidden="false" customHeight="false" outlineLevel="0" collapsed="false">
      <c r="A81" s="25" t="s">
        <v>16</v>
      </c>
      <c r="B81" s="25"/>
      <c r="C81" s="25"/>
      <c r="D81" s="26" t="n">
        <v>1</v>
      </c>
      <c r="E81" s="27" t="n">
        <v>1</v>
      </c>
      <c r="F81" s="28" t="n">
        <f aca="false">IF(A85="WIN",1,0)</f>
        <v>0</v>
      </c>
      <c r="G81" s="29"/>
      <c r="H81" s="25" t="s">
        <v>49</v>
      </c>
      <c r="I81" s="25"/>
      <c r="J81" s="25"/>
      <c r="K81" s="26" t="n">
        <v>1</v>
      </c>
      <c r="L81" s="27" t="n">
        <v>1</v>
      </c>
      <c r="M81" s="28" t="n">
        <f aca="false">IF(H85="WIN",1,0)</f>
        <v>1</v>
      </c>
      <c r="N81" s="4"/>
      <c r="O81" s="51"/>
      <c r="P81" s="51"/>
      <c r="Q81" s="51"/>
      <c r="R81" s="51"/>
      <c r="S81" s="51"/>
      <c r="T81" s="51"/>
      <c r="U81" s="51"/>
      <c r="V81" s="51"/>
      <c r="W81" s="51"/>
      <c r="X81" s="51"/>
      <c r="Y81" s="51"/>
      <c r="Z81" s="51"/>
      <c r="AA81" s="51"/>
      <c r="AB81" s="51"/>
    </row>
    <row r="82" customFormat="false" ht="15.75" hidden="false" customHeight="false" outlineLevel="0" collapsed="false">
      <c r="A82" s="25" t="s">
        <v>103</v>
      </c>
      <c r="B82" s="25"/>
      <c r="C82" s="25"/>
      <c r="D82" s="26" t="n">
        <v>0</v>
      </c>
      <c r="E82" s="27" t="n">
        <v>1</v>
      </c>
      <c r="F82" s="28" t="n">
        <f aca="false">IF(A85="WIN",1,0)</f>
        <v>0</v>
      </c>
      <c r="G82" s="29"/>
      <c r="H82" s="25" t="s">
        <v>90</v>
      </c>
      <c r="I82" s="25"/>
      <c r="J82" s="25"/>
      <c r="K82" s="26" t="n">
        <v>4</v>
      </c>
      <c r="L82" s="27" t="n">
        <v>0</v>
      </c>
      <c r="M82" s="28" t="n">
        <f aca="false">IF(H85="WIN",1,0)</f>
        <v>1</v>
      </c>
      <c r="N82" s="4"/>
      <c r="O82" s="51"/>
      <c r="P82" s="51"/>
      <c r="Q82" s="51"/>
      <c r="R82" s="51"/>
      <c r="S82" s="51"/>
      <c r="T82" s="51"/>
      <c r="U82" s="51"/>
      <c r="V82" s="51"/>
      <c r="W82" s="51"/>
      <c r="X82" s="51"/>
      <c r="Y82" s="51"/>
      <c r="Z82" s="51"/>
      <c r="AA82" s="51"/>
      <c r="AB82" s="51"/>
    </row>
    <row r="83" customFormat="false" ht="15.75" hidden="false" customHeight="false" outlineLevel="0" collapsed="false">
      <c r="A83" s="25" t="s">
        <v>23</v>
      </c>
      <c r="B83" s="25"/>
      <c r="C83" s="25"/>
      <c r="D83" s="26" t="n">
        <v>0</v>
      </c>
      <c r="E83" s="27" t="n">
        <v>1</v>
      </c>
      <c r="F83" s="28" t="n">
        <f aca="false">IF(A85="WIN",1,0)</f>
        <v>0</v>
      </c>
      <c r="G83" s="29"/>
      <c r="H83" s="25" t="s">
        <v>91</v>
      </c>
      <c r="I83" s="25"/>
      <c r="J83" s="25"/>
      <c r="K83" s="26" t="n">
        <v>1</v>
      </c>
      <c r="L83" s="27" t="n">
        <v>1</v>
      </c>
      <c r="M83" s="28" t="n">
        <f aca="false">IF(H85="WIN",1,0)</f>
        <v>1</v>
      </c>
      <c r="N83" s="4"/>
      <c r="O83" s="51"/>
      <c r="P83" s="51"/>
      <c r="Q83" s="51"/>
      <c r="R83" s="51"/>
      <c r="S83" s="51"/>
      <c r="T83" s="51"/>
      <c r="U83" s="51"/>
      <c r="V83" s="51"/>
      <c r="W83" s="51"/>
      <c r="X83" s="51"/>
      <c r="Y83" s="51"/>
      <c r="Z83" s="51"/>
      <c r="AA83" s="51"/>
      <c r="AB83" s="51"/>
    </row>
    <row r="84" customFormat="false" ht="15.75" hidden="false" customHeight="false" outlineLevel="0" collapsed="false">
      <c r="A84" s="32" t="s">
        <v>104</v>
      </c>
      <c r="B84" s="32"/>
      <c r="C84" s="32"/>
      <c r="D84" s="33" t="n">
        <v>0</v>
      </c>
      <c r="E84" s="34" t="n">
        <v>1</v>
      </c>
      <c r="F84" s="28" t="n">
        <f aca="false">IF(A85="WIN",1,0)</f>
        <v>0</v>
      </c>
      <c r="G84" s="29"/>
      <c r="H84" s="25" t="s">
        <v>52</v>
      </c>
      <c r="I84" s="25"/>
      <c r="J84" s="25"/>
      <c r="K84" s="33" t="n">
        <v>0</v>
      </c>
      <c r="L84" s="34" t="n">
        <v>0</v>
      </c>
      <c r="M84" s="28" t="n">
        <f aca="false">IF(H85="WIN",1,0)</f>
        <v>1</v>
      </c>
      <c r="N84" s="4"/>
      <c r="O84" s="51"/>
      <c r="P84" s="51"/>
      <c r="Q84" s="51"/>
      <c r="R84" s="51"/>
      <c r="S84" s="51"/>
      <c r="T84" s="51"/>
      <c r="U84" s="51"/>
      <c r="V84" s="51"/>
      <c r="W84" s="51"/>
      <c r="X84" s="51"/>
      <c r="Y84" s="51"/>
      <c r="Z84" s="51"/>
      <c r="AA84" s="51"/>
      <c r="AB84" s="51"/>
    </row>
    <row r="85" customFormat="false" ht="15.75" hidden="false" customHeight="false" outlineLevel="0" collapsed="false">
      <c r="A85" s="35" t="s">
        <v>10</v>
      </c>
      <c r="B85" s="35"/>
      <c r="C85" s="35"/>
      <c r="D85" s="36"/>
      <c r="E85" s="37"/>
      <c r="F85" s="38"/>
      <c r="G85" s="39"/>
      <c r="H85" s="54" t="s">
        <v>11</v>
      </c>
      <c r="I85" s="54"/>
      <c r="J85" s="54"/>
      <c r="K85" s="41"/>
      <c r="L85" s="37"/>
      <c r="M85" s="38"/>
      <c r="N85" s="4"/>
      <c r="O85" s="52"/>
      <c r="P85" s="52"/>
      <c r="Q85" s="52"/>
      <c r="R85" s="52"/>
      <c r="S85" s="52"/>
      <c r="T85" s="52"/>
      <c r="U85" s="52"/>
      <c r="V85" s="52"/>
      <c r="W85" s="52"/>
      <c r="X85" s="52"/>
      <c r="Y85" s="52"/>
      <c r="Z85" s="52"/>
      <c r="AA85" s="52"/>
      <c r="AB85" s="52"/>
    </row>
    <row r="86" customFormat="false" ht="15.75" hidden="false" customHeight="false" outlineLevel="0" collapsed="false">
      <c r="A86" s="10" t="s">
        <v>4</v>
      </c>
      <c r="B86" s="10"/>
      <c r="C86" s="10"/>
      <c r="D86" s="11" t="s">
        <v>5</v>
      </c>
      <c r="E86" s="12" t="s">
        <v>6</v>
      </c>
      <c r="F86" s="13" t="s">
        <v>7</v>
      </c>
      <c r="G86" s="14"/>
      <c r="H86" s="15" t="s">
        <v>8</v>
      </c>
      <c r="I86" s="15"/>
      <c r="J86" s="15"/>
      <c r="K86" s="11" t="s">
        <v>5</v>
      </c>
      <c r="L86" s="12" t="s">
        <v>6</v>
      </c>
      <c r="M86" s="13" t="s">
        <v>7</v>
      </c>
      <c r="N86" s="4"/>
      <c r="O86" s="52"/>
      <c r="P86" s="52"/>
      <c r="Q86" s="52"/>
      <c r="R86" s="52"/>
      <c r="S86" s="52"/>
      <c r="T86" s="52"/>
      <c r="U86" s="52"/>
      <c r="V86" s="52"/>
      <c r="W86" s="52"/>
      <c r="X86" s="52"/>
      <c r="Y86" s="52"/>
      <c r="Z86" s="52"/>
      <c r="AA86" s="52"/>
      <c r="AB86" s="52"/>
    </row>
    <row r="87" customFormat="false" ht="15.75" hidden="false" customHeight="false" outlineLevel="0" collapsed="false">
      <c r="A87" s="23" t="str">
        <f aca="false">JVJ!$G$1</f>
        <v>Jacksonville Jumpluffs</v>
      </c>
      <c r="B87" s="23"/>
      <c r="C87" s="23"/>
      <c r="D87" s="19" t="n">
        <v>6</v>
      </c>
      <c r="E87" s="20" t="n">
        <v>1</v>
      </c>
      <c r="F87" s="21" t="str">
        <f aca="false">IF(A94="WIN","W",IF(A94="LOSE","L",""))</f>
        <v>W</v>
      </c>
      <c r="G87" s="22"/>
      <c r="H87" s="23" t="str">
        <f aca="false">BBG!$G$1</f>
        <v>Berlin Bronzong</v>
      </c>
      <c r="I87" s="23"/>
      <c r="J87" s="23"/>
      <c r="K87" s="19" t="n">
        <v>1</v>
      </c>
      <c r="L87" s="20" t="n">
        <v>6</v>
      </c>
      <c r="M87" s="21" t="str">
        <f aca="false">IF(H94="WIN","W",IF(H94="LOSE","L",""))</f>
        <v>L</v>
      </c>
      <c r="N87" s="4"/>
      <c r="O87" s="53"/>
      <c r="P87" s="53"/>
      <c r="Q87" s="53"/>
      <c r="R87" s="53"/>
      <c r="S87" s="53"/>
      <c r="T87" s="53"/>
      <c r="U87" s="53"/>
      <c r="V87" s="53"/>
      <c r="W87" s="53"/>
      <c r="X87" s="53"/>
      <c r="Y87" s="53"/>
      <c r="Z87" s="53"/>
      <c r="AA87" s="53"/>
      <c r="AB87" s="53"/>
    </row>
    <row r="88" customFormat="false" ht="15.75" hidden="false" customHeight="false" outlineLevel="0" collapsed="false">
      <c r="A88" s="25" t="s">
        <v>94</v>
      </c>
      <c r="B88" s="25"/>
      <c r="C88" s="25"/>
      <c r="D88" s="26" t="n">
        <v>4</v>
      </c>
      <c r="E88" s="27" t="n">
        <v>0</v>
      </c>
      <c r="F88" s="28" t="n">
        <f aca="false">IF(A94="WIN",1,0)</f>
        <v>1</v>
      </c>
      <c r="G88" s="29"/>
      <c r="H88" s="25" t="s">
        <v>50</v>
      </c>
      <c r="I88" s="25"/>
      <c r="J88" s="25"/>
      <c r="K88" s="26" t="n">
        <v>0</v>
      </c>
      <c r="L88" s="27" t="n">
        <v>1</v>
      </c>
      <c r="M88" s="28" t="n">
        <f aca="false">IF(H94="WIN",1,0)</f>
        <v>0</v>
      </c>
      <c r="N88" s="4"/>
      <c r="O88" s="51"/>
      <c r="P88" s="51"/>
      <c r="Q88" s="51"/>
      <c r="R88" s="51"/>
      <c r="S88" s="51"/>
      <c r="T88" s="51"/>
      <c r="U88" s="51"/>
      <c r="V88" s="51"/>
      <c r="W88" s="51"/>
      <c r="X88" s="51"/>
      <c r="Y88" s="51"/>
      <c r="Z88" s="51"/>
      <c r="AA88" s="51"/>
      <c r="AB88" s="51"/>
    </row>
    <row r="89" customFormat="false" ht="15.75" hidden="false" customHeight="false" outlineLevel="0" collapsed="false">
      <c r="A89" s="25" t="s">
        <v>28</v>
      </c>
      <c r="B89" s="25"/>
      <c r="C89" s="25"/>
      <c r="D89" s="26" t="n">
        <v>1</v>
      </c>
      <c r="E89" s="27" t="n">
        <v>0</v>
      </c>
      <c r="F89" s="28" t="n">
        <f aca="false">IF(A94="WIN",1,0)</f>
        <v>1</v>
      </c>
      <c r="G89" s="29"/>
      <c r="H89" s="25" t="s">
        <v>53</v>
      </c>
      <c r="I89" s="25"/>
      <c r="J89" s="25"/>
      <c r="K89" s="26" t="n">
        <v>0</v>
      </c>
      <c r="L89" s="27" t="n">
        <v>1</v>
      </c>
      <c r="M89" s="28" t="n">
        <f aca="false">IF(H94="WIN",1,0)</f>
        <v>0</v>
      </c>
      <c r="N89" s="4"/>
      <c r="O89" s="51"/>
      <c r="P89" s="51"/>
      <c r="Q89" s="51"/>
      <c r="R89" s="51"/>
      <c r="S89" s="51"/>
      <c r="T89" s="51"/>
      <c r="U89" s="51"/>
      <c r="V89" s="51"/>
      <c r="W89" s="51"/>
      <c r="X89" s="51"/>
      <c r="Y89" s="51"/>
      <c r="Z89" s="51"/>
      <c r="AA89" s="51"/>
      <c r="AB89" s="51"/>
    </row>
    <row r="90" customFormat="false" ht="15.75" hidden="false" customHeight="false" outlineLevel="0" collapsed="false">
      <c r="A90" s="25" t="s">
        <v>14</v>
      </c>
      <c r="B90" s="25"/>
      <c r="C90" s="25"/>
      <c r="D90" s="26" t="n">
        <v>0</v>
      </c>
      <c r="E90" s="27" t="n">
        <v>0</v>
      </c>
      <c r="F90" s="28" t="n">
        <f aca="false">IF(A94="WIN",1,0)</f>
        <v>1</v>
      </c>
      <c r="G90" s="29"/>
      <c r="H90" s="25" t="s">
        <v>99</v>
      </c>
      <c r="I90" s="25"/>
      <c r="J90" s="25"/>
      <c r="K90" s="26" t="n">
        <v>0</v>
      </c>
      <c r="L90" s="27" t="n">
        <v>1</v>
      </c>
      <c r="M90" s="28" t="n">
        <f aca="false">IF(H94="WIN",1,0)</f>
        <v>0</v>
      </c>
      <c r="N90" s="4"/>
      <c r="O90" s="51"/>
      <c r="P90" s="51"/>
      <c r="Q90" s="51"/>
      <c r="R90" s="51"/>
      <c r="S90" s="51"/>
      <c r="T90" s="51"/>
      <c r="U90" s="51"/>
      <c r="V90" s="51"/>
      <c r="W90" s="51"/>
      <c r="X90" s="51"/>
      <c r="Y90" s="51"/>
      <c r="Z90" s="51"/>
      <c r="AA90" s="51"/>
      <c r="AB90" s="51"/>
    </row>
    <row r="91" customFormat="false" ht="15.75" hidden="false" customHeight="false" outlineLevel="0" collapsed="false">
      <c r="A91" s="25" t="s">
        <v>105</v>
      </c>
      <c r="B91" s="25"/>
      <c r="C91" s="25"/>
      <c r="D91" s="26" t="n">
        <v>0</v>
      </c>
      <c r="E91" s="27" t="n">
        <v>0</v>
      </c>
      <c r="F91" s="28" t="n">
        <f aca="false">IF(A94="WIN",1,0)</f>
        <v>1</v>
      </c>
      <c r="G91" s="29"/>
      <c r="H91" s="25" t="s">
        <v>38</v>
      </c>
      <c r="I91" s="25"/>
      <c r="J91" s="25"/>
      <c r="K91" s="26" t="n">
        <v>1</v>
      </c>
      <c r="L91" s="27" t="n">
        <v>1</v>
      </c>
      <c r="M91" s="28" t="n">
        <f aca="false">IF(H94="WIN",1,0)</f>
        <v>0</v>
      </c>
      <c r="N91" s="4"/>
      <c r="O91" s="51"/>
      <c r="P91" s="51"/>
      <c r="Q91" s="51"/>
      <c r="R91" s="51"/>
      <c r="S91" s="51"/>
      <c r="T91" s="51"/>
      <c r="U91" s="51"/>
      <c r="V91" s="51"/>
      <c r="W91" s="51"/>
      <c r="X91" s="51"/>
      <c r="Y91" s="51"/>
      <c r="Z91" s="51"/>
      <c r="AA91" s="51"/>
      <c r="AB91" s="51"/>
    </row>
    <row r="92" customFormat="false" ht="15.75" hidden="false" customHeight="false" outlineLevel="0" collapsed="false">
      <c r="A92" s="25" t="s">
        <v>95</v>
      </c>
      <c r="B92" s="25"/>
      <c r="C92" s="25"/>
      <c r="D92" s="26" t="n">
        <v>0</v>
      </c>
      <c r="E92" s="27" t="n">
        <v>0</v>
      </c>
      <c r="F92" s="28" t="n">
        <f aca="false">IF(A94="WIN",1,0)</f>
        <v>1</v>
      </c>
      <c r="G92" s="29"/>
      <c r="H92" s="25" t="s">
        <v>100</v>
      </c>
      <c r="I92" s="25"/>
      <c r="J92" s="25"/>
      <c r="K92" s="26" t="n">
        <v>0</v>
      </c>
      <c r="L92" s="27" t="n">
        <v>1</v>
      </c>
      <c r="M92" s="28" t="n">
        <f aca="false">IF(H94="WIN",1,0)</f>
        <v>0</v>
      </c>
      <c r="N92" s="4"/>
      <c r="O92" s="51"/>
      <c r="P92" s="51"/>
      <c r="Q92" s="51"/>
      <c r="R92" s="51"/>
      <c r="S92" s="51"/>
      <c r="T92" s="51"/>
      <c r="U92" s="51"/>
      <c r="V92" s="51"/>
      <c r="W92" s="51"/>
      <c r="X92" s="51"/>
      <c r="Y92" s="51"/>
      <c r="Z92" s="51"/>
      <c r="AA92" s="51"/>
      <c r="AB92" s="51"/>
    </row>
    <row r="93" customFormat="false" ht="15.75" hidden="false" customHeight="false" outlineLevel="0" collapsed="false">
      <c r="A93" s="25" t="s">
        <v>106</v>
      </c>
      <c r="B93" s="25"/>
      <c r="C93" s="25"/>
      <c r="D93" s="33" t="n">
        <v>1</v>
      </c>
      <c r="E93" s="34" t="n">
        <v>1</v>
      </c>
      <c r="F93" s="28" t="n">
        <f aca="false">IF(A94="WIN",1,0)</f>
        <v>1</v>
      </c>
      <c r="G93" s="29"/>
      <c r="H93" s="25" t="s">
        <v>47</v>
      </c>
      <c r="I93" s="25"/>
      <c r="J93" s="25"/>
      <c r="K93" s="33" t="n">
        <v>0</v>
      </c>
      <c r="L93" s="34" t="n">
        <v>1</v>
      </c>
      <c r="M93" s="28" t="n">
        <f aca="false">IF(H94="WIN",1,0)</f>
        <v>0</v>
      </c>
      <c r="N93" s="4"/>
      <c r="O93" s="51"/>
      <c r="P93" s="51"/>
      <c r="Q93" s="51"/>
      <c r="R93" s="51"/>
      <c r="S93" s="51"/>
      <c r="T93" s="51"/>
      <c r="U93" s="51"/>
      <c r="V93" s="51"/>
      <c r="W93" s="51"/>
      <c r="X93" s="51"/>
      <c r="Y93" s="51"/>
      <c r="Z93" s="51"/>
      <c r="AA93" s="51"/>
      <c r="AB93" s="51"/>
    </row>
    <row r="94" customFormat="false" ht="15.75" hidden="false" customHeight="false" outlineLevel="0" collapsed="false">
      <c r="A94" s="35" t="s">
        <v>11</v>
      </c>
      <c r="B94" s="35"/>
      <c r="C94" s="35"/>
      <c r="D94" s="36"/>
      <c r="E94" s="37"/>
      <c r="F94" s="38"/>
      <c r="G94" s="39"/>
      <c r="H94" s="54" t="s">
        <v>10</v>
      </c>
      <c r="I94" s="54"/>
      <c r="J94" s="54"/>
      <c r="K94" s="41"/>
      <c r="L94" s="37"/>
      <c r="M94" s="38"/>
      <c r="N94" s="4"/>
      <c r="O94" s="52"/>
      <c r="P94" s="52"/>
      <c r="Q94" s="52"/>
      <c r="R94" s="52"/>
      <c r="S94" s="52"/>
      <c r="T94" s="52"/>
      <c r="U94" s="52"/>
      <c r="V94" s="52"/>
      <c r="W94" s="52"/>
      <c r="X94" s="52"/>
      <c r="Y94" s="52"/>
      <c r="Z94" s="52"/>
      <c r="AA94" s="52"/>
      <c r="AB94" s="52"/>
    </row>
    <row r="95" customFormat="false" ht="15.75" hidden="false" customHeight="false" outlineLevel="0" collapsed="false">
      <c r="A95" s="10" t="s">
        <v>4</v>
      </c>
      <c r="B95" s="10"/>
      <c r="C95" s="10"/>
      <c r="D95" s="11" t="s">
        <v>5</v>
      </c>
      <c r="E95" s="12" t="s">
        <v>6</v>
      </c>
      <c r="F95" s="13" t="s">
        <v>7</v>
      </c>
      <c r="G95" s="14"/>
      <c r="H95" s="15" t="s">
        <v>8</v>
      </c>
      <c r="I95" s="15"/>
      <c r="J95" s="15"/>
      <c r="K95" s="11" t="s">
        <v>5</v>
      </c>
      <c r="L95" s="12" t="s">
        <v>6</v>
      </c>
      <c r="M95" s="13" t="s">
        <v>7</v>
      </c>
      <c r="N95" s="4"/>
      <c r="O95" s="52"/>
      <c r="P95" s="52"/>
      <c r="Q95" s="52"/>
      <c r="R95" s="52"/>
      <c r="S95" s="52"/>
      <c r="T95" s="52"/>
      <c r="U95" s="52"/>
      <c r="V95" s="52"/>
      <c r="W95" s="52"/>
      <c r="X95" s="52"/>
      <c r="Y95" s="52"/>
      <c r="Z95" s="52"/>
      <c r="AA95" s="52"/>
      <c r="AB95" s="52"/>
    </row>
    <row r="96" customFormat="false" ht="15.75" hidden="false" customHeight="false" outlineLevel="0" collapsed="false">
      <c r="A96" s="18" t="str">
        <f aca="false">SGP!$G$1</f>
        <v>Slung Patrol</v>
      </c>
      <c r="B96" s="18"/>
      <c r="C96" s="18"/>
      <c r="D96" s="19" t="n">
        <v>4</v>
      </c>
      <c r="E96" s="20" t="n">
        <v>6</v>
      </c>
      <c r="F96" s="21" t="str">
        <f aca="false">IF(A103="WIN","W",IF(A103="LOSE","L",""))</f>
        <v>L</v>
      </c>
      <c r="G96" s="22"/>
      <c r="H96" s="18" t="str">
        <f aca="false">LVC!$G$1</f>
        <v>Louisville Crobats</v>
      </c>
      <c r="I96" s="18"/>
      <c r="J96" s="18"/>
      <c r="K96" s="19" t="n">
        <v>6</v>
      </c>
      <c r="L96" s="20" t="n">
        <v>4</v>
      </c>
      <c r="M96" s="21" t="str">
        <f aca="false">IF(H103="WIN","W",IF(H103="LOSE","L",""))</f>
        <v>W</v>
      </c>
      <c r="N96" s="4"/>
      <c r="O96" s="53"/>
      <c r="P96" s="53"/>
      <c r="Q96" s="53"/>
      <c r="R96" s="53"/>
      <c r="S96" s="53"/>
      <c r="T96" s="53"/>
      <c r="U96" s="53"/>
      <c r="V96" s="53"/>
      <c r="W96" s="53"/>
      <c r="X96" s="53"/>
      <c r="Y96" s="53"/>
      <c r="Z96" s="53"/>
      <c r="AA96" s="53"/>
      <c r="AB96" s="53"/>
    </row>
    <row r="97" customFormat="false" ht="15.75" hidden="false" customHeight="false" outlineLevel="0" collapsed="false">
      <c r="A97" s="25" t="s">
        <v>107</v>
      </c>
      <c r="B97" s="25"/>
      <c r="C97" s="25"/>
      <c r="D97" s="26" t="n">
        <v>1</v>
      </c>
      <c r="E97" s="27" t="n">
        <v>1</v>
      </c>
      <c r="F97" s="28" t="n">
        <v>0</v>
      </c>
      <c r="G97" s="29"/>
      <c r="H97" s="25" t="s">
        <v>57</v>
      </c>
      <c r="I97" s="25"/>
      <c r="J97" s="25"/>
      <c r="K97" s="26" t="n">
        <v>0</v>
      </c>
      <c r="L97" s="27" t="n">
        <v>0</v>
      </c>
      <c r="M97" s="28" t="n">
        <f aca="false">IF(H103="WIN",1,0)</f>
        <v>1</v>
      </c>
      <c r="N97" s="4"/>
      <c r="O97" s="51"/>
      <c r="P97" s="51"/>
      <c r="Q97" s="51"/>
      <c r="R97" s="51"/>
      <c r="S97" s="51"/>
      <c r="T97" s="51"/>
      <c r="U97" s="51"/>
      <c r="V97" s="51"/>
      <c r="W97" s="51"/>
      <c r="X97" s="51"/>
      <c r="Y97" s="51"/>
      <c r="Z97" s="51"/>
      <c r="AA97" s="51"/>
      <c r="AB97" s="51"/>
    </row>
    <row r="98" customFormat="false" ht="15.75" hidden="false" customHeight="false" outlineLevel="0" collapsed="false">
      <c r="A98" s="25" t="s">
        <v>93</v>
      </c>
      <c r="B98" s="25"/>
      <c r="C98" s="25"/>
      <c r="D98" s="26" t="n">
        <v>1</v>
      </c>
      <c r="E98" s="27" t="n">
        <v>1</v>
      </c>
      <c r="F98" s="28" t="n">
        <f aca="false">IF(A103="WIN",1,0)</f>
        <v>0</v>
      </c>
      <c r="G98" s="29"/>
      <c r="H98" s="25" t="s">
        <v>60</v>
      </c>
      <c r="I98" s="25"/>
      <c r="J98" s="25"/>
      <c r="K98" s="26" t="n">
        <v>3</v>
      </c>
      <c r="L98" s="27" t="n">
        <v>0</v>
      </c>
      <c r="M98" s="28" t="n">
        <f aca="false">IF(H103="WIN",1,0)</f>
        <v>1</v>
      </c>
      <c r="N98" s="4"/>
      <c r="O98" s="51"/>
      <c r="P98" s="51"/>
      <c r="Q98" s="51"/>
      <c r="R98" s="51"/>
      <c r="S98" s="51"/>
      <c r="T98" s="51"/>
      <c r="U98" s="51"/>
      <c r="V98" s="51"/>
      <c r="W98" s="51"/>
      <c r="X98" s="51"/>
      <c r="Y98" s="51"/>
      <c r="Z98" s="51"/>
      <c r="AA98" s="51"/>
      <c r="AB98" s="51"/>
    </row>
    <row r="99" customFormat="false" ht="15.75" hidden="false" customHeight="false" outlineLevel="0" collapsed="false">
      <c r="A99" s="25" t="s">
        <v>81</v>
      </c>
      <c r="B99" s="25"/>
      <c r="C99" s="25"/>
      <c r="D99" s="26" t="n">
        <v>0</v>
      </c>
      <c r="E99" s="27" t="n">
        <v>1</v>
      </c>
      <c r="F99" s="28" t="n">
        <f aca="false">IF(A103="WIN",1,0)</f>
        <v>0</v>
      </c>
      <c r="G99" s="29"/>
      <c r="H99" s="25" t="s">
        <v>64</v>
      </c>
      <c r="I99" s="25"/>
      <c r="J99" s="25"/>
      <c r="K99" s="26" t="n">
        <v>2</v>
      </c>
      <c r="L99" s="27" t="n">
        <v>1</v>
      </c>
      <c r="M99" s="28" t="n">
        <f aca="false">IF(H103="WIN",1,0)</f>
        <v>1</v>
      </c>
      <c r="N99" s="4"/>
      <c r="O99" s="51"/>
      <c r="P99" s="51"/>
      <c r="Q99" s="51"/>
      <c r="R99" s="51"/>
      <c r="S99" s="51"/>
      <c r="T99" s="51"/>
      <c r="U99" s="51"/>
      <c r="V99" s="51"/>
      <c r="W99" s="51"/>
      <c r="X99" s="51"/>
      <c r="Y99" s="51"/>
      <c r="Z99" s="51"/>
      <c r="AA99" s="51"/>
      <c r="AB99" s="51"/>
    </row>
    <row r="100" customFormat="false" ht="15.75" hidden="false" customHeight="false" outlineLevel="0" collapsed="false">
      <c r="A100" s="25" t="s">
        <v>71</v>
      </c>
      <c r="B100" s="25"/>
      <c r="C100" s="25"/>
      <c r="D100" s="26" t="n">
        <v>0</v>
      </c>
      <c r="E100" s="27" t="n">
        <v>1</v>
      </c>
      <c r="F100" s="28" t="n">
        <f aca="false">IF(A103="WIN",1,0)</f>
        <v>0</v>
      </c>
      <c r="G100" s="29"/>
      <c r="H100" s="25" t="s">
        <v>66</v>
      </c>
      <c r="I100" s="25"/>
      <c r="J100" s="25"/>
      <c r="K100" s="26" t="n">
        <v>1</v>
      </c>
      <c r="L100" s="27" t="n">
        <v>1</v>
      </c>
      <c r="M100" s="28" t="n">
        <f aca="false">IF(H103="WIN",1,0)</f>
        <v>1</v>
      </c>
      <c r="N100" s="4"/>
      <c r="O100" s="51"/>
      <c r="P100" s="51"/>
      <c r="Q100" s="51"/>
      <c r="R100" s="51"/>
      <c r="S100" s="51"/>
      <c r="T100" s="51"/>
      <c r="U100" s="51"/>
      <c r="V100" s="51"/>
      <c r="W100" s="51"/>
      <c r="X100" s="51"/>
      <c r="Y100" s="51"/>
      <c r="Z100" s="51"/>
      <c r="AA100" s="51"/>
      <c r="AB100" s="51"/>
    </row>
    <row r="101" customFormat="false" ht="15.75" hidden="false" customHeight="false" outlineLevel="0" collapsed="false">
      <c r="A101" s="25" t="s">
        <v>73</v>
      </c>
      <c r="B101" s="25"/>
      <c r="C101" s="25"/>
      <c r="D101" s="26" t="n">
        <v>1</v>
      </c>
      <c r="E101" s="27" t="n">
        <v>1</v>
      </c>
      <c r="F101" s="28" t="n">
        <f aca="false">IF(A103="WIN",1,0)</f>
        <v>0</v>
      </c>
      <c r="G101" s="29"/>
      <c r="H101" s="25" t="s">
        <v>68</v>
      </c>
      <c r="I101" s="25"/>
      <c r="J101" s="25"/>
      <c r="K101" s="26" t="n">
        <v>0</v>
      </c>
      <c r="L101" s="27" t="n">
        <v>1</v>
      </c>
      <c r="M101" s="28" t="n">
        <f aca="false">IF(H103="WIN",1,0)</f>
        <v>1</v>
      </c>
      <c r="N101" s="4"/>
      <c r="O101" s="51"/>
      <c r="P101" s="51"/>
      <c r="Q101" s="51"/>
      <c r="R101" s="51"/>
      <c r="S101" s="51"/>
      <c r="T101" s="51"/>
      <c r="U101" s="51"/>
      <c r="V101" s="51"/>
      <c r="W101" s="51"/>
      <c r="X101" s="51"/>
      <c r="Y101" s="51"/>
      <c r="Z101" s="51"/>
      <c r="AA101" s="51"/>
      <c r="AB101" s="51"/>
    </row>
    <row r="102" customFormat="false" ht="15.75" hidden="false" customHeight="false" outlineLevel="0" collapsed="false">
      <c r="A102" s="25" t="s">
        <v>75</v>
      </c>
      <c r="B102" s="25"/>
      <c r="C102" s="25"/>
      <c r="D102" s="33" t="n">
        <v>1</v>
      </c>
      <c r="E102" s="34" t="n">
        <v>1</v>
      </c>
      <c r="F102" s="28" t="n">
        <f aca="false">IF(A103="WIN",1,0)</f>
        <v>0</v>
      </c>
      <c r="G102" s="29"/>
      <c r="H102" s="25" t="s">
        <v>62</v>
      </c>
      <c r="I102" s="25"/>
      <c r="J102" s="25"/>
      <c r="K102" s="33" t="n">
        <v>0</v>
      </c>
      <c r="L102" s="34" t="n">
        <v>1</v>
      </c>
      <c r="M102" s="28" t="n">
        <f aca="false">IF(H103="WIN",1,0)</f>
        <v>1</v>
      </c>
      <c r="N102" s="4"/>
      <c r="O102" s="51"/>
      <c r="P102" s="51"/>
      <c r="Q102" s="51"/>
      <c r="R102" s="51"/>
      <c r="S102" s="51"/>
      <c r="T102" s="51"/>
      <c r="U102" s="51"/>
      <c r="V102" s="51"/>
      <c r="W102" s="51"/>
      <c r="X102" s="51"/>
      <c r="Y102" s="51"/>
      <c r="Z102" s="51"/>
      <c r="AA102" s="51"/>
      <c r="AB102" s="51"/>
    </row>
    <row r="103" customFormat="false" ht="15.75" hidden="false" customHeight="false" outlineLevel="0" collapsed="false">
      <c r="A103" s="35" t="s">
        <v>10</v>
      </c>
      <c r="B103" s="35"/>
      <c r="C103" s="35"/>
      <c r="D103" s="36"/>
      <c r="E103" s="37"/>
      <c r="F103" s="38"/>
      <c r="G103" s="39"/>
      <c r="H103" s="54" t="s">
        <v>11</v>
      </c>
      <c r="I103" s="54"/>
      <c r="J103" s="54"/>
      <c r="K103" s="41"/>
      <c r="L103" s="37"/>
      <c r="M103" s="38"/>
      <c r="N103" s="4"/>
      <c r="O103" s="52"/>
      <c r="P103" s="52"/>
      <c r="Q103" s="52"/>
      <c r="R103" s="52"/>
      <c r="S103" s="52"/>
      <c r="T103" s="52"/>
      <c r="U103" s="52"/>
      <c r="V103" s="52"/>
      <c r="W103" s="52"/>
      <c r="X103" s="52"/>
      <c r="Y103" s="52"/>
      <c r="Z103" s="52"/>
      <c r="AA103" s="52"/>
      <c r="AB103" s="52"/>
    </row>
    <row r="104" customFormat="false" ht="15.75" hidden="false" customHeight="false" outlineLevel="0" collapsed="false">
      <c r="A104" s="10" t="s">
        <v>4</v>
      </c>
      <c r="B104" s="10"/>
      <c r="C104" s="10"/>
      <c r="D104" s="11" t="s">
        <v>5</v>
      </c>
      <c r="E104" s="12" t="s">
        <v>6</v>
      </c>
      <c r="F104" s="13" t="s">
        <v>7</v>
      </c>
      <c r="G104" s="14"/>
      <c r="H104" s="15" t="s">
        <v>8</v>
      </c>
      <c r="I104" s="15"/>
      <c r="J104" s="15"/>
      <c r="K104" s="11" t="s">
        <v>5</v>
      </c>
      <c r="L104" s="12" t="s">
        <v>6</v>
      </c>
      <c r="M104" s="13" t="s">
        <v>7</v>
      </c>
      <c r="N104" s="4"/>
      <c r="O104" s="52"/>
      <c r="P104" s="52"/>
      <c r="Q104" s="52"/>
      <c r="R104" s="52"/>
      <c r="S104" s="52"/>
      <c r="T104" s="52"/>
      <c r="U104" s="52"/>
      <c r="V104" s="52"/>
      <c r="W104" s="52"/>
      <c r="X104" s="52"/>
      <c r="Y104" s="52"/>
      <c r="Z104" s="52"/>
      <c r="AA104" s="52"/>
      <c r="AB104" s="52"/>
    </row>
    <row r="105" customFormat="false" ht="15.75" hidden="false" customHeight="false" outlineLevel="0" collapsed="false">
      <c r="A105" s="23" t="str">
        <f aca="false">BTB!$G$1</f>
        <v>Battlin Brelooms</v>
      </c>
      <c r="B105" s="23"/>
      <c r="C105" s="23"/>
      <c r="D105" s="19" t="n">
        <v>6</v>
      </c>
      <c r="E105" s="20" t="n">
        <v>2</v>
      </c>
      <c r="F105" s="21" t="str">
        <f aca="false">IF(A112="WIN","W",IF(A112="LOSE","L",""))</f>
        <v>W</v>
      </c>
      <c r="G105" s="22"/>
      <c r="H105" s="23" t="str">
        <f aca="false">FTT!$G$1</f>
        <v>Fortree Trevenants</v>
      </c>
      <c r="I105" s="23"/>
      <c r="J105" s="23"/>
      <c r="K105" s="19" t="n">
        <v>2</v>
      </c>
      <c r="L105" s="20" t="n">
        <v>6</v>
      </c>
      <c r="M105" s="21" t="str">
        <f aca="false">IF(H112="WIN","W",IF(H112="LOSE","L",""))</f>
        <v>L</v>
      </c>
      <c r="N105" s="4"/>
      <c r="O105" s="53"/>
      <c r="P105" s="53"/>
      <c r="Q105" s="53"/>
      <c r="R105" s="53"/>
      <c r="S105" s="53"/>
      <c r="T105" s="53"/>
      <c r="U105" s="53"/>
      <c r="V105" s="53"/>
      <c r="W105" s="53"/>
      <c r="X105" s="53"/>
      <c r="Y105" s="53"/>
      <c r="Z105" s="53"/>
      <c r="AA105" s="53"/>
      <c r="AB105" s="53"/>
    </row>
    <row r="106" customFormat="false" ht="15.75" hidden="false" customHeight="false" outlineLevel="0" collapsed="false">
      <c r="A106" s="25" t="s">
        <v>58</v>
      </c>
      <c r="B106" s="25"/>
      <c r="C106" s="25"/>
      <c r="D106" s="26" t="n">
        <v>2</v>
      </c>
      <c r="E106" s="27" t="n">
        <v>1</v>
      </c>
      <c r="F106" s="28" t="n">
        <f aca="false">IF(A112="WIN",1,0)</f>
        <v>1</v>
      </c>
      <c r="G106" s="29"/>
      <c r="H106" s="25" t="s">
        <v>108</v>
      </c>
      <c r="I106" s="25"/>
      <c r="J106" s="25"/>
      <c r="K106" s="26" t="n">
        <v>0</v>
      </c>
      <c r="L106" s="27" t="n">
        <v>1</v>
      </c>
      <c r="M106" s="28" t="n">
        <f aca="false">IF(H112="WIN",1,0)</f>
        <v>0</v>
      </c>
      <c r="N106" s="4"/>
      <c r="O106" s="51"/>
      <c r="P106" s="51"/>
      <c r="Q106" s="51"/>
      <c r="R106" s="51"/>
      <c r="S106" s="51"/>
      <c r="T106" s="51"/>
      <c r="U106" s="51"/>
      <c r="V106" s="51"/>
      <c r="W106" s="51"/>
      <c r="X106" s="51"/>
      <c r="Y106" s="51"/>
      <c r="Z106" s="51"/>
      <c r="AA106" s="51"/>
      <c r="AB106" s="51"/>
    </row>
    <row r="107" customFormat="false" ht="15.75" hidden="false" customHeight="false" outlineLevel="0" collapsed="false">
      <c r="A107" s="25" t="s">
        <v>67</v>
      </c>
      <c r="B107" s="25"/>
      <c r="C107" s="25"/>
      <c r="D107" s="26" t="n">
        <v>1</v>
      </c>
      <c r="E107" s="27" t="n">
        <v>0</v>
      </c>
      <c r="F107" s="28" t="n">
        <f aca="false">IF(A112="WIN",1,0)</f>
        <v>1</v>
      </c>
      <c r="G107" s="29"/>
      <c r="H107" s="25" t="s">
        <v>76</v>
      </c>
      <c r="I107" s="25"/>
      <c r="J107" s="25"/>
      <c r="K107" s="26" t="n">
        <v>0</v>
      </c>
      <c r="L107" s="27" t="n">
        <v>1</v>
      </c>
      <c r="M107" s="28" t="n">
        <f aca="false">IF(H112="WIN",1,0)</f>
        <v>0</v>
      </c>
      <c r="N107" s="4"/>
      <c r="O107" s="51"/>
      <c r="P107" s="51"/>
      <c r="Q107" s="51"/>
      <c r="R107" s="51"/>
      <c r="S107" s="51"/>
      <c r="T107" s="51"/>
      <c r="U107" s="51"/>
      <c r="V107" s="51"/>
      <c r="W107" s="51"/>
      <c r="X107" s="51"/>
      <c r="Y107" s="51"/>
      <c r="Z107" s="51"/>
      <c r="AA107" s="51"/>
      <c r="AB107" s="51"/>
    </row>
    <row r="108" customFormat="false" ht="15.75" hidden="false" customHeight="false" outlineLevel="0" collapsed="false">
      <c r="A108" s="25" t="s">
        <v>65</v>
      </c>
      <c r="B108" s="25"/>
      <c r="C108" s="25"/>
      <c r="D108" s="26" t="n">
        <v>2</v>
      </c>
      <c r="E108" s="27" t="n">
        <v>0</v>
      </c>
      <c r="F108" s="28" t="n">
        <f aca="false">IF(A112="WIN",1,0)</f>
        <v>1</v>
      </c>
      <c r="G108" s="29"/>
      <c r="H108" s="25" t="s">
        <v>80</v>
      </c>
      <c r="I108" s="25"/>
      <c r="J108" s="25"/>
      <c r="K108" s="26" t="n">
        <v>2</v>
      </c>
      <c r="L108" s="27" t="n">
        <v>1</v>
      </c>
      <c r="M108" s="28" t="n">
        <f aca="false">IF(H112="WIN",1,0)</f>
        <v>0</v>
      </c>
      <c r="N108" s="4"/>
      <c r="O108" s="51"/>
      <c r="P108" s="51"/>
      <c r="Q108" s="51"/>
      <c r="R108" s="51"/>
      <c r="S108" s="51"/>
      <c r="T108" s="51"/>
      <c r="U108" s="51"/>
      <c r="V108" s="51"/>
      <c r="W108" s="51"/>
      <c r="X108" s="51"/>
      <c r="Y108" s="51"/>
      <c r="Z108" s="51"/>
      <c r="AA108" s="51"/>
      <c r="AB108" s="51"/>
    </row>
    <row r="109" customFormat="false" ht="15.75" hidden="false" customHeight="false" outlineLevel="0" collapsed="false">
      <c r="A109" s="25" t="s">
        <v>63</v>
      </c>
      <c r="B109" s="25"/>
      <c r="C109" s="25"/>
      <c r="D109" s="26" t="n">
        <v>0</v>
      </c>
      <c r="E109" s="27" t="n">
        <v>0</v>
      </c>
      <c r="F109" s="28" t="n">
        <f aca="false">IF(A112="WIN",1,0)</f>
        <v>1</v>
      </c>
      <c r="G109" s="29"/>
      <c r="H109" s="25" t="s">
        <v>78</v>
      </c>
      <c r="I109" s="25"/>
      <c r="J109" s="25"/>
      <c r="K109" s="26" t="n">
        <v>0</v>
      </c>
      <c r="L109" s="27" t="n">
        <v>1</v>
      </c>
      <c r="M109" s="28" t="n">
        <f aca="false">IF(H112="WIN",1,0)</f>
        <v>0</v>
      </c>
      <c r="N109" s="4"/>
      <c r="O109" s="51"/>
      <c r="P109" s="51"/>
      <c r="Q109" s="51"/>
      <c r="R109" s="51"/>
      <c r="S109" s="51"/>
      <c r="T109" s="51"/>
      <c r="U109" s="51"/>
      <c r="V109" s="51"/>
      <c r="W109" s="51"/>
      <c r="X109" s="51"/>
      <c r="Y109" s="51"/>
      <c r="Z109" s="51"/>
      <c r="AA109" s="51"/>
      <c r="AB109" s="51"/>
    </row>
    <row r="110" customFormat="false" ht="15.75" hidden="false" customHeight="false" outlineLevel="0" collapsed="false">
      <c r="A110" s="25" t="s">
        <v>61</v>
      </c>
      <c r="B110" s="25"/>
      <c r="C110" s="25"/>
      <c r="D110" s="26" t="n">
        <v>0</v>
      </c>
      <c r="E110" s="27" t="n">
        <v>1</v>
      </c>
      <c r="F110" s="28" t="n">
        <f aca="false">IF(A112="WIN",1,0)</f>
        <v>1</v>
      </c>
      <c r="G110" s="29"/>
      <c r="H110" s="25" t="s">
        <v>74</v>
      </c>
      <c r="I110" s="25"/>
      <c r="J110" s="25"/>
      <c r="K110" s="26" t="n">
        <v>0</v>
      </c>
      <c r="L110" s="27" t="n">
        <v>1</v>
      </c>
      <c r="M110" s="28" t="n">
        <f aca="false">IF(H112="WIN",1,0)</f>
        <v>0</v>
      </c>
      <c r="N110" s="4"/>
      <c r="O110" s="51"/>
      <c r="P110" s="51"/>
      <c r="Q110" s="51"/>
      <c r="R110" s="51"/>
      <c r="S110" s="51"/>
      <c r="T110" s="51"/>
      <c r="U110" s="51"/>
      <c r="V110" s="51"/>
      <c r="W110" s="51"/>
      <c r="X110" s="51"/>
      <c r="Y110" s="51"/>
      <c r="Z110" s="51"/>
      <c r="AA110" s="51"/>
      <c r="AB110" s="51"/>
    </row>
    <row r="111" customFormat="false" ht="15.75" hidden="false" customHeight="false" outlineLevel="0" collapsed="false">
      <c r="A111" s="25" t="s">
        <v>69</v>
      </c>
      <c r="B111" s="25"/>
      <c r="C111" s="25"/>
      <c r="D111" s="33" t="n">
        <v>1</v>
      </c>
      <c r="E111" s="34" t="n">
        <v>0</v>
      </c>
      <c r="F111" s="28" t="n">
        <f aca="false">IF(A112="WIN",1,0)</f>
        <v>1</v>
      </c>
      <c r="G111" s="29"/>
      <c r="H111" s="25" t="s">
        <v>82</v>
      </c>
      <c r="I111" s="25"/>
      <c r="J111" s="25"/>
      <c r="K111" s="33" t="n">
        <v>0</v>
      </c>
      <c r="L111" s="34" t="n">
        <v>1</v>
      </c>
      <c r="M111" s="28" t="n">
        <f aca="false">IF(H112="WIN",1,0)</f>
        <v>0</v>
      </c>
      <c r="N111" s="4"/>
      <c r="O111" s="51"/>
      <c r="P111" s="51"/>
      <c r="Q111" s="51"/>
      <c r="R111" s="51"/>
      <c r="S111" s="51"/>
      <c r="T111" s="51"/>
      <c r="U111" s="51"/>
      <c r="V111" s="51"/>
      <c r="W111" s="51"/>
      <c r="X111" s="51"/>
      <c r="Y111" s="51"/>
      <c r="Z111" s="51"/>
      <c r="AA111" s="51"/>
      <c r="AB111" s="51"/>
    </row>
    <row r="112" customFormat="false" ht="15.75" hidden="false" customHeight="false" outlineLevel="0" collapsed="false">
      <c r="A112" s="35" t="s">
        <v>11</v>
      </c>
      <c r="B112" s="35"/>
      <c r="C112" s="35"/>
      <c r="D112" s="36"/>
      <c r="E112" s="37"/>
      <c r="F112" s="38"/>
      <c r="G112" s="39"/>
      <c r="H112" s="54" t="s">
        <v>10</v>
      </c>
      <c r="I112" s="54"/>
      <c r="J112" s="54"/>
      <c r="K112" s="41"/>
      <c r="L112" s="37"/>
      <c r="M112" s="38"/>
      <c r="N112" s="4"/>
      <c r="O112" s="52"/>
      <c r="P112" s="52"/>
      <c r="Q112" s="52"/>
      <c r="R112" s="52"/>
      <c r="S112" s="52"/>
      <c r="T112" s="52"/>
      <c r="U112" s="52"/>
      <c r="V112" s="52"/>
      <c r="W112" s="52"/>
      <c r="X112" s="52"/>
      <c r="Y112" s="52"/>
      <c r="Z112" s="52"/>
      <c r="AA112" s="52"/>
      <c r="AB112" s="52"/>
    </row>
    <row r="113" customFormat="false" ht="17.25" hidden="false" customHeight="false" outlineLevel="0" collapsed="false">
      <c r="A113" s="6" t="s">
        <v>109</v>
      </c>
      <c r="B113" s="6"/>
      <c r="C113" s="6"/>
      <c r="D113" s="6"/>
      <c r="E113" s="6"/>
      <c r="F113" s="6"/>
      <c r="G113" s="6"/>
      <c r="H113" s="6"/>
      <c r="I113" s="6"/>
      <c r="J113" s="6"/>
      <c r="K113" s="6"/>
      <c r="L113" s="6"/>
      <c r="M113" s="6"/>
      <c r="N113" s="4"/>
      <c r="O113" s="55"/>
      <c r="P113" s="55"/>
      <c r="Q113" s="55"/>
      <c r="R113" s="55"/>
      <c r="S113" s="55"/>
      <c r="T113" s="55"/>
      <c r="U113" s="55"/>
      <c r="V113" s="55"/>
      <c r="W113" s="55"/>
      <c r="X113" s="55"/>
      <c r="Y113" s="55"/>
      <c r="Z113" s="55"/>
      <c r="AA113" s="55"/>
      <c r="AB113" s="55"/>
    </row>
    <row r="114" customFormat="false" ht="15.75" hidden="false" customHeight="false" outlineLevel="0" collapsed="false">
      <c r="A114" s="10" t="s">
        <v>4</v>
      </c>
      <c r="B114" s="10"/>
      <c r="C114" s="10"/>
      <c r="D114" s="11" t="s">
        <v>5</v>
      </c>
      <c r="E114" s="12" t="s">
        <v>6</v>
      </c>
      <c r="F114" s="13" t="s">
        <v>7</v>
      </c>
      <c r="G114" s="14"/>
      <c r="H114" s="15" t="s">
        <v>8</v>
      </c>
      <c r="I114" s="15"/>
      <c r="J114" s="15"/>
      <c r="K114" s="11" t="s">
        <v>5</v>
      </c>
      <c r="L114" s="12" t="s">
        <v>6</v>
      </c>
      <c r="M114" s="13" t="s">
        <v>7</v>
      </c>
      <c r="N114" s="4"/>
      <c r="O114" s="52"/>
      <c r="P114" s="52"/>
      <c r="Q114" s="52"/>
      <c r="R114" s="52"/>
      <c r="S114" s="52"/>
      <c r="T114" s="52"/>
      <c r="U114" s="52"/>
      <c r="V114" s="52"/>
      <c r="W114" s="52"/>
      <c r="X114" s="52"/>
      <c r="Y114" s="52"/>
      <c r="Z114" s="52"/>
      <c r="AA114" s="52"/>
      <c r="AB114" s="52"/>
    </row>
    <row r="115" customFormat="false" ht="15.75" hidden="false" customHeight="false" outlineLevel="0" collapsed="false">
      <c r="A115" s="18" t="str">
        <f aca="false">KKS!$G$1</f>
        <v>Kingston Kecleons</v>
      </c>
      <c r="B115" s="18"/>
      <c r="C115" s="18"/>
      <c r="D115" s="19" t="n">
        <v>6</v>
      </c>
      <c r="E115" s="20" t="n">
        <v>2</v>
      </c>
      <c r="F115" s="21" t="str">
        <f aca="false">IF(A122="WIN","W",IF(A122="LOSE","L",""))</f>
        <v>W</v>
      </c>
      <c r="G115" s="22"/>
      <c r="H115" s="23" t="str">
        <f aca="false">FTT!$G$1</f>
        <v>Fortree Trevenants</v>
      </c>
      <c r="I115" s="23"/>
      <c r="J115" s="23"/>
      <c r="K115" s="19" t="n">
        <v>2</v>
      </c>
      <c r="L115" s="20" t="n">
        <v>6</v>
      </c>
      <c r="M115" s="21" t="str">
        <f aca="false">IF(H122="WIN","W",IF(H122="LOSE","L",""))</f>
        <v>L</v>
      </c>
      <c r="N115" s="4"/>
      <c r="O115" s="53"/>
      <c r="P115" s="53"/>
      <c r="Q115" s="53"/>
      <c r="R115" s="53"/>
      <c r="S115" s="53"/>
      <c r="T115" s="53"/>
      <c r="U115" s="53"/>
      <c r="V115" s="53"/>
      <c r="W115" s="53"/>
      <c r="X115" s="53"/>
      <c r="Y115" s="53"/>
      <c r="Z115" s="53"/>
      <c r="AA115" s="53"/>
      <c r="AB115" s="53"/>
    </row>
    <row r="116" customFormat="false" ht="15.75" hidden="false" customHeight="false" outlineLevel="0" collapsed="false">
      <c r="A116" s="25" t="s">
        <v>85</v>
      </c>
      <c r="B116" s="25"/>
      <c r="C116" s="25"/>
      <c r="D116" s="26" t="n">
        <v>0</v>
      </c>
      <c r="E116" s="27" t="n">
        <v>0</v>
      </c>
      <c r="F116" s="28" t="n">
        <f aca="false">IF(A122="WIN",1,0)</f>
        <v>1</v>
      </c>
      <c r="G116" s="29"/>
      <c r="H116" s="25" t="s">
        <v>110</v>
      </c>
      <c r="I116" s="25"/>
      <c r="J116" s="25"/>
      <c r="K116" s="26" t="n">
        <v>1</v>
      </c>
      <c r="L116" s="27" t="n">
        <v>1</v>
      </c>
      <c r="M116" s="28" t="n">
        <f aca="false">IF(H122="WIN",1,0)</f>
        <v>0</v>
      </c>
      <c r="N116" s="4"/>
      <c r="O116" s="51"/>
      <c r="P116" s="51"/>
      <c r="Q116" s="51"/>
      <c r="R116" s="51"/>
      <c r="S116" s="51"/>
      <c r="T116" s="51"/>
      <c r="U116" s="51"/>
      <c r="V116" s="51"/>
      <c r="W116" s="51"/>
      <c r="X116" s="51"/>
      <c r="Y116" s="51"/>
      <c r="Z116" s="51"/>
      <c r="AA116" s="51"/>
      <c r="AB116" s="51"/>
    </row>
    <row r="117" customFormat="false" ht="15.75" hidden="false" customHeight="false" outlineLevel="0" collapsed="false">
      <c r="A117" s="25" t="s">
        <v>19</v>
      </c>
      <c r="B117" s="25"/>
      <c r="C117" s="25"/>
      <c r="D117" s="26" t="n">
        <v>1</v>
      </c>
      <c r="E117" s="27" t="n">
        <v>1</v>
      </c>
      <c r="F117" s="28" t="n">
        <f aca="false">IF(A122="WIN",1,0)</f>
        <v>1</v>
      </c>
      <c r="G117" s="29"/>
      <c r="H117" s="25" t="s">
        <v>78</v>
      </c>
      <c r="I117" s="25"/>
      <c r="J117" s="25"/>
      <c r="K117" s="26" t="n">
        <v>0</v>
      </c>
      <c r="L117" s="27" t="n">
        <v>1</v>
      </c>
      <c r="M117" s="28" t="n">
        <f aca="false">IF(H122="WIN",1,0)</f>
        <v>0</v>
      </c>
      <c r="N117" s="4"/>
      <c r="O117" s="51"/>
      <c r="P117" s="51"/>
      <c r="Q117" s="51"/>
      <c r="R117" s="51"/>
      <c r="S117" s="51"/>
      <c r="T117" s="51"/>
      <c r="U117" s="51"/>
      <c r="V117" s="51"/>
      <c r="W117" s="51"/>
      <c r="X117" s="51"/>
      <c r="Y117" s="51"/>
      <c r="Z117" s="51"/>
      <c r="AA117" s="51"/>
      <c r="AB117" s="51"/>
    </row>
    <row r="118" customFormat="false" ht="15.75" hidden="false" customHeight="false" outlineLevel="0" collapsed="false">
      <c r="A118" s="25" t="s">
        <v>103</v>
      </c>
      <c r="B118" s="25"/>
      <c r="C118" s="25"/>
      <c r="D118" s="26" t="n">
        <v>2</v>
      </c>
      <c r="E118" s="27" t="n">
        <v>1</v>
      </c>
      <c r="F118" s="28" t="n">
        <f aca="false">IF(A122="WIN",1,0)</f>
        <v>1</v>
      </c>
      <c r="G118" s="29"/>
      <c r="H118" s="25" t="s">
        <v>76</v>
      </c>
      <c r="I118" s="25"/>
      <c r="J118" s="25"/>
      <c r="K118" s="26" t="n">
        <v>0</v>
      </c>
      <c r="L118" s="27" t="n">
        <v>1</v>
      </c>
      <c r="M118" s="28" t="n">
        <f aca="false">IF(H122="WIN",1,0)</f>
        <v>0</v>
      </c>
      <c r="N118" s="4"/>
      <c r="O118" s="51"/>
      <c r="P118" s="51"/>
      <c r="Q118" s="51"/>
      <c r="R118" s="51"/>
      <c r="S118" s="51"/>
      <c r="T118" s="51"/>
      <c r="U118" s="51"/>
      <c r="V118" s="51"/>
      <c r="W118" s="51"/>
      <c r="X118" s="51"/>
      <c r="Y118" s="51"/>
      <c r="Z118" s="51"/>
      <c r="AA118" s="51"/>
      <c r="AB118" s="51"/>
    </row>
    <row r="119" customFormat="false" ht="15.75" hidden="false" customHeight="false" outlineLevel="0" collapsed="false">
      <c r="A119" s="25" t="s">
        <v>111</v>
      </c>
      <c r="B119" s="25"/>
      <c r="C119" s="25"/>
      <c r="D119" s="26" t="n">
        <v>0</v>
      </c>
      <c r="E119" s="27" t="n">
        <v>0</v>
      </c>
      <c r="F119" s="28" t="n">
        <f aca="false">IF(A122="WIN",1,0)</f>
        <v>1</v>
      </c>
      <c r="G119" s="29"/>
      <c r="H119" s="25" t="s">
        <v>74</v>
      </c>
      <c r="I119" s="25"/>
      <c r="J119" s="25"/>
      <c r="K119" s="26" t="n">
        <v>0</v>
      </c>
      <c r="L119" s="27" t="n">
        <v>1</v>
      </c>
      <c r="M119" s="28" t="n">
        <f aca="false">IF(H122="WIN",1,0)</f>
        <v>0</v>
      </c>
      <c r="N119" s="4"/>
      <c r="O119" s="51"/>
      <c r="P119" s="51"/>
      <c r="Q119" s="51"/>
      <c r="R119" s="51"/>
      <c r="S119" s="51"/>
      <c r="T119" s="51"/>
      <c r="U119" s="51"/>
      <c r="V119" s="51"/>
      <c r="W119" s="51"/>
      <c r="X119" s="51"/>
      <c r="Y119" s="51"/>
      <c r="Z119" s="51"/>
      <c r="AA119" s="51"/>
      <c r="AB119" s="51"/>
    </row>
    <row r="120" customFormat="false" ht="15.75" hidden="false" customHeight="false" outlineLevel="0" collapsed="false">
      <c r="A120" s="25" t="s">
        <v>88</v>
      </c>
      <c r="B120" s="25"/>
      <c r="C120" s="25"/>
      <c r="D120" s="26" t="n">
        <v>2</v>
      </c>
      <c r="E120" s="27" t="n">
        <v>0</v>
      </c>
      <c r="F120" s="28" t="n">
        <f aca="false">IF(A122="WIN",1,0)</f>
        <v>1</v>
      </c>
      <c r="G120" s="29"/>
      <c r="H120" s="25" t="s">
        <v>82</v>
      </c>
      <c r="I120" s="25"/>
      <c r="J120" s="25"/>
      <c r="K120" s="26" t="n">
        <v>0</v>
      </c>
      <c r="L120" s="27" t="n">
        <v>1</v>
      </c>
      <c r="M120" s="28" t="n">
        <f aca="false">IF(H122="WIN",1,0)</f>
        <v>0</v>
      </c>
      <c r="N120" s="4"/>
      <c r="O120" s="51"/>
      <c r="P120" s="51"/>
      <c r="Q120" s="51"/>
      <c r="R120" s="51"/>
      <c r="S120" s="51"/>
      <c r="T120" s="51"/>
      <c r="U120" s="51"/>
      <c r="V120" s="51"/>
      <c r="W120" s="51"/>
      <c r="X120" s="51"/>
      <c r="Y120" s="51"/>
      <c r="Z120" s="51"/>
      <c r="AA120" s="51"/>
      <c r="AB120" s="51"/>
    </row>
    <row r="121" customFormat="false" ht="15.75" hidden="false" customHeight="false" outlineLevel="0" collapsed="false">
      <c r="A121" s="32" t="s">
        <v>23</v>
      </c>
      <c r="B121" s="32"/>
      <c r="C121" s="32"/>
      <c r="D121" s="33" t="n">
        <v>1</v>
      </c>
      <c r="E121" s="34" t="n">
        <v>0</v>
      </c>
      <c r="F121" s="28" t="n">
        <f aca="false">IF(A122="WIN",1,0)</f>
        <v>1</v>
      </c>
      <c r="G121" s="29"/>
      <c r="H121" s="25" t="s">
        <v>80</v>
      </c>
      <c r="I121" s="25"/>
      <c r="J121" s="25"/>
      <c r="K121" s="33" t="n">
        <v>1</v>
      </c>
      <c r="L121" s="34" t="n">
        <v>1</v>
      </c>
      <c r="M121" s="28" t="n">
        <f aca="false">IF(H122="WIN",1,0)</f>
        <v>0</v>
      </c>
      <c r="N121" s="4"/>
      <c r="O121" s="51"/>
      <c r="P121" s="51"/>
      <c r="Q121" s="51"/>
      <c r="R121" s="51"/>
      <c r="S121" s="51"/>
      <c r="T121" s="51"/>
      <c r="U121" s="51"/>
      <c r="V121" s="51"/>
      <c r="W121" s="51"/>
      <c r="X121" s="51"/>
      <c r="Y121" s="51"/>
      <c r="Z121" s="51"/>
      <c r="AA121" s="51"/>
      <c r="AB121" s="51"/>
    </row>
    <row r="122" customFormat="false" ht="15.75" hidden="false" customHeight="false" outlineLevel="0" collapsed="false">
      <c r="A122" s="35" t="s">
        <v>11</v>
      </c>
      <c r="B122" s="35"/>
      <c r="C122" s="35"/>
      <c r="D122" s="36"/>
      <c r="E122" s="37"/>
      <c r="F122" s="38"/>
      <c r="G122" s="39"/>
      <c r="H122" s="54" t="s">
        <v>10</v>
      </c>
      <c r="I122" s="54"/>
      <c r="J122" s="54"/>
      <c r="K122" s="41"/>
      <c r="L122" s="37"/>
      <c r="M122" s="38"/>
      <c r="N122" s="4"/>
      <c r="O122" s="52"/>
      <c r="P122" s="52"/>
      <c r="Q122" s="52"/>
      <c r="R122" s="52"/>
      <c r="S122" s="52"/>
      <c r="T122" s="52"/>
      <c r="U122" s="52"/>
      <c r="V122" s="52"/>
      <c r="W122" s="52"/>
      <c r="X122" s="52"/>
      <c r="Y122" s="52"/>
      <c r="Z122" s="52"/>
      <c r="AA122" s="52"/>
      <c r="AB122" s="52"/>
    </row>
    <row r="123" customFormat="false" ht="15.75" hidden="false" customHeight="false" outlineLevel="0" collapsed="false">
      <c r="A123" s="10" t="s">
        <v>4</v>
      </c>
      <c r="B123" s="10"/>
      <c r="C123" s="10"/>
      <c r="D123" s="11" t="s">
        <v>5</v>
      </c>
      <c r="E123" s="12" t="s">
        <v>6</v>
      </c>
      <c r="F123" s="13" t="s">
        <v>7</v>
      </c>
      <c r="G123" s="14"/>
      <c r="H123" s="15" t="s">
        <v>8</v>
      </c>
      <c r="I123" s="15"/>
      <c r="J123" s="15"/>
      <c r="K123" s="11" t="s">
        <v>5</v>
      </c>
      <c r="L123" s="12" t="s">
        <v>6</v>
      </c>
      <c r="M123" s="13" t="s">
        <v>7</v>
      </c>
      <c r="N123" s="4"/>
      <c r="O123" s="52"/>
      <c r="P123" s="52"/>
      <c r="Q123" s="52"/>
      <c r="R123" s="52"/>
      <c r="S123" s="52"/>
      <c r="T123" s="52"/>
      <c r="U123" s="52"/>
      <c r="V123" s="52"/>
      <c r="W123" s="52"/>
      <c r="X123" s="52"/>
      <c r="Y123" s="52"/>
      <c r="Z123" s="52"/>
      <c r="AA123" s="52"/>
      <c r="AB123" s="52"/>
    </row>
    <row r="124" customFormat="false" ht="15.75" hidden="false" customHeight="false" outlineLevel="0" collapsed="false">
      <c r="A124" s="18" t="str">
        <f aca="false">SEA!$G$1</f>
        <v>Seattle Seadras</v>
      </c>
      <c r="B124" s="18"/>
      <c r="C124" s="18"/>
      <c r="D124" s="19" t="n">
        <v>6</v>
      </c>
      <c r="E124" s="20" t="n">
        <v>3</v>
      </c>
      <c r="F124" s="21" t="str">
        <f aca="false">IF(A131="WIN","W",IF(A131="LOSE","L",""))</f>
        <v>W</v>
      </c>
      <c r="G124" s="22"/>
      <c r="H124" s="18" t="str">
        <f aca="false">LVC!$G$1</f>
        <v>Louisville Crobats</v>
      </c>
      <c r="I124" s="18"/>
      <c r="J124" s="18"/>
      <c r="K124" s="19" t="n">
        <v>3</v>
      </c>
      <c r="L124" s="20" t="n">
        <v>6</v>
      </c>
      <c r="M124" s="21" t="str">
        <f aca="false">IF(H131="WIN","W",IF(H131="LOSE","L",""))</f>
        <v>L</v>
      </c>
      <c r="N124" s="4"/>
      <c r="O124" s="53"/>
      <c r="P124" s="53"/>
      <c r="Q124" s="53"/>
      <c r="R124" s="53"/>
      <c r="S124" s="53"/>
      <c r="T124" s="53"/>
      <c r="U124" s="53"/>
      <c r="V124" s="53"/>
      <c r="W124" s="53"/>
      <c r="X124" s="53"/>
      <c r="Y124" s="53"/>
      <c r="Z124" s="53"/>
      <c r="AA124" s="53"/>
      <c r="AB124" s="53"/>
    </row>
    <row r="125" customFormat="false" ht="15.75" hidden="false" customHeight="false" outlineLevel="0" collapsed="false">
      <c r="A125" s="25" t="s">
        <v>49</v>
      </c>
      <c r="B125" s="25"/>
      <c r="C125" s="25"/>
      <c r="D125" s="26" t="n">
        <v>3</v>
      </c>
      <c r="E125" s="27" t="n">
        <v>0</v>
      </c>
      <c r="F125" s="28" t="n">
        <f aca="false">IF(A131="WIN",1,0)</f>
        <v>1</v>
      </c>
      <c r="G125" s="29"/>
      <c r="H125" s="25" t="s">
        <v>57</v>
      </c>
      <c r="I125" s="25"/>
      <c r="J125" s="25"/>
      <c r="K125" s="26" t="n">
        <v>0</v>
      </c>
      <c r="L125" s="27" t="n">
        <v>1</v>
      </c>
      <c r="M125" s="28" t="n">
        <f aca="false">IF(H131="WIN",1,0)</f>
        <v>0</v>
      </c>
      <c r="N125" s="4"/>
      <c r="O125" s="51"/>
      <c r="P125" s="51"/>
      <c r="Q125" s="51"/>
      <c r="R125" s="51"/>
      <c r="S125" s="51"/>
      <c r="T125" s="51"/>
      <c r="U125" s="51"/>
      <c r="V125" s="51"/>
      <c r="W125" s="51"/>
      <c r="X125" s="51"/>
      <c r="Y125" s="51"/>
      <c r="Z125" s="51"/>
      <c r="AA125" s="51"/>
      <c r="AB125" s="51"/>
    </row>
    <row r="126" customFormat="false" ht="15.75" hidden="false" customHeight="false" outlineLevel="0" collapsed="false">
      <c r="A126" s="25" t="s">
        <v>91</v>
      </c>
      <c r="B126" s="25"/>
      <c r="C126" s="25"/>
      <c r="D126" s="26" t="n">
        <v>1</v>
      </c>
      <c r="E126" s="27" t="n">
        <v>1</v>
      </c>
      <c r="F126" s="28" t="n">
        <f aca="false">IF(A131="WIN",1,0)</f>
        <v>1</v>
      </c>
      <c r="G126" s="29"/>
      <c r="H126" s="25" t="s">
        <v>60</v>
      </c>
      <c r="I126" s="25"/>
      <c r="J126" s="25"/>
      <c r="K126" s="26" t="n">
        <v>0</v>
      </c>
      <c r="L126" s="27" t="n">
        <v>1</v>
      </c>
      <c r="M126" s="28" t="n">
        <f aca="false">IF(H131="WIN",1,0)</f>
        <v>0</v>
      </c>
      <c r="N126" s="4"/>
      <c r="O126" s="51"/>
      <c r="P126" s="51"/>
      <c r="Q126" s="51"/>
      <c r="R126" s="51"/>
      <c r="S126" s="51"/>
      <c r="T126" s="51"/>
      <c r="U126" s="51"/>
      <c r="V126" s="51"/>
      <c r="W126" s="51"/>
      <c r="X126" s="51"/>
      <c r="Y126" s="51"/>
      <c r="Z126" s="51"/>
      <c r="AA126" s="51"/>
      <c r="AB126" s="51"/>
    </row>
    <row r="127" customFormat="false" ht="15.75" hidden="false" customHeight="false" outlineLevel="0" collapsed="false">
      <c r="A127" s="25" t="s">
        <v>89</v>
      </c>
      <c r="B127" s="25"/>
      <c r="C127" s="25"/>
      <c r="D127" s="26" t="n">
        <v>0</v>
      </c>
      <c r="E127" s="27" t="n">
        <v>0</v>
      </c>
      <c r="F127" s="28" t="n">
        <f aca="false">IF(A131="WIN",1,0)</f>
        <v>1</v>
      </c>
      <c r="G127" s="29"/>
      <c r="H127" s="25" t="s">
        <v>64</v>
      </c>
      <c r="I127" s="25"/>
      <c r="J127" s="25"/>
      <c r="K127" s="26" t="n">
        <v>0</v>
      </c>
      <c r="L127" s="27" t="n">
        <v>1</v>
      </c>
      <c r="M127" s="28" t="n">
        <f aca="false">IF(H131="WIN",1,0)</f>
        <v>0</v>
      </c>
      <c r="N127" s="4"/>
      <c r="O127" s="51"/>
      <c r="P127" s="51"/>
      <c r="Q127" s="51"/>
      <c r="R127" s="51"/>
      <c r="S127" s="51"/>
      <c r="T127" s="51"/>
      <c r="U127" s="51"/>
      <c r="V127" s="51"/>
      <c r="W127" s="51"/>
      <c r="X127" s="51"/>
      <c r="Y127" s="51"/>
      <c r="Z127" s="51"/>
      <c r="AA127" s="51"/>
      <c r="AB127" s="51"/>
    </row>
    <row r="128" customFormat="false" ht="15.75" hidden="false" customHeight="false" outlineLevel="0" collapsed="false">
      <c r="A128" s="25" t="s">
        <v>40</v>
      </c>
      <c r="B128" s="25"/>
      <c r="C128" s="25"/>
      <c r="D128" s="26" t="n">
        <v>1</v>
      </c>
      <c r="E128" s="27" t="n">
        <v>1</v>
      </c>
      <c r="F128" s="28" t="n">
        <f aca="false">IF(A131="WIN",1,0)</f>
        <v>1</v>
      </c>
      <c r="G128" s="29"/>
      <c r="H128" s="25" t="s">
        <v>66</v>
      </c>
      <c r="I128" s="25"/>
      <c r="J128" s="25"/>
      <c r="K128" s="26" t="n">
        <v>1</v>
      </c>
      <c r="L128" s="27" t="n">
        <v>1</v>
      </c>
      <c r="M128" s="28" t="n">
        <f aca="false">IF(H131="WIN",1,0)</f>
        <v>0</v>
      </c>
      <c r="N128" s="4"/>
      <c r="O128" s="51"/>
      <c r="P128" s="51"/>
      <c r="Q128" s="51"/>
      <c r="R128" s="51"/>
      <c r="S128" s="51"/>
      <c r="T128" s="51"/>
      <c r="U128" s="51"/>
      <c r="V128" s="51"/>
      <c r="W128" s="51"/>
      <c r="X128" s="51"/>
      <c r="Y128" s="51"/>
      <c r="Z128" s="51"/>
      <c r="AA128" s="51"/>
      <c r="AB128" s="51"/>
    </row>
    <row r="129" customFormat="false" ht="15.75" hidden="false" customHeight="false" outlineLevel="0" collapsed="false">
      <c r="A129" s="25" t="s">
        <v>52</v>
      </c>
      <c r="B129" s="25"/>
      <c r="C129" s="25"/>
      <c r="D129" s="26" t="n">
        <v>0</v>
      </c>
      <c r="E129" s="27" t="n">
        <v>0</v>
      </c>
      <c r="F129" s="28" t="n">
        <f aca="false">IF(A131="WIN",1,0)</f>
        <v>1</v>
      </c>
      <c r="G129" s="29"/>
      <c r="H129" s="25" t="s">
        <v>68</v>
      </c>
      <c r="I129" s="25"/>
      <c r="J129" s="25"/>
      <c r="K129" s="26" t="n">
        <v>2</v>
      </c>
      <c r="L129" s="27" t="n">
        <v>1</v>
      </c>
      <c r="M129" s="28" t="n">
        <f aca="false">IF(H131="WIN",1,0)</f>
        <v>0</v>
      </c>
      <c r="N129" s="4"/>
      <c r="O129" s="51"/>
      <c r="P129" s="51"/>
      <c r="Q129" s="51"/>
      <c r="R129" s="51"/>
      <c r="S129" s="51"/>
      <c r="T129" s="51"/>
      <c r="U129" s="51"/>
      <c r="V129" s="51"/>
      <c r="W129" s="51"/>
      <c r="X129" s="51"/>
      <c r="Y129" s="51"/>
      <c r="Z129" s="51"/>
      <c r="AA129" s="51"/>
      <c r="AB129" s="51"/>
    </row>
    <row r="130" customFormat="false" ht="15.75" hidden="false" customHeight="false" outlineLevel="0" collapsed="false">
      <c r="A130" s="25" t="s">
        <v>90</v>
      </c>
      <c r="B130" s="25"/>
      <c r="C130" s="25"/>
      <c r="D130" s="33" t="n">
        <v>1</v>
      </c>
      <c r="E130" s="34" t="n">
        <v>1</v>
      </c>
      <c r="F130" s="28" t="n">
        <f aca="false">IF(A131="WIN",1,0)</f>
        <v>1</v>
      </c>
      <c r="G130" s="29"/>
      <c r="H130" s="25" t="s">
        <v>62</v>
      </c>
      <c r="I130" s="25"/>
      <c r="J130" s="25"/>
      <c r="K130" s="33" t="n">
        <v>0</v>
      </c>
      <c r="L130" s="34" t="n">
        <v>1</v>
      </c>
      <c r="M130" s="28" t="n">
        <f aca="false">IF(H131="WIN",1,0)</f>
        <v>0</v>
      </c>
      <c r="N130" s="4"/>
      <c r="O130" s="51"/>
      <c r="P130" s="51"/>
      <c r="Q130" s="51"/>
      <c r="R130" s="51"/>
      <c r="S130" s="51"/>
      <c r="T130" s="51"/>
      <c r="U130" s="51"/>
      <c r="V130" s="51"/>
      <c r="W130" s="51"/>
      <c r="X130" s="51"/>
      <c r="Y130" s="51"/>
      <c r="Z130" s="51"/>
      <c r="AA130" s="51"/>
      <c r="AB130" s="51"/>
    </row>
    <row r="131" customFormat="false" ht="15.75" hidden="false" customHeight="false" outlineLevel="0" collapsed="false">
      <c r="A131" s="35" t="s">
        <v>11</v>
      </c>
      <c r="B131" s="35"/>
      <c r="C131" s="35"/>
      <c r="D131" s="36"/>
      <c r="E131" s="37"/>
      <c r="F131" s="38"/>
      <c r="G131" s="39"/>
      <c r="H131" s="54" t="s">
        <v>10</v>
      </c>
      <c r="I131" s="54"/>
      <c r="J131" s="54"/>
      <c r="K131" s="41"/>
      <c r="L131" s="37"/>
      <c r="M131" s="38"/>
      <c r="N131" s="4"/>
      <c r="O131" s="52"/>
      <c r="P131" s="52"/>
      <c r="Q131" s="52"/>
      <c r="R131" s="52"/>
      <c r="S131" s="52"/>
      <c r="T131" s="52"/>
      <c r="U131" s="52"/>
      <c r="V131" s="52"/>
      <c r="W131" s="52"/>
      <c r="X131" s="52"/>
      <c r="Y131" s="52"/>
      <c r="Z131" s="52"/>
      <c r="AA131" s="52"/>
      <c r="AB131" s="52"/>
    </row>
    <row r="132" customFormat="false" ht="15.75" hidden="false" customHeight="false" outlineLevel="0" collapsed="false">
      <c r="A132" s="10" t="s">
        <v>4</v>
      </c>
      <c r="B132" s="10"/>
      <c r="C132" s="10"/>
      <c r="D132" s="11" t="s">
        <v>5</v>
      </c>
      <c r="E132" s="12" t="s">
        <v>6</v>
      </c>
      <c r="F132" s="13" t="s">
        <v>7</v>
      </c>
      <c r="G132" s="14"/>
      <c r="H132" s="15" t="s">
        <v>8</v>
      </c>
      <c r="I132" s="15"/>
      <c r="J132" s="15"/>
      <c r="K132" s="11" t="s">
        <v>5</v>
      </c>
      <c r="L132" s="12" t="s">
        <v>6</v>
      </c>
      <c r="M132" s="13" t="s">
        <v>7</v>
      </c>
      <c r="N132" s="4"/>
      <c r="O132" s="52"/>
      <c r="P132" s="52"/>
      <c r="Q132" s="52"/>
      <c r="R132" s="52"/>
      <c r="S132" s="52"/>
      <c r="T132" s="52"/>
      <c r="U132" s="52"/>
      <c r="V132" s="52"/>
      <c r="W132" s="52"/>
      <c r="X132" s="52"/>
      <c r="Y132" s="52"/>
      <c r="Z132" s="52"/>
      <c r="AA132" s="52"/>
      <c r="AB132" s="52"/>
    </row>
    <row r="133" customFormat="false" ht="15.75" hidden="false" customHeight="false" outlineLevel="0" collapsed="false">
      <c r="A133" s="23" t="str">
        <f aca="false">JVJ!$G$1</f>
        <v>Jacksonville Jumpluffs</v>
      </c>
      <c r="B133" s="23"/>
      <c r="C133" s="23"/>
      <c r="D133" s="19" t="n">
        <v>4</v>
      </c>
      <c r="E133" s="20" t="n">
        <v>6</v>
      </c>
      <c r="F133" s="21" t="str">
        <f aca="false">IF(A140="WIN","W",IF(A140="LOSE","L",""))</f>
        <v>L</v>
      </c>
      <c r="G133" s="22"/>
      <c r="H133" s="23" t="str">
        <f aca="false">BTB!$G$1</f>
        <v>Battlin Brelooms</v>
      </c>
      <c r="I133" s="23"/>
      <c r="J133" s="23"/>
      <c r="K133" s="19" t="n">
        <v>6</v>
      </c>
      <c r="L133" s="20" t="n">
        <v>5</v>
      </c>
      <c r="M133" s="21" t="str">
        <f aca="false">IF(H140="WIN","W",IF(H140="LOSE","L",""))</f>
        <v>W</v>
      </c>
      <c r="N133" s="4"/>
      <c r="O133" s="53"/>
      <c r="P133" s="53"/>
      <c r="Q133" s="53"/>
      <c r="R133" s="53"/>
      <c r="S133" s="53"/>
      <c r="T133" s="53"/>
      <c r="U133" s="53"/>
      <c r="V133" s="53"/>
      <c r="W133" s="53"/>
      <c r="X133" s="53"/>
      <c r="Y133" s="53"/>
      <c r="Z133" s="53"/>
      <c r="AA133" s="53"/>
      <c r="AB133" s="53"/>
    </row>
    <row r="134" customFormat="false" ht="15.75" hidden="false" customHeight="false" outlineLevel="0" collapsed="false">
      <c r="A134" s="25" t="s">
        <v>95</v>
      </c>
      <c r="B134" s="25"/>
      <c r="C134" s="25"/>
      <c r="D134" s="26" t="n">
        <v>0</v>
      </c>
      <c r="E134" s="27" t="n">
        <v>1</v>
      </c>
      <c r="F134" s="28" t="n">
        <f aca="false">IF(A140="WIN",1,0)</f>
        <v>0</v>
      </c>
      <c r="G134" s="29"/>
      <c r="H134" s="25" t="s">
        <v>58</v>
      </c>
      <c r="I134" s="25"/>
      <c r="J134" s="25"/>
      <c r="K134" s="26" t="n">
        <v>1</v>
      </c>
      <c r="L134" s="27" t="n">
        <v>1</v>
      </c>
      <c r="M134" s="28" t="n">
        <f aca="false">IF(H140="WIN",1,0)</f>
        <v>1</v>
      </c>
      <c r="N134" s="4"/>
      <c r="O134" s="51"/>
      <c r="P134" s="51"/>
      <c r="Q134" s="51"/>
      <c r="R134" s="51"/>
      <c r="S134" s="51"/>
      <c r="T134" s="51"/>
      <c r="U134" s="51"/>
      <c r="V134" s="51"/>
      <c r="W134" s="51"/>
      <c r="X134" s="51"/>
      <c r="Y134" s="51"/>
      <c r="Z134" s="51"/>
      <c r="AA134" s="51"/>
      <c r="AB134" s="51"/>
    </row>
    <row r="135" customFormat="false" ht="15.75" hidden="false" customHeight="false" outlineLevel="0" collapsed="false">
      <c r="A135" s="25" t="s">
        <v>14</v>
      </c>
      <c r="B135" s="25"/>
      <c r="C135" s="25"/>
      <c r="D135" s="26" t="n">
        <v>0</v>
      </c>
      <c r="E135" s="27" t="n">
        <v>1</v>
      </c>
      <c r="F135" s="28" t="n">
        <f aca="false">IF(A140="WIN",1,0)</f>
        <v>0</v>
      </c>
      <c r="G135" s="29"/>
      <c r="H135" s="25" t="s">
        <v>67</v>
      </c>
      <c r="I135" s="25"/>
      <c r="J135" s="25"/>
      <c r="K135" s="26" t="n">
        <v>2</v>
      </c>
      <c r="L135" s="27" t="n">
        <v>0</v>
      </c>
      <c r="M135" s="28" t="n">
        <f aca="false">IF(H140="WIN",1,0)</f>
        <v>1</v>
      </c>
      <c r="N135" s="4"/>
      <c r="O135" s="51"/>
      <c r="P135" s="51"/>
      <c r="Q135" s="51"/>
      <c r="R135" s="51"/>
      <c r="S135" s="51"/>
      <c r="T135" s="51"/>
      <c r="U135" s="51"/>
      <c r="V135" s="51"/>
      <c r="W135" s="51"/>
      <c r="X135" s="51"/>
      <c r="Y135" s="51"/>
      <c r="Z135" s="51"/>
      <c r="AA135" s="51"/>
      <c r="AB135" s="51"/>
    </row>
    <row r="136" customFormat="false" ht="15.75" hidden="false" customHeight="false" outlineLevel="0" collapsed="false">
      <c r="A136" s="25" t="s">
        <v>98</v>
      </c>
      <c r="B136" s="25"/>
      <c r="C136" s="25"/>
      <c r="D136" s="26" t="n">
        <v>0</v>
      </c>
      <c r="E136" s="27" t="n">
        <v>1</v>
      </c>
      <c r="F136" s="28" t="n">
        <f aca="false">IF(A140="WIN",1,0)</f>
        <v>0</v>
      </c>
      <c r="G136" s="29"/>
      <c r="H136" s="25" t="s">
        <v>61</v>
      </c>
      <c r="I136" s="25"/>
      <c r="J136" s="25"/>
      <c r="K136" s="26" t="n">
        <v>1</v>
      </c>
      <c r="L136" s="27" t="n">
        <v>1</v>
      </c>
      <c r="M136" s="28" t="n">
        <f aca="false">IF(H140="WIN",1,0)</f>
        <v>1</v>
      </c>
      <c r="N136" s="4"/>
      <c r="O136" s="51"/>
      <c r="P136" s="51"/>
      <c r="Q136" s="51"/>
      <c r="R136" s="51"/>
      <c r="S136" s="51"/>
      <c r="T136" s="51"/>
      <c r="U136" s="51"/>
      <c r="V136" s="51"/>
      <c r="W136" s="51"/>
      <c r="X136" s="51"/>
      <c r="Y136" s="51"/>
      <c r="Z136" s="51"/>
      <c r="AA136" s="51"/>
      <c r="AB136" s="51"/>
    </row>
    <row r="137" customFormat="false" ht="15.75" hidden="false" customHeight="false" outlineLevel="0" collapsed="false">
      <c r="A137" s="25" t="s">
        <v>94</v>
      </c>
      <c r="B137" s="25"/>
      <c r="C137" s="25"/>
      <c r="D137" s="26" t="n">
        <v>2</v>
      </c>
      <c r="E137" s="27" t="n">
        <v>1</v>
      </c>
      <c r="F137" s="28" t="n">
        <f aca="false">IF(A140="WIN",1,0)</f>
        <v>0</v>
      </c>
      <c r="G137" s="29"/>
      <c r="H137" s="25" t="s">
        <v>63</v>
      </c>
      <c r="I137" s="25"/>
      <c r="J137" s="25"/>
      <c r="K137" s="26" t="n">
        <v>2</v>
      </c>
      <c r="L137" s="27" t="n">
        <v>1</v>
      </c>
      <c r="M137" s="28" t="n">
        <f aca="false">IF(H140="WIN",1,0)</f>
        <v>1</v>
      </c>
      <c r="N137" s="4"/>
      <c r="O137" s="51"/>
      <c r="P137" s="51"/>
      <c r="Q137" s="51"/>
      <c r="R137" s="51"/>
      <c r="S137" s="51"/>
      <c r="T137" s="51"/>
      <c r="U137" s="51"/>
      <c r="V137" s="51"/>
      <c r="W137" s="51"/>
      <c r="X137" s="51"/>
      <c r="Y137" s="51"/>
      <c r="Z137" s="51"/>
      <c r="AA137" s="51"/>
      <c r="AB137" s="51"/>
    </row>
    <row r="138" customFormat="false" ht="15.75" hidden="false" customHeight="false" outlineLevel="0" collapsed="false">
      <c r="A138" s="25" t="s">
        <v>28</v>
      </c>
      <c r="B138" s="25"/>
      <c r="C138" s="25"/>
      <c r="D138" s="26" t="n">
        <v>1</v>
      </c>
      <c r="E138" s="27" t="n">
        <v>1</v>
      </c>
      <c r="F138" s="28" t="n">
        <f aca="false">IF(A140="WIN",1,0)</f>
        <v>0</v>
      </c>
      <c r="G138" s="29"/>
      <c r="H138" s="25" t="s">
        <v>69</v>
      </c>
      <c r="I138" s="25"/>
      <c r="J138" s="25"/>
      <c r="K138" s="26" t="n">
        <v>0</v>
      </c>
      <c r="L138" s="27" t="n">
        <v>1</v>
      </c>
      <c r="M138" s="28" t="n">
        <f aca="false">IF(H140="WIN",1,0)</f>
        <v>1</v>
      </c>
      <c r="N138" s="4"/>
      <c r="O138" s="51"/>
      <c r="P138" s="51"/>
      <c r="Q138" s="51"/>
      <c r="R138" s="51"/>
      <c r="S138" s="51"/>
      <c r="T138" s="51"/>
      <c r="U138" s="51"/>
      <c r="V138" s="51"/>
      <c r="W138" s="51"/>
      <c r="X138" s="51"/>
      <c r="Y138" s="51"/>
      <c r="Z138" s="51"/>
      <c r="AA138" s="51"/>
      <c r="AB138" s="51"/>
    </row>
    <row r="139" customFormat="false" ht="15.75" hidden="false" customHeight="false" outlineLevel="0" collapsed="false">
      <c r="A139" s="25" t="s">
        <v>20</v>
      </c>
      <c r="B139" s="25"/>
      <c r="C139" s="25"/>
      <c r="D139" s="33" t="n">
        <v>1</v>
      </c>
      <c r="E139" s="34" t="n">
        <v>1</v>
      </c>
      <c r="F139" s="28" t="n">
        <f aca="false">IF(A140="WIN",1,0)</f>
        <v>0</v>
      </c>
      <c r="G139" s="29"/>
      <c r="H139" s="25" t="s">
        <v>65</v>
      </c>
      <c r="I139" s="25"/>
      <c r="J139" s="25"/>
      <c r="K139" s="33" t="n">
        <v>0</v>
      </c>
      <c r="L139" s="34" t="n">
        <v>1</v>
      </c>
      <c r="M139" s="28" t="n">
        <f aca="false">IF(H140="WIN",1,0)</f>
        <v>1</v>
      </c>
      <c r="N139" s="4"/>
      <c r="O139" s="51"/>
      <c r="P139" s="51"/>
      <c r="Q139" s="51"/>
      <c r="R139" s="51"/>
      <c r="S139" s="51"/>
      <c r="T139" s="51"/>
      <c r="U139" s="51"/>
      <c r="V139" s="51"/>
      <c r="W139" s="51"/>
      <c r="X139" s="51"/>
      <c r="Y139" s="51"/>
      <c r="Z139" s="51"/>
      <c r="AA139" s="51"/>
      <c r="AB139" s="51"/>
    </row>
    <row r="140" customFormat="false" ht="15.75" hidden="false" customHeight="false" outlineLevel="0" collapsed="false">
      <c r="A140" s="35" t="s">
        <v>10</v>
      </c>
      <c r="B140" s="35"/>
      <c r="C140" s="35"/>
      <c r="D140" s="36"/>
      <c r="E140" s="37"/>
      <c r="F140" s="38"/>
      <c r="G140" s="39"/>
      <c r="H140" s="54" t="s">
        <v>11</v>
      </c>
      <c r="I140" s="54"/>
      <c r="J140" s="54"/>
      <c r="K140" s="41"/>
      <c r="L140" s="37"/>
      <c r="M140" s="38"/>
      <c r="N140" s="4"/>
      <c r="O140" s="52"/>
      <c r="P140" s="52"/>
      <c r="Q140" s="52"/>
      <c r="R140" s="52"/>
      <c r="S140" s="52"/>
      <c r="T140" s="52"/>
      <c r="U140" s="52"/>
      <c r="V140" s="52"/>
      <c r="W140" s="52"/>
      <c r="X140" s="52"/>
      <c r="Y140" s="52"/>
      <c r="Z140" s="52"/>
      <c r="AA140" s="52"/>
      <c r="AB140" s="52"/>
    </row>
    <row r="141" customFormat="false" ht="15.75" hidden="false" customHeight="false" outlineLevel="0" collapsed="false">
      <c r="A141" s="10" t="s">
        <v>4</v>
      </c>
      <c r="B141" s="10"/>
      <c r="C141" s="10"/>
      <c r="D141" s="11" t="s">
        <v>5</v>
      </c>
      <c r="E141" s="12" t="s">
        <v>6</v>
      </c>
      <c r="F141" s="13" t="s">
        <v>7</v>
      </c>
      <c r="G141" s="14"/>
      <c r="H141" s="15" t="s">
        <v>8</v>
      </c>
      <c r="I141" s="15"/>
      <c r="J141" s="15"/>
      <c r="K141" s="11" t="s">
        <v>5</v>
      </c>
      <c r="L141" s="12" t="s">
        <v>6</v>
      </c>
      <c r="M141" s="13" t="s">
        <v>7</v>
      </c>
      <c r="N141" s="4"/>
      <c r="O141" s="52"/>
      <c r="P141" s="52"/>
      <c r="Q141" s="52"/>
      <c r="R141" s="52"/>
      <c r="S141" s="52"/>
      <c r="T141" s="52"/>
      <c r="U141" s="52"/>
      <c r="V141" s="52"/>
      <c r="W141" s="52"/>
      <c r="X141" s="52"/>
      <c r="Y141" s="52"/>
      <c r="Z141" s="52"/>
      <c r="AA141" s="52"/>
      <c r="AB141" s="52"/>
    </row>
    <row r="142" customFormat="false" ht="15.75" hidden="false" customHeight="false" outlineLevel="0" collapsed="false">
      <c r="A142" s="23" t="str">
        <f aca="false">BBG!$G$1</f>
        <v>Berlin Bronzong</v>
      </c>
      <c r="B142" s="23"/>
      <c r="C142" s="23"/>
      <c r="D142" s="19" t="n">
        <v>6</v>
      </c>
      <c r="E142" s="20" t="n">
        <v>2</v>
      </c>
      <c r="F142" s="21" t="str">
        <f aca="false">IF(A149="WIN","W",IF(A149="LOSE","L",""))</f>
        <v>W</v>
      </c>
      <c r="G142" s="22"/>
      <c r="H142" s="18" t="str">
        <f aca="false">SGP!$G$1</f>
        <v>Slung Patrol</v>
      </c>
      <c r="I142" s="18"/>
      <c r="J142" s="18"/>
      <c r="K142" s="19" t="n">
        <v>2</v>
      </c>
      <c r="L142" s="20" t="n">
        <v>6</v>
      </c>
      <c r="M142" s="21" t="str">
        <f aca="false">IF(H149="WIN","W",IF(H149="LOSE","L",""))</f>
        <v>L</v>
      </c>
      <c r="N142" s="4"/>
      <c r="O142" s="53"/>
      <c r="P142" s="53"/>
      <c r="Q142" s="53"/>
      <c r="R142" s="53"/>
      <c r="S142" s="53"/>
      <c r="T142" s="53"/>
      <c r="U142" s="53"/>
      <c r="V142" s="53"/>
      <c r="W142" s="53"/>
      <c r="X142" s="53"/>
      <c r="Y142" s="53"/>
      <c r="Z142" s="53"/>
      <c r="AA142" s="53"/>
      <c r="AB142" s="53"/>
    </row>
    <row r="143" customFormat="false" ht="15.75" hidden="false" customHeight="false" outlineLevel="0" collapsed="false">
      <c r="A143" s="25" t="s">
        <v>47</v>
      </c>
      <c r="B143" s="25"/>
      <c r="C143" s="25"/>
      <c r="D143" s="26" t="n">
        <v>2</v>
      </c>
      <c r="E143" s="27" t="n">
        <v>1</v>
      </c>
      <c r="F143" s="28" t="n">
        <f aca="false">IF(A149="WIN",1,0)</f>
        <v>1</v>
      </c>
      <c r="G143" s="29"/>
      <c r="H143" s="25" t="s">
        <v>77</v>
      </c>
      <c r="I143" s="25"/>
      <c r="J143" s="25"/>
      <c r="K143" s="26" t="n">
        <v>1</v>
      </c>
      <c r="L143" s="27" t="n">
        <v>1</v>
      </c>
      <c r="M143" s="28" t="n">
        <f aca="false">IF(H149="WIN",1,0)</f>
        <v>0</v>
      </c>
      <c r="N143" s="4"/>
      <c r="O143" s="51"/>
      <c r="P143" s="51"/>
      <c r="Q143" s="51"/>
      <c r="R143" s="51"/>
      <c r="S143" s="51"/>
      <c r="T143" s="51"/>
      <c r="U143" s="51"/>
      <c r="V143" s="51"/>
      <c r="W143" s="51"/>
      <c r="X143" s="51"/>
      <c r="Y143" s="51"/>
      <c r="Z143" s="51"/>
      <c r="AA143" s="51"/>
      <c r="AB143" s="51"/>
    </row>
    <row r="144" customFormat="false" ht="15.75" hidden="false" customHeight="false" outlineLevel="0" collapsed="false">
      <c r="A144" s="25" t="s">
        <v>99</v>
      </c>
      <c r="B144" s="25"/>
      <c r="C144" s="25"/>
      <c r="D144" s="26" t="n">
        <v>3</v>
      </c>
      <c r="E144" s="27" t="n">
        <v>0</v>
      </c>
      <c r="F144" s="28" t="n">
        <f aca="false">IF(A149="WIN",1,0)</f>
        <v>1</v>
      </c>
      <c r="G144" s="29"/>
      <c r="H144" s="25" t="s">
        <v>93</v>
      </c>
      <c r="I144" s="25"/>
      <c r="J144" s="25"/>
      <c r="K144" s="26" t="n">
        <v>1</v>
      </c>
      <c r="L144" s="27" t="n">
        <v>1</v>
      </c>
      <c r="M144" s="28" t="n">
        <f aca="false">IF(H149="WIN",1,0)</f>
        <v>0</v>
      </c>
      <c r="N144" s="4"/>
      <c r="O144" s="51"/>
      <c r="P144" s="51"/>
      <c r="Q144" s="51"/>
      <c r="R144" s="51"/>
      <c r="S144" s="51"/>
      <c r="T144" s="51"/>
      <c r="U144" s="51"/>
      <c r="V144" s="51"/>
      <c r="W144" s="51"/>
      <c r="X144" s="51"/>
      <c r="Y144" s="51"/>
      <c r="Z144" s="51"/>
      <c r="AA144" s="51"/>
      <c r="AB144" s="51"/>
    </row>
    <row r="145" customFormat="false" ht="15.75" hidden="false" customHeight="false" outlineLevel="0" collapsed="false">
      <c r="A145" s="25" t="s">
        <v>38</v>
      </c>
      <c r="B145" s="25"/>
      <c r="C145" s="25"/>
      <c r="D145" s="26" t="n">
        <v>0</v>
      </c>
      <c r="E145" s="27" t="n">
        <v>1</v>
      </c>
      <c r="F145" s="28" t="n">
        <f aca="false">IF(A149="WIN",1,0)</f>
        <v>1</v>
      </c>
      <c r="G145" s="29"/>
      <c r="H145" s="25" t="s">
        <v>97</v>
      </c>
      <c r="I145" s="25"/>
      <c r="J145" s="25"/>
      <c r="K145" s="26" t="n">
        <v>0</v>
      </c>
      <c r="L145" s="27" t="n">
        <v>1</v>
      </c>
      <c r="M145" s="28" t="n">
        <f aca="false">IF(H149="WIN",1,0)</f>
        <v>0</v>
      </c>
      <c r="N145" s="4"/>
      <c r="O145" s="51"/>
      <c r="P145" s="51"/>
      <c r="Q145" s="51"/>
      <c r="R145" s="51"/>
      <c r="S145" s="51"/>
      <c r="T145" s="51"/>
      <c r="U145" s="51"/>
      <c r="V145" s="51"/>
      <c r="W145" s="51"/>
      <c r="X145" s="51"/>
      <c r="Y145" s="51"/>
      <c r="Z145" s="51"/>
      <c r="AA145" s="51"/>
      <c r="AB145" s="51"/>
    </row>
    <row r="146" customFormat="false" ht="15.75" hidden="false" customHeight="false" outlineLevel="0" collapsed="false">
      <c r="A146" s="25" t="s">
        <v>53</v>
      </c>
      <c r="B146" s="25"/>
      <c r="C146" s="25"/>
      <c r="D146" s="26" t="n">
        <v>0</v>
      </c>
      <c r="E146" s="27" t="n">
        <v>0</v>
      </c>
      <c r="F146" s="28" t="n">
        <f aca="false">IF(A149="WIN",1,0)</f>
        <v>1</v>
      </c>
      <c r="G146" s="29"/>
      <c r="H146" s="25" t="s">
        <v>71</v>
      </c>
      <c r="I146" s="25"/>
      <c r="J146" s="25"/>
      <c r="K146" s="26" t="n">
        <v>0</v>
      </c>
      <c r="L146" s="27" t="n">
        <v>1</v>
      </c>
      <c r="M146" s="28" t="n">
        <f aca="false">IF(H149="WIN",1,0)</f>
        <v>0</v>
      </c>
      <c r="N146" s="4"/>
      <c r="O146" s="51"/>
      <c r="P146" s="51"/>
      <c r="Q146" s="51"/>
      <c r="R146" s="51"/>
      <c r="S146" s="51"/>
      <c r="T146" s="51"/>
      <c r="U146" s="51"/>
      <c r="V146" s="51"/>
      <c r="W146" s="51"/>
      <c r="X146" s="51"/>
      <c r="Y146" s="51"/>
      <c r="Z146" s="51"/>
      <c r="AA146" s="51"/>
      <c r="AB146" s="51"/>
    </row>
    <row r="147" customFormat="false" ht="15.75" hidden="false" customHeight="false" outlineLevel="0" collapsed="false">
      <c r="A147" s="25" t="s">
        <v>100</v>
      </c>
      <c r="B147" s="25"/>
      <c r="C147" s="25"/>
      <c r="D147" s="26" t="n">
        <v>0</v>
      </c>
      <c r="E147" s="27" t="n">
        <v>0</v>
      </c>
      <c r="F147" s="28" t="n">
        <f aca="false">IF(A149="WIN",1,0)</f>
        <v>1</v>
      </c>
      <c r="G147" s="29"/>
      <c r="H147" s="25" t="s">
        <v>81</v>
      </c>
      <c r="I147" s="25"/>
      <c r="J147" s="25"/>
      <c r="K147" s="26" t="n">
        <v>0</v>
      </c>
      <c r="L147" s="27" t="n">
        <v>1</v>
      </c>
      <c r="M147" s="28" t="n">
        <f aca="false">IF(H149="WIN",1,0)</f>
        <v>0</v>
      </c>
      <c r="N147" s="4"/>
      <c r="O147" s="51"/>
      <c r="P147" s="51"/>
      <c r="Q147" s="51"/>
      <c r="R147" s="51"/>
      <c r="S147" s="51"/>
      <c r="T147" s="51"/>
      <c r="U147" s="51"/>
      <c r="V147" s="51"/>
      <c r="W147" s="51"/>
      <c r="X147" s="51"/>
      <c r="Y147" s="51"/>
      <c r="Z147" s="51"/>
      <c r="AA147" s="51"/>
      <c r="AB147" s="51"/>
    </row>
    <row r="148" customFormat="false" ht="15.75" hidden="false" customHeight="false" outlineLevel="0" collapsed="false">
      <c r="A148" s="25" t="s">
        <v>41</v>
      </c>
      <c r="B148" s="25"/>
      <c r="C148" s="25"/>
      <c r="D148" s="33" t="n">
        <v>1</v>
      </c>
      <c r="E148" s="34" t="n">
        <v>0</v>
      </c>
      <c r="F148" s="28" t="n">
        <f aca="false">IF(A149="WIN",1,0)</f>
        <v>1</v>
      </c>
      <c r="G148" s="29"/>
      <c r="H148" s="25" t="s">
        <v>96</v>
      </c>
      <c r="I148" s="25"/>
      <c r="J148" s="25"/>
      <c r="K148" s="33" t="n">
        <v>0</v>
      </c>
      <c r="L148" s="34" t="n">
        <v>1</v>
      </c>
      <c r="M148" s="28" t="n">
        <f aca="false">IF(H149="WIN",1,0)</f>
        <v>0</v>
      </c>
      <c r="N148" s="4"/>
      <c r="O148" s="51"/>
      <c r="P148" s="51"/>
      <c r="Q148" s="51"/>
      <c r="R148" s="51"/>
      <c r="S148" s="51"/>
      <c r="T148" s="51"/>
      <c r="U148" s="51"/>
      <c r="V148" s="51"/>
      <c r="W148" s="51"/>
      <c r="X148" s="51"/>
      <c r="Y148" s="51"/>
      <c r="Z148" s="51"/>
      <c r="AA148" s="51"/>
      <c r="AB148" s="51"/>
    </row>
    <row r="149" customFormat="false" ht="15.75" hidden="false" customHeight="false" outlineLevel="0" collapsed="false">
      <c r="A149" s="35" t="s">
        <v>11</v>
      </c>
      <c r="B149" s="35"/>
      <c r="C149" s="35"/>
      <c r="D149" s="36"/>
      <c r="E149" s="37"/>
      <c r="F149" s="38"/>
      <c r="G149" s="39"/>
      <c r="H149" s="54" t="s">
        <v>10</v>
      </c>
      <c r="I149" s="54"/>
      <c r="J149" s="54"/>
      <c r="K149" s="41"/>
      <c r="L149" s="37"/>
      <c r="M149" s="38"/>
      <c r="N149" s="4"/>
      <c r="O149" s="52"/>
      <c r="P149" s="52"/>
      <c r="Q149" s="52"/>
      <c r="R149" s="52"/>
      <c r="S149" s="52"/>
      <c r="T149" s="52"/>
      <c r="U149" s="52"/>
      <c r="V149" s="52"/>
      <c r="W149" s="52"/>
      <c r="X149" s="52"/>
      <c r="Y149" s="52"/>
      <c r="Z149" s="52"/>
      <c r="AA149" s="52"/>
      <c r="AB149" s="52"/>
    </row>
    <row r="150" customFormat="false" ht="17.25" hidden="false" customHeight="false" outlineLevel="0" collapsed="false">
      <c r="A150" s="6" t="s">
        <v>112</v>
      </c>
      <c r="B150" s="6"/>
      <c r="C150" s="6"/>
      <c r="D150" s="6"/>
      <c r="E150" s="6"/>
      <c r="F150" s="6"/>
      <c r="G150" s="6"/>
      <c r="H150" s="6"/>
      <c r="I150" s="6"/>
      <c r="J150" s="6"/>
      <c r="K150" s="6"/>
      <c r="L150" s="6"/>
      <c r="M150" s="6"/>
      <c r="N150" s="4"/>
      <c r="O150" s="55"/>
      <c r="P150" s="55"/>
      <c r="Q150" s="55"/>
      <c r="R150" s="55"/>
      <c r="S150" s="55"/>
      <c r="T150" s="55"/>
      <c r="U150" s="55"/>
      <c r="V150" s="55"/>
      <c r="W150" s="55"/>
      <c r="X150" s="55"/>
      <c r="Y150" s="55"/>
      <c r="Z150" s="55"/>
      <c r="AA150" s="55"/>
      <c r="AB150" s="55"/>
    </row>
    <row r="151" customFormat="false" ht="15.75" hidden="false" customHeight="false" outlineLevel="0" collapsed="false">
      <c r="A151" s="10" t="s">
        <v>4</v>
      </c>
      <c r="B151" s="10"/>
      <c r="C151" s="10"/>
      <c r="D151" s="11" t="s">
        <v>5</v>
      </c>
      <c r="E151" s="12" t="s">
        <v>6</v>
      </c>
      <c r="F151" s="13" t="s">
        <v>7</v>
      </c>
      <c r="G151" s="14"/>
      <c r="H151" s="15" t="s">
        <v>8</v>
      </c>
      <c r="I151" s="15"/>
      <c r="J151" s="15"/>
      <c r="K151" s="11" t="s">
        <v>5</v>
      </c>
      <c r="L151" s="12" t="s">
        <v>6</v>
      </c>
      <c r="M151" s="13" t="s">
        <v>7</v>
      </c>
      <c r="N151" s="4"/>
      <c r="O151" s="52"/>
      <c r="P151" s="52"/>
      <c r="Q151" s="52"/>
      <c r="R151" s="52"/>
      <c r="S151" s="52"/>
      <c r="T151" s="52"/>
      <c r="U151" s="52"/>
      <c r="V151" s="52"/>
      <c r="W151" s="52"/>
      <c r="X151" s="52"/>
      <c r="Y151" s="52"/>
      <c r="Z151" s="52"/>
      <c r="AA151" s="52"/>
      <c r="AB151" s="52"/>
    </row>
    <row r="152" customFormat="false" ht="15.75" hidden="false" customHeight="false" outlineLevel="0" collapsed="false">
      <c r="A152" s="23" t="str">
        <f aca="false">BBG!$G$1</f>
        <v>Berlin Bronzong</v>
      </c>
      <c r="B152" s="23"/>
      <c r="C152" s="23"/>
      <c r="D152" s="19"/>
      <c r="E152" s="20"/>
      <c r="F152" s="21" t="str">
        <f aca="false">IF(A159="WIN","W",IF(A159="LOSE","L",""))</f>
        <v>L</v>
      </c>
      <c r="G152" s="22"/>
      <c r="H152" s="18" t="str">
        <f aca="false">KKS!$G$1</f>
        <v>Kingston Kecleons</v>
      </c>
      <c r="I152" s="18"/>
      <c r="J152" s="18"/>
      <c r="K152" s="19"/>
      <c r="L152" s="20"/>
      <c r="M152" s="21" t="str">
        <f aca="false">IF(H159="WIN","W",IF(H159="LOSE","L",""))</f>
        <v>W</v>
      </c>
      <c r="N152" s="4"/>
      <c r="O152" s="53"/>
      <c r="P152" s="53"/>
      <c r="Q152" s="53"/>
      <c r="R152" s="53"/>
      <c r="S152" s="53"/>
      <c r="T152" s="53"/>
      <c r="U152" s="53"/>
      <c r="V152" s="53"/>
      <c r="W152" s="53"/>
      <c r="X152" s="53"/>
      <c r="Y152" s="53"/>
      <c r="Z152" s="53"/>
      <c r="AA152" s="53"/>
      <c r="AB152" s="53"/>
    </row>
    <row r="153" customFormat="false" ht="15.75" hidden="false" customHeight="false" outlineLevel="0" collapsed="false">
      <c r="A153" s="56"/>
      <c r="B153" s="56"/>
      <c r="C153" s="56"/>
      <c r="D153" s="26"/>
      <c r="E153" s="27"/>
      <c r="F153" s="28" t="n">
        <f aca="false">IF(A159="WIN",1,0)</f>
        <v>0</v>
      </c>
      <c r="G153" s="29"/>
      <c r="H153" s="25"/>
      <c r="I153" s="25"/>
      <c r="J153" s="25"/>
      <c r="K153" s="26"/>
      <c r="L153" s="27"/>
      <c r="M153" s="28" t="n">
        <f aca="false">IF(H159="WIN",1,0)</f>
        <v>1</v>
      </c>
      <c r="N153" s="4"/>
      <c r="O153" s="51"/>
      <c r="P153" s="51"/>
      <c r="Q153" s="51"/>
      <c r="R153" s="51"/>
      <c r="S153" s="51"/>
      <c r="T153" s="51"/>
      <c r="U153" s="51"/>
      <c r="V153" s="51"/>
      <c r="W153" s="51"/>
      <c r="X153" s="51"/>
      <c r="Y153" s="51"/>
      <c r="Z153" s="51"/>
      <c r="AA153" s="51"/>
      <c r="AB153" s="51"/>
    </row>
    <row r="154" customFormat="false" ht="15.75" hidden="false" customHeight="false" outlineLevel="0" collapsed="false">
      <c r="A154" s="25"/>
      <c r="B154" s="25"/>
      <c r="C154" s="25"/>
      <c r="D154" s="26"/>
      <c r="E154" s="27"/>
      <c r="F154" s="28" t="n">
        <f aca="false">IF(A159="WIN",1,0)</f>
        <v>0</v>
      </c>
      <c r="G154" s="29"/>
      <c r="H154" s="25"/>
      <c r="I154" s="25"/>
      <c r="J154" s="25"/>
      <c r="K154" s="26"/>
      <c r="L154" s="27"/>
      <c r="M154" s="28" t="n">
        <f aca="false">IF(H159="WIN",1,0)</f>
        <v>1</v>
      </c>
      <c r="N154" s="4"/>
      <c r="O154" s="51"/>
      <c r="P154" s="51"/>
      <c r="Q154" s="51"/>
      <c r="R154" s="51"/>
      <c r="S154" s="51"/>
      <c r="T154" s="51"/>
      <c r="U154" s="51"/>
      <c r="V154" s="51"/>
      <c r="W154" s="51"/>
      <c r="X154" s="51"/>
      <c r="Y154" s="51"/>
      <c r="Z154" s="51"/>
      <c r="AA154" s="51"/>
      <c r="AB154" s="51"/>
    </row>
    <row r="155" customFormat="false" ht="15.75" hidden="false" customHeight="false" outlineLevel="0" collapsed="false">
      <c r="A155" s="25"/>
      <c r="B155" s="25"/>
      <c r="C155" s="25"/>
      <c r="D155" s="26"/>
      <c r="E155" s="27"/>
      <c r="F155" s="28" t="n">
        <f aca="false">IF(A159="WIN",1,0)</f>
        <v>0</v>
      </c>
      <c r="G155" s="29"/>
      <c r="H155" s="25"/>
      <c r="I155" s="25"/>
      <c r="J155" s="25"/>
      <c r="K155" s="26"/>
      <c r="L155" s="27"/>
      <c r="M155" s="28" t="n">
        <f aca="false">IF(H159="WIN",1,0)</f>
        <v>1</v>
      </c>
      <c r="N155" s="4"/>
      <c r="O155" s="51"/>
      <c r="P155" s="51"/>
      <c r="Q155" s="51"/>
      <c r="R155" s="51"/>
      <c r="S155" s="51"/>
      <c r="T155" s="51"/>
      <c r="U155" s="51"/>
      <c r="V155" s="51"/>
      <c r="W155" s="51"/>
      <c r="X155" s="51"/>
      <c r="Y155" s="51"/>
      <c r="Z155" s="51"/>
      <c r="AA155" s="51"/>
      <c r="AB155" s="51"/>
    </row>
    <row r="156" customFormat="false" ht="15.75" hidden="false" customHeight="false" outlineLevel="0" collapsed="false">
      <c r="A156" s="25"/>
      <c r="B156" s="25"/>
      <c r="C156" s="25"/>
      <c r="D156" s="26"/>
      <c r="E156" s="27"/>
      <c r="F156" s="28" t="n">
        <f aca="false">IF(A159="WIN",1,0)</f>
        <v>0</v>
      </c>
      <c r="G156" s="29"/>
      <c r="H156" s="25"/>
      <c r="I156" s="25"/>
      <c r="J156" s="25"/>
      <c r="K156" s="26"/>
      <c r="L156" s="27"/>
      <c r="M156" s="28" t="n">
        <f aca="false">IF(H159="WIN",1,0)</f>
        <v>1</v>
      </c>
      <c r="N156" s="4"/>
      <c r="O156" s="51"/>
      <c r="P156" s="51"/>
      <c r="Q156" s="51"/>
      <c r="R156" s="51"/>
      <c r="S156" s="51"/>
      <c r="T156" s="51"/>
      <c r="U156" s="51"/>
      <c r="V156" s="51"/>
      <c r="W156" s="51"/>
      <c r="X156" s="51"/>
      <c r="Y156" s="51"/>
      <c r="Z156" s="51"/>
      <c r="AA156" s="51"/>
      <c r="AB156" s="51"/>
    </row>
    <row r="157" customFormat="false" ht="15.75" hidden="false" customHeight="false" outlineLevel="0" collapsed="false">
      <c r="A157" s="25"/>
      <c r="B157" s="25"/>
      <c r="C157" s="25"/>
      <c r="D157" s="26"/>
      <c r="E157" s="27"/>
      <c r="F157" s="28" t="n">
        <f aca="false">IF(A159="WIN",1,0)</f>
        <v>0</v>
      </c>
      <c r="G157" s="29"/>
      <c r="H157" s="25"/>
      <c r="I157" s="25"/>
      <c r="J157" s="25"/>
      <c r="K157" s="26"/>
      <c r="L157" s="27"/>
      <c r="M157" s="28" t="n">
        <f aca="false">IF(H159="WIN",1,0)</f>
        <v>1</v>
      </c>
      <c r="N157" s="4"/>
      <c r="O157" s="51"/>
      <c r="P157" s="51"/>
      <c r="Q157" s="51"/>
      <c r="R157" s="51"/>
      <c r="S157" s="51"/>
      <c r="T157" s="51"/>
      <c r="U157" s="51"/>
      <c r="V157" s="51"/>
      <c r="W157" s="51"/>
      <c r="X157" s="51"/>
      <c r="Y157" s="51"/>
      <c r="Z157" s="51"/>
      <c r="AA157" s="51"/>
      <c r="AB157" s="51"/>
    </row>
    <row r="158" customFormat="false" ht="15.75" hidden="false" customHeight="false" outlineLevel="0" collapsed="false">
      <c r="A158" s="32"/>
      <c r="B158" s="32"/>
      <c r="C158" s="32"/>
      <c r="D158" s="33"/>
      <c r="E158" s="34"/>
      <c r="F158" s="28" t="n">
        <f aca="false">IF(A159="WIN",1,0)</f>
        <v>0</v>
      </c>
      <c r="G158" s="29"/>
      <c r="H158" s="32"/>
      <c r="I158" s="32"/>
      <c r="J158" s="32"/>
      <c r="K158" s="33"/>
      <c r="L158" s="34"/>
      <c r="M158" s="28" t="n">
        <f aca="false">IF(H159="WIN",1,0)</f>
        <v>1</v>
      </c>
      <c r="N158" s="4"/>
      <c r="O158" s="51"/>
      <c r="P158" s="51"/>
      <c r="Q158" s="51"/>
      <c r="R158" s="51"/>
      <c r="S158" s="51"/>
      <c r="T158" s="51"/>
      <c r="U158" s="51"/>
      <c r="V158" s="51"/>
      <c r="W158" s="51"/>
      <c r="X158" s="51"/>
      <c r="Y158" s="51"/>
      <c r="Z158" s="51"/>
      <c r="AA158" s="51"/>
      <c r="AB158" s="51"/>
    </row>
    <row r="159" customFormat="false" ht="15.75" hidden="false" customHeight="false" outlineLevel="0" collapsed="false">
      <c r="A159" s="35" t="s">
        <v>10</v>
      </c>
      <c r="B159" s="35"/>
      <c r="C159" s="35"/>
      <c r="D159" s="36"/>
      <c r="E159" s="37"/>
      <c r="F159" s="38"/>
      <c r="G159" s="39"/>
      <c r="H159" s="35" t="s">
        <v>11</v>
      </c>
      <c r="I159" s="35"/>
      <c r="J159" s="35"/>
      <c r="K159" s="41"/>
      <c r="L159" s="37"/>
      <c r="M159" s="38"/>
      <c r="N159" s="4"/>
      <c r="O159" s="52"/>
      <c r="P159" s="52"/>
      <c r="Q159" s="52"/>
      <c r="R159" s="52"/>
      <c r="S159" s="52"/>
      <c r="T159" s="52"/>
      <c r="U159" s="52"/>
      <c r="V159" s="52"/>
      <c r="W159" s="52"/>
      <c r="X159" s="52"/>
      <c r="Y159" s="52"/>
      <c r="Z159" s="52"/>
      <c r="AA159" s="52"/>
      <c r="AB159" s="52"/>
    </row>
    <row r="160" customFormat="false" ht="15.75" hidden="false" customHeight="false" outlineLevel="0" collapsed="false">
      <c r="A160" s="10" t="s">
        <v>4</v>
      </c>
      <c r="B160" s="10"/>
      <c r="C160" s="10"/>
      <c r="D160" s="11" t="s">
        <v>5</v>
      </c>
      <c r="E160" s="12" t="s">
        <v>6</v>
      </c>
      <c r="F160" s="13" t="s">
        <v>7</v>
      </c>
      <c r="G160" s="14"/>
      <c r="H160" s="15" t="s">
        <v>8</v>
      </c>
      <c r="I160" s="15"/>
      <c r="J160" s="15"/>
      <c r="K160" s="11" t="s">
        <v>5</v>
      </c>
      <c r="L160" s="12" t="s">
        <v>6</v>
      </c>
      <c r="M160" s="13" t="s">
        <v>7</v>
      </c>
      <c r="N160" s="4"/>
      <c r="O160" s="52"/>
      <c r="P160" s="52"/>
      <c r="Q160" s="52"/>
      <c r="R160" s="52"/>
      <c r="S160" s="52"/>
      <c r="T160" s="52"/>
      <c r="U160" s="52"/>
      <c r="V160" s="52"/>
      <c r="W160" s="52"/>
      <c r="X160" s="52"/>
      <c r="Y160" s="52"/>
      <c r="Z160" s="52"/>
      <c r="AA160" s="52"/>
      <c r="AB160" s="52"/>
    </row>
    <row r="161" customFormat="false" ht="15.75" hidden="false" customHeight="false" outlineLevel="0" collapsed="false">
      <c r="A161" s="18" t="str">
        <f aca="false">SEA!$G$1</f>
        <v>Seattle Seadras</v>
      </c>
      <c r="B161" s="18"/>
      <c r="C161" s="18"/>
      <c r="D161" s="19" t="n">
        <v>2</v>
      </c>
      <c r="E161" s="20" t="n">
        <v>6</v>
      </c>
      <c r="F161" s="21" t="str">
        <f aca="false">IF(A168="WIN","W",IF(A168="LOSE","L",""))</f>
        <v>L</v>
      </c>
      <c r="G161" s="22"/>
      <c r="H161" s="23" t="str">
        <f aca="false">JVJ!$G$1</f>
        <v>Jacksonville Jumpluffs</v>
      </c>
      <c r="I161" s="23"/>
      <c r="J161" s="23"/>
      <c r="K161" s="19" t="n">
        <v>6</v>
      </c>
      <c r="L161" s="20" t="n">
        <v>2</v>
      </c>
      <c r="M161" s="21" t="str">
        <f aca="false">IF(H168="WIN","W",IF(H168="LOSE","L",""))</f>
        <v>W</v>
      </c>
      <c r="N161" s="4"/>
      <c r="O161" s="53"/>
      <c r="P161" s="53"/>
      <c r="Q161" s="53"/>
      <c r="R161" s="53"/>
      <c r="S161" s="53"/>
      <c r="T161" s="53"/>
      <c r="U161" s="53"/>
      <c r="V161" s="53"/>
      <c r="W161" s="53"/>
      <c r="X161" s="53"/>
      <c r="Y161" s="53"/>
      <c r="Z161" s="53"/>
      <c r="AA161" s="53"/>
      <c r="AB161" s="53"/>
    </row>
    <row r="162" customFormat="false" ht="15.75" hidden="false" customHeight="false" outlineLevel="0" collapsed="false">
      <c r="A162" s="56" t="s">
        <v>46</v>
      </c>
      <c r="B162" s="56"/>
      <c r="C162" s="56"/>
      <c r="D162" s="26" t="n">
        <v>0</v>
      </c>
      <c r="E162" s="27" t="n">
        <v>1</v>
      </c>
      <c r="F162" s="28" t="n">
        <f aca="false">IF(A168="WIN",1,0)</f>
        <v>0</v>
      </c>
      <c r="G162" s="29"/>
      <c r="H162" s="56" t="s">
        <v>14</v>
      </c>
      <c r="I162" s="56"/>
      <c r="J162" s="56"/>
      <c r="K162" s="26" t="n">
        <v>0</v>
      </c>
      <c r="L162" s="27" t="n">
        <v>0</v>
      </c>
      <c r="M162" s="28" t="n">
        <f aca="false">IF(H168="WIN",1,0)</f>
        <v>1</v>
      </c>
      <c r="N162" s="4"/>
      <c r="O162" s="51"/>
      <c r="P162" s="51"/>
      <c r="Q162" s="51"/>
      <c r="R162" s="51"/>
      <c r="S162" s="51"/>
      <c r="T162" s="51"/>
      <c r="U162" s="51"/>
      <c r="V162" s="51"/>
      <c r="W162" s="51"/>
      <c r="X162" s="51"/>
      <c r="Y162" s="51"/>
      <c r="Z162" s="51"/>
      <c r="AA162" s="51"/>
      <c r="AB162" s="51"/>
    </row>
    <row r="163" customFormat="false" ht="15.75" hidden="false" customHeight="false" outlineLevel="0" collapsed="false">
      <c r="A163" s="25" t="s">
        <v>92</v>
      </c>
      <c r="B163" s="25"/>
      <c r="C163" s="25"/>
      <c r="D163" s="26" t="n">
        <v>0</v>
      </c>
      <c r="E163" s="27" t="n">
        <v>1</v>
      </c>
      <c r="F163" s="28" t="n">
        <f aca="false">IF(A168="WIN",1,0)</f>
        <v>0</v>
      </c>
      <c r="G163" s="29"/>
      <c r="H163" s="25" t="s">
        <v>94</v>
      </c>
      <c r="I163" s="25"/>
      <c r="J163" s="25"/>
      <c r="K163" s="26" t="n">
        <v>0</v>
      </c>
      <c r="L163" s="27" t="n">
        <v>1</v>
      </c>
      <c r="M163" s="28" t="n">
        <f aca="false">IF(H168="WIN",1,0)</f>
        <v>1</v>
      </c>
      <c r="N163" s="4"/>
      <c r="O163" s="51"/>
      <c r="P163" s="51"/>
      <c r="Q163" s="51"/>
      <c r="R163" s="51"/>
      <c r="S163" s="51"/>
      <c r="T163" s="51"/>
      <c r="U163" s="51"/>
      <c r="V163" s="51"/>
      <c r="W163" s="51"/>
      <c r="X163" s="51"/>
      <c r="Y163" s="51"/>
      <c r="Z163" s="51"/>
      <c r="AA163" s="51"/>
      <c r="AB163" s="51"/>
    </row>
    <row r="164" customFormat="false" ht="15.75" hidden="false" customHeight="false" outlineLevel="0" collapsed="false">
      <c r="A164" s="25" t="s">
        <v>52</v>
      </c>
      <c r="B164" s="25"/>
      <c r="C164" s="25"/>
      <c r="D164" s="26" t="n">
        <v>0</v>
      </c>
      <c r="E164" s="27" t="n">
        <v>1</v>
      </c>
      <c r="F164" s="28" t="n">
        <f aca="false">IF(A168="WIN",1,0)</f>
        <v>0</v>
      </c>
      <c r="G164" s="29"/>
      <c r="H164" s="25" t="s">
        <v>32</v>
      </c>
      <c r="I164" s="25"/>
      <c r="J164" s="25"/>
      <c r="K164" s="26" t="n">
        <v>5</v>
      </c>
      <c r="L164" s="27" t="n">
        <v>0</v>
      </c>
      <c r="M164" s="28" t="n">
        <f aca="false">IF(H168="WIN",1,0)</f>
        <v>1</v>
      </c>
      <c r="N164" s="4"/>
      <c r="O164" s="51"/>
      <c r="P164" s="51"/>
      <c r="Q164" s="51"/>
      <c r="R164" s="51"/>
      <c r="S164" s="51"/>
      <c r="T164" s="51"/>
      <c r="U164" s="51"/>
      <c r="V164" s="51"/>
      <c r="W164" s="51"/>
      <c r="X164" s="51"/>
      <c r="Y164" s="51"/>
      <c r="Z164" s="51"/>
      <c r="AA164" s="51"/>
      <c r="AB164" s="51"/>
    </row>
    <row r="165" customFormat="false" ht="15.75" hidden="false" customHeight="false" outlineLevel="0" collapsed="false">
      <c r="A165" s="25" t="s">
        <v>113</v>
      </c>
      <c r="B165" s="25"/>
      <c r="C165" s="25"/>
      <c r="D165" s="26" t="n">
        <v>1</v>
      </c>
      <c r="E165" s="27" t="n">
        <v>1</v>
      </c>
      <c r="F165" s="28" t="n">
        <f aca="false">IF(A168="WIN",1,0)</f>
        <v>0</v>
      </c>
      <c r="G165" s="29"/>
      <c r="H165" s="25" t="s">
        <v>106</v>
      </c>
      <c r="I165" s="25"/>
      <c r="J165" s="25"/>
      <c r="K165" s="26" t="n">
        <v>1</v>
      </c>
      <c r="L165" s="27" t="n">
        <v>0</v>
      </c>
      <c r="M165" s="28" t="n">
        <f aca="false">IF(H168="WIN",1,0)</f>
        <v>1</v>
      </c>
      <c r="N165" s="4"/>
      <c r="O165" s="51"/>
      <c r="P165" s="51"/>
      <c r="Q165" s="51"/>
      <c r="R165" s="51"/>
      <c r="S165" s="51"/>
      <c r="T165" s="51"/>
      <c r="U165" s="51"/>
      <c r="V165" s="51"/>
      <c r="W165" s="51"/>
      <c r="X165" s="51"/>
      <c r="Y165" s="51"/>
      <c r="Z165" s="51"/>
      <c r="AA165" s="51"/>
      <c r="AB165" s="51"/>
    </row>
    <row r="166" customFormat="false" ht="15.75" hidden="false" customHeight="false" outlineLevel="0" collapsed="false">
      <c r="A166" s="25" t="s">
        <v>43</v>
      </c>
      <c r="B166" s="25"/>
      <c r="C166" s="25"/>
      <c r="D166" s="26" t="n">
        <v>0</v>
      </c>
      <c r="E166" s="27" t="n">
        <v>1</v>
      </c>
      <c r="F166" s="28" t="n">
        <f aca="false">IF(A168="WIN",1,0)</f>
        <v>0</v>
      </c>
      <c r="G166" s="29"/>
      <c r="H166" s="25" t="s">
        <v>28</v>
      </c>
      <c r="I166" s="25"/>
      <c r="J166" s="25"/>
      <c r="K166" s="26" t="n">
        <v>0</v>
      </c>
      <c r="L166" s="27" t="n">
        <v>0</v>
      </c>
      <c r="M166" s="28" t="n">
        <f aca="false">IF(H168="WIN",1,0)</f>
        <v>1</v>
      </c>
      <c r="N166" s="4"/>
      <c r="O166" s="51"/>
      <c r="P166" s="51"/>
      <c r="Q166" s="51"/>
      <c r="R166" s="51"/>
      <c r="S166" s="51"/>
      <c r="T166" s="51"/>
      <c r="U166" s="51"/>
      <c r="V166" s="51"/>
      <c r="W166" s="51"/>
      <c r="X166" s="51"/>
      <c r="Y166" s="51"/>
      <c r="Z166" s="51"/>
      <c r="AA166" s="51"/>
      <c r="AB166" s="51"/>
    </row>
    <row r="167" customFormat="false" ht="15.75" hidden="false" customHeight="false" outlineLevel="0" collapsed="false">
      <c r="A167" s="32" t="s">
        <v>89</v>
      </c>
      <c r="B167" s="32"/>
      <c r="C167" s="32"/>
      <c r="D167" s="33" t="n">
        <v>1</v>
      </c>
      <c r="E167" s="34" t="n">
        <v>1</v>
      </c>
      <c r="F167" s="28" t="n">
        <f aca="false">IF(A168="WIN",1,0)</f>
        <v>0</v>
      </c>
      <c r="G167" s="29"/>
      <c r="H167" s="32" t="s">
        <v>105</v>
      </c>
      <c r="I167" s="32"/>
      <c r="J167" s="32"/>
      <c r="K167" s="33" t="n">
        <v>0</v>
      </c>
      <c r="L167" s="34" t="n">
        <v>1</v>
      </c>
      <c r="M167" s="28" t="n">
        <f aca="false">IF(H168="WIN",1,0)</f>
        <v>1</v>
      </c>
      <c r="N167" s="4"/>
      <c r="O167" s="51"/>
      <c r="P167" s="51"/>
      <c r="Q167" s="51"/>
      <c r="R167" s="51"/>
      <c r="S167" s="51"/>
      <c r="T167" s="51"/>
      <c r="U167" s="51"/>
      <c r="V167" s="51"/>
      <c r="W167" s="51"/>
      <c r="X167" s="51"/>
      <c r="Y167" s="51"/>
      <c r="Z167" s="51"/>
      <c r="AA167" s="51"/>
      <c r="AB167" s="51"/>
    </row>
    <row r="168" customFormat="false" ht="15.75" hidden="false" customHeight="false" outlineLevel="0" collapsed="false">
      <c r="A168" s="35" t="s">
        <v>10</v>
      </c>
      <c r="B168" s="35"/>
      <c r="C168" s="35"/>
      <c r="D168" s="36"/>
      <c r="E168" s="37"/>
      <c r="F168" s="38"/>
      <c r="G168" s="39"/>
      <c r="H168" s="35" t="s">
        <v>11</v>
      </c>
      <c r="I168" s="35"/>
      <c r="J168" s="35"/>
      <c r="K168" s="41"/>
      <c r="L168" s="37"/>
      <c r="M168" s="38"/>
      <c r="N168" s="4"/>
      <c r="O168" s="52"/>
      <c r="P168" s="52"/>
      <c r="Q168" s="52"/>
      <c r="R168" s="52"/>
      <c r="S168" s="52"/>
      <c r="T168" s="52"/>
      <c r="U168" s="52"/>
      <c r="V168" s="52"/>
      <c r="W168" s="52"/>
      <c r="X168" s="52"/>
      <c r="Y168" s="52"/>
      <c r="Z168" s="52"/>
      <c r="AA168" s="52"/>
      <c r="AB168" s="52"/>
    </row>
    <row r="169" customFormat="false" ht="15.75" hidden="false" customHeight="false" outlineLevel="0" collapsed="false">
      <c r="A169" s="10" t="s">
        <v>4</v>
      </c>
      <c r="B169" s="10"/>
      <c r="C169" s="10"/>
      <c r="D169" s="11" t="s">
        <v>5</v>
      </c>
      <c r="E169" s="12" t="s">
        <v>6</v>
      </c>
      <c r="F169" s="13" t="s">
        <v>7</v>
      </c>
      <c r="G169" s="14"/>
      <c r="H169" s="15" t="s">
        <v>8</v>
      </c>
      <c r="I169" s="15"/>
      <c r="J169" s="15"/>
      <c r="K169" s="11" t="s">
        <v>5</v>
      </c>
      <c r="L169" s="12" t="s">
        <v>6</v>
      </c>
      <c r="M169" s="13" t="s">
        <v>7</v>
      </c>
      <c r="N169" s="4"/>
      <c r="O169" s="52"/>
      <c r="P169" s="52"/>
      <c r="Q169" s="52"/>
      <c r="R169" s="52"/>
      <c r="S169" s="52"/>
      <c r="T169" s="52"/>
      <c r="U169" s="52"/>
      <c r="V169" s="52"/>
      <c r="W169" s="52"/>
      <c r="X169" s="52"/>
      <c r="Y169" s="52"/>
      <c r="Z169" s="52"/>
      <c r="AA169" s="52"/>
      <c r="AB169" s="52"/>
    </row>
    <row r="170" customFormat="false" ht="15.75" hidden="false" customHeight="false" outlineLevel="0" collapsed="false">
      <c r="A170" s="23" t="str">
        <f aca="false">FTT!$G$1</f>
        <v>Fortree Trevenants</v>
      </c>
      <c r="B170" s="23"/>
      <c r="C170" s="23"/>
      <c r="D170" s="19"/>
      <c r="E170" s="20"/>
      <c r="F170" s="21" t="str">
        <f aca="false">IF(A177="WIN","W",IF(A177="LOSE","L",""))</f>
        <v>W</v>
      </c>
      <c r="G170" s="22"/>
      <c r="H170" s="18" t="str">
        <f aca="false">LVC!$G$1</f>
        <v>Louisville Crobats</v>
      </c>
      <c r="I170" s="18"/>
      <c r="J170" s="18"/>
      <c r="K170" s="19"/>
      <c r="L170" s="20"/>
      <c r="M170" s="21" t="str">
        <f aca="false">IF(H177="WIN","W",IF(H177="LOSE","L",""))</f>
        <v>L</v>
      </c>
      <c r="N170" s="4"/>
      <c r="O170" s="53"/>
      <c r="P170" s="53"/>
      <c r="Q170" s="53"/>
      <c r="R170" s="53"/>
      <c r="S170" s="53"/>
      <c r="T170" s="53"/>
      <c r="U170" s="53"/>
      <c r="V170" s="53"/>
      <c r="W170" s="53"/>
      <c r="X170" s="53"/>
      <c r="Y170" s="53"/>
      <c r="Z170" s="53"/>
      <c r="AA170" s="53"/>
      <c r="AB170" s="53"/>
    </row>
    <row r="171" customFormat="false" ht="15.75" hidden="false" customHeight="false" outlineLevel="0" collapsed="false">
      <c r="A171" s="56"/>
      <c r="B171" s="56"/>
      <c r="C171" s="56"/>
      <c r="D171" s="26"/>
      <c r="E171" s="27"/>
      <c r="F171" s="28" t="n">
        <f aca="false">IF(A177="WIN",1,0)</f>
        <v>1</v>
      </c>
      <c r="G171" s="29"/>
      <c r="H171" s="56"/>
      <c r="I171" s="56"/>
      <c r="J171" s="56"/>
      <c r="K171" s="26"/>
      <c r="L171" s="27"/>
      <c r="M171" s="28" t="n">
        <f aca="false">IF(H177="WIN",1,0)</f>
        <v>0</v>
      </c>
      <c r="N171" s="4"/>
      <c r="O171" s="51"/>
      <c r="P171" s="51"/>
      <c r="Q171" s="51"/>
      <c r="R171" s="51"/>
      <c r="S171" s="51"/>
      <c r="T171" s="51"/>
      <c r="U171" s="51"/>
      <c r="V171" s="51"/>
      <c r="W171" s="51"/>
      <c r="X171" s="51"/>
      <c r="Y171" s="51"/>
      <c r="Z171" s="51"/>
      <c r="AA171" s="51"/>
      <c r="AB171" s="51"/>
    </row>
    <row r="172" customFormat="false" ht="15.75" hidden="false" customHeight="false" outlineLevel="0" collapsed="false">
      <c r="A172" s="25"/>
      <c r="B172" s="25"/>
      <c r="C172" s="25"/>
      <c r="D172" s="26"/>
      <c r="E172" s="27"/>
      <c r="F172" s="28" t="n">
        <f aca="false">IF(A177="WIN",1,0)</f>
        <v>1</v>
      </c>
      <c r="G172" s="29"/>
      <c r="H172" s="25"/>
      <c r="I172" s="25"/>
      <c r="J172" s="25"/>
      <c r="K172" s="26"/>
      <c r="L172" s="27"/>
      <c r="M172" s="28" t="n">
        <f aca="false">IF(H177="WIN",1,0)</f>
        <v>0</v>
      </c>
      <c r="N172" s="4"/>
      <c r="O172" s="51"/>
      <c r="P172" s="51"/>
      <c r="Q172" s="51"/>
      <c r="R172" s="51"/>
      <c r="S172" s="51"/>
      <c r="T172" s="51"/>
      <c r="U172" s="51"/>
      <c r="V172" s="51"/>
      <c r="W172" s="51"/>
      <c r="X172" s="51"/>
      <c r="Y172" s="51"/>
      <c r="Z172" s="51"/>
      <c r="AA172" s="51"/>
      <c r="AB172" s="51"/>
    </row>
    <row r="173" customFormat="false" ht="15.75" hidden="false" customHeight="false" outlineLevel="0" collapsed="false">
      <c r="A173" s="25"/>
      <c r="B173" s="25"/>
      <c r="C173" s="25"/>
      <c r="D173" s="26"/>
      <c r="E173" s="27"/>
      <c r="F173" s="28" t="n">
        <f aca="false">IF(A177="WIN",1,0)</f>
        <v>1</v>
      </c>
      <c r="G173" s="29"/>
      <c r="H173" s="25"/>
      <c r="I173" s="25"/>
      <c r="J173" s="25"/>
      <c r="K173" s="26"/>
      <c r="L173" s="27"/>
      <c r="M173" s="28" t="n">
        <f aca="false">IF(H177="WIN",1,0)</f>
        <v>0</v>
      </c>
      <c r="N173" s="4"/>
      <c r="O173" s="51"/>
      <c r="P173" s="51"/>
      <c r="Q173" s="51"/>
      <c r="R173" s="51"/>
      <c r="S173" s="51"/>
      <c r="T173" s="51"/>
      <c r="U173" s="51"/>
      <c r="V173" s="51"/>
      <c r="W173" s="51"/>
      <c r="X173" s="51"/>
      <c r="Y173" s="51"/>
      <c r="Z173" s="51"/>
      <c r="AA173" s="51"/>
      <c r="AB173" s="51"/>
    </row>
    <row r="174" customFormat="false" ht="15.75" hidden="false" customHeight="false" outlineLevel="0" collapsed="false">
      <c r="A174" s="25"/>
      <c r="B174" s="25"/>
      <c r="C174" s="25"/>
      <c r="D174" s="26"/>
      <c r="E174" s="27"/>
      <c r="F174" s="28" t="n">
        <f aca="false">IF(A177="WIN",1,0)</f>
        <v>1</v>
      </c>
      <c r="G174" s="29"/>
      <c r="H174" s="25"/>
      <c r="I174" s="25"/>
      <c r="J174" s="25"/>
      <c r="K174" s="26"/>
      <c r="L174" s="27"/>
      <c r="M174" s="28" t="n">
        <f aca="false">IF(H177="WIN",1,0)</f>
        <v>0</v>
      </c>
      <c r="N174" s="4"/>
      <c r="O174" s="51"/>
      <c r="P174" s="51"/>
      <c r="Q174" s="51"/>
      <c r="R174" s="51"/>
      <c r="S174" s="51"/>
      <c r="T174" s="51"/>
      <c r="U174" s="51"/>
      <c r="V174" s="51"/>
      <c r="W174" s="51"/>
      <c r="X174" s="51"/>
      <c r="Y174" s="51"/>
      <c r="Z174" s="51"/>
      <c r="AA174" s="51"/>
      <c r="AB174" s="51"/>
    </row>
    <row r="175" customFormat="false" ht="15.75" hidden="false" customHeight="false" outlineLevel="0" collapsed="false">
      <c r="A175" s="25"/>
      <c r="B175" s="25"/>
      <c r="C175" s="25"/>
      <c r="D175" s="26"/>
      <c r="E175" s="27"/>
      <c r="F175" s="28" t="n">
        <f aca="false">IF(A177="WIN",1,0)</f>
        <v>1</v>
      </c>
      <c r="G175" s="29"/>
      <c r="H175" s="25"/>
      <c r="I175" s="25"/>
      <c r="J175" s="25"/>
      <c r="K175" s="26"/>
      <c r="L175" s="27"/>
      <c r="M175" s="28" t="n">
        <f aca="false">IF(H177="WIN",1,0)</f>
        <v>0</v>
      </c>
      <c r="N175" s="4"/>
      <c r="O175" s="51"/>
      <c r="P175" s="51"/>
      <c r="Q175" s="51"/>
      <c r="R175" s="51"/>
      <c r="S175" s="51"/>
      <c r="T175" s="51"/>
      <c r="U175" s="51"/>
      <c r="V175" s="51"/>
      <c r="W175" s="51"/>
      <c r="X175" s="51"/>
      <c r="Y175" s="51"/>
      <c r="Z175" s="51"/>
      <c r="AA175" s="51"/>
      <c r="AB175" s="51"/>
    </row>
    <row r="176" customFormat="false" ht="15.75" hidden="false" customHeight="false" outlineLevel="0" collapsed="false">
      <c r="A176" s="32"/>
      <c r="B176" s="32"/>
      <c r="C176" s="32"/>
      <c r="D176" s="33"/>
      <c r="E176" s="34"/>
      <c r="F176" s="28" t="n">
        <f aca="false">IF(A177="WIN",1,0)</f>
        <v>1</v>
      </c>
      <c r="G176" s="29"/>
      <c r="H176" s="32"/>
      <c r="I176" s="32"/>
      <c r="J176" s="32"/>
      <c r="K176" s="33"/>
      <c r="L176" s="34"/>
      <c r="M176" s="28" t="n">
        <f aca="false">IF(H177="WIN",1,0)</f>
        <v>0</v>
      </c>
      <c r="N176" s="4"/>
      <c r="O176" s="51"/>
      <c r="P176" s="51"/>
      <c r="Q176" s="51"/>
      <c r="R176" s="51"/>
      <c r="S176" s="51"/>
      <c r="T176" s="51"/>
      <c r="U176" s="51"/>
      <c r="V176" s="51"/>
      <c r="W176" s="51"/>
      <c r="X176" s="51"/>
      <c r="Y176" s="51"/>
      <c r="Z176" s="51"/>
      <c r="AA176" s="51"/>
      <c r="AB176" s="51"/>
    </row>
    <row r="177" customFormat="false" ht="15.75" hidden="false" customHeight="false" outlineLevel="0" collapsed="false">
      <c r="A177" s="35" t="s">
        <v>11</v>
      </c>
      <c r="B177" s="35"/>
      <c r="C177" s="35"/>
      <c r="D177" s="36"/>
      <c r="E177" s="37"/>
      <c r="F177" s="38"/>
      <c r="G177" s="39"/>
      <c r="H177" s="35" t="s">
        <v>10</v>
      </c>
      <c r="I177" s="35"/>
      <c r="J177" s="35"/>
      <c r="K177" s="41"/>
      <c r="L177" s="37"/>
      <c r="M177" s="38"/>
      <c r="N177" s="4"/>
      <c r="O177" s="52"/>
      <c r="P177" s="52"/>
      <c r="Q177" s="52"/>
      <c r="R177" s="52"/>
      <c r="S177" s="52"/>
      <c r="T177" s="52"/>
      <c r="U177" s="52"/>
      <c r="V177" s="52"/>
      <c r="W177" s="52"/>
      <c r="X177" s="52"/>
      <c r="Y177" s="52"/>
      <c r="Z177" s="52"/>
      <c r="AA177" s="52"/>
      <c r="AB177" s="52"/>
    </row>
    <row r="178" customFormat="false" ht="15.75" hidden="false" customHeight="false" outlineLevel="0" collapsed="false">
      <c r="A178" s="10" t="s">
        <v>4</v>
      </c>
      <c r="B178" s="10"/>
      <c r="C178" s="10"/>
      <c r="D178" s="11" t="s">
        <v>5</v>
      </c>
      <c r="E178" s="12" t="s">
        <v>6</v>
      </c>
      <c r="F178" s="13" t="s">
        <v>7</v>
      </c>
      <c r="G178" s="14"/>
      <c r="H178" s="15" t="s">
        <v>8</v>
      </c>
      <c r="I178" s="15"/>
      <c r="J178" s="15"/>
      <c r="K178" s="11" t="s">
        <v>5</v>
      </c>
      <c r="L178" s="12" t="s">
        <v>6</v>
      </c>
      <c r="M178" s="13" t="s">
        <v>7</v>
      </c>
      <c r="N178" s="4"/>
      <c r="O178" s="52"/>
      <c r="P178" s="52"/>
      <c r="Q178" s="52"/>
      <c r="R178" s="52"/>
      <c r="S178" s="52"/>
      <c r="T178" s="52"/>
      <c r="U178" s="52"/>
      <c r="V178" s="52"/>
      <c r="W178" s="52"/>
      <c r="X178" s="52"/>
      <c r="Y178" s="52"/>
      <c r="Z178" s="52"/>
      <c r="AA178" s="52"/>
      <c r="AB178" s="52"/>
    </row>
    <row r="179" customFormat="false" ht="15.75" hidden="false" customHeight="false" outlineLevel="0" collapsed="false">
      <c r="A179" s="18" t="str">
        <f aca="false">SGP!$G$1</f>
        <v>Slung Patrol</v>
      </c>
      <c r="B179" s="18"/>
      <c r="C179" s="18"/>
      <c r="D179" s="19" t="n">
        <v>3</v>
      </c>
      <c r="E179" s="20" t="n">
        <v>6</v>
      </c>
      <c r="F179" s="21" t="str">
        <f aca="false">IF(A186="WIN","W",IF(A186="LOSE","L",""))</f>
        <v>L</v>
      </c>
      <c r="G179" s="22"/>
      <c r="H179" s="23" t="str">
        <f aca="false">BTB!$G$1</f>
        <v>Battlin Brelooms</v>
      </c>
      <c r="I179" s="23"/>
      <c r="J179" s="23"/>
      <c r="K179" s="19" t="n">
        <v>6</v>
      </c>
      <c r="L179" s="20" t="n">
        <v>3</v>
      </c>
      <c r="M179" s="21" t="str">
        <f aca="false">IF(H186="WIN","W",IF(H186="LOSE","L",""))</f>
        <v>W</v>
      </c>
      <c r="N179" s="4"/>
      <c r="O179" s="53"/>
      <c r="P179" s="53"/>
      <c r="Q179" s="53"/>
      <c r="R179" s="53"/>
      <c r="S179" s="53"/>
      <c r="T179" s="53"/>
      <c r="U179" s="53"/>
      <c r="V179" s="53"/>
      <c r="W179" s="53"/>
      <c r="X179" s="53"/>
      <c r="Y179" s="53"/>
      <c r="Z179" s="53"/>
      <c r="AA179" s="53"/>
      <c r="AB179" s="53"/>
    </row>
    <row r="180" customFormat="false" ht="15.75" hidden="false" customHeight="false" outlineLevel="0" collapsed="false">
      <c r="A180" s="25" t="s">
        <v>77</v>
      </c>
      <c r="B180" s="25"/>
      <c r="C180" s="25"/>
      <c r="D180" s="26" t="n">
        <v>0</v>
      </c>
      <c r="E180" s="27" t="n">
        <v>1</v>
      </c>
      <c r="F180" s="28" t="n">
        <f aca="false">IF(A186="WIN",1,0)</f>
        <v>0</v>
      </c>
      <c r="G180" s="29"/>
      <c r="H180" s="25" t="s">
        <v>58</v>
      </c>
      <c r="I180" s="25"/>
      <c r="J180" s="25"/>
      <c r="K180" s="26" t="n">
        <v>1</v>
      </c>
      <c r="L180" s="27" t="n">
        <v>1</v>
      </c>
      <c r="M180" s="28" t="n">
        <f aca="false">IF(H186="WIN",1,0)</f>
        <v>1</v>
      </c>
      <c r="N180" s="4"/>
      <c r="O180" s="51"/>
      <c r="P180" s="51"/>
      <c r="Q180" s="51"/>
      <c r="R180" s="51"/>
      <c r="S180" s="51"/>
      <c r="T180" s="51"/>
      <c r="U180" s="51"/>
      <c r="V180" s="51"/>
      <c r="W180" s="51"/>
      <c r="X180" s="51"/>
      <c r="Y180" s="51"/>
      <c r="Z180" s="51"/>
      <c r="AA180" s="51"/>
      <c r="AB180" s="51"/>
    </row>
    <row r="181" customFormat="false" ht="15.75" hidden="false" customHeight="false" outlineLevel="0" collapsed="false">
      <c r="A181" s="25" t="s">
        <v>93</v>
      </c>
      <c r="B181" s="25"/>
      <c r="C181" s="25"/>
      <c r="D181" s="26" t="n">
        <v>0</v>
      </c>
      <c r="E181" s="27" t="n">
        <v>1</v>
      </c>
      <c r="F181" s="28" t="n">
        <f aca="false">IF(A186="WIN",1,0)</f>
        <v>0</v>
      </c>
      <c r="G181" s="29"/>
      <c r="H181" s="25" t="s">
        <v>61</v>
      </c>
      <c r="I181" s="25"/>
      <c r="J181" s="25"/>
      <c r="K181" s="26" t="n">
        <v>0</v>
      </c>
      <c r="L181" s="27" t="n">
        <v>0</v>
      </c>
      <c r="M181" s="28" t="n">
        <f aca="false">IF(H186="WIN",1,0)</f>
        <v>1</v>
      </c>
      <c r="N181" s="4"/>
      <c r="O181" s="51"/>
      <c r="P181" s="51"/>
      <c r="Q181" s="51"/>
      <c r="R181" s="51"/>
      <c r="S181" s="51"/>
      <c r="T181" s="51"/>
      <c r="U181" s="51"/>
      <c r="V181" s="51"/>
      <c r="W181" s="51"/>
      <c r="X181" s="51"/>
      <c r="Y181" s="51"/>
      <c r="Z181" s="51"/>
      <c r="AA181" s="51"/>
      <c r="AB181" s="51"/>
    </row>
    <row r="182" customFormat="false" ht="15.75" hidden="false" customHeight="false" outlineLevel="0" collapsed="false">
      <c r="A182" s="25" t="s">
        <v>97</v>
      </c>
      <c r="B182" s="25"/>
      <c r="C182" s="25"/>
      <c r="D182" s="26" t="n">
        <v>0</v>
      </c>
      <c r="E182" s="27" t="n">
        <v>1</v>
      </c>
      <c r="F182" s="28" t="n">
        <f aca="false">IF(A186="WIN",1,0)</f>
        <v>0</v>
      </c>
      <c r="G182" s="29"/>
      <c r="H182" s="25" t="s">
        <v>63</v>
      </c>
      <c r="I182" s="25"/>
      <c r="J182" s="25"/>
      <c r="K182" s="26" t="n">
        <v>2</v>
      </c>
      <c r="L182" s="27" t="n">
        <v>0</v>
      </c>
      <c r="M182" s="28" t="n">
        <f aca="false">IF(H186="WIN",1,0)</f>
        <v>1</v>
      </c>
      <c r="N182" s="4"/>
      <c r="O182" s="51"/>
      <c r="P182" s="51"/>
      <c r="Q182" s="51"/>
      <c r="R182" s="51"/>
      <c r="S182" s="51"/>
      <c r="T182" s="51"/>
      <c r="U182" s="51"/>
      <c r="V182" s="51"/>
      <c r="W182" s="51"/>
      <c r="X182" s="51"/>
      <c r="Y182" s="51"/>
      <c r="Z182" s="51"/>
      <c r="AA182" s="51"/>
      <c r="AB182" s="51"/>
    </row>
    <row r="183" customFormat="false" ht="15.75" hidden="false" customHeight="false" outlineLevel="0" collapsed="false">
      <c r="A183" s="25" t="s">
        <v>114</v>
      </c>
      <c r="B183" s="25"/>
      <c r="C183" s="25"/>
      <c r="D183" s="26" t="n">
        <v>1</v>
      </c>
      <c r="E183" s="27" t="n">
        <v>1</v>
      </c>
      <c r="F183" s="28" t="n">
        <f aca="false">IF(A186="WIN",1,0)</f>
        <v>0</v>
      </c>
      <c r="G183" s="29"/>
      <c r="H183" s="25" t="s">
        <v>65</v>
      </c>
      <c r="I183" s="25"/>
      <c r="J183" s="25"/>
      <c r="K183" s="26" t="n">
        <v>1</v>
      </c>
      <c r="L183" s="27" t="n">
        <v>1</v>
      </c>
      <c r="M183" s="28" t="n">
        <f aca="false">IF(H186="WIN",1,0)</f>
        <v>1</v>
      </c>
      <c r="N183" s="4"/>
      <c r="O183" s="51"/>
      <c r="P183" s="51"/>
      <c r="Q183" s="51"/>
      <c r="R183" s="51"/>
      <c r="S183" s="51"/>
      <c r="T183" s="51"/>
      <c r="U183" s="51"/>
      <c r="V183" s="51"/>
      <c r="W183" s="51"/>
      <c r="X183" s="51"/>
      <c r="Y183" s="51"/>
      <c r="Z183" s="51"/>
      <c r="AA183" s="51"/>
      <c r="AB183" s="51"/>
    </row>
    <row r="184" customFormat="false" ht="15.75" hidden="false" customHeight="false" outlineLevel="0" collapsed="false">
      <c r="A184" s="25" t="s">
        <v>81</v>
      </c>
      <c r="B184" s="25"/>
      <c r="C184" s="25"/>
      <c r="D184" s="26" t="n">
        <v>1</v>
      </c>
      <c r="E184" s="27" t="n">
        <v>1</v>
      </c>
      <c r="F184" s="28" t="n">
        <f aca="false">IF(A186="WIN",1,0)</f>
        <v>0</v>
      </c>
      <c r="G184" s="29"/>
      <c r="H184" s="25" t="s">
        <v>67</v>
      </c>
      <c r="I184" s="25"/>
      <c r="J184" s="25"/>
      <c r="K184" s="26" t="n">
        <v>0</v>
      </c>
      <c r="L184" s="27" t="n">
        <v>0</v>
      </c>
      <c r="M184" s="28" t="n">
        <f aca="false">IF(H186="WIN",1,0)</f>
        <v>1</v>
      </c>
      <c r="N184" s="4"/>
      <c r="O184" s="51"/>
      <c r="P184" s="51"/>
      <c r="Q184" s="51"/>
      <c r="R184" s="51"/>
      <c r="S184" s="51"/>
      <c r="T184" s="51"/>
      <c r="U184" s="51"/>
      <c r="V184" s="51"/>
      <c r="W184" s="51"/>
      <c r="X184" s="51"/>
      <c r="Y184" s="51"/>
      <c r="Z184" s="51"/>
      <c r="AA184" s="51"/>
      <c r="AB184" s="51"/>
    </row>
    <row r="185" customFormat="false" ht="15.75" hidden="false" customHeight="false" outlineLevel="0" collapsed="false">
      <c r="A185" s="25" t="s">
        <v>75</v>
      </c>
      <c r="B185" s="25"/>
      <c r="C185" s="25"/>
      <c r="D185" s="33" t="n">
        <v>1</v>
      </c>
      <c r="E185" s="34" t="n">
        <v>1</v>
      </c>
      <c r="F185" s="28" t="n">
        <f aca="false">IF(A186="WIN",1,0)</f>
        <v>0</v>
      </c>
      <c r="G185" s="29"/>
      <c r="H185" s="25" t="s">
        <v>69</v>
      </c>
      <c r="I185" s="25"/>
      <c r="J185" s="25"/>
      <c r="K185" s="33" t="n">
        <v>2</v>
      </c>
      <c r="L185" s="34" t="n">
        <v>1</v>
      </c>
      <c r="M185" s="28" t="n">
        <f aca="false">IF(H186="WIN",1,0)</f>
        <v>1</v>
      </c>
      <c r="N185" s="4"/>
      <c r="O185" s="51"/>
      <c r="P185" s="51"/>
      <c r="Q185" s="51"/>
      <c r="R185" s="51"/>
      <c r="S185" s="51"/>
      <c r="T185" s="51"/>
      <c r="U185" s="51"/>
      <c r="V185" s="51"/>
      <c r="W185" s="51"/>
      <c r="X185" s="51"/>
      <c r="Y185" s="51"/>
      <c r="Z185" s="51"/>
      <c r="AA185" s="51"/>
      <c r="AB185" s="51"/>
    </row>
    <row r="186" customFormat="false" ht="15.75" hidden="false" customHeight="false" outlineLevel="0" collapsed="false">
      <c r="A186" s="35" t="s">
        <v>10</v>
      </c>
      <c r="B186" s="35"/>
      <c r="C186" s="35"/>
      <c r="D186" s="36"/>
      <c r="E186" s="37"/>
      <c r="F186" s="38"/>
      <c r="G186" s="39"/>
      <c r="H186" s="54" t="s">
        <v>11</v>
      </c>
      <c r="I186" s="54"/>
      <c r="J186" s="54"/>
      <c r="K186" s="41"/>
      <c r="L186" s="37"/>
      <c r="M186" s="38"/>
      <c r="N186" s="4"/>
      <c r="O186" s="52"/>
      <c r="P186" s="52"/>
      <c r="Q186" s="52"/>
      <c r="R186" s="52"/>
      <c r="S186" s="52"/>
      <c r="T186" s="52"/>
      <c r="U186" s="52"/>
      <c r="V186" s="52"/>
      <c r="W186" s="52"/>
      <c r="X186" s="52"/>
      <c r="Y186" s="52"/>
      <c r="Z186" s="52"/>
      <c r="AA186" s="52"/>
      <c r="AB186" s="52"/>
    </row>
    <row r="187" customFormat="false" ht="17.25" hidden="false" customHeight="false" outlineLevel="0" collapsed="false">
      <c r="A187" s="6" t="s">
        <v>115</v>
      </c>
      <c r="B187" s="6"/>
      <c r="C187" s="6"/>
      <c r="D187" s="6"/>
      <c r="E187" s="6"/>
      <c r="F187" s="6"/>
      <c r="G187" s="6"/>
      <c r="H187" s="6"/>
      <c r="I187" s="6"/>
      <c r="J187" s="6"/>
      <c r="K187" s="6"/>
      <c r="L187" s="6"/>
      <c r="M187" s="6"/>
      <c r="N187" s="4"/>
      <c r="O187" s="55"/>
      <c r="P187" s="55"/>
      <c r="Q187" s="55"/>
      <c r="R187" s="55"/>
      <c r="S187" s="55"/>
      <c r="T187" s="55"/>
      <c r="U187" s="55"/>
      <c r="V187" s="55"/>
      <c r="W187" s="55"/>
      <c r="X187" s="55"/>
      <c r="Y187" s="55"/>
      <c r="Z187" s="55"/>
      <c r="AA187" s="55"/>
      <c r="AB187" s="55"/>
    </row>
    <row r="188" customFormat="false" ht="15.75" hidden="false" customHeight="false" outlineLevel="0" collapsed="false">
      <c r="A188" s="10" t="s">
        <v>4</v>
      </c>
      <c r="B188" s="10"/>
      <c r="C188" s="10"/>
      <c r="D188" s="11" t="s">
        <v>5</v>
      </c>
      <c r="E188" s="12" t="s">
        <v>6</v>
      </c>
      <c r="F188" s="13" t="s">
        <v>7</v>
      </c>
      <c r="G188" s="14"/>
      <c r="H188" s="15" t="s">
        <v>8</v>
      </c>
      <c r="I188" s="15"/>
      <c r="J188" s="15"/>
      <c r="K188" s="11" t="s">
        <v>5</v>
      </c>
      <c r="L188" s="12" t="s">
        <v>6</v>
      </c>
      <c r="M188" s="13" t="s">
        <v>7</v>
      </c>
      <c r="N188" s="4"/>
      <c r="O188" s="52"/>
      <c r="P188" s="52"/>
      <c r="Q188" s="52"/>
      <c r="R188" s="52"/>
      <c r="S188" s="52"/>
      <c r="T188" s="52"/>
      <c r="U188" s="52"/>
      <c r="V188" s="52"/>
      <c r="W188" s="52"/>
      <c r="X188" s="52"/>
      <c r="Y188" s="52"/>
      <c r="Z188" s="52"/>
      <c r="AA188" s="52"/>
      <c r="AB188" s="52"/>
    </row>
    <row r="189" customFormat="false" ht="15.75" hidden="false" customHeight="false" outlineLevel="0" collapsed="false">
      <c r="A189" s="18" t="str">
        <f aca="false">KKS!$G$1</f>
        <v>Kingston Kecleons</v>
      </c>
      <c r="B189" s="18"/>
      <c r="C189" s="18"/>
      <c r="D189" s="19" t="n">
        <v>6</v>
      </c>
      <c r="E189" s="20" t="n">
        <v>1</v>
      </c>
      <c r="F189" s="21" t="str">
        <f aca="false">IF(A196="WIN","W",IF(A196="LOSE","L",""))</f>
        <v>W</v>
      </c>
      <c r="G189" s="22"/>
      <c r="H189" s="18" t="str">
        <f aca="false">SGP!$G$1</f>
        <v>Slung Patrol</v>
      </c>
      <c r="I189" s="18"/>
      <c r="J189" s="18"/>
      <c r="K189" s="19" t="n">
        <v>1</v>
      </c>
      <c r="L189" s="20" t="n">
        <v>6</v>
      </c>
      <c r="M189" s="21" t="str">
        <f aca="false">IF(H196="WIN","W",IF(H196="LOSE","L",""))</f>
        <v>L</v>
      </c>
      <c r="N189" s="4"/>
      <c r="O189" s="53"/>
      <c r="P189" s="53"/>
      <c r="Q189" s="53"/>
      <c r="R189" s="53"/>
      <c r="S189" s="53"/>
      <c r="T189" s="53"/>
      <c r="U189" s="53"/>
      <c r="V189" s="53"/>
      <c r="W189" s="53"/>
      <c r="X189" s="53"/>
      <c r="Y189" s="53"/>
      <c r="Z189" s="53"/>
      <c r="AA189" s="53"/>
      <c r="AB189" s="53"/>
    </row>
    <row r="190" customFormat="false" ht="15.75" hidden="false" customHeight="false" outlineLevel="0" collapsed="false">
      <c r="A190" s="25" t="s">
        <v>85</v>
      </c>
      <c r="B190" s="25"/>
      <c r="C190" s="25"/>
      <c r="D190" s="26" t="n">
        <v>0</v>
      </c>
      <c r="E190" s="27" t="n">
        <v>1</v>
      </c>
      <c r="F190" s="28" t="n">
        <f aca="false">IF(A196="WIN",1,0)</f>
        <v>1</v>
      </c>
      <c r="G190" s="29"/>
      <c r="H190" s="56" t="s">
        <v>96</v>
      </c>
      <c r="I190" s="56"/>
      <c r="J190" s="56"/>
      <c r="K190" s="26" t="n">
        <v>0</v>
      </c>
      <c r="L190" s="27" t="n">
        <v>1</v>
      </c>
      <c r="M190" s="28" t="n">
        <f aca="false">IF(H196="WIN",1,0)</f>
        <v>0</v>
      </c>
      <c r="N190" s="4"/>
      <c r="O190" s="51"/>
      <c r="P190" s="51"/>
      <c r="Q190" s="51"/>
      <c r="R190" s="51"/>
      <c r="S190" s="51"/>
      <c r="T190" s="51"/>
      <c r="U190" s="51"/>
      <c r="V190" s="51"/>
      <c r="W190" s="51"/>
      <c r="X190" s="51"/>
      <c r="Y190" s="51"/>
      <c r="Z190" s="51"/>
      <c r="AA190" s="51"/>
      <c r="AB190" s="51"/>
    </row>
    <row r="191" customFormat="false" ht="15.75" hidden="false" customHeight="false" outlineLevel="0" collapsed="false">
      <c r="A191" s="25" t="s">
        <v>19</v>
      </c>
      <c r="B191" s="25"/>
      <c r="C191" s="25"/>
      <c r="D191" s="26" t="n">
        <v>0</v>
      </c>
      <c r="E191" s="27" t="n">
        <v>1</v>
      </c>
      <c r="F191" s="28" t="n">
        <f aca="false">IF(A196="WIN",1,0)</f>
        <v>1</v>
      </c>
      <c r="G191" s="29"/>
      <c r="H191" s="25" t="s">
        <v>93</v>
      </c>
      <c r="I191" s="25"/>
      <c r="J191" s="25"/>
      <c r="K191" s="26" t="n">
        <v>0</v>
      </c>
      <c r="L191" s="27" t="n">
        <v>1</v>
      </c>
      <c r="M191" s="28" t="n">
        <f aca="false">IF(H196="WIN",1,0)</f>
        <v>0</v>
      </c>
      <c r="N191" s="4"/>
      <c r="O191" s="51"/>
      <c r="P191" s="51"/>
      <c r="Q191" s="51"/>
      <c r="R191" s="51"/>
      <c r="S191" s="51"/>
      <c r="T191" s="51"/>
      <c r="U191" s="51"/>
      <c r="V191" s="51"/>
      <c r="W191" s="51"/>
      <c r="X191" s="51"/>
      <c r="Y191" s="51"/>
      <c r="Z191" s="51"/>
      <c r="AA191" s="51"/>
      <c r="AB191" s="51"/>
    </row>
    <row r="192" customFormat="false" ht="15.75" hidden="false" customHeight="false" outlineLevel="0" collapsed="false">
      <c r="A192" s="25" t="s">
        <v>103</v>
      </c>
      <c r="B192" s="25"/>
      <c r="C192" s="25"/>
      <c r="D192" s="26" t="n">
        <v>2</v>
      </c>
      <c r="E192" s="27" t="n">
        <v>1</v>
      </c>
      <c r="F192" s="28" t="n">
        <f aca="false">IF(A196="WIN",1,0)</f>
        <v>1</v>
      </c>
      <c r="G192" s="29"/>
      <c r="H192" s="25" t="s">
        <v>97</v>
      </c>
      <c r="I192" s="25"/>
      <c r="J192" s="25"/>
      <c r="K192" s="26" t="n">
        <v>0</v>
      </c>
      <c r="L192" s="27" t="n">
        <v>1</v>
      </c>
      <c r="M192" s="28" t="n">
        <f aca="false">IF(H196="WIN",1,0)</f>
        <v>0</v>
      </c>
      <c r="N192" s="4"/>
      <c r="O192" s="51"/>
      <c r="P192" s="51"/>
      <c r="Q192" s="51"/>
      <c r="R192" s="51"/>
      <c r="S192" s="51"/>
      <c r="T192" s="51"/>
      <c r="U192" s="51"/>
      <c r="V192" s="51"/>
      <c r="W192" s="51"/>
      <c r="X192" s="51"/>
      <c r="Y192" s="51"/>
      <c r="Z192" s="51"/>
      <c r="AA192" s="51"/>
      <c r="AB192" s="51"/>
    </row>
    <row r="193" customFormat="false" ht="15.75" hidden="false" customHeight="false" outlineLevel="0" collapsed="false">
      <c r="A193" s="25" t="s">
        <v>84</v>
      </c>
      <c r="B193" s="25"/>
      <c r="C193" s="25"/>
      <c r="D193" s="26" t="n">
        <v>0</v>
      </c>
      <c r="E193" s="27" t="n">
        <v>1</v>
      </c>
      <c r="F193" s="28" t="n">
        <f aca="false">IF(A196="WIN",1,0)</f>
        <v>1</v>
      </c>
      <c r="G193" s="29"/>
      <c r="H193" s="25" t="s">
        <v>107</v>
      </c>
      <c r="I193" s="25"/>
      <c r="J193" s="25"/>
      <c r="K193" s="26" t="n">
        <v>0</v>
      </c>
      <c r="L193" s="27" t="n">
        <v>1</v>
      </c>
      <c r="M193" s="28" t="n">
        <f aca="false">IF(H196="WIN",1,0)</f>
        <v>0</v>
      </c>
      <c r="N193" s="4"/>
      <c r="O193" s="51"/>
      <c r="P193" s="51"/>
      <c r="Q193" s="51"/>
      <c r="R193" s="51"/>
      <c r="S193" s="51"/>
      <c r="T193" s="51"/>
      <c r="U193" s="51"/>
      <c r="V193" s="51"/>
      <c r="W193" s="51"/>
      <c r="X193" s="51"/>
      <c r="Y193" s="51"/>
      <c r="Z193" s="51"/>
      <c r="AA193" s="51"/>
      <c r="AB193" s="51"/>
    </row>
    <row r="194" customFormat="false" ht="15.75" hidden="false" customHeight="false" outlineLevel="0" collapsed="false">
      <c r="A194" s="25" t="s">
        <v>88</v>
      </c>
      <c r="B194" s="25"/>
      <c r="C194" s="25"/>
      <c r="D194" s="26" t="n">
        <v>4</v>
      </c>
      <c r="E194" s="27" t="n">
        <v>1</v>
      </c>
      <c r="F194" s="28" t="n">
        <f aca="false">IF(A196="WIN",1,0)</f>
        <v>1</v>
      </c>
      <c r="G194" s="29"/>
      <c r="H194" s="25" t="s">
        <v>81</v>
      </c>
      <c r="I194" s="25"/>
      <c r="J194" s="25"/>
      <c r="K194" s="26" t="n">
        <v>0</v>
      </c>
      <c r="L194" s="27" t="n">
        <v>1</v>
      </c>
      <c r="M194" s="28" t="n">
        <f aca="false">IF(H196="WIN",1,0)</f>
        <v>0</v>
      </c>
      <c r="N194" s="4"/>
      <c r="O194" s="51"/>
      <c r="P194" s="51"/>
      <c r="Q194" s="51"/>
      <c r="R194" s="51"/>
      <c r="S194" s="51"/>
      <c r="T194" s="51"/>
      <c r="U194" s="51"/>
      <c r="V194" s="51"/>
      <c r="W194" s="51"/>
      <c r="X194" s="51"/>
      <c r="Y194" s="51"/>
      <c r="Z194" s="51"/>
      <c r="AA194" s="51"/>
      <c r="AB194" s="51"/>
    </row>
    <row r="195" customFormat="false" ht="15.75" hidden="false" customHeight="false" outlineLevel="0" collapsed="false">
      <c r="A195" s="32" t="s">
        <v>16</v>
      </c>
      <c r="B195" s="32"/>
      <c r="C195" s="32"/>
      <c r="D195" s="33" t="n">
        <v>0</v>
      </c>
      <c r="E195" s="34" t="n">
        <v>1</v>
      </c>
      <c r="F195" s="28" t="n">
        <f aca="false">IF(A196="WIN",1,0)</f>
        <v>1</v>
      </c>
      <c r="G195" s="29"/>
      <c r="H195" s="32" t="s">
        <v>75</v>
      </c>
      <c r="I195" s="32"/>
      <c r="J195" s="32"/>
      <c r="K195" s="33" t="n">
        <v>1</v>
      </c>
      <c r="L195" s="34" t="n">
        <v>1</v>
      </c>
      <c r="M195" s="28" t="n">
        <f aca="false">IF(H196="WIN",1,0)</f>
        <v>0</v>
      </c>
      <c r="N195" s="4"/>
      <c r="O195" s="51"/>
      <c r="P195" s="51"/>
      <c r="Q195" s="51"/>
      <c r="R195" s="51"/>
      <c r="S195" s="51"/>
      <c r="T195" s="51"/>
      <c r="U195" s="51"/>
      <c r="V195" s="51"/>
      <c r="W195" s="51"/>
      <c r="X195" s="51"/>
      <c r="Y195" s="51"/>
      <c r="Z195" s="51"/>
      <c r="AA195" s="51"/>
      <c r="AB195" s="51"/>
    </row>
    <row r="196" customFormat="false" ht="15.75" hidden="false" customHeight="false" outlineLevel="0" collapsed="false">
      <c r="A196" s="35" t="s">
        <v>11</v>
      </c>
      <c r="B196" s="35"/>
      <c r="C196" s="35"/>
      <c r="D196" s="36"/>
      <c r="E196" s="37"/>
      <c r="F196" s="38"/>
      <c r="G196" s="39"/>
      <c r="H196" s="54" t="s">
        <v>10</v>
      </c>
      <c r="I196" s="54"/>
      <c r="J196" s="54"/>
      <c r="K196" s="41"/>
      <c r="L196" s="37"/>
      <c r="M196" s="38"/>
      <c r="N196" s="4"/>
      <c r="O196" s="52"/>
      <c r="P196" s="52"/>
      <c r="Q196" s="52"/>
      <c r="R196" s="52"/>
      <c r="S196" s="52"/>
      <c r="T196" s="52"/>
      <c r="U196" s="52"/>
      <c r="V196" s="52"/>
      <c r="W196" s="52"/>
      <c r="X196" s="52"/>
      <c r="Y196" s="52"/>
      <c r="Z196" s="52"/>
      <c r="AA196" s="52"/>
      <c r="AB196" s="52"/>
    </row>
    <row r="197" customFormat="false" ht="15.75" hidden="false" customHeight="false" outlineLevel="0" collapsed="false">
      <c r="A197" s="10" t="s">
        <v>4</v>
      </c>
      <c r="B197" s="10"/>
      <c r="C197" s="10"/>
      <c r="D197" s="11" t="s">
        <v>5</v>
      </c>
      <c r="E197" s="12" t="s">
        <v>6</v>
      </c>
      <c r="F197" s="13" t="s">
        <v>7</v>
      </c>
      <c r="G197" s="14"/>
      <c r="H197" s="15" t="s">
        <v>8</v>
      </c>
      <c r="I197" s="15"/>
      <c r="J197" s="15"/>
      <c r="K197" s="11" t="s">
        <v>5</v>
      </c>
      <c r="L197" s="12" t="s">
        <v>6</v>
      </c>
      <c r="M197" s="13" t="s">
        <v>7</v>
      </c>
      <c r="N197" s="4"/>
      <c r="O197" s="52"/>
      <c r="P197" s="52"/>
      <c r="Q197" s="52"/>
      <c r="R197" s="52"/>
      <c r="S197" s="52"/>
      <c r="T197" s="52"/>
      <c r="U197" s="52"/>
      <c r="V197" s="52"/>
      <c r="W197" s="52"/>
      <c r="X197" s="52"/>
      <c r="Y197" s="52"/>
      <c r="Z197" s="52"/>
      <c r="AA197" s="52"/>
      <c r="AB197" s="52"/>
    </row>
    <row r="198" customFormat="false" ht="15.75" hidden="false" customHeight="false" outlineLevel="0" collapsed="false">
      <c r="A198" s="23" t="str">
        <f aca="false">FTT!$G$1</f>
        <v>Fortree Trevenants</v>
      </c>
      <c r="B198" s="23"/>
      <c r="C198" s="23"/>
      <c r="D198" s="19" t="n">
        <v>0</v>
      </c>
      <c r="E198" s="20" t="n">
        <v>6</v>
      </c>
      <c r="F198" s="21" t="str">
        <f aca="false">IF(A205="WIN","W",IF(A205="LOSE","L",""))</f>
        <v>L</v>
      </c>
      <c r="G198" s="22"/>
      <c r="H198" s="18" t="str">
        <f aca="false">SEA!$G$1</f>
        <v>Seattle Seadras</v>
      </c>
      <c r="I198" s="18"/>
      <c r="J198" s="18"/>
      <c r="K198" s="19" t="n">
        <v>6</v>
      </c>
      <c r="L198" s="20" t="n">
        <v>0</v>
      </c>
      <c r="M198" s="21" t="str">
        <f aca="false">IF(H205="WIN","W",IF(H205="LOSE","L",""))</f>
        <v>W</v>
      </c>
      <c r="N198" s="4"/>
      <c r="O198" s="53"/>
      <c r="P198" s="53"/>
      <c r="Q198" s="53"/>
      <c r="R198" s="53"/>
      <c r="S198" s="53"/>
      <c r="T198" s="53"/>
      <c r="U198" s="53"/>
      <c r="V198" s="53"/>
      <c r="W198" s="53"/>
      <c r="X198" s="53"/>
      <c r="Y198" s="53"/>
      <c r="Z198" s="53"/>
      <c r="AA198" s="53"/>
      <c r="AB198" s="53"/>
    </row>
    <row r="199" customFormat="false" ht="15.75" hidden="false" customHeight="false" outlineLevel="0" collapsed="false">
      <c r="A199" s="56" t="s">
        <v>110</v>
      </c>
      <c r="B199" s="56"/>
      <c r="C199" s="56"/>
      <c r="D199" s="26" t="n">
        <v>0</v>
      </c>
      <c r="E199" s="27" t="n">
        <v>1</v>
      </c>
      <c r="F199" s="28" t="n">
        <f aca="false">IF(A205="WIN",1,0)</f>
        <v>0</v>
      </c>
      <c r="G199" s="29"/>
      <c r="H199" s="56" t="s">
        <v>91</v>
      </c>
      <c r="I199" s="56"/>
      <c r="J199" s="56"/>
      <c r="K199" s="26" t="n">
        <v>0</v>
      </c>
      <c r="L199" s="27" t="n">
        <v>0</v>
      </c>
      <c r="M199" s="28" t="n">
        <f aca="false">IF(H205="WIN",1,0)</f>
        <v>1</v>
      </c>
      <c r="N199" s="4"/>
      <c r="O199" s="51"/>
      <c r="P199" s="51"/>
      <c r="Q199" s="51"/>
      <c r="R199" s="51"/>
      <c r="S199" s="51"/>
      <c r="T199" s="51"/>
      <c r="U199" s="51"/>
      <c r="V199" s="51"/>
      <c r="W199" s="51"/>
      <c r="X199" s="51"/>
      <c r="Y199" s="51"/>
      <c r="Z199" s="51"/>
      <c r="AA199" s="51"/>
      <c r="AB199" s="51"/>
    </row>
    <row r="200" customFormat="false" ht="15.75" hidden="false" customHeight="false" outlineLevel="0" collapsed="false">
      <c r="A200" s="25" t="s">
        <v>108</v>
      </c>
      <c r="B200" s="25"/>
      <c r="C200" s="25"/>
      <c r="D200" s="26" t="n">
        <v>0</v>
      </c>
      <c r="E200" s="27" t="n">
        <v>1</v>
      </c>
      <c r="F200" s="28" t="n">
        <f aca="false">IF(A205="WIN",1,0)</f>
        <v>0</v>
      </c>
      <c r="G200" s="29"/>
      <c r="H200" s="25" t="s">
        <v>46</v>
      </c>
      <c r="I200" s="25"/>
      <c r="J200" s="25"/>
      <c r="K200" s="26" t="n">
        <v>0</v>
      </c>
      <c r="L200" s="27" t="n">
        <v>0</v>
      </c>
      <c r="M200" s="28" t="n">
        <f aca="false">IF(H205="WIN",1,0)</f>
        <v>1</v>
      </c>
      <c r="N200" s="4"/>
      <c r="O200" s="51"/>
      <c r="P200" s="51"/>
      <c r="Q200" s="51"/>
      <c r="R200" s="51"/>
      <c r="S200" s="51"/>
      <c r="T200" s="51"/>
      <c r="U200" s="51"/>
      <c r="V200" s="51"/>
      <c r="W200" s="51"/>
      <c r="X200" s="51"/>
      <c r="Y200" s="51"/>
      <c r="Z200" s="51"/>
      <c r="AA200" s="51"/>
      <c r="AB200" s="51"/>
    </row>
    <row r="201" customFormat="false" ht="15.75" hidden="false" customHeight="false" outlineLevel="0" collapsed="false">
      <c r="A201" s="25" t="s">
        <v>78</v>
      </c>
      <c r="B201" s="25"/>
      <c r="C201" s="25"/>
      <c r="D201" s="26" t="n">
        <v>0</v>
      </c>
      <c r="E201" s="27" t="n">
        <v>1</v>
      </c>
      <c r="F201" s="28" t="n">
        <f aca="false">IF(A205="WIN",1,0)</f>
        <v>0</v>
      </c>
      <c r="G201" s="29"/>
      <c r="H201" s="25" t="s">
        <v>89</v>
      </c>
      <c r="I201" s="25"/>
      <c r="J201" s="25"/>
      <c r="K201" s="26" t="n">
        <v>4</v>
      </c>
      <c r="L201" s="27" t="n">
        <v>0</v>
      </c>
      <c r="M201" s="28" t="n">
        <f aca="false">IF(H205="WIN",1,0)</f>
        <v>1</v>
      </c>
      <c r="N201" s="4"/>
      <c r="O201" s="51"/>
      <c r="P201" s="51"/>
      <c r="Q201" s="51"/>
      <c r="R201" s="51"/>
      <c r="S201" s="51"/>
      <c r="T201" s="51"/>
      <c r="U201" s="51"/>
      <c r="V201" s="51"/>
      <c r="W201" s="51"/>
      <c r="X201" s="51"/>
      <c r="Y201" s="51"/>
      <c r="Z201" s="51"/>
      <c r="AA201" s="51"/>
      <c r="AB201" s="51"/>
    </row>
    <row r="202" customFormat="false" ht="15.75" hidden="false" customHeight="false" outlineLevel="0" collapsed="false">
      <c r="A202" s="25" t="s">
        <v>80</v>
      </c>
      <c r="B202" s="25"/>
      <c r="C202" s="25"/>
      <c r="D202" s="26" t="n">
        <v>0</v>
      </c>
      <c r="E202" s="27" t="n">
        <v>1</v>
      </c>
      <c r="F202" s="28" t="n">
        <f aca="false">IF(A205="WIN",1,0)</f>
        <v>0</v>
      </c>
      <c r="G202" s="29"/>
      <c r="H202" s="25" t="s">
        <v>43</v>
      </c>
      <c r="I202" s="25"/>
      <c r="J202" s="25"/>
      <c r="K202" s="26" t="n">
        <v>2</v>
      </c>
      <c r="L202" s="27" t="n">
        <v>0</v>
      </c>
      <c r="M202" s="28" t="n">
        <f aca="false">IF(H205="WIN",1,0)</f>
        <v>1</v>
      </c>
      <c r="N202" s="4"/>
      <c r="O202" s="51"/>
      <c r="P202" s="51"/>
      <c r="Q202" s="51"/>
      <c r="R202" s="51"/>
      <c r="S202" s="51"/>
      <c r="T202" s="51"/>
      <c r="U202" s="51"/>
      <c r="V202" s="51"/>
      <c r="W202" s="51"/>
      <c r="X202" s="51"/>
      <c r="Y202" s="51"/>
      <c r="Z202" s="51"/>
      <c r="AA202" s="51"/>
      <c r="AB202" s="51"/>
    </row>
    <row r="203" customFormat="false" ht="15.75" hidden="false" customHeight="false" outlineLevel="0" collapsed="false">
      <c r="A203" s="25" t="s">
        <v>76</v>
      </c>
      <c r="B203" s="25"/>
      <c r="C203" s="25"/>
      <c r="D203" s="26" t="n">
        <v>0</v>
      </c>
      <c r="E203" s="27" t="n">
        <v>1</v>
      </c>
      <c r="F203" s="28" t="n">
        <f aca="false">IF(A205="WIN",1,0)</f>
        <v>0</v>
      </c>
      <c r="G203" s="29"/>
      <c r="H203" s="25" t="s">
        <v>49</v>
      </c>
      <c r="I203" s="25"/>
      <c r="J203" s="25"/>
      <c r="K203" s="26" t="n">
        <v>0</v>
      </c>
      <c r="L203" s="27" t="n">
        <v>0</v>
      </c>
      <c r="M203" s="28" t="n">
        <f aca="false">IF(H205="WIN",1,0)</f>
        <v>1</v>
      </c>
      <c r="N203" s="4"/>
      <c r="O203" s="51"/>
      <c r="P203" s="51"/>
      <c r="Q203" s="51"/>
      <c r="R203" s="51"/>
      <c r="S203" s="51"/>
      <c r="T203" s="51"/>
      <c r="U203" s="51"/>
      <c r="V203" s="51"/>
      <c r="W203" s="51"/>
      <c r="X203" s="51"/>
      <c r="Y203" s="51"/>
      <c r="Z203" s="51"/>
      <c r="AA203" s="51"/>
      <c r="AB203" s="51"/>
    </row>
    <row r="204" customFormat="false" ht="15.75" hidden="false" customHeight="false" outlineLevel="0" collapsed="false">
      <c r="A204" s="32" t="s">
        <v>74</v>
      </c>
      <c r="B204" s="32"/>
      <c r="C204" s="32"/>
      <c r="D204" s="33" t="n">
        <v>0</v>
      </c>
      <c r="E204" s="34" t="n">
        <v>1</v>
      </c>
      <c r="F204" s="28" t="n">
        <f aca="false">IF(A205="WIN",1,0)</f>
        <v>0</v>
      </c>
      <c r="G204" s="29"/>
      <c r="H204" s="32" t="s">
        <v>116</v>
      </c>
      <c r="I204" s="32"/>
      <c r="J204" s="32"/>
      <c r="K204" s="33" t="n">
        <v>0</v>
      </c>
      <c r="L204" s="34" t="n">
        <v>0</v>
      </c>
      <c r="M204" s="28" t="n">
        <f aca="false">IF(H205="WIN",1,0)</f>
        <v>1</v>
      </c>
      <c r="N204" s="4"/>
      <c r="O204" s="51"/>
      <c r="P204" s="51"/>
      <c r="Q204" s="51"/>
      <c r="R204" s="51"/>
      <c r="S204" s="51"/>
      <c r="T204" s="51"/>
      <c r="U204" s="51"/>
      <c r="V204" s="51"/>
      <c r="W204" s="51"/>
      <c r="X204" s="51"/>
      <c r="Y204" s="51"/>
      <c r="Z204" s="51"/>
      <c r="AA204" s="51"/>
      <c r="AB204" s="51"/>
    </row>
    <row r="205" customFormat="false" ht="15.75" hidden="false" customHeight="false" outlineLevel="0" collapsed="false">
      <c r="A205" s="35" t="s">
        <v>10</v>
      </c>
      <c r="B205" s="35"/>
      <c r="C205" s="35"/>
      <c r="D205" s="36"/>
      <c r="E205" s="37"/>
      <c r="F205" s="38"/>
      <c r="G205" s="39"/>
      <c r="H205" s="35" t="s">
        <v>11</v>
      </c>
      <c r="I205" s="35"/>
      <c r="J205" s="35"/>
      <c r="K205" s="41"/>
      <c r="L205" s="37"/>
      <c r="M205" s="38"/>
      <c r="N205" s="4"/>
      <c r="O205" s="52"/>
      <c r="P205" s="52"/>
      <c r="Q205" s="52"/>
      <c r="R205" s="52"/>
      <c r="S205" s="52"/>
      <c r="T205" s="52"/>
      <c r="U205" s="52"/>
      <c r="V205" s="52"/>
      <c r="W205" s="52"/>
      <c r="X205" s="52"/>
      <c r="Y205" s="52"/>
      <c r="Z205" s="52"/>
      <c r="AA205" s="52"/>
      <c r="AB205" s="52"/>
    </row>
    <row r="206" customFormat="false" ht="15.75" hidden="false" customHeight="false" outlineLevel="0" collapsed="false">
      <c r="A206" s="10" t="s">
        <v>4</v>
      </c>
      <c r="B206" s="10"/>
      <c r="C206" s="10"/>
      <c r="D206" s="11" t="s">
        <v>5</v>
      </c>
      <c r="E206" s="12" t="s">
        <v>6</v>
      </c>
      <c r="F206" s="13" t="s">
        <v>7</v>
      </c>
      <c r="G206" s="14"/>
      <c r="H206" s="15" t="s">
        <v>8</v>
      </c>
      <c r="I206" s="15"/>
      <c r="J206" s="15"/>
      <c r="K206" s="11" t="s">
        <v>5</v>
      </c>
      <c r="L206" s="12" t="s">
        <v>6</v>
      </c>
      <c r="M206" s="13" t="s">
        <v>7</v>
      </c>
      <c r="N206" s="4"/>
      <c r="O206" s="52"/>
      <c r="P206" s="52"/>
      <c r="Q206" s="52"/>
      <c r="R206" s="52"/>
      <c r="S206" s="52"/>
      <c r="T206" s="52"/>
      <c r="U206" s="52"/>
      <c r="V206" s="52"/>
      <c r="W206" s="52"/>
      <c r="X206" s="52"/>
      <c r="Y206" s="52"/>
      <c r="Z206" s="52"/>
      <c r="AA206" s="52"/>
      <c r="AB206" s="52"/>
    </row>
    <row r="207" customFormat="false" ht="15.75" hidden="false" customHeight="false" outlineLevel="0" collapsed="false">
      <c r="A207" s="18" t="str">
        <f aca="false">LVC!$G$1</f>
        <v>Louisville Crobats</v>
      </c>
      <c r="B207" s="18"/>
      <c r="C207" s="18"/>
      <c r="D207" s="19"/>
      <c r="E207" s="20"/>
      <c r="F207" s="21" t="str">
        <f aca="false">IF(A214="WIN","W",IF(A214="LOSE","L",""))</f>
        <v>L</v>
      </c>
      <c r="G207" s="22"/>
      <c r="H207" s="23" t="str">
        <f aca="false">JVJ!$G$1</f>
        <v>Jacksonville Jumpluffs</v>
      </c>
      <c r="I207" s="23"/>
      <c r="J207" s="23"/>
      <c r="K207" s="19"/>
      <c r="L207" s="20"/>
      <c r="M207" s="21" t="str">
        <f aca="false">IF(H214="WIN","W",IF(H214="LOSE","L",""))</f>
        <v>W</v>
      </c>
      <c r="N207" s="4"/>
      <c r="O207" s="53"/>
      <c r="P207" s="53"/>
      <c r="Q207" s="53"/>
      <c r="R207" s="53"/>
      <c r="S207" s="53"/>
      <c r="T207" s="53"/>
      <c r="U207" s="53"/>
      <c r="V207" s="53"/>
      <c r="W207" s="53"/>
      <c r="X207" s="53"/>
      <c r="Y207" s="53"/>
      <c r="Z207" s="53"/>
      <c r="AA207" s="53"/>
      <c r="AB207" s="53"/>
    </row>
    <row r="208" customFormat="false" ht="15.75" hidden="false" customHeight="false" outlineLevel="0" collapsed="false">
      <c r="A208" s="56"/>
      <c r="B208" s="56"/>
      <c r="C208" s="56"/>
      <c r="D208" s="26"/>
      <c r="E208" s="27"/>
      <c r="F208" s="28" t="n">
        <f aca="false">IF(A214="WIN",1,0)</f>
        <v>0</v>
      </c>
      <c r="G208" s="29"/>
      <c r="H208" s="56"/>
      <c r="I208" s="56"/>
      <c r="J208" s="56"/>
      <c r="K208" s="26"/>
      <c r="L208" s="27"/>
      <c r="M208" s="28" t="n">
        <f aca="false">IF(H214="WIN",1,0)</f>
        <v>1</v>
      </c>
      <c r="N208" s="4"/>
      <c r="O208" s="51"/>
      <c r="P208" s="51"/>
      <c r="Q208" s="51"/>
      <c r="R208" s="51"/>
      <c r="S208" s="51"/>
      <c r="T208" s="51"/>
      <c r="U208" s="51"/>
      <c r="V208" s="51"/>
      <c r="W208" s="51"/>
      <c r="X208" s="51"/>
      <c r="Y208" s="51"/>
      <c r="Z208" s="51"/>
      <c r="AA208" s="51"/>
      <c r="AB208" s="51"/>
    </row>
    <row r="209" customFormat="false" ht="15.75" hidden="false" customHeight="false" outlineLevel="0" collapsed="false">
      <c r="A209" s="25"/>
      <c r="B209" s="25"/>
      <c r="C209" s="25"/>
      <c r="D209" s="26"/>
      <c r="E209" s="27"/>
      <c r="F209" s="28" t="n">
        <f aca="false">IF(A214="WIN",1,0)</f>
        <v>0</v>
      </c>
      <c r="G209" s="29"/>
      <c r="H209" s="25"/>
      <c r="I209" s="25"/>
      <c r="J209" s="25"/>
      <c r="K209" s="26"/>
      <c r="L209" s="27"/>
      <c r="M209" s="28" t="n">
        <f aca="false">IF(H214="WIN",1,0)</f>
        <v>1</v>
      </c>
      <c r="N209" s="4"/>
      <c r="O209" s="51"/>
      <c r="P209" s="51"/>
      <c r="Q209" s="51"/>
      <c r="R209" s="51"/>
      <c r="S209" s="51"/>
      <c r="T209" s="51"/>
      <c r="U209" s="51"/>
      <c r="V209" s="51"/>
      <c r="W209" s="51"/>
      <c r="X209" s="51"/>
      <c r="Y209" s="51"/>
      <c r="Z209" s="51"/>
      <c r="AA209" s="51"/>
      <c r="AB209" s="51"/>
    </row>
    <row r="210" customFormat="false" ht="15.75" hidden="false" customHeight="false" outlineLevel="0" collapsed="false">
      <c r="A210" s="25"/>
      <c r="B210" s="25"/>
      <c r="C210" s="25"/>
      <c r="D210" s="26"/>
      <c r="E210" s="27"/>
      <c r="F210" s="28" t="n">
        <f aca="false">IF(A214="WIN",1,0)</f>
        <v>0</v>
      </c>
      <c r="G210" s="29"/>
      <c r="H210" s="25"/>
      <c r="I210" s="25"/>
      <c r="J210" s="25"/>
      <c r="K210" s="26"/>
      <c r="L210" s="27"/>
      <c r="M210" s="28" t="n">
        <f aca="false">IF(H214="WIN",1,0)</f>
        <v>1</v>
      </c>
      <c r="N210" s="4"/>
      <c r="O210" s="51"/>
      <c r="P210" s="51"/>
      <c r="Q210" s="51"/>
      <c r="R210" s="51"/>
      <c r="S210" s="51"/>
      <c r="T210" s="51"/>
      <c r="U210" s="51"/>
      <c r="V210" s="51"/>
      <c r="W210" s="51"/>
      <c r="X210" s="51"/>
      <c r="Y210" s="51"/>
      <c r="Z210" s="51"/>
      <c r="AA210" s="51"/>
      <c r="AB210" s="51"/>
    </row>
    <row r="211" customFormat="false" ht="15.75" hidden="false" customHeight="false" outlineLevel="0" collapsed="false">
      <c r="A211" s="25"/>
      <c r="B211" s="25"/>
      <c r="C211" s="25"/>
      <c r="D211" s="26"/>
      <c r="E211" s="27"/>
      <c r="F211" s="28" t="n">
        <f aca="false">IF(A214="WIN",1,0)</f>
        <v>0</v>
      </c>
      <c r="G211" s="29"/>
      <c r="H211" s="25"/>
      <c r="I211" s="25"/>
      <c r="J211" s="25"/>
      <c r="K211" s="26"/>
      <c r="L211" s="27"/>
      <c r="M211" s="28" t="n">
        <f aca="false">IF(H214="WIN",1,0)</f>
        <v>1</v>
      </c>
      <c r="N211" s="4"/>
      <c r="O211" s="51"/>
      <c r="P211" s="51"/>
      <c r="Q211" s="51"/>
      <c r="R211" s="51"/>
      <c r="S211" s="51"/>
      <c r="T211" s="51"/>
      <c r="U211" s="51"/>
      <c r="V211" s="51"/>
      <c r="W211" s="51"/>
      <c r="X211" s="51"/>
      <c r="Y211" s="51"/>
      <c r="Z211" s="51"/>
      <c r="AA211" s="51"/>
      <c r="AB211" s="51"/>
    </row>
    <row r="212" customFormat="false" ht="15.75" hidden="false" customHeight="false" outlineLevel="0" collapsed="false">
      <c r="A212" s="25"/>
      <c r="B212" s="25"/>
      <c r="C212" s="25"/>
      <c r="D212" s="26"/>
      <c r="E212" s="27"/>
      <c r="F212" s="28" t="n">
        <f aca="false">IF(A214="WIN",1,0)</f>
        <v>0</v>
      </c>
      <c r="G212" s="29"/>
      <c r="H212" s="25"/>
      <c r="I212" s="25"/>
      <c r="J212" s="25"/>
      <c r="K212" s="26"/>
      <c r="L212" s="27"/>
      <c r="M212" s="28" t="n">
        <f aca="false">IF(H214="WIN",1,0)</f>
        <v>1</v>
      </c>
      <c r="N212" s="4"/>
      <c r="O212" s="51"/>
      <c r="P212" s="51"/>
      <c r="Q212" s="51"/>
      <c r="R212" s="51"/>
      <c r="S212" s="51"/>
      <c r="T212" s="51"/>
      <c r="U212" s="51"/>
      <c r="V212" s="51"/>
      <c r="W212" s="51"/>
      <c r="X212" s="51"/>
      <c r="Y212" s="51"/>
      <c r="Z212" s="51"/>
      <c r="AA212" s="51"/>
      <c r="AB212" s="51"/>
    </row>
    <row r="213" customFormat="false" ht="15.75" hidden="false" customHeight="false" outlineLevel="0" collapsed="false">
      <c r="A213" s="32"/>
      <c r="B213" s="32"/>
      <c r="C213" s="32"/>
      <c r="D213" s="33"/>
      <c r="E213" s="34"/>
      <c r="F213" s="28" t="n">
        <f aca="false">IF(A214="WIN",1,0)</f>
        <v>0</v>
      </c>
      <c r="G213" s="29"/>
      <c r="H213" s="32"/>
      <c r="I213" s="32"/>
      <c r="J213" s="32"/>
      <c r="K213" s="33"/>
      <c r="L213" s="34"/>
      <c r="M213" s="28" t="n">
        <f aca="false">IF(H214="WIN",1,0)</f>
        <v>1</v>
      </c>
      <c r="N213" s="4"/>
      <c r="O213" s="51"/>
      <c r="P213" s="51"/>
      <c r="Q213" s="51"/>
      <c r="R213" s="51"/>
      <c r="S213" s="51"/>
      <c r="T213" s="51"/>
      <c r="U213" s="51"/>
      <c r="V213" s="51"/>
      <c r="W213" s="51"/>
      <c r="X213" s="51"/>
      <c r="Y213" s="51"/>
      <c r="Z213" s="51"/>
      <c r="AA213" s="51"/>
      <c r="AB213" s="51"/>
    </row>
    <row r="214" customFormat="false" ht="15.75" hidden="false" customHeight="false" outlineLevel="0" collapsed="false">
      <c r="A214" s="35" t="s">
        <v>10</v>
      </c>
      <c r="B214" s="35"/>
      <c r="C214" s="35"/>
      <c r="D214" s="36"/>
      <c r="E214" s="37"/>
      <c r="F214" s="38"/>
      <c r="G214" s="39"/>
      <c r="H214" s="35" t="s">
        <v>11</v>
      </c>
      <c r="I214" s="35"/>
      <c r="J214" s="35"/>
      <c r="K214" s="41"/>
      <c r="L214" s="37"/>
      <c r="M214" s="38"/>
      <c r="N214" s="4"/>
      <c r="O214" s="52"/>
      <c r="P214" s="52"/>
      <c r="Q214" s="52"/>
      <c r="R214" s="52"/>
      <c r="S214" s="52"/>
      <c r="T214" s="52"/>
      <c r="U214" s="52"/>
      <c r="V214" s="52"/>
      <c r="W214" s="52"/>
      <c r="X214" s="52"/>
      <c r="Y214" s="52"/>
      <c r="Z214" s="52"/>
      <c r="AA214" s="52"/>
      <c r="AB214" s="52"/>
    </row>
    <row r="215" customFormat="false" ht="15.75" hidden="false" customHeight="false" outlineLevel="0" collapsed="false">
      <c r="A215" s="10" t="s">
        <v>4</v>
      </c>
      <c r="B215" s="10"/>
      <c r="C215" s="10"/>
      <c r="D215" s="11" t="s">
        <v>5</v>
      </c>
      <c r="E215" s="12" t="s">
        <v>6</v>
      </c>
      <c r="F215" s="13" t="s">
        <v>7</v>
      </c>
      <c r="G215" s="14"/>
      <c r="H215" s="15" t="s">
        <v>8</v>
      </c>
      <c r="I215" s="15"/>
      <c r="J215" s="15"/>
      <c r="K215" s="11" t="s">
        <v>5</v>
      </c>
      <c r="L215" s="12" t="s">
        <v>6</v>
      </c>
      <c r="M215" s="13" t="s">
        <v>7</v>
      </c>
      <c r="N215" s="4"/>
      <c r="O215" s="52"/>
      <c r="P215" s="52"/>
      <c r="Q215" s="52"/>
      <c r="R215" s="52"/>
      <c r="S215" s="52"/>
      <c r="T215" s="52"/>
      <c r="U215" s="52"/>
      <c r="V215" s="52"/>
      <c r="W215" s="52"/>
      <c r="X215" s="52"/>
      <c r="Y215" s="52"/>
      <c r="Z215" s="52"/>
      <c r="AA215" s="52"/>
      <c r="AB215" s="52"/>
    </row>
    <row r="216" customFormat="false" ht="15.75" hidden="false" customHeight="false" outlineLevel="0" collapsed="false">
      <c r="A216" s="23" t="str">
        <f aca="false">BTB!$G$1</f>
        <v>Battlin Brelooms</v>
      </c>
      <c r="B216" s="23"/>
      <c r="C216" s="23"/>
      <c r="D216" s="19"/>
      <c r="E216" s="20"/>
      <c r="F216" s="21" t="str">
        <f aca="false">IF(A223="WIN","W",IF(A223="LOSE","L",""))</f>
        <v>W</v>
      </c>
      <c r="G216" s="22"/>
      <c r="H216" s="23" t="str">
        <f aca="false">BBG!$G$1</f>
        <v>Berlin Bronzong</v>
      </c>
      <c r="I216" s="23"/>
      <c r="J216" s="23"/>
      <c r="K216" s="19"/>
      <c r="L216" s="20"/>
      <c r="M216" s="21" t="str">
        <f aca="false">IF(H223="WIN","W",IF(H223="LOSE","L",""))</f>
        <v>L</v>
      </c>
      <c r="N216" s="4"/>
      <c r="O216" s="53"/>
      <c r="P216" s="53"/>
      <c r="Q216" s="53"/>
      <c r="R216" s="53"/>
      <c r="S216" s="53"/>
      <c r="T216" s="53"/>
      <c r="U216" s="53"/>
      <c r="V216" s="53"/>
      <c r="W216" s="53"/>
      <c r="X216" s="53"/>
      <c r="Y216" s="53"/>
      <c r="Z216" s="53"/>
      <c r="AA216" s="53"/>
      <c r="AB216" s="53"/>
    </row>
    <row r="217" customFormat="false" ht="15.75" hidden="false" customHeight="false" outlineLevel="0" collapsed="false">
      <c r="A217" s="56"/>
      <c r="B217" s="56"/>
      <c r="C217" s="56"/>
      <c r="D217" s="26"/>
      <c r="E217" s="27"/>
      <c r="F217" s="28" t="n">
        <f aca="false">IF(A223="WIN",1,0)</f>
        <v>1</v>
      </c>
      <c r="G217" s="29"/>
      <c r="H217" s="56"/>
      <c r="I217" s="56"/>
      <c r="J217" s="56"/>
      <c r="K217" s="26"/>
      <c r="L217" s="27"/>
      <c r="M217" s="28" t="n">
        <f aca="false">IF(H223="WIN",1,0)</f>
        <v>0</v>
      </c>
      <c r="N217" s="4"/>
      <c r="O217" s="51"/>
      <c r="P217" s="51"/>
      <c r="Q217" s="51"/>
      <c r="R217" s="51"/>
      <c r="S217" s="51"/>
      <c r="T217" s="51"/>
      <c r="U217" s="51"/>
      <c r="V217" s="51"/>
      <c r="W217" s="51"/>
      <c r="X217" s="51"/>
      <c r="Y217" s="51"/>
      <c r="Z217" s="51"/>
      <c r="AA217" s="51"/>
      <c r="AB217" s="51"/>
    </row>
    <row r="218" customFormat="false" ht="15.75" hidden="false" customHeight="false" outlineLevel="0" collapsed="false">
      <c r="A218" s="25"/>
      <c r="B218" s="25"/>
      <c r="C218" s="25"/>
      <c r="D218" s="26"/>
      <c r="E218" s="27"/>
      <c r="F218" s="28" t="n">
        <f aca="false">IF(A223="WIN",1,0)</f>
        <v>1</v>
      </c>
      <c r="G218" s="29"/>
      <c r="H218" s="25"/>
      <c r="I218" s="25"/>
      <c r="J218" s="25"/>
      <c r="K218" s="26"/>
      <c r="L218" s="27"/>
      <c r="M218" s="28" t="n">
        <f aca="false">IF(H223="WIN",1,0)</f>
        <v>0</v>
      </c>
      <c r="N218" s="4"/>
      <c r="O218" s="51"/>
      <c r="P218" s="51"/>
      <c r="Q218" s="51"/>
      <c r="R218" s="51"/>
      <c r="S218" s="51"/>
      <c r="T218" s="51"/>
      <c r="U218" s="51"/>
      <c r="V218" s="51"/>
      <c r="W218" s="51"/>
      <c r="X218" s="51"/>
      <c r="Y218" s="51"/>
      <c r="Z218" s="51"/>
      <c r="AA218" s="51"/>
      <c r="AB218" s="51"/>
    </row>
    <row r="219" customFormat="false" ht="15.75" hidden="false" customHeight="false" outlineLevel="0" collapsed="false">
      <c r="A219" s="25"/>
      <c r="B219" s="25"/>
      <c r="C219" s="25"/>
      <c r="D219" s="26"/>
      <c r="E219" s="27"/>
      <c r="F219" s="28" t="n">
        <f aca="false">IF(A223="WIN",1,0)</f>
        <v>1</v>
      </c>
      <c r="G219" s="29"/>
      <c r="H219" s="25"/>
      <c r="I219" s="25"/>
      <c r="J219" s="25"/>
      <c r="K219" s="26"/>
      <c r="L219" s="27"/>
      <c r="M219" s="28" t="n">
        <f aca="false">IF(H223="WIN",1,0)</f>
        <v>0</v>
      </c>
      <c r="N219" s="4"/>
      <c r="O219" s="51"/>
      <c r="P219" s="51"/>
      <c r="Q219" s="51"/>
      <c r="R219" s="51"/>
      <c r="S219" s="51"/>
      <c r="T219" s="51"/>
      <c r="U219" s="51"/>
      <c r="V219" s="51"/>
      <c r="W219" s="51"/>
      <c r="X219" s="51"/>
      <c r="Y219" s="51"/>
      <c r="Z219" s="51"/>
      <c r="AA219" s="51"/>
      <c r="AB219" s="51"/>
    </row>
    <row r="220" customFormat="false" ht="15.75" hidden="false" customHeight="false" outlineLevel="0" collapsed="false">
      <c r="A220" s="25"/>
      <c r="B220" s="25"/>
      <c r="C220" s="25"/>
      <c r="D220" s="26"/>
      <c r="E220" s="27"/>
      <c r="F220" s="28" t="n">
        <f aca="false">IF(A223="WIN",1,0)</f>
        <v>1</v>
      </c>
      <c r="G220" s="29"/>
      <c r="H220" s="25"/>
      <c r="I220" s="25"/>
      <c r="J220" s="25"/>
      <c r="K220" s="26"/>
      <c r="L220" s="27"/>
      <c r="M220" s="28" t="n">
        <f aca="false">IF(H223="WIN",1,0)</f>
        <v>0</v>
      </c>
      <c r="N220" s="4"/>
      <c r="O220" s="51"/>
      <c r="P220" s="51"/>
      <c r="Q220" s="51"/>
      <c r="R220" s="51"/>
      <c r="S220" s="51"/>
      <c r="T220" s="51"/>
      <c r="U220" s="51"/>
      <c r="V220" s="51"/>
      <c r="W220" s="51"/>
      <c r="X220" s="51"/>
      <c r="Y220" s="51"/>
      <c r="Z220" s="51"/>
      <c r="AA220" s="51"/>
      <c r="AB220" s="51"/>
    </row>
    <row r="221" customFormat="false" ht="15.75" hidden="false" customHeight="false" outlineLevel="0" collapsed="false">
      <c r="A221" s="25"/>
      <c r="B221" s="25"/>
      <c r="C221" s="25"/>
      <c r="D221" s="26"/>
      <c r="E221" s="27"/>
      <c r="F221" s="28" t="n">
        <f aca="false">IF(A223="WIN",1,0)</f>
        <v>1</v>
      </c>
      <c r="G221" s="29"/>
      <c r="H221" s="25"/>
      <c r="I221" s="25"/>
      <c r="J221" s="25"/>
      <c r="K221" s="26"/>
      <c r="L221" s="27"/>
      <c r="M221" s="28" t="n">
        <f aca="false">IF(H223="WIN",1,0)</f>
        <v>0</v>
      </c>
      <c r="N221" s="4"/>
      <c r="O221" s="51"/>
      <c r="P221" s="51"/>
      <c r="Q221" s="51"/>
      <c r="R221" s="51"/>
      <c r="S221" s="51"/>
      <c r="T221" s="51"/>
      <c r="U221" s="51"/>
      <c r="V221" s="51"/>
      <c r="W221" s="51"/>
      <c r="X221" s="51"/>
      <c r="Y221" s="51"/>
      <c r="Z221" s="51"/>
      <c r="AA221" s="51"/>
      <c r="AB221" s="51"/>
    </row>
    <row r="222" customFormat="false" ht="15.75" hidden="false" customHeight="false" outlineLevel="0" collapsed="false">
      <c r="A222" s="32"/>
      <c r="B222" s="32"/>
      <c r="C222" s="32"/>
      <c r="D222" s="33"/>
      <c r="E222" s="34"/>
      <c r="F222" s="28" t="n">
        <f aca="false">IF(A223="WIN",1,0)</f>
        <v>1</v>
      </c>
      <c r="G222" s="29"/>
      <c r="H222" s="32"/>
      <c r="I222" s="32"/>
      <c r="J222" s="32"/>
      <c r="K222" s="33"/>
      <c r="L222" s="34"/>
      <c r="M222" s="28" t="n">
        <f aca="false">IF(H223="WIN",1,0)</f>
        <v>0</v>
      </c>
      <c r="N222" s="4"/>
      <c r="O222" s="51"/>
      <c r="P222" s="51"/>
      <c r="Q222" s="51"/>
      <c r="R222" s="51"/>
      <c r="S222" s="51"/>
      <c r="T222" s="51"/>
      <c r="U222" s="51"/>
      <c r="V222" s="51"/>
      <c r="W222" s="51"/>
      <c r="X222" s="51"/>
      <c r="Y222" s="51"/>
      <c r="Z222" s="51"/>
      <c r="AA222" s="51"/>
      <c r="AB222" s="51"/>
    </row>
    <row r="223" customFormat="false" ht="15.75" hidden="false" customHeight="false" outlineLevel="0" collapsed="false">
      <c r="A223" s="35" t="s">
        <v>11</v>
      </c>
      <c r="B223" s="35"/>
      <c r="C223" s="35"/>
      <c r="D223" s="36"/>
      <c r="E223" s="37"/>
      <c r="F223" s="38"/>
      <c r="G223" s="39"/>
      <c r="H223" s="35" t="s">
        <v>10</v>
      </c>
      <c r="I223" s="35"/>
      <c r="J223" s="35"/>
      <c r="K223" s="41"/>
      <c r="L223" s="37"/>
      <c r="M223" s="38"/>
      <c r="N223" s="4"/>
      <c r="O223" s="52"/>
      <c r="P223" s="52"/>
      <c r="Q223" s="52"/>
      <c r="R223" s="52"/>
      <c r="S223" s="52"/>
      <c r="T223" s="52"/>
      <c r="U223" s="52"/>
      <c r="V223" s="52"/>
      <c r="W223" s="52"/>
      <c r="X223" s="52"/>
      <c r="Y223" s="52"/>
      <c r="Z223" s="52"/>
      <c r="AA223" s="52"/>
      <c r="AB223" s="52"/>
    </row>
    <row r="224" customFormat="false" ht="17.25" hidden="false" customHeight="false" outlineLevel="0" collapsed="false">
      <c r="A224" s="6" t="s">
        <v>117</v>
      </c>
      <c r="B224" s="6"/>
      <c r="C224" s="6"/>
      <c r="D224" s="6"/>
      <c r="E224" s="6"/>
      <c r="F224" s="6"/>
      <c r="G224" s="6"/>
      <c r="H224" s="6"/>
      <c r="I224" s="6"/>
      <c r="J224" s="6"/>
      <c r="K224" s="6"/>
      <c r="L224" s="6"/>
      <c r="M224" s="6"/>
      <c r="N224" s="4"/>
      <c r="O224" s="55"/>
      <c r="P224" s="55"/>
      <c r="Q224" s="55"/>
      <c r="R224" s="55"/>
      <c r="S224" s="55"/>
      <c r="T224" s="55"/>
      <c r="U224" s="55"/>
      <c r="V224" s="55"/>
      <c r="W224" s="55"/>
      <c r="X224" s="55"/>
      <c r="Y224" s="55"/>
      <c r="Z224" s="55"/>
      <c r="AA224" s="55"/>
      <c r="AB224" s="55"/>
    </row>
    <row r="225" customFormat="false" ht="15.75" hidden="false" customHeight="false" outlineLevel="0" collapsed="false">
      <c r="A225" s="10" t="s">
        <v>4</v>
      </c>
      <c r="B225" s="10"/>
      <c r="C225" s="10"/>
      <c r="D225" s="11" t="s">
        <v>5</v>
      </c>
      <c r="E225" s="12" t="s">
        <v>6</v>
      </c>
      <c r="F225" s="13" t="s">
        <v>7</v>
      </c>
      <c r="G225" s="14"/>
      <c r="H225" s="15" t="s">
        <v>8</v>
      </c>
      <c r="I225" s="15"/>
      <c r="J225" s="15"/>
      <c r="K225" s="11" t="s">
        <v>5</v>
      </c>
      <c r="L225" s="12" t="s">
        <v>6</v>
      </c>
      <c r="M225" s="13" t="s">
        <v>7</v>
      </c>
      <c r="N225" s="4"/>
      <c r="O225" s="52"/>
      <c r="P225" s="52"/>
      <c r="Q225" s="52"/>
      <c r="R225" s="52"/>
      <c r="S225" s="52"/>
      <c r="T225" s="52"/>
      <c r="U225" s="52"/>
      <c r="V225" s="52"/>
      <c r="W225" s="52"/>
      <c r="X225" s="52"/>
      <c r="Y225" s="52"/>
      <c r="Z225" s="52"/>
      <c r="AA225" s="52"/>
      <c r="AB225" s="52"/>
    </row>
    <row r="226" customFormat="false" ht="15.75" hidden="false" customHeight="false" outlineLevel="0" collapsed="false">
      <c r="A226" s="23" t="str">
        <f aca="false">JVJ!$G$1</f>
        <v>Jacksonville Jumpluffs</v>
      </c>
      <c r="B226" s="23"/>
      <c r="C226" s="23"/>
      <c r="D226" s="19" t="n">
        <v>4</v>
      </c>
      <c r="E226" s="20" t="n">
        <v>6</v>
      </c>
      <c r="F226" s="21" t="str">
        <f aca="false">IF(A233="WIN","W",IF(A233="LOSE","L",""))</f>
        <v>L</v>
      </c>
      <c r="G226" s="22"/>
      <c r="H226" s="18" t="str">
        <f aca="false">KKS!$G$1</f>
        <v>Kingston Kecleons</v>
      </c>
      <c r="I226" s="18"/>
      <c r="J226" s="18"/>
      <c r="K226" s="19" t="n">
        <v>6</v>
      </c>
      <c r="L226" s="20" t="n">
        <v>5</v>
      </c>
      <c r="M226" s="21" t="str">
        <f aca="false">IF(H233="WIN","W",IF(H233="LOSE","L",""))</f>
        <v>W</v>
      </c>
      <c r="N226" s="4"/>
      <c r="O226" s="53"/>
      <c r="P226" s="53"/>
      <c r="Q226" s="53"/>
      <c r="R226" s="53"/>
      <c r="S226" s="53"/>
      <c r="T226" s="53"/>
      <c r="U226" s="53"/>
      <c r="V226" s="53"/>
      <c r="W226" s="53"/>
      <c r="X226" s="53"/>
      <c r="Y226" s="53"/>
      <c r="Z226" s="53"/>
      <c r="AA226" s="53"/>
      <c r="AB226" s="53"/>
    </row>
    <row r="227" customFormat="false" ht="15.75" hidden="false" customHeight="false" outlineLevel="0" collapsed="false">
      <c r="A227" s="56" t="s">
        <v>32</v>
      </c>
      <c r="B227" s="56"/>
      <c r="C227" s="56"/>
      <c r="D227" s="26" t="n">
        <v>0</v>
      </c>
      <c r="E227" s="27" t="n">
        <v>1</v>
      </c>
      <c r="F227" s="28" t="n">
        <f aca="false">IF(A233="WIN",1,0)</f>
        <v>0</v>
      </c>
      <c r="G227" s="29"/>
      <c r="H227" s="25" t="s">
        <v>85</v>
      </c>
      <c r="I227" s="25"/>
      <c r="J227" s="25"/>
      <c r="K227" s="26" t="n">
        <v>0</v>
      </c>
      <c r="L227" s="27" t="n">
        <v>1</v>
      </c>
      <c r="M227" s="28" t="n">
        <f aca="false">IF(H233="WIN",1,0)</f>
        <v>1</v>
      </c>
      <c r="N227" s="4"/>
      <c r="O227" s="51"/>
      <c r="P227" s="51"/>
      <c r="Q227" s="51"/>
      <c r="R227" s="51"/>
      <c r="S227" s="51"/>
      <c r="T227" s="51"/>
      <c r="U227" s="51"/>
      <c r="V227" s="51"/>
      <c r="W227" s="51"/>
      <c r="X227" s="51"/>
      <c r="Y227" s="51"/>
      <c r="Z227" s="51"/>
      <c r="AA227" s="51"/>
      <c r="AB227" s="51"/>
    </row>
    <row r="228" customFormat="false" ht="15.75" hidden="false" customHeight="false" outlineLevel="0" collapsed="false">
      <c r="A228" s="25" t="s">
        <v>98</v>
      </c>
      <c r="B228" s="25"/>
      <c r="C228" s="25"/>
      <c r="D228" s="26" t="n">
        <v>0</v>
      </c>
      <c r="E228" s="27" t="n">
        <v>1</v>
      </c>
      <c r="F228" s="28" t="n">
        <f aca="false">IF(A233="WIN",1,0)</f>
        <v>0</v>
      </c>
      <c r="G228" s="29"/>
      <c r="H228" s="25" t="s">
        <v>19</v>
      </c>
      <c r="I228" s="25"/>
      <c r="J228" s="25"/>
      <c r="K228" s="26" t="n">
        <v>1</v>
      </c>
      <c r="L228" s="27" t="n">
        <v>1</v>
      </c>
      <c r="M228" s="28" t="n">
        <f aca="false">IF(H233="WIN",1,0)</f>
        <v>1</v>
      </c>
      <c r="N228" s="4"/>
      <c r="O228" s="51"/>
      <c r="P228" s="51"/>
      <c r="Q228" s="51"/>
      <c r="R228" s="51"/>
      <c r="S228" s="51"/>
      <c r="T228" s="51"/>
      <c r="U228" s="51"/>
      <c r="V228" s="51"/>
      <c r="W228" s="51"/>
      <c r="X228" s="51"/>
      <c r="Y228" s="51"/>
      <c r="Z228" s="51"/>
      <c r="AA228" s="51"/>
      <c r="AB228" s="51"/>
    </row>
    <row r="229" customFormat="false" ht="15.75" hidden="false" customHeight="false" outlineLevel="0" collapsed="false">
      <c r="A229" s="25" t="s">
        <v>28</v>
      </c>
      <c r="B229" s="25"/>
      <c r="C229" s="25"/>
      <c r="D229" s="26" t="n">
        <v>1</v>
      </c>
      <c r="E229" s="27" t="n">
        <v>1</v>
      </c>
      <c r="F229" s="28" t="n">
        <f aca="false">IF(A233="WIN",1,0)</f>
        <v>0</v>
      </c>
      <c r="G229" s="29"/>
      <c r="H229" s="25" t="s">
        <v>118</v>
      </c>
      <c r="I229" s="25"/>
      <c r="J229" s="25"/>
      <c r="K229" s="26" t="n">
        <v>0</v>
      </c>
      <c r="L229" s="27" t="n">
        <v>1</v>
      </c>
      <c r="M229" s="28" t="n">
        <f aca="false">IF(H233="WIN",1,0)</f>
        <v>1</v>
      </c>
      <c r="N229" s="4"/>
      <c r="O229" s="51"/>
      <c r="P229" s="51"/>
      <c r="Q229" s="51"/>
      <c r="R229" s="51"/>
      <c r="S229" s="51"/>
      <c r="T229" s="51"/>
      <c r="U229" s="51"/>
      <c r="V229" s="51"/>
      <c r="W229" s="51"/>
      <c r="X229" s="51"/>
      <c r="Y229" s="51"/>
      <c r="Z229" s="51"/>
      <c r="AA229" s="51"/>
      <c r="AB229" s="51"/>
    </row>
    <row r="230" customFormat="false" ht="15.75" hidden="false" customHeight="false" outlineLevel="0" collapsed="false">
      <c r="A230" s="25" t="s">
        <v>106</v>
      </c>
      <c r="B230" s="25"/>
      <c r="C230" s="25"/>
      <c r="D230" s="26" t="n">
        <v>1</v>
      </c>
      <c r="E230" s="27" t="n">
        <v>1</v>
      </c>
      <c r="F230" s="28" t="n">
        <f aca="false">IF(A233="WIN",1,0)</f>
        <v>0</v>
      </c>
      <c r="G230" s="29"/>
      <c r="H230" s="25" t="s">
        <v>111</v>
      </c>
      <c r="I230" s="25"/>
      <c r="J230" s="25"/>
      <c r="K230" s="26" t="n">
        <v>0</v>
      </c>
      <c r="L230" s="27" t="n">
        <v>1</v>
      </c>
      <c r="M230" s="28" t="n">
        <f aca="false">IF(H233="WIN",1,0)</f>
        <v>1</v>
      </c>
      <c r="N230" s="4"/>
      <c r="O230" s="51"/>
      <c r="P230" s="51"/>
      <c r="Q230" s="51"/>
      <c r="R230" s="51"/>
      <c r="S230" s="51"/>
      <c r="T230" s="51"/>
      <c r="U230" s="51"/>
      <c r="V230" s="51"/>
      <c r="W230" s="51"/>
      <c r="X230" s="51"/>
      <c r="Y230" s="51"/>
      <c r="Z230" s="51"/>
      <c r="AA230" s="51"/>
      <c r="AB230" s="51"/>
    </row>
    <row r="231" customFormat="false" ht="15.75" hidden="false" customHeight="false" outlineLevel="0" collapsed="false">
      <c r="A231" s="25" t="s">
        <v>94</v>
      </c>
      <c r="B231" s="25"/>
      <c r="C231" s="25"/>
      <c r="D231" s="26" t="n">
        <v>0</v>
      </c>
      <c r="E231" s="27" t="n">
        <v>1</v>
      </c>
      <c r="F231" s="28" t="n">
        <f aca="false">IF(A233="WIN",1,0)</f>
        <v>0</v>
      </c>
      <c r="G231" s="29"/>
      <c r="H231" s="25" t="s">
        <v>87</v>
      </c>
      <c r="I231" s="25"/>
      <c r="J231" s="25"/>
      <c r="K231" s="26" t="n">
        <v>0</v>
      </c>
      <c r="L231" s="27" t="n">
        <v>1</v>
      </c>
      <c r="M231" s="28" t="n">
        <f aca="false">IF(H233="WIN",1,0)</f>
        <v>1</v>
      </c>
      <c r="N231" s="4"/>
      <c r="O231" s="51"/>
      <c r="P231" s="51"/>
      <c r="Q231" s="51"/>
      <c r="R231" s="51"/>
      <c r="S231" s="51"/>
      <c r="T231" s="51"/>
      <c r="U231" s="51"/>
      <c r="V231" s="51"/>
      <c r="W231" s="51"/>
      <c r="X231" s="51"/>
      <c r="Y231" s="51"/>
      <c r="Z231" s="51"/>
      <c r="AA231" s="51"/>
      <c r="AB231" s="51"/>
    </row>
    <row r="232" customFormat="false" ht="15.75" hidden="false" customHeight="false" outlineLevel="0" collapsed="false">
      <c r="A232" s="32" t="s">
        <v>95</v>
      </c>
      <c r="B232" s="32"/>
      <c r="C232" s="32"/>
      <c r="D232" s="33" t="n">
        <v>2</v>
      </c>
      <c r="E232" s="34" t="n">
        <v>1</v>
      </c>
      <c r="F232" s="28" t="n">
        <f aca="false">IF(A233="WIN",1,0)</f>
        <v>0</v>
      </c>
      <c r="G232" s="29"/>
      <c r="H232" s="32" t="s">
        <v>88</v>
      </c>
      <c r="I232" s="32"/>
      <c r="J232" s="32"/>
      <c r="K232" s="33" t="n">
        <v>5</v>
      </c>
      <c r="L232" s="34" t="n">
        <v>0</v>
      </c>
      <c r="M232" s="28" t="n">
        <f aca="false">IF(H233="WIN",1,0)</f>
        <v>1</v>
      </c>
      <c r="N232" s="4"/>
      <c r="O232" s="51"/>
      <c r="P232" s="51"/>
      <c r="Q232" s="51"/>
      <c r="R232" s="51"/>
      <c r="S232" s="51"/>
      <c r="T232" s="51"/>
      <c r="U232" s="51"/>
      <c r="V232" s="51"/>
      <c r="W232" s="51"/>
      <c r="X232" s="51"/>
      <c r="Y232" s="51"/>
      <c r="Z232" s="51"/>
      <c r="AA232" s="51"/>
      <c r="AB232" s="51"/>
    </row>
    <row r="233" customFormat="false" ht="15.75" hidden="false" customHeight="false" outlineLevel="0" collapsed="false">
      <c r="A233" s="35" t="s">
        <v>10</v>
      </c>
      <c r="B233" s="35"/>
      <c r="C233" s="35"/>
      <c r="D233" s="36"/>
      <c r="E233" s="37"/>
      <c r="F233" s="38"/>
      <c r="G233" s="39"/>
      <c r="H233" s="35" t="s">
        <v>11</v>
      </c>
      <c r="I233" s="35"/>
      <c r="J233" s="35"/>
      <c r="K233" s="41"/>
      <c r="L233" s="37"/>
      <c r="M233" s="38"/>
      <c r="N233" s="4"/>
      <c r="O233" s="52"/>
      <c r="P233" s="52"/>
      <c r="Q233" s="52"/>
      <c r="R233" s="52"/>
      <c r="S233" s="52"/>
      <c r="T233" s="52"/>
      <c r="U233" s="52"/>
      <c r="V233" s="52"/>
      <c r="W233" s="52"/>
      <c r="X233" s="52"/>
      <c r="Y233" s="52"/>
      <c r="Z233" s="52"/>
      <c r="AA233" s="52"/>
      <c r="AB233" s="52"/>
    </row>
    <row r="234" customFormat="false" ht="15.75" hidden="false" customHeight="false" outlineLevel="0" collapsed="false">
      <c r="A234" s="10" t="s">
        <v>4</v>
      </c>
      <c r="B234" s="10"/>
      <c r="C234" s="10"/>
      <c r="D234" s="11" t="s">
        <v>5</v>
      </c>
      <c r="E234" s="12" t="s">
        <v>6</v>
      </c>
      <c r="F234" s="13" t="s">
        <v>7</v>
      </c>
      <c r="G234" s="14"/>
      <c r="H234" s="15" t="s">
        <v>8</v>
      </c>
      <c r="I234" s="15"/>
      <c r="J234" s="15"/>
      <c r="K234" s="11" t="s">
        <v>5</v>
      </c>
      <c r="L234" s="12" t="s">
        <v>6</v>
      </c>
      <c r="M234" s="13" t="s">
        <v>7</v>
      </c>
      <c r="N234" s="4"/>
      <c r="O234" s="52"/>
      <c r="P234" s="52"/>
      <c r="Q234" s="52"/>
      <c r="R234" s="52"/>
      <c r="S234" s="52"/>
      <c r="T234" s="52"/>
      <c r="U234" s="52"/>
      <c r="V234" s="52"/>
      <c r="W234" s="52"/>
      <c r="X234" s="52"/>
      <c r="Y234" s="52"/>
      <c r="Z234" s="52"/>
      <c r="AA234" s="52"/>
      <c r="AB234" s="52"/>
    </row>
    <row r="235" customFormat="false" ht="15.75" hidden="false" customHeight="false" outlineLevel="0" collapsed="false">
      <c r="A235" s="23" t="str">
        <f aca="false">BBG!$G$1</f>
        <v>Berlin Bronzong</v>
      </c>
      <c r="B235" s="23"/>
      <c r="C235" s="23"/>
      <c r="D235" s="19" t="n">
        <v>2</v>
      </c>
      <c r="E235" s="20" t="n">
        <v>6</v>
      </c>
      <c r="F235" s="21" t="str">
        <f aca="false">IF(A242="WIN","W",IF(A242="LOSE","L",""))</f>
        <v>L</v>
      </c>
      <c r="G235" s="22"/>
      <c r="H235" s="18" t="str">
        <f aca="false">SEA!$G$1</f>
        <v>Seattle Seadras</v>
      </c>
      <c r="I235" s="18"/>
      <c r="J235" s="18"/>
      <c r="K235" s="19" t="n">
        <v>6</v>
      </c>
      <c r="L235" s="20" t="n">
        <v>2</v>
      </c>
      <c r="M235" s="21" t="str">
        <f aca="false">IF(H242="WIN","W",IF(H242="LOSE","L",""))</f>
        <v>W</v>
      </c>
      <c r="N235" s="4"/>
      <c r="O235" s="53"/>
      <c r="P235" s="53"/>
      <c r="Q235" s="53"/>
      <c r="R235" s="53"/>
      <c r="S235" s="53"/>
      <c r="T235" s="53"/>
      <c r="U235" s="53"/>
      <c r="V235" s="53"/>
      <c r="W235" s="53"/>
      <c r="X235" s="53"/>
      <c r="Y235" s="53"/>
      <c r="Z235" s="53"/>
      <c r="AA235" s="53"/>
      <c r="AB235" s="53"/>
    </row>
    <row r="236" customFormat="false" ht="15.75" hidden="false" customHeight="false" outlineLevel="0" collapsed="false">
      <c r="A236" s="56" t="s">
        <v>53</v>
      </c>
      <c r="B236" s="56"/>
      <c r="C236" s="56"/>
      <c r="D236" s="26" t="n">
        <v>1</v>
      </c>
      <c r="E236" s="27" t="n">
        <v>1</v>
      </c>
      <c r="F236" s="28" t="n">
        <f aca="false">IF(A242="WIN",1,0)</f>
        <v>0</v>
      </c>
      <c r="G236" s="29"/>
      <c r="H236" s="56" t="s">
        <v>40</v>
      </c>
      <c r="I236" s="56"/>
      <c r="J236" s="56"/>
      <c r="K236" s="26" t="n">
        <v>0</v>
      </c>
      <c r="L236" s="27" t="n">
        <v>0</v>
      </c>
      <c r="M236" s="28" t="n">
        <f aca="false">IF(H242="WIN",1,0)</f>
        <v>1</v>
      </c>
      <c r="N236" s="4"/>
      <c r="O236" s="51"/>
      <c r="P236" s="51"/>
      <c r="Q236" s="51"/>
      <c r="R236" s="51"/>
      <c r="S236" s="51"/>
      <c r="T236" s="51"/>
      <c r="U236" s="51"/>
      <c r="V236" s="51"/>
      <c r="W236" s="51"/>
      <c r="X236" s="51"/>
      <c r="Y236" s="51"/>
      <c r="Z236" s="51"/>
      <c r="AA236" s="51"/>
      <c r="AB236" s="51"/>
    </row>
    <row r="237" customFormat="false" ht="15.75" hidden="false" customHeight="false" outlineLevel="0" collapsed="false">
      <c r="A237" s="25" t="s">
        <v>99</v>
      </c>
      <c r="B237" s="25"/>
      <c r="C237" s="25"/>
      <c r="D237" s="26" t="n">
        <v>1</v>
      </c>
      <c r="E237" s="27" t="n">
        <v>1</v>
      </c>
      <c r="F237" s="28" t="n">
        <f aca="false">IF(A242="WIN",1,0)</f>
        <v>0</v>
      </c>
      <c r="G237" s="29"/>
      <c r="H237" s="25" t="s">
        <v>91</v>
      </c>
      <c r="I237" s="25"/>
      <c r="J237" s="25"/>
      <c r="K237" s="26" t="n">
        <v>0</v>
      </c>
      <c r="L237" s="27" t="n">
        <v>0</v>
      </c>
      <c r="M237" s="28" t="n">
        <f aca="false">IF(H242="WIN",1,0)</f>
        <v>1</v>
      </c>
      <c r="N237" s="4"/>
      <c r="O237" s="51"/>
      <c r="P237" s="51"/>
      <c r="Q237" s="51"/>
      <c r="R237" s="51"/>
      <c r="S237" s="51"/>
      <c r="T237" s="51"/>
      <c r="U237" s="51"/>
      <c r="V237" s="51"/>
      <c r="W237" s="51"/>
      <c r="X237" s="51"/>
      <c r="Y237" s="51"/>
      <c r="Z237" s="51"/>
      <c r="AA237" s="51"/>
      <c r="AB237" s="51"/>
    </row>
    <row r="238" customFormat="false" ht="15.75" hidden="false" customHeight="false" outlineLevel="0" collapsed="false">
      <c r="A238" s="25" t="s">
        <v>41</v>
      </c>
      <c r="B238" s="25"/>
      <c r="C238" s="25"/>
      <c r="D238" s="26" t="n">
        <v>0</v>
      </c>
      <c r="E238" s="27" t="n">
        <v>1</v>
      </c>
      <c r="F238" s="28" t="n">
        <f aca="false">IF(A242="WIN",1,0)</f>
        <v>0</v>
      </c>
      <c r="G238" s="29"/>
      <c r="H238" s="25" t="s">
        <v>46</v>
      </c>
      <c r="I238" s="25"/>
      <c r="J238" s="25"/>
      <c r="K238" s="26" t="n">
        <v>3</v>
      </c>
      <c r="L238" s="27" t="n">
        <v>0</v>
      </c>
      <c r="M238" s="28" t="n">
        <f aca="false">IF(H242="WIN",1,0)</f>
        <v>1</v>
      </c>
      <c r="N238" s="4"/>
      <c r="O238" s="51"/>
      <c r="P238" s="51"/>
      <c r="Q238" s="51"/>
      <c r="R238" s="51"/>
      <c r="S238" s="51"/>
      <c r="T238" s="51"/>
      <c r="U238" s="51"/>
      <c r="V238" s="51"/>
      <c r="W238" s="51"/>
      <c r="X238" s="51"/>
      <c r="Y238" s="51"/>
      <c r="Z238" s="51"/>
      <c r="AA238" s="51"/>
      <c r="AB238" s="51"/>
    </row>
    <row r="239" customFormat="false" ht="15.75" hidden="false" customHeight="false" outlineLevel="0" collapsed="false">
      <c r="A239" s="25" t="s">
        <v>101</v>
      </c>
      <c r="B239" s="25"/>
      <c r="C239" s="25"/>
      <c r="D239" s="26" t="n">
        <v>0</v>
      </c>
      <c r="E239" s="27" t="n">
        <v>1</v>
      </c>
      <c r="F239" s="28" t="n">
        <f aca="false">IF(A242="WIN",1,0)</f>
        <v>0</v>
      </c>
      <c r="G239" s="29"/>
      <c r="H239" s="25" t="s">
        <v>119</v>
      </c>
      <c r="I239" s="25"/>
      <c r="J239" s="25"/>
      <c r="K239" s="26" t="n">
        <v>2</v>
      </c>
      <c r="L239" s="27" t="n">
        <v>1</v>
      </c>
      <c r="M239" s="28" t="n">
        <f aca="false">IF(H242="WIN",1,0)</f>
        <v>1</v>
      </c>
      <c r="N239" s="4"/>
      <c r="O239" s="51"/>
      <c r="P239" s="51"/>
      <c r="Q239" s="51"/>
      <c r="R239" s="51"/>
      <c r="S239" s="51"/>
      <c r="T239" s="51"/>
      <c r="U239" s="51"/>
      <c r="V239" s="51"/>
      <c r="W239" s="51"/>
      <c r="X239" s="51"/>
      <c r="Y239" s="51"/>
      <c r="Z239" s="51"/>
      <c r="AA239" s="51"/>
      <c r="AB239" s="51"/>
    </row>
    <row r="240" customFormat="false" ht="15.75" hidden="false" customHeight="false" outlineLevel="0" collapsed="false">
      <c r="A240" s="25" t="s">
        <v>100</v>
      </c>
      <c r="B240" s="25"/>
      <c r="C240" s="25"/>
      <c r="D240" s="26" t="n">
        <v>0</v>
      </c>
      <c r="E240" s="27" t="n">
        <v>1</v>
      </c>
      <c r="F240" s="28" t="n">
        <f aca="false">IF(A242="WIN",1,0)</f>
        <v>0</v>
      </c>
      <c r="G240" s="29"/>
      <c r="H240" s="25" t="s">
        <v>49</v>
      </c>
      <c r="I240" s="25"/>
      <c r="J240" s="25"/>
      <c r="K240" s="26" t="n">
        <v>1</v>
      </c>
      <c r="L240" s="27" t="n">
        <v>0</v>
      </c>
      <c r="M240" s="28" t="n">
        <f aca="false">IF(H242="WIN",1,0)</f>
        <v>1</v>
      </c>
      <c r="N240" s="4"/>
      <c r="O240" s="51"/>
      <c r="P240" s="51"/>
      <c r="Q240" s="51"/>
      <c r="R240" s="51"/>
      <c r="S240" s="51"/>
      <c r="T240" s="51"/>
      <c r="U240" s="51"/>
      <c r="V240" s="51"/>
      <c r="W240" s="51"/>
      <c r="X240" s="51"/>
      <c r="Y240" s="51"/>
      <c r="Z240" s="51"/>
      <c r="AA240" s="51"/>
      <c r="AB240" s="51"/>
    </row>
    <row r="241" customFormat="false" ht="15.75" hidden="false" customHeight="false" outlineLevel="0" collapsed="false">
      <c r="A241" s="32" t="s">
        <v>120</v>
      </c>
      <c r="B241" s="32"/>
      <c r="C241" s="32"/>
      <c r="D241" s="33" t="n">
        <v>0</v>
      </c>
      <c r="E241" s="34" t="n">
        <v>1</v>
      </c>
      <c r="F241" s="28" t="n">
        <f aca="false">IF(A242="WIN",1,0)</f>
        <v>0</v>
      </c>
      <c r="G241" s="29"/>
      <c r="H241" s="32" t="s">
        <v>43</v>
      </c>
      <c r="I241" s="32"/>
      <c r="J241" s="32"/>
      <c r="K241" s="33" t="n">
        <v>0</v>
      </c>
      <c r="L241" s="34" t="n">
        <v>1</v>
      </c>
      <c r="M241" s="28" t="n">
        <f aca="false">IF(H242="WIN",1,0)</f>
        <v>1</v>
      </c>
      <c r="N241" s="4"/>
      <c r="O241" s="51"/>
      <c r="P241" s="51"/>
      <c r="Q241" s="51"/>
      <c r="R241" s="51"/>
      <c r="S241" s="51"/>
      <c r="T241" s="51"/>
      <c r="U241" s="51"/>
      <c r="V241" s="51"/>
      <c r="W241" s="51"/>
      <c r="X241" s="51"/>
      <c r="Y241" s="51"/>
      <c r="Z241" s="51"/>
      <c r="AA241" s="51"/>
      <c r="AB241" s="51"/>
    </row>
    <row r="242" customFormat="false" ht="15.75" hidden="false" customHeight="false" outlineLevel="0" collapsed="false">
      <c r="A242" s="35" t="s">
        <v>10</v>
      </c>
      <c r="B242" s="35"/>
      <c r="C242" s="35"/>
      <c r="D242" s="36"/>
      <c r="E242" s="37"/>
      <c r="F242" s="38"/>
      <c r="G242" s="39"/>
      <c r="H242" s="35" t="s">
        <v>11</v>
      </c>
      <c r="I242" s="35"/>
      <c r="J242" s="35"/>
      <c r="K242" s="41"/>
      <c r="L242" s="37"/>
      <c r="M242" s="38"/>
      <c r="N242" s="4"/>
      <c r="O242" s="52"/>
      <c r="P242" s="52"/>
      <c r="Q242" s="52"/>
      <c r="R242" s="52"/>
      <c r="S242" s="52"/>
      <c r="T242" s="52"/>
      <c r="U242" s="52"/>
      <c r="V242" s="52"/>
      <c r="W242" s="52"/>
      <c r="X242" s="52"/>
      <c r="Y242" s="52"/>
      <c r="Z242" s="52"/>
      <c r="AA242" s="52"/>
      <c r="AB242" s="52"/>
    </row>
    <row r="243" customFormat="false" ht="15.75" hidden="false" customHeight="false" outlineLevel="0" collapsed="false">
      <c r="A243" s="10" t="s">
        <v>4</v>
      </c>
      <c r="B243" s="10"/>
      <c r="C243" s="10"/>
      <c r="D243" s="11" t="s">
        <v>5</v>
      </c>
      <c r="E243" s="12" t="s">
        <v>6</v>
      </c>
      <c r="F243" s="13" t="s">
        <v>7</v>
      </c>
      <c r="G243" s="14"/>
      <c r="H243" s="15" t="s">
        <v>8</v>
      </c>
      <c r="I243" s="15"/>
      <c r="J243" s="15"/>
      <c r="K243" s="11" t="s">
        <v>5</v>
      </c>
      <c r="L243" s="12" t="s">
        <v>6</v>
      </c>
      <c r="M243" s="13" t="s">
        <v>7</v>
      </c>
      <c r="N243" s="4"/>
      <c r="O243" s="52"/>
      <c r="P243" s="52"/>
      <c r="Q243" s="52"/>
      <c r="R243" s="52"/>
      <c r="S243" s="52"/>
      <c r="T243" s="52"/>
      <c r="U243" s="52"/>
      <c r="V243" s="52"/>
      <c r="W243" s="52"/>
      <c r="X243" s="52"/>
      <c r="Y243" s="52"/>
      <c r="Z243" s="52"/>
      <c r="AA243" s="52"/>
      <c r="AB243" s="52"/>
    </row>
    <row r="244" customFormat="false" ht="15.75" hidden="false" customHeight="false" outlineLevel="0" collapsed="false">
      <c r="A244" s="18" t="str">
        <f aca="false">LVC!$G$1</f>
        <v>Louisville Crobats</v>
      </c>
      <c r="B244" s="18"/>
      <c r="C244" s="18"/>
      <c r="D244" s="19"/>
      <c r="E244" s="20"/>
      <c r="F244" s="21" t="str">
        <f aca="false">IF(A251="WIN","W",IF(A251="LOSE","L",""))</f>
        <v>L</v>
      </c>
      <c r="G244" s="22"/>
      <c r="H244" s="57" t="str">
        <f aca="false">BTB!$G$1</f>
        <v>Battlin Brelooms</v>
      </c>
      <c r="I244" s="57"/>
      <c r="J244" s="57"/>
      <c r="K244" s="19"/>
      <c r="L244" s="20"/>
      <c r="M244" s="21" t="str">
        <f aca="false">IF(H251="WIN","W",IF(H251="LOSE","L",""))</f>
        <v>W</v>
      </c>
      <c r="N244" s="4"/>
      <c r="O244" s="53"/>
      <c r="P244" s="53"/>
      <c r="Q244" s="53"/>
      <c r="R244" s="53"/>
      <c r="S244" s="53"/>
      <c r="T244" s="53"/>
      <c r="U244" s="53"/>
      <c r="V244" s="53"/>
      <c r="W244" s="53"/>
      <c r="X244" s="53"/>
      <c r="Y244" s="53"/>
      <c r="Z244" s="53"/>
      <c r="AA244" s="53"/>
      <c r="AB244" s="53"/>
    </row>
    <row r="245" customFormat="false" ht="15.75" hidden="false" customHeight="false" outlineLevel="0" collapsed="false">
      <c r="A245" s="56"/>
      <c r="B245" s="56"/>
      <c r="C245" s="56"/>
      <c r="D245" s="26"/>
      <c r="E245" s="27"/>
      <c r="F245" s="28" t="n">
        <f aca="false">IF(A251="WIN",1,0)</f>
        <v>0</v>
      </c>
      <c r="G245" s="29"/>
      <c r="H245" s="56"/>
      <c r="I245" s="56"/>
      <c r="J245" s="56"/>
      <c r="K245" s="26"/>
      <c r="L245" s="27"/>
      <c r="M245" s="28" t="n">
        <f aca="false">IF(H251="WIN",1,0)</f>
        <v>1</v>
      </c>
      <c r="N245" s="4"/>
      <c r="O245" s="51"/>
      <c r="P245" s="51"/>
      <c r="Q245" s="51"/>
      <c r="R245" s="51"/>
      <c r="S245" s="51"/>
      <c r="T245" s="51"/>
      <c r="U245" s="51"/>
      <c r="V245" s="51"/>
      <c r="W245" s="51"/>
      <c r="X245" s="51"/>
      <c r="Y245" s="51"/>
      <c r="Z245" s="51"/>
      <c r="AA245" s="51"/>
      <c r="AB245" s="51"/>
    </row>
    <row r="246" customFormat="false" ht="15.75" hidden="false" customHeight="false" outlineLevel="0" collapsed="false">
      <c r="A246" s="25"/>
      <c r="B246" s="25"/>
      <c r="C246" s="25"/>
      <c r="D246" s="26"/>
      <c r="E246" s="27"/>
      <c r="F246" s="28" t="n">
        <f aca="false">IF(A251="WIN",1,0)</f>
        <v>0</v>
      </c>
      <c r="G246" s="29"/>
      <c r="H246" s="25"/>
      <c r="I246" s="25"/>
      <c r="J246" s="25"/>
      <c r="K246" s="26"/>
      <c r="L246" s="27"/>
      <c r="M246" s="28" t="n">
        <f aca="false">IF(H251="WIN",1,0)</f>
        <v>1</v>
      </c>
      <c r="N246" s="4"/>
      <c r="O246" s="51"/>
      <c r="P246" s="51"/>
      <c r="Q246" s="51"/>
      <c r="R246" s="51"/>
      <c r="S246" s="51"/>
      <c r="T246" s="51"/>
      <c r="U246" s="51"/>
      <c r="V246" s="51"/>
      <c r="W246" s="51"/>
      <c r="X246" s="51"/>
      <c r="Y246" s="51"/>
      <c r="Z246" s="51"/>
      <c r="AA246" s="51"/>
      <c r="AB246" s="51"/>
    </row>
    <row r="247" customFormat="false" ht="15.75" hidden="false" customHeight="false" outlineLevel="0" collapsed="false">
      <c r="A247" s="25"/>
      <c r="B247" s="25"/>
      <c r="C247" s="25"/>
      <c r="D247" s="26"/>
      <c r="E247" s="27"/>
      <c r="F247" s="28" t="n">
        <f aca="false">IF(A251="WIN",1,0)</f>
        <v>0</v>
      </c>
      <c r="G247" s="29"/>
      <c r="H247" s="25"/>
      <c r="I247" s="25"/>
      <c r="J247" s="25"/>
      <c r="K247" s="26"/>
      <c r="L247" s="27"/>
      <c r="M247" s="28" t="n">
        <f aca="false">IF(H251="WIN",1,0)</f>
        <v>1</v>
      </c>
      <c r="N247" s="4"/>
      <c r="O247" s="51"/>
      <c r="P247" s="51"/>
      <c r="Q247" s="51"/>
      <c r="R247" s="51"/>
      <c r="S247" s="51"/>
      <c r="T247" s="51"/>
      <c r="U247" s="51"/>
      <c r="V247" s="51"/>
      <c r="W247" s="51"/>
      <c r="X247" s="51"/>
      <c r="Y247" s="51"/>
      <c r="Z247" s="51"/>
      <c r="AA247" s="51"/>
      <c r="AB247" s="51"/>
    </row>
    <row r="248" customFormat="false" ht="15.75" hidden="false" customHeight="false" outlineLevel="0" collapsed="false">
      <c r="A248" s="25"/>
      <c r="B248" s="25"/>
      <c r="C248" s="25"/>
      <c r="D248" s="26"/>
      <c r="E248" s="27"/>
      <c r="F248" s="28" t="n">
        <f aca="false">IF(A251="WIN",1,0)</f>
        <v>0</v>
      </c>
      <c r="G248" s="29"/>
      <c r="H248" s="25"/>
      <c r="I248" s="25"/>
      <c r="J248" s="25"/>
      <c r="K248" s="26"/>
      <c r="L248" s="27"/>
      <c r="M248" s="28" t="n">
        <f aca="false">IF(H251="WIN",1,0)</f>
        <v>1</v>
      </c>
      <c r="N248" s="4"/>
      <c r="O248" s="51"/>
      <c r="P248" s="51"/>
      <c r="Q248" s="51"/>
      <c r="R248" s="51"/>
      <c r="S248" s="51"/>
      <c r="T248" s="51"/>
      <c r="U248" s="51"/>
      <c r="V248" s="51"/>
      <c r="W248" s="51"/>
      <c r="X248" s="51"/>
      <c r="Y248" s="51"/>
      <c r="Z248" s="51"/>
      <c r="AA248" s="51"/>
      <c r="AB248" s="51"/>
    </row>
    <row r="249" customFormat="false" ht="15.75" hidden="false" customHeight="false" outlineLevel="0" collapsed="false">
      <c r="A249" s="25"/>
      <c r="B249" s="25"/>
      <c r="C249" s="25"/>
      <c r="D249" s="26"/>
      <c r="E249" s="27"/>
      <c r="F249" s="28" t="n">
        <f aca="false">IF(A251="WIN",1,0)</f>
        <v>0</v>
      </c>
      <c r="G249" s="29"/>
      <c r="H249" s="25"/>
      <c r="I249" s="25"/>
      <c r="J249" s="25"/>
      <c r="K249" s="26"/>
      <c r="L249" s="27"/>
      <c r="M249" s="28" t="n">
        <f aca="false">IF(H251="WIN",1,0)</f>
        <v>1</v>
      </c>
      <c r="N249" s="4"/>
      <c r="O249" s="51"/>
      <c r="P249" s="51"/>
      <c r="Q249" s="51"/>
      <c r="R249" s="51"/>
      <c r="S249" s="51"/>
      <c r="T249" s="51"/>
      <c r="U249" s="51"/>
      <c r="V249" s="51"/>
      <c r="W249" s="51"/>
      <c r="X249" s="51"/>
      <c r="Y249" s="51"/>
      <c r="Z249" s="51"/>
      <c r="AA249" s="51"/>
      <c r="AB249" s="51"/>
    </row>
    <row r="250" customFormat="false" ht="15.75" hidden="false" customHeight="false" outlineLevel="0" collapsed="false">
      <c r="A250" s="32"/>
      <c r="B250" s="32"/>
      <c r="C250" s="32"/>
      <c r="D250" s="33"/>
      <c r="E250" s="34"/>
      <c r="F250" s="28" t="n">
        <f aca="false">IF(A251="WIN",1,0)</f>
        <v>0</v>
      </c>
      <c r="G250" s="29"/>
      <c r="H250" s="32"/>
      <c r="I250" s="32"/>
      <c r="J250" s="32"/>
      <c r="K250" s="33"/>
      <c r="L250" s="34"/>
      <c r="M250" s="28" t="n">
        <f aca="false">IF(H251="WIN",1,0)</f>
        <v>1</v>
      </c>
      <c r="N250" s="4"/>
      <c r="O250" s="51"/>
      <c r="P250" s="51"/>
      <c r="Q250" s="51"/>
      <c r="R250" s="51"/>
      <c r="S250" s="51"/>
      <c r="T250" s="51"/>
      <c r="U250" s="51"/>
      <c r="V250" s="51"/>
      <c r="W250" s="51"/>
      <c r="X250" s="51"/>
      <c r="Y250" s="51"/>
      <c r="Z250" s="51"/>
      <c r="AA250" s="51"/>
      <c r="AB250" s="51"/>
    </row>
    <row r="251" customFormat="false" ht="15.75" hidden="false" customHeight="false" outlineLevel="0" collapsed="false">
      <c r="A251" s="35" t="s">
        <v>10</v>
      </c>
      <c r="B251" s="35"/>
      <c r="C251" s="35"/>
      <c r="D251" s="36"/>
      <c r="E251" s="37"/>
      <c r="F251" s="38"/>
      <c r="G251" s="39"/>
      <c r="H251" s="35" t="s">
        <v>11</v>
      </c>
      <c r="I251" s="35"/>
      <c r="J251" s="35"/>
      <c r="K251" s="41"/>
      <c r="L251" s="37"/>
      <c r="M251" s="38"/>
      <c r="N251" s="4"/>
      <c r="O251" s="52"/>
      <c r="P251" s="52"/>
      <c r="Q251" s="52"/>
      <c r="R251" s="52"/>
      <c r="S251" s="52"/>
      <c r="T251" s="52"/>
      <c r="U251" s="52"/>
      <c r="V251" s="52"/>
      <c r="W251" s="52"/>
      <c r="X251" s="52"/>
      <c r="Y251" s="52"/>
      <c r="Z251" s="52"/>
      <c r="AA251" s="52"/>
      <c r="AB251" s="52"/>
    </row>
    <row r="252" customFormat="false" ht="15.75" hidden="false" customHeight="false" outlineLevel="0" collapsed="false">
      <c r="A252" s="10" t="s">
        <v>4</v>
      </c>
      <c r="B252" s="10"/>
      <c r="C252" s="10"/>
      <c r="D252" s="11" t="s">
        <v>5</v>
      </c>
      <c r="E252" s="12" t="s">
        <v>6</v>
      </c>
      <c r="F252" s="13" t="s">
        <v>7</v>
      </c>
      <c r="G252" s="14"/>
      <c r="H252" s="15" t="s">
        <v>8</v>
      </c>
      <c r="I252" s="15"/>
      <c r="J252" s="15"/>
      <c r="K252" s="11" t="s">
        <v>5</v>
      </c>
      <c r="L252" s="12" t="s">
        <v>6</v>
      </c>
      <c r="M252" s="13" t="s">
        <v>7</v>
      </c>
      <c r="N252" s="4"/>
      <c r="O252" s="52"/>
      <c r="P252" s="52"/>
      <c r="Q252" s="52"/>
      <c r="R252" s="52"/>
      <c r="S252" s="52"/>
      <c r="T252" s="52"/>
      <c r="U252" s="52"/>
      <c r="V252" s="52"/>
      <c r="W252" s="52"/>
      <c r="X252" s="52"/>
      <c r="Y252" s="52"/>
      <c r="Z252" s="52"/>
      <c r="AA252" s="52"/>
      <c r="AB252" s="52"/>
    </row>
    <row r="253" customFormat="false" ht="15.75" hidden="false" customHeight="false" outlineLevel="0" collapsed="false">
      <c r="A253" s="57" t="str">
        <f aca="false">FTT!$G$1</f>
        <v>Fortree Trevenants</v>
      </c>
      <c r="B253" s="57"/>
      <c r="C253" s="57"/>
      <c r="D253" s="19"/>
      <c r="E253" s="20"/>
      <c r="F253" s="21" t="str">
        <f aca="false">IF(A260="WIN","W",IF(A260="LOSE","L",""))</f>
        <v/>
      </c>
      <c r="G253" s="22"/>
      <c r="H253" s="18" t="str">
        <f aca="false">SGP!$G$1</f>
        <v>Slung Patrol</v>
      </c>
      <c r="I253" s="18"/>
      <c r="J253" s="18"/>
      <c r="K253" s="19"/>
      <c r="L253" s="20"/>
      <c r="M253" s="21" t="str">
        <f aca="false">IF(H260="WIN","W",IF(H260="LOSE","L",""))</f>
        <v/>
      </c>
      <c r="N253" s="4"/>
      <c r="O253" s="53"/>
      <c r="P253" s="53"/>
      <c r="Q253" s="53"/>
      <c r="R253" s="53"/>
      <c r="S253" s="53"/>
      <c r="T253" s="53"/>
      <c r="U253" s="53"/>
      <c r="V253" s="53"/>
      <c r="W253" s="53"/>
      <c r="X253" s="53"/>
      <c r="Y253" s="53"/>
      <c r="Z253" s="53"/>
      <c r="AA253" s="53"/>
      <c r="AB253" s="53"/>
    </row>
    <row r="254" customFormat="false" ht="15.75" hidden="false" customHeight="false" outlineLevel="0" collapsed="false">
      <c r="A254" s="56"/>
      <c r="B254" s="56"/>
      <c r="C254" s="56"/>
      <c r="D254" s="26"/>
      <c r="E254" s="27"/>
      <c r="F254" s="28" t="n">
        <f aca="false">IF(A260="WIN",1,0)</f>
        <v>0</v>
      </c>
      <c r="G254" s="29"/>
      <c r="H254" s="56"/>
      <c r="I254" s="56"/>
      <c r="J254" s="56"/>
      <c r="K254" s="26"/>
      <c r="L254" s="27"/>
      <c r="M254" s="28" t="n">
        <f aca="false">IF(H260="WIN",1,0)</f>
        <v>0</v>
      </c>
      <c r="N254" s="4"/>
      <c r="O254" s="51"/>
      <c r="P254" s="51"/>
      <c r="Q254" s="51"/>
      <c r="R254" s="51"/>
      <c r="S254" s="51"/>
      <c r="T254" s="51"/>
      <c r="U254" s="51"/>
      <c r="V254" s="51"/>
      <c r="W254" s="51"/>
      <c r="X254" s="51"/>
      <c r="Y254" s="51"/>
      <c r="Z254" s="51"/>
      <c r="AA254" s="51"/>
      <c r="AB254" s="51"/>
    </row>
    <row r="255" customFormat="false" ht="15.75" hidden="false" customHeight="false" outlineLevel="0" collapsed="false">
      <c r="A255" s="25"/>
      <c r="B255" s="25"/>
      <c r="C255" s="25"/>
      <c r="D255" s="26"/>
      <c r="E255" s="27"/>
      <c r="F255" s="28" t="n">
        <f aca="false">IF(A260="WIN",1,0)</f>
        <v>0</v>
      </c>
      <c r="G255" s="29"/>
      <c r="H255" s="25"/>
      <c r="I255" s="25"/>
      <c r="J255" s="25"/>
      <c r="K255" s="26"/>
      <c r="L255" s="27"/>
      <c r="M255" s="28" t="n">
        <f aca="false">IF(H260="WIN",1,0)</f>
        <v>0</v>
      </c>
      <c r="N255" s="4"/>
      <c r="O255" s="51"/>
      <c r="P255" s="51"/>
      <c r="Q255" s="51"/>
      <c r="R255" s="51"/>
      <c r="S255" s="51"/>
      <c r="T255" s="51"/>
      <c r="U255" s="51"/>
      <c r="V255" s="51"/>
      <c r="W255" s="51"/>
      <c r="X255" s="51"/>
      <c r="Y255" s="51"/>
      <c r="Z255" s="51"/>
      <c r="AA255" s="51"/>
      <c r="AB255" s="51"/>
    </row>
    <row r="256" customFormat="false" ht="15.75" hidden="false" customHeight="false" outlineLevel="0" collapsed="false">
      <c r="A256" s="25"/>
      <c r="B256" s="25"/>
      <c r="C256" s="25"/>
      <c r="D256" s="26"/>
      <c r="E256" s="27"/>
      <c r="F256" s="28" t="n">
        <f aca="false">IF(A260="WIN",1,0)</f>
        <v>0</v>
      </c>
      <c r="G256" s="29"/>
      <c r="H256" s="25"/>
      <c r="I256" s="25"/>
      <c r="J256" s="25"/>
      <c r="K256" s="26"/>
      <c r="L256" s="27"/>
      <c r="M256" s="28" t="n">
        <f aca="false">IF(H260="WIN",1,0)</f>
        <v>0</v>
      </c>
      <c r="N256" s="4"/>
      <c r="O256" s="51"/>
      <c r="P256" s="51"/>
      <c r="Q256" s="51"/>
      <c r="R256" s="51"/>
      <c r="S256" s="51"/>
      <c r="T256" s="51"/>
      <c r="U256" s="51"/>
      <c r="V256" s="51"/>
      <c r="W256" s="51"/>
      <c r="X256" s="51"/>
      <c r="Y256" s="51"/>
      <c r="Z256" s="51"/>
      <c r="AA256" s="51"/>
      <c r="AB256" s="51"/>
    </row>
    <row r="257" customFormat="false" ht="15.75" hidden="false" customHeight="false" outlineLevel="0" collapsed="false">
      <c r="A257" s="25"/>
      <c r="B257" s="25"/>
      <c r="C257" s="25"/>
      <c r="D257" s="26"/>
      <c r="E257" s="27"/>
      <c r="F257" s="28" t="n">
        <f aca="false">IF(A260="WIN",1,0)</f>
        <v>0</v>
      </c>
      <c r="G257" s="29"/>
      <c r="H257" s="25"/>
      <c r="I257" s="25"/>
      <c r="J257" s="25"/>
      <c r="K257" s="26"/>
      <c r="L257" s="27"/>
      <c r="M257" s="28" t="n">
        <f aca="false">IF(H260="WIN",1,0)</f>
        <v>0</v>
      </c>
      <c r="N257" s="4"/>
      <c r="O257" s="51"/>
      <c r="P257" s="51"/>
      <c r="Q257" s="51"/>
      <c r="R257" s="51"/>
      <c r="S257" s="51"/>
      <c r="T257" s="51"/>
      <c r="U257" s="51"/>
      <c r="V257" s="51"/>
      <c r="W257" s="51"/>
      <c r="X257" s="51"/>
      <c r="Y257" s="51"/>
      <c r="Z257" s="51"/>
      <c r="AA257" s="51"/>
      <c r="AB257" s="51"/>
    </row>
    <row r="258" customFormat="false" ht="15.75" hidden="false" customHeight="false" outlineLevel="0" collapsed="false">
      <c r="A258" s="25"/>
      <c r="B258" s="25"/>
      <c r="C258" s="25"/>
      <c r="D258" s="26"/>
      <c r="E258" s="27"/>
      <c r="F258" s="28" t="n">
        <f aca="false">IF(A260="WIN",1,0)</f>
        <v>0</v>
      </c>
      <c r="G258" s="29"/>
      <c r="H258" s="25"/>
      <c r="I258" s="25"/>
      <c r="J258" s="25"/>
      <c r="K258" s="26"/>
      <c r="L258" s="27"/>
      <c r="M258" s="28" t="n">
        <f aca="false">IF(H260="WIN",1,0)</f>
        <v>0</v>
      </c>
      <c r="N258" s="4"/>
      <c r="O258" s="51"/>
      <c r="P258" s="51"/>
      <c r="Q258" s="51"/>
      <c r="R258" s="51"/>
      <c r="S258" s="51"/>
      <c r="T258" s="51"/>
      <c r="U258" s="51"/>
      <c r="V258" s="51"/>
      <c r="W258" s="51"/>
      <c r="X258" s="51"/>
      <c r="Y258" s="51"/>
      <c r="Z258" s="51"/>
      <c r="AA258" s="51"/>
      <c r="AB258" s="51"/>
    </row>
    <row r="259" customFormat="false" ht="15.75" hidden="false" customHeight="false" outlineLevel="0" collapsed="false">
      <c r="A259" s="32"/>
      <c r="B259" s="32"/>
      <c r="C259" s="32"/>
      <c r="D259" s="33"/>
      <c r="E259" s="34"/>
      <c r="F259" s="28" t="n">
        <f aca="false">IF(A260="WIN",1,0)</f>
        <v>0</v>
      </c>
      <c r="G259" s="29"/>
      <c r="H259" s="32"/>
      <c r="I259" s="32"/>
      <c r="J259" s="32"/>
      <c r="K259" s="33"/>
      <c r="L259" s="34"/>
      <c r="M259" s="28" t="n">
        <f aca="false">IF(H260="WIN",1,0)</f>
        <v>0</v>
      </c>
      <c r="N259" s="4"/>
      <c r="O259" s="51"/>
      <c r="P259" s="51"/>
      <c r="Q259" s="51"/>
      <c r="R259" s="51"/>
      <c r="S259" s="51"/>
      <c r="T259" s="51"/>
      <c r="U259" s="51"/>
      <c r="V259" s="51"/>
      <c r="W259" s="51"/>
      <c r="X259" s="51"/>
      <c r="Y259" s="51"/>
      <c r="Z259" s="51"/>
      <c r="AA259" s="51"/>
      <c r="AB259" s="51"/>
    </row>
    <row r="260" customFormat="false" ht="15.75" hidden="false" customHeight="false" outlineLevel="0" collapsed="false">
      <c r="A260" s="35" t="s">
        <v>30</v>
      </c>
      <c r="B260" s="35"/>
      <c r="C260" s="35"/>
      <c r="D260" s="36"/>
      <c r="E260" s="37"/>
      <c r="F260" s="38"/>
      <c r="G260" s="39"/>
      <c r="H260" s="35" t="s">
        <v>30</v>
      </c>
      <c r="I260" s="35"/>
      <c r="J260" s="35"/>
      <c r="K260" s="41"/>
      <c r="L260" s="37"/>
      <c r="M260" s="38"/>
      <c r="N260" s="4"/>
      <c r="O260" s="52"/>
      <c r="P260" s="52"/>
      <c r="Q260" s="52"/>
      <c r="R260" s="52"/>
      <c r="S260" s="52"/>
      <c r="T260" s="52"/>
      <c r="U260" s="52"/>
      <c r="V260" s="52"/>
      <c r="W260" s="52"/>
      <c r="X260" s="52"/>
      <c r="Y260" s="52"/>
      <c r="Z260" s="52"/>
      <c r="AA260" s="52"/>
      <c r="AB260" s="52"/>
    </row>
    <row r="261" customFormat="false" ht="17.25" hidden="false" customHeight="false" outlineLevel="0" collapsed="false">
      <c r="A261" s="58" t="s">
        <v>121</v>
      </c>
      <c r="B261" s="58"/>
      <c r="C261" s="58"/>
      <c r="D261" s="58"/>
      <c r="E261" s="58"/>
      <c r="F261" s="58"/>
      <c r="G261" s="58"/>
      <c r="H261" s="58"/>
      <c r="I261" s="58"/>
      <c r="J261" s="58"/>
      <c r="K261" s="58"/>
      <c r="L261" s="58"/>
      <c r="M261" s="58"/>
      <c r="N261" s="4"/>
      <c r="O261" s="55"/>
      <c r="P261" s="55"/>
      <c r="Q261" s="55"/>
      <c r="R261" s="55"/>
      <c r="S261" s="55"/>
      <c r="T261" s="55"/>
      <c r="U261" s="55"/>
      <c r="V261" s="55"/>
      <c r="W261" s="55"/>
      <c r="X261" s="55"/>
      <c r="Y261" s="55"/>
      <c r="Z261" s="55"/>
      <c r="AA261" s="55"/>
      <c r="AB261" s="55"/>
    </row>
    <row r="262" customFormat="false" ht="15.75" hidden="false" customHeight="false" outlineLevel="0" collapsed="false">
      <c r="A262" s="10" t="s">
        <v>4</v>
      </c>
      <c r="B262" s="10"/>
      <c r="C262" s="10"/>
      <c r="D262" s="11" t="s">
        <v>5</v>
      </c>
      <c r="E262" s="12" t="s">
        <v>6</v>
      </c>
      <c r="F262" s="13" t="s">
        <v>7</v>
      </c>
      <c r="G262" s="14"/>
      <c r="H262" s="15" t="s">
        <v>8</v>
      </c>
      <c r="I262" s="15"/>
      <c r="J262" s="15"/>
      <c r="K262" s="11" t="s">
        <v>5</v>
      </c>
      <c r="L262" s="12" t="s">
        <v>6</v>
      </c>
      <c r="M262" s="13" t="s">
        <v>7</v>
      </c>
      <c r="N262" s="4"/>
      <c r="O262" s="52"/>
      <c r="P262" s="52"/>
      <c r="Q262" s="52"/>
      <c r="R262" s="52"/>
      <c r="S262" s="52"/>
      <c r="T262" s="52"/>
      <c r="U262" s="52"/>
      <c r="V262" s="52"/>
      <c r="W262" s="52"/>
      <c r="X262" s="52"/>
      <c r="Y262" s="52"/>
      <c r="Z262" s="52"/>
      <c r="AA262" s="52"/>
      <c r="AB262" s="52"/>
    </row>
    <row r="263" customFormat="false" ht="15.75" hidden="false" customHeight="false" outlineLevel="0" collapsed="false">
      <c r="A263" s="18" t="str">
        <f aca="false">KKS!$G$1</f>
        <v>Kingston Kecleons</v>
      </c>
      <c r="B263" s="18"/>
      <c r="C263" s="18"/>
      <c r="D263" s="19" t="n">
        <v>6</v>
      </c>
      <c r="E263" s="20" t="n">
        <v>1</v>
      </c>
      <c r="F263" s="21" t="str">
        <f aca="false">IF(A270="WIN","W",IF(A270="LOSE","L",""))</f>
        <v>W</v>
      </c>
      <c r="G263" s="22"/>
      <c r="H263" s="57" t="str">
        <f aca="false">BTB!$G$1</f>
        <v>Battlin Brelooms</v>
      </c>
      <c r="I263" s="57"/>
      <c r="J263" s="57"/>
      <c r="K263" s="19" t="n">
        <v>1</v>
      </c>
      <c r="L263" s="20" t="n">
        <v>6</v>
      </c>
      <c r="M263" s="21" t="str">
        <f aca="false">IF(H270="WIN","W",IF(H270="LOSE","L",""))</f>
        <v>L</v>
      </c>
      <c r="N263" s="4"/>
      <c r="O263" s="53"/>
      <c r="P263" s="53"/>
      <c r="Q263" s="53"/>
      <c r="R263" s="53"/>
      <c r="S263" s="53"/>
      <c r="T263" s="53"/>
      <c r="U263" s="53"/>
      <c r="V263" s="53"/>
      <c r="W263" s="53"/>
      <c r="X263" s="53"/>
      <c r="Y263" s="53"/>
      <c r="Z263" s="53"/>
      <c r="AA263" s="53"/>
      <c r="AB263" s="53"/>
    </row>
    <row r="264" customFormat="false" ht="15.75" hidden="false" customHeight="false" outlineLevel="0" collapsed="false">
      <c r="A264" s="25" t="s">
        <v>85</v>
      </c>
      <c r="B264" s="25"/>
      <c r="C264" s="25"/>
      <c r="D264" s="26" t="n">
        <v>1</v>
      </c>
      <c r="E264" s="27" t="n">
        <v>0</v>
      </c>
      <c r="F264" s="28" t="n">
        <f aca="false">IF(A270="WIN",1,0)</f>
        <v>1</v>
      </c>
      <c r="G264" s="29"/>
      <c r="H264" s="56" t="s">
        <v>58</v>
      </c>
      <c r="I264" s="56"/>
      <c r="J264" s="56"/>
      <c r="K264" s="26" t="n">
        <v>1</v>
      </c>
      <c r="L264" s="27" t="n">
        <v>1</v>
      </c>
      <c r="M264" s="28" t="n">
        <f aca="false">IF(H270="WIN",1,0)</f>
        <v>0</v>
      </c>
      <c r="N264" s="4"/>
      <c r="O264" s="51"/>
      <c r="P264" s="51"/>
      <c r="Q264" s="51"/>
      <c r="R264" s="51"/>
      <c r="S264" s="51"/>
      <c r="T264" s="51"/>
      <c r="U264" s="51"/>
      <c r="V264" s="51"/>
      <c r="W264" s="51"/>
      <c r="X264" s="51"/>
      <c r="Y264" s="51"/>
      <c r="Z264" s="51"/>
      <c r="AA264" s="51"/>
      <c r="AB264" s="51"/>
    </row>
    <row r="265" customFormat="false" ht="15.75" hidden="false" customHeight="false" outlineLevel="0" collapsed="false">
      <c r="A265" s="25" t="s">
        <v>16</v>
      </c>
      <c r="B265" s="25"/>
      <c r="C265" s="25"/>
      <c r="D265" s="26" t="n">
        <v>2</v>
      </c>
      <c r="E265" s="27" t="n">
        <v>0</v>
      </c>
      <c r="F265" s="28" t="n">
        <f aca="false">IF(A270="WIN",1,0)</f>
        <v>1</v>
      </c>
      <c r="G265" s="29"/>
      <c r="H265" s="25" t="s">
        <v>67</v>
      </c>
      <c r="I265" s="25"/>
      <c r="J265" s="25"/>
      <c r="K265" s="26" t="n">
        <v>0</v>
      </c>
      <c r="L265" s="27" t="n">
        <v>1</v>
      </c>
      <c r="M265" s="28" t="n">
        <f aca="false">IF(H270="WIN",1,0)</f>
        <v>0</v>
      </c>
      <c r="N265" s="4"/>
      <c r="O265" s="51"/>
      <c r="P265" s="51"/>
      <c r="Q265" s="51"/>
      <c r="R265" s="51"/>
      <c r="S265" s="51"/>
      <c r="T265" s="51"/>
      <c r="U265" s="51"/>
      <c r="V265" s="51"/>
      <c r="W265" s="51"/>
      <c r="X265" s="51"/>
      <c r="Y265" s="51"/>
      <c r="Z265" s="51"/>
      <c r="AA265" s="51"/>
      <c r="AB265" s="51"/>
    </row>
    <row r="266" customFormat="false" ht="15.75" hidden="false" customHeight="false" outlineLevel="0" collapsed="false">
      <c r="A266" s="25" t="s">
        <v>19</v>
      </c>
      <c r="B266" s="25"/>
      <c r="C266" s="25"/>
      <c r="D266" s="26" t="n">
        <v>0</v>
      </c>
      <c r="E266" s="27" t="n">
        <v>1</v>
      </c>
      <c r="F266" s="28" t="n">
        <f aca="false">IF(A270="WIN",1,0)</f>
        <v>1</v>
      </c>
      <c r="G266" s="29"/>
      <c r="H266" s="25" t="s">
        <v>65</v>
      </c>
      <c r="I266" s="25"/>
      <c r="J266" s="25"/>
      <c r="K266" s="26" t="n">
        <v>0</v>
      </c>
      <c r="L266" s="27" t="n">
        <v>1</v>
      </c>
      <c r="M266" s="28" t="n">
        <f aca="false">IF(H270="WIN",1,0)</f>
        <v>0</v>
      </c>
      <c r="N266" s="4"/>
      <c r="O266" s="51"/>
      <c r="P266" s="51"/>
      <c r="Q266" s="51"/>
      <c r="R266" s="51"/>
      <c r="S266" s="51"/>
      <c r="T266" s="51"/>
      <c r="U266" s="51"/>
      <c r="V266" s="51"/>
      <c r="W266" s="51"/>
      <c r="X266" s="51"/>
      <c r="Y266" s="51"/>
      <c r="Z266" s="51"/>
      <c r="AA266" s="51"/>
      <c r="AB266" s="51"/>
    </row>
    <row r="267" customFormat="false" ht="15.75" hidden="false" customHeight="false" outlineLevel="0" collapsed="false">
      <c r="A267" s="25" t="s">
        <v>103</v>
      </c>
      <c r="B267" s="25"/>
      <c r="C267" s="25"/>
      <c r="D267" s="26" t="n">
        <v>0</v>
      </c>
      <c r="E267" s="27" t="n">
        <v>0</v>
      </c>
      <c r="F267" s="28" t="n">
        <f aca="false">IF(A270="WIN",1,0)</f>
        <v>1</v>
      </c>
      <c r="G267" s="29"/>
      <c r="H267" s="25" t="s">
        <v>63</v>
      </c>
      <c r="I267" s="25"/>
      <c r="J267" s="25"/>
      <c r="K267" s="26" t="n">
        <v>0</v>
      </c>
      <c r="L267" s="27" t="n">
        <v>1</v>
      </c>
      <c r="M267" s="28" t="n">
        <f aca="false">IF(H270="WIN",1,0)</f>
        <v>0</v>
      </c>
      <c r="N267" s="4"/>
      <c r="O267" s="51"/>
      <c r="P267" s="51"/>
      <c r="Q267" s="51"/>
      <c r="R267" s="51"/>
      <c r="S267" s="51"/>
      <c r="T267" s="51"/>
      <c r="U267" s="51"/>
      <c r="V267" s="51"/>
      <c r="W267" s="51"/>
      <c r="X267" s="51"/>
      <c r="Y267" s="51"/>
      <c r="Z267" s="51"/>
      <c r="AA267" s="51"/>
      <c r="AB267" s="51"/>
    </row>
    <row r="268" customFormat="false" ht="15.75" hidden="false" customHeight="false" outlineLevel="0" collapsed="false">
      <c r="A268" s="25" t="s">
        <v>23</v>
      </c>
      <c r="B268" s="25"/>
      <c r="C268" s="25"/>
      <c r="D268" s="26" t="n">
        <v>2</v>
      </c>
      <c r="E268" s="27" t="n">
        <v>0</v>
      </c>
      <c r="F268" s="28" t="n">
        <f aca="false">IF(A270="WIN",1,0)</f>
        <v>1</v>
      </c>
      <c r="G268" s="29"/>
      <c r="H268" s="25" t="s">
        <v>69</v>
      </c>
      <c r="I268" s="25"/>
      <c r="J268" s="25"/>
      <c r="K268" s="26" t="n">
        <v>0</v>
      </c>
      <c r="L268" s="27" t="n">
        <v>1</v>
      </c>
      <c r="M268" s="28" t="n">
        <f aca="false">IF(H270="WIN",1,0)</f>
        <v>0</v>
      </c>
      <c r="N268" s="4"/>
      <c r="O268" s="51"/>
      <c r="P268" s="51"/>
      <c r="Q268" s="51"/>
      <c r="R268" s="51"/>
      <c r="S268" s="51"/>
      <c r="T268" s="51"/>
      <c r="U268" s="51"/>
      <c r="V268" s="51"/>
      <c r="W268" s="51"/>
      <c r="X268" s="51"/>
      <c r="Y268" s="51"/>
      <c r="Z268" s="51"/>
      <c r="AA268" s="51"/>
      <c r="AB268" s="51"/>
    </row>
    <row r="269" customFormat="false" ht="15.75" hidden="false" customHeight="false" outlineLevel="0" collapsed="false">
      <c r="A269" s="32" t="s">
        <v>122</v>
      </c>
      <c r="B269" s="32"/>
      <c r="C269" s="32"/>
      <c r="D269" s="33" t="n">
        <v>1</v>
      </c>
      <c r="E269" s="34" t="n">
        <v>1</v>
      </c>
      <c r="F269" s="28" t="n">
        <f aca="false">IF(A270="WIN",1,0)</f>
        <v>1</v>
      </c>
      <c r="G269" s="29"/>
      <c r="H269" s="32" t="s">
        <v>61</v>
      </c>
      <c r="I269" s="32"/>
      <c r="J269" s="32"/>
      <c r="K269" s="33" t="n">
        <v>0</v>
      </c>
      <c r="L269" s="34" t="n">
        <v>1</v>
      </c>
      <c r="M269" s="28" t="n">
        <f aca="false">IF(H270="WIN",1,0)</f>
        <v>0</v>
      </c>
      <c r="N269" s="4"/>
      <c r="O269" s="51"/>
      <c r="P269" s="51"/>
      <c r="Q269" s="51"/>
      <c r="R269" s="51"/>
      <c r="S269" s="51"/>
      <c r="T269" s="51"/>
      <c r="U269" s="51"/>
      <c r="V269" s="51"/>
      <c r="W269" s="51"/>
      <c r="X269" s="51"/>
      <c r="Y269" s="51"/>
      <c r="Z269" s="51"/>
      <c r="AA269" s="51"/>
      <c r="AB269" s="51"/>
    </row>
    <row r="270" customFormat="false" ht="15.75" hidden="false" customHeight="false" outlineLevel="0" collapsed="false">
      <c r="A270" s="35" t="s">
        <v>11</v>
      </c>
      <c r="B270" s="35"/>
      <c r="C270" s="35"/>
      <c r="D270" s="41"/>
      <c r="E270" s="37"/>
      <c r="F270" s="38"/>
      <c r="G270" s="39"/>
      <c r="H270" s="35" t="s">
        <v>10</v>
      </c>
      <c r="I270" s="35"/>
      <c r="J270" s="35"/>
      <c r="K270" s="41"/>
      <c r="L270" s="37"/>
      <c r="M270" s="38"/>
      <c r="N270" s="4"/>
      <c r="O270" s="52"/>
      <c r="P270" s="52"/>
      <c r="Q270" s="52"/>
      <c r="R270" s="52"/>
      <c r="S270" s="52"/>
      <c r="T270" s="52"/>
      <c r="U270" s="52"/>
      <c r="V270" s="52"/>
      <c r="W270" s="52"/>
      <c r="X270" s="52"/>
      <c r="Y270" s="52"/>
      <c r="Z270" s="52"/>
      <c r="AA270" s="52"/>
      <c r="AB270" s="52"/>
    </row>
    <row r="271" customFormat="false" ht="15.75" hidden="false" customHeight="false" outlineLevel="0" collapsed="false">
      <c r="A271" s="10" t="s">
        <v>4</v>
      </c>
      <c r="B271" s="10"/>
      <c r="C271" s="10"/>
      <c r="D271" s="11" t="s">
        <v>5</v>
      </c>
      <c r="E271" s="12" t="s">
        <v>6</v>
      </c>
      <c r="F271" s="13" t="s">
        <v>7</v>
      </c>
      <c r="G271" s="14"/>
      <c r="H271" s="15" t="s">
        <v>8</v>
      </c>
      <c r="I271" s="15"/>
      <c r="J271" s="15"/>
      <c r="K271" s="11" t="s">
        <v>5</v>
      </c>
      <c r="L271" s="12" t="s">
        <v>6</v>
      </c>
      <c r="M271" s="13" t="s">
        <v>7</v>
      </c>
      <c r="N271" s="4"/>
      <c r="O271" s="52"/>
      <c r="P271" s="52"/>
      <c r="Q271" s="52"/>
      <c r="R271" s="52"/>
      <c r="S271" s="52"/>
      <c r="T271" s="52"/>
      <c r="U271" s="52"/>
      <c r="V271" s="52"/>
      <c r="W271" s="52"/>
      <c r="X271" s="52"/>
      <c r="Y271" s="52"/>
      <c r="Z271" s="52"/>
      <c r="AA271" s="52"/>
      <c r="AB271" s="52"/>
    </row>
    <row r="272" customFormat="false" ht="15.75" hidden="false" customHeight="false" outlineLevel="0" collapsed="false">
      <c r="A272" s="18" t="str">
        <f aca="false">SEA!$G$1</f>
        <v>Seattle Seadras</v>
      </c>
      <c r="B272" s="18"/>
      <c r="C272" s="18"/>
      <c r="D272" s="19" t="n">
        <v>6</v>
      </c>
      <c r="E272" s="20" t="n">
        <v>4</v>
      </c>
      <c r="F272" s="21" t="str">
        <f aca="false">IF(A279="WIN","W",IF(A279="LOSE","L",""))</f>
        <v>W</v>
      </c>
      <c r="G272" s="22"/>
      <c r="H272" s="18" t="str">
        <f aca="false">SGP!$G$1</f>
        <v>Slung Patrol</v>
      </c>
      <c r="I272" s="18"/>
      <c r="J272" s="18"/>
      <c r="K272" s="19" t="n">
        <v>4</v>
      </c>
      <c r="L272" s="20" t="n">
        <v>6</v>
      </c>
      <c r="M272" s="21" t="str">
        <f aca="false">IF(H279="WIN","W",IF(H279="LOSE","L",""))</f>
        <v>L</v>
      </c>
      <c r="N272" s="4"/>
      <c r="O272" s="53"/>
      <c r="P272" s="53"/>
      <c r="Q272" s="53"/>
      <c r="R272" s="53"/>
      <c r="S272" s="53"/>
      <c r="T272" s="53"/>
      <c r="U272" s="53"/>
      <c r="V272" s="53"/>
      <c r="W272" s="53"/>
      <c r="X272" s="53"/>
      <c r="Y272" s="53"/>
      <c r="Z272" s="53"/>
      <c r="AA272" s="53"/>
      <c r="AB272" s="53"/>
    </row>
    <row r="273" customFormat="false" ht="15.75" hidden="false" customHeight="false" outlineLevel="0" collapsed="false">
      <c r="A273" s="56" t="s">
        <v>40</v>
      </c>
      <c r="B273" s="56"/>
      <c r="C273" s="56"/>
      <c r="D273" s="26" t="n">
        <v>0</v>
      </c>
      <c r="E273" s="27" t="n">
        <v>0</v>
      </c>
      <c r="F273" s="28" t="n">
        <f aca="false">IF(A279="WIN",1,0)</f>
        <v>1</v>
      </c>
      <c r="G273" s="29"/>
      <c r="H273" s="56" t="s">
        <v>73</v>
      </c>
      <c r="I273" s="56"/>
      <c r="J273" s="56"/>
      <c r="K273" s="26" t="n">
        <v>1</v>
      </c>
      <c r="L273" s="27" t="n">
        <v>1</v>
      </c>
      <c r="M273" s="28" t="n">
        <f aca="false">IF(H279="WIN",1,0)</f>
        <v>0</v>
      </c>
      <c r="N273" s="4"/>
      <c r="O273" s="51"/>
      <c r="P273" s="51"/>
      <c r="Q273" s="51"/>
      <c r="R273" s="51"/>
      <c r="S273" s="51"/>
      <c r="T273" s="51"/>
      <c r="U273" s="51"/>
      <c r="V273" s="51"/>
      <c r="W273" s="51"/>
      <c r="X273" s="51"/>
      <c r="Y273" s="51"/>
      <c r="Z273" s="51"/>
      <c r="AA273" s="51"/>
      <c r="AB273" s="51"/>
    </row>
    <row r="274" customFormat="false" ht="15.75" hidden="false" customHeight="false" outlineLevel="0" collapsed="false">
      <c r="A274" s="25" t="s">
        <v>52</v>
      </c>
      <c r="B274" s="25"/>
      <c r="C274" s="25"/>
      <c r="D274" s="26" t="n">
        <v>3</v>
      </c>
      <c r="E274" s="27" t="n">
        <v>1</v>
      </c>
      <c r="F274" s="28" t="n">
        <f aca="false">IF(A279="WIN",1,0)</f>
        <v>1</v>
      </c>
      <c r="G274" s="29"/>
      <c r="H274" s="25" t="s">
        <v>97</v>
      </c>
      <c r="I274" s="25"/>
      <c r="J274" s="25"/>
      <c r="K274" s="26" t="n">
        <v>0</v>
      </c>
      <c r="L274" s="27" t="n">
        <v>1</v>
      </c>
      <c r="M274" s="28" t="n">
        <f aca="false">IF(H279="WIN",1,0)</f>
        <v>0</v>
      </c>
      <c r="N274" s="4"/>
      <c r="O274" s="51"/>
      <c r="P274" s="51"/>
      <c r="Q274" s="51"/>
      <c r="R274" s="51"/>
      <c r="S274" s="51"/>
      <c r="T274" s="51"/>
      <c r="U274" s="51"/>
      <c r="V274" s="51"/>
      <c r="W274" s="51"/>
      <c r="X274" s="51"/>
      <c r="Y274" s="51"/>
      <c r="Z274" s="51"/>
      <c r="AA274" s="51"/>
      <c r="AB274" s="51"/>
    </row>
    <row r="275" customFormat="false" ht="15.75" hidden="false" customHeight="false" outlineLevel="0" collapsed="false">
      <c r="A275" s="25" t="s">
        <v>92</v>
      </c>
      <c r="B275" s="25"/>
      <c r="C275" s="25"/>
      <c r="D275" s="26" t="n">
        <v>0</v>
      </c>
      <c r="E275" s="27" t="n">
        <v>1</v>
      </c>
      <c r="F275" s="28" t="n">
        <f aca="false">IF(A279="WIN",1,0)</f>
        <v>1</v>
      </c>
      <c r="G275" s="29"/>
      <c r="H275" s="25" t="s">
        <v>93</v>
      </c>
      <c r="I275" s="25"/>
      <c r="J275" s="25"/>
      <c r="K275" s="26" t="n">
        <v>0</v>
      </c>
      <c r="L275" s="27" t="n">
        <v>1</v>
      </c>
      <c r="M275" s="28" t="n">
        <f aca="false">IF(H279="WIN",1,0)</f>
        <v>0</v>
      </c>
      <c r="N275" s="4"/>
      <c r="O275" s="51"/>
      <c r="P275" s="51"/>
      <c r="Q275" s="51"/>
      <c r="R275" s="51"/>
      <c r="S275" s="51"/>
      <c r="T275" s="51"/>
      <c r="U275" s="51"/>
      <c r="V275" s="51"/>
      <c r="W275" s="51"/>
      <c r="X275" s="51"/>
      <c r="Y275" s="51"/>
      <c r="Z275" s="51"/>
      <c r="AA275" s="51"/>
      <c r="AB275" s="51"/>
    </row>
    <row r="276" customFormat="false" ht="15.75" hidden="false" customHeight="false" outlineLevel="0" collapsed="false">
      <c r="A276" s="25" t="s">
        <v>43</v>
      </c>
      <c r="B276" s="25"/>
      <c r="C276" s="25"/>
      <c r="D276" s="26" t="n">
        <v>0</v>
      </c>
      <c r="E276" s="27" t="n">
        <v>1</v>
      </c>
      <c r="F276" s="28" t="n">
        <f aca="false">IF(A279="WIN",1,0)</f>
        <v>1</v>
      </c>
      <c r="G276" s="29"/>
      <c r="H276" s="25" t="s">
        <v>114</v>
      </c>
      <c r="I276" s="25"/>
      <c r="J276" s="25"/>
      <c r="K276" s="26" t="n">
        <v>1</v>
      </c>
      <c r="L276" s="27" t="n">
        <v>1</v>
      </c>
      <c r="M276" s="28" t="n">
        <f aca="false">IF(H279="WIN",1,0)</f>
        <v>0</v>
      </c>
      <c r="N276" s="4"/>
      <c r="O276" s="51"/>
      <c r="P276" s="51"/>
      <c r="Q276" s="51"/>
      <c r="R276" s="51"/>
      <c r="S276" s="51"/>
      <c r="T276" s="51"/>
      <c r="U276" s="51"/>
      <c r="V276" s="51"/>
      <c r="W276" s="51"/>
      <c r="X276" s="51"/>
      <c r="Y276" s="51"/>
      <c r="Z276" s="51"/>
      <c r="AA276" s="51"/>
      <c r="AB276" s="51"/>
    </row>
    <row r="277" customFormat="false" ht="15.75" hidden="false" customHeight="false" outlineLevel="0" collapsed="false">
      <c r="A277" s="25" t="s">
        <v>89</v>
      </c>
      <c r="B277" s="25"/>
      <c r="C277" s="25"/>
      <c r="D277" s="26" t="n">
        <v>2</v>
      </c>
      <c r="E277" s="27" t="n">
        <v>0</v>
      </c>
      <c r="F277" s="28" t="n">
        <f aca="false">IF(A279="WIN",1,0)</f>
        <v>1</v>
      </c>
      <c r="G277" s="29"/>
      <c r="H277" s="25" t="s">
        <v>96</v>
      </c>
      <c r="I277" s="25"/>
      <c r="J277" s="25"/>
      <c r="K277" s="26" t="n">
        <v>1</v>
      </c>
      <c r="L277" s="27" t="n">
        <v>1</v>
      </c>
      <c r="M277" s="28" t="n">
        <f aca="false">IF(H279="WIN",1,0)</f>
        <v>0</v>
      </c>
      <c r="N277" s="4"/>
      <c r="O277" s="51"/>
      <c r="P277" s="51"/>
      <c r="Q277" s="51"/>
      <c r="R277" s="51"/>
      <c r="S277" s="51"/>
      <c r="T277" s="51"/>
      <c r="U277" s="51"/>
      <c r="V277" s="51"/>
      <c r="W277" s="51"/>
      <c r="X277" s="51"/>
      <c r="Y277" s="51"/>
      <c r="Z277" s="51"/>
      <c r="AA277" s="51"/>
      <c r="AB277" s="51"/>
    </row>
    <row r="278" customFormat="false" ht="15.75" hidden="false" customHeight="false" outlineLevel="0" collapsed="false">
      <c r="A278" s="32" t="s">
        <v>116</v>
      </c>
      <c r="B278" s="32"/>
      <c r="C278" s="32"/>
      <c r="D278" s="33" t="n">
        <v>1</v>
      </c>
      <c r="E278" s="34" t="n">
        <v>1</v>
      </c>
      <c r="F278" s="28" t="n">
        <f aca="false">IF(A279="WIN",1,0)</f>
        <v>1</v>
      </c>
      <c r="G278" s="29"/>
      <c r="H278" s="32" t="s">
        <v>107</v>
      </c>
      <c r="I278" s="32"/>
      <c r="J278" s="32"/>
      <c r="K278" s="33" t="n">
        <v>1</v>
      </c>
      <c r="L278" s="34" t="n">
        <v>1</v>
      </c>
      <c r="M278" s="28" t="n">
        <f aca="false">IF(H279="WIN",1,0)</f>
        <v>0</v>
      </c>
      <c r="N278" s="4"/>
      <c r="O278" s="51"/>
      <c r="P278" s="51"/>
      <c r="Q278" s="51"/>
      <c r="R278" s="51"/>
      <c r="S278" s="51"/>
      <c r="T278" s="51"/>
      <c r="U278" s="51"/>
      <c r="V278" s="51"/>
      <c r="W278" s="51"/>
      <c r="X278" s="51"/>
      <c r="Y278" s="51"/>
      <c r="Z278" s="51"/>
      <c r="AA278" s="51"/>
      <c r="AB278" s="51"/>
    </row>
    <row r="279" customFormat="false" ht="15.75" hidden="false" customHeight="false" outlineLevel="0" collapsed="false">
      <c r="A279" s="35" t="s">
        <v>11</v>
      </c>
      <c r="B279" s="35"/>
      <c r="C279" s="35"/>
      <c r="D279" s="41"/>
      <c r="E279" s="37"/>
      <c r="F279" s="38"/>
      <c r="G279" s="39"/>
      <c r="H279" s="35" t="s">
        <v>10</v>
      </c>
      <c r="I279" s="35"/>
      <c r="J279" s="35"/>
      <c r="K279" s="41"/>
      <c r="L279" s="37"/>
      <c r="M279" s="38"/>
      <c r="N279" s="4"/>
      <c r="O279" s="52"/>
      <c r="P279" s="52"/>
      <c r="Q279" s="52"/>
      <c r="R279" s="52"/>
      <c r="S279" s="52"/>
      <c r="T279" s="52"/>
      <c r="U279" s="52"/>
      <c r="V279" s="52"/>
      <c r="W279" s="52"/>
      <c r="X279" s="52"/>
      <c r="Y279" s="52"/>
      <c r="Z279" s="52"/>
      <c r="AA279" s="52"/>
      <c r="AB279" s="52"/>
    </row>
    <row r="280" customFormat="false" ht="15.75" hidden="false" customHeight="false" outlineLevel="0" collapsed="false">
      <c r="A280" s="10" t="s">
        <v>4</v>
      </c>
      <c r="B280" s="10"/>
      <c r="C280" s="10"/>
      <c r="D280" s="11" t="s">
        <v>5</v>
      </c>
      <c r="E280" s="12" t="s">
        <v>6</v>
      </c>
      <c r="F280" s="13" t="s">
        <v>7</v>
      </c>
      <c r="G280" s="14"/>
      <c r="H280" s="15" t="s">
        <v>8</v>
      </c>
      <c r="I280" s="15"/>
      <c r="J280" s="15"/>
      <c r="K280" s="11" t="s">
        <v>5</v>
      </c>
      <c r="L280" s="12" t="s">
        <v>6</v>
      </c>
      <c r="M280" s="13" t="s">
        <v>7</v>
      </c>
      <c r="N280" s="4"/>
      <c r="O280" s="52"/>
      <c r="P280" s="52"/>
      <c r="Q280" s="52"/>
      <c r="R280" s="52"/>
      <c r="S280" s="52"/>
      <c r="T280" s="52"/>
      <c r="U280" s="52"/>
      <c r="V280" s="52"/>
      <c r="W280" s="52"/>
      <c r="X280" s="52"/>
      <c r="Y280" s="52"/>
      <c r="Z280" s="52"/>
      <c r="AA280" s="52"/>
      <c r="AB280" s="52"/>
    </row>
    <row r="281" customFormat="false" ht="15.75" hidden="false" customHeight="false" outlineLevel="0" collapsed="false">
      <c r="A281" s="23" t="str">
        <f aca="false">JVJ!$G$1</f>
        <v>Jacksonville Jumpluffs</v>
      </c>
      <c r="B281" s="23"/>
      <c r="C281" s="23"/>
      <c r="D281" s="19" t="n">
        <v>6</v>
      </c>
      <c r="E281" s="20" t="n">
        <v>1</v>
      </c>
      <c r="F281" s="21" t="str">
        <f aca="false">IF(A288="WIN","W",IF(A288="LOSE","L",""))</f>
        <v>W</v>
      </c>
      <c r="G281" s="22"/>
      <c r="H281" s="23" t="str">
        <f aca="false">FTT!$G$1</f>
        <v>Fortree Trevenants</v>
      </c>
      <c r="I281" s="23"/>
      <c r="J281" s="23"/>
      <c r="K281" s="19" t="n">
        <v>1</v>
      </c>
      <c r="L281" s="20" t="n">
        <v>6</v>
      </c>
      <c r="M281" s="21" t="str">
        <f aca="false">IF(H288="WIN","W",IF(H288="LOSE","L",""))</f>
        <v>L</v>
      </c>
      <c r="N281" s="4"/>
      <c r="O281" s="53"/>
      <c r="P281" s="53"/>
      <c r="Q281" s="53"/>
      <c r="R281" s="53"/>
      <c r="S281" s="53"/>
      <c r="T281" s="53"/>
      <c r="U281" s="53"/>
      <c r="V281" s="53"/>
      <c r="W281" s="53"/>
      <c r="X281" s="53"/>
      <c r="Y281" s="53"/>
      <c r="Z281" s="53"/>
      <c r="AA281" s="53"/>
      <c r="AB281" s="53"/>
    </row>
    <row r="282" customFormat="false" ht="15.75" hidden="false" customHeight="false" outlineLevel="0" collapsed="false">
      <c r="A282" s="25" t="s">
        <v>94</v>
      </c>
      <c r="B282" s="25"/>
      <c r="C282" s="25"/>
      <c r="D282" s="26" t="n">
        <v>1</v>
      </c>
      <c r="E282" s="27" t="n">
        <v>0</v>
      </c>
      <c r="F282" s="28" t="n">
        <f aca="false">IF(A288="WIN",1,0)</f>
        <v>1</v>
      </c>
      <c r="G282" s="29"/>
      <c r="H282" s="25" t="s">
        <v>76</v>
      </c>
      <c r="I282" s="25"/>
      <c r="J282" s="25"/>
      <c r="K282" s="26" t="n">
        <v>0</v>
      </c>
      <c r="L282" s="27" t="n">
        <v>1</v>
      </c>
      <c r="M282" s="28" t="n">
        <f aca="false">IF(H288="WIN",1,0)</f>
        <v>0</v>
      </c>
      <c r="N282" s="4"/>
      <c r="O282" s="51"/>
      <c r="P282" s="51"/>
      <c r="Q282" s="51"/>
      <c r="R282" s="51"/>
      <c r="S282" s="51"/>
      <c r="T282" s="51"/>
      <c r="U282" s="51"/>
      <c r="V282" s="51"/>
      <c r="W282" s="51"/>
      <c r="X282" s="51"/>
      <c r="Y282" s="51"/>
      <c r="Z282" s="51"/>
      <c r="AA282" s="51"/>
      <c r="AB282" s="51"/>
    </row>
    <row r="283" customFormat="false" ht="15.75" hidden="false" customHeight="false" outlineLevel="0" collapsed="false">
      <c r="A283" s="25" t="s">
        <v>32</v>
      </c>
      <c r="B283" s="25"/>
      <c r="C283" s="25"/>
      <c r="D283" s="26" t="n">
        <v>1</v>
      </c>
      <c r="E283" s="27" t="n">
        <v>0</v>
      </c>
      <c r="F283" s="28" t="n">
        <f aca="false">IF(A288="WIN",1,0)</f>
        <v>1</v>
      </c>
      <c r="G283" s="29"/>
      <c r="H283" s="25" t="s">
        <v>108</v>
      </c>
      <c r="I283" s="25"/>
      <c r="J283" s="25"/>
      <c r="K283" s="26" t="n">
        <v>0</v>
      </c>
      <c r="L283" s="27" t="n">
        <v>1</v>
      </c>
      <c r="M283" s="28" t="n">
        <f aca="false">IF(H288="WIN",1,0)</f>
        <v>0</v>
      </c>
      <c r="N283" s="4"/>
      <c r="O283" s="51"/>
      <c r="P283" s="51"/>
      <c r="Q283" s="51"/>
      <c r="R283" s="51"/>
      <c r="S283" s="51"/>
      <c r="T283" s="51"/>
      <c r="U283" s="51"/>
      <c r="V283" s="51"/>
      <c r="W283" s="51"/>
      <c r="X283" s="51"/>
      <c r="Y283" s="51"/>
      <c r="Z283" s="51"/>
      <c r="AA283" s="51"/>
      <c r="AB283" s="51"/>
    </row>
    <row r="284" customFormat="false" ht="15.75" hidden="false" customHeight="false" outlineLevel="0" collapsed="false">
      <c r="A284" s="25" t="s">
        <v>24</v>
      </c>
      <c r="B284" s="25"/>
      <c r="C284" s="25"/>
      <c r="D284" s="26" t="n">
        <v>1</v>
      </c>
      <c r="E284" s="27" t="n">
        <v>1</v>
      </c>
      <c r="F284" s="28" t="n">
        <f aca="false">IF(A288="WIN",1,0)</f>
        <v>1</v>
      </c>
      <c r="G284" s="29"/>
      <c r="H284" s="25" t="s">
        <v>110</v>
      </c>
      <c r="I284" s="25"/>
      <c r="J284" s="25"/>
      <c r="K284" s="26" t="n">
        <v>0</v>
      </c>
      <c r="L284" s="27" t="n">
        <v>1</v>
      </c>
      <c r="M284" s="28" t="n">
        <f aca="false">IF(H288="WIN",1,0)</f>
        <v>0</v>
      </c>
      <c r="N284" s="4"/>
      <c r="O284" s="51"/>
      <c r="P284" s="51"/>
      <c r="Q284" s="51"/>
      <c r="R284" s="51"/>
      <c r="S284" s="51"/>
      <c r="T284" s="51"/>
      <c r="U284" s="51"/>
      <c r="V284" s="51"/>
      <c r="W284" s="51"/>
      <c r="X284" s="51"/>
      <c r="Y284" s="51"/>
      <c r="Z284" s="51"/>
      <c r="AA284" s="51"/>
      <c r="AB284" s="51"/>
    </row>
    <row r="285" customFormat="false" ht="15.75" hidden="false" customHeight="false" outlineLevel="0" collapsed="false">
      <c r="A285" s="25" t="s">
        <v>14</v>
      </c>
      <c r="B285" s="25"/>
      <c r="C285" s="25"/>
      <c r="D285" s="26" t="n">
        <v>1</v>
      </c>
      <c r="E285" s="27" t="n">
        <v>0</v>
      </c>
      <c r="F285" s="28" t="n">
        <f aca="false">IF(A288="WIN",1,0)</f>
        <v>1</v>
      </c>
      <c r="G285" s="29"/>
      <c r="H285" s="25" t="s">
        <v>82</v>
      </c>
      <c r="I285" s="25"/>
      <c r="J285" s="25"/>
      <c r="K285" s="26" t="n">
        <v>0</v>
      </c>
      <c r="L285" s="27" t="n">
        <v>1</v>
      </c>
      <c r="M285" s="28" t="n">
        <f aca="false">IF(H288="WIN",1,0)</f>
        <v>0</v>
      </c>
      <c r="N285" s="4"/>
      <c r="O285" s="51"/>
      <c r="P285" s="51"/>
      <c r="Q285" s="51"/>
      <c r="R285" s="51"/>
      <c r="S285" s="51"/>
      <c r="T285" s="51"/>
      <c r="U285" s="51"/>
      <c r="V285" s="51"/>
      <c r="W285" s="51"/>
      <c r="X285" s="51"/>
      <c r="Y285" s="51"/>
      <c r="Z285" s="51"/>
      <c r="AA285" s="51"/>
      <c r="AB285" s="51"/>
    </row>
    <row r="286" customFormat="false" ht="15.75" hidden="false" customHeight="false" outlineLevel="0" collapsed="false">
      <c r="A286" s="25" t="s">
        <v>20</v>
      </c>
      <c r="B286" s="25"/>
      <c r="C286" s="25"/>
      <c r="D286" s="26" t="n">
        <v>1</v>
      </c>
      <c r="E286" s="27" t="n">
        <v>0</v>
      </c>
      <c r="F286" s="28" t="n">
        <f aca="false">IF(A288="WIN",1,0)</f>
        <v>1</v>
      </c>
      <c r="G286" s="29"/>
      <c r="H286" s="25" t="s">
        <v>78</v>
      </c>
      <c r="I286" s="25"/>
      <c r="J286" s="25"/>
      <c r="K286" s="26" t="n">
        <v>0</v>
      </c>
      <c r="L286" s="27" t="n">
        <v>1</v>
      </c>
      <c r="M286" s="28" t="n">
        <f aca="false">IF(H288="WIN",1,0)</f>
        <v>0</v>
      </c>
      <c r="N286" s="4"/>
      <c r="O286" s="51"/>
      <c r="P286" s="51"/>
      <c r="Q286" s="51"/>
      <c r="R286" s="51"/>
      <c r="S286" s="51"/>
      <c r="T286" s="51"/>
      <c r="U286" s="51"/>
      <c r="V286" s="51"/>
      <c r="W286" s="51"/>
      <c r="X286" s="51"/>
      <c r="Y286" s="51"/>
      <c r="Z286" s="51"/>
      <c r="AA286" s="51"/>
      <c r="AB286" s="51"/>
    </row>
    <row r="287" customFormat="false" ht="15.75" hidden="false" customHeight="false" outlineLevel="0" collapsed="false">
      <c r="A287" s="25" t="s">
        <v>95</v>
      </c>
      <c r="B287" s="25"/>
      <c r="C287" s="25"/>
      <c r="D287" s="33" t="n">
        <v>1</v>
      </c>
      <c r="E287" s="34" t="n">
        <v>0</v>
      </c>
      <c r="F287" s="28" t="n">
        <f aca="false">IF(A288="WIN",1,0)</f>
        <v>1</v>
      </c>
      <c r="G287" s="29"/>
      <c r="H287" s="25" t="s">
        <v>74</v>
      </c>
      <c r="I287" s="25"/>
      <c r="J287" s="25"/>
      <c r="K287" s="33" t="n">
        <v>1</v>
      </c>
      <c r="L287" s="34" t="n">
        <v>1</v>
      </c>
      <c r="M287" s="28" t="n">
        <f aca="false">IF(H288="WIN",1,0)</f>
        <v>0</v>
      </c>
      <c r="N287" s="4"/>
      <c r="O287" s="51"/>
      <c r="P287" s="51"/>
      <c r="Q287" s="51"/>
      <c r="R287" s="51"/>
      <c r="S287" s="51"/>
      <c r="T287" s="51"/>
      <c r="U287" s="51"/>
      <c r="V287" s="51"/>
      <c r="W287" s="51"/>
      <c r="X287" s="51"/>
      <c r="Y287" s="51"/>
      <c r="Z287" s="51"/>
      <c r="AA287" s="51"/>
      <c r="AB287" s="51"/>
    </row>
    <row r="288" customFormat="false" ht="15.75" hidden="false" customHeight="false" outlineLevel="0" collapsed="false">
      <c r="A288" s="35" t="s">
        <v>11</v>
      </c>
      <c r="B288" s="35"/>
      <c r="C288" s="35"/>
      <c r="D288" s="36"/>
      <c r="E288" s="37"/>
      <c r="F288" s="38"/>
      <c r="G288" s="39"/>
      <c r="H288" s="54" t="s">
        <v>10</v>
      </c>
      <c r="I288" s="54"/>
      <c r="J288" s="54"/>
      <c r="K288" s="41"/>
      <c r="L288" s="37"/>
      <c r="M288" s="38"/>
      <c r="N288" s="4"/>
      <c r="O288" s="52"/>
      <c r="P288" s="52"/>
      <c r="Q288" s="52"/>
      <c r="R288" s="52"/>
      <c r="S288" s="52"/>
      <c r="T288" s="52"/>
      <c r="U288" s="52"/>
      <c r="V288" s="52"/>
      <c r="W288" s="52"/>
      <c r="X288" s="52"/>
      <c r="Y288" s="52"/>
      <c r="Z288" s="52"/>
      <c r="AA288" s="52"/>
      <c r="AB288" s="52"/>
    </row>
    <row r="289" customFormat="false" ht="15.75" hidden="false" customHeight="false" outlineLevel="0" collapsed="false">
      <c r="A289" s="10" t="s">
        <v>4</v>
      </c>
      <c r="B289" s="10"/>
      <c r="C289" s="10"/>
      <c r="D289" s="11" t="s">
        <v>5</v>
      </c>
      <c r="E289" s="12" t="s">
        <v>6</v>
      </c>
      <c r="F289" s="13" t="s">
        <v>7</v>
      </c>
      <c r="G289" s="14"/>
      <c r="H289" s="15" t="s">
        <v>8</v>
      </c>
      <c r="I289" s="15"/>
      <c r="J289" s="15"/>
      <c r="K289" s="11" t="s">
        <v>5</v>
      </c>
      <c r="L289" s="12" t="s">
        <v>6</v>
      </c>
      <c r="M289" s="13" t="s">
        <v>7</v>
      </c>
      <c r="N289" s="4"/>
      <c r="O289" s="52"/>
      <c r="P289" s="52"/>
      <c r="Q289" s="52"/>
      <c r="R289" s="52"/>
      <c r="S289" s="52"/>
      <c r="T289" s="52"/>
      <c r="U289" s="52"/>
      <c r="V289" s="52"/>
      <c r="W289" s="52"/>
      <c r="X289" s="52"/>
      <c r="Y289" s="52"/>
      <c r="Z289" s="52"/>
      <c r="AA289" s="52"/>
      <c r="AB289" s="52"/>
    </row>
    <row r="290" customFormat="false" ht="15.75" hidden="false" customHeight="false" outlineLevel="0" collapsed="false">
      <c r="A290" s="23" t="str">
        <f aca="false">BBG!$G$1</f>
        <v>Berlin Bronzong</v>
      </c>
      <c r="B290" s="23"/>
      <c r="C290" s="23"/>
      <c r="D290" s="19"/>
      <c r="E290" s="20"/>
      <c r="F290" s="21" t="str">
        <f aca="false">IF(A297="WIN","W",IF(A297="LOSE","L",""))</f>
        <v/>
      </c>
      <c r="G290" s="22"/>
      <c r="H290" s="18" t="str">
        <f aca="false">LVC!$G$1</f>
        <v>Louisville Crobats</v>
      </c>
      <c r="I290" s="18"/>
      <c r="J290" s="18"/>
      <c r="K290" s="19"/>
      <c r="L290" s="20"/>
      <c r="M290" s="21" t="str">
        <f aca="false">IF(H297="WIN","W",IF(H297="LOSE","L",""))</f>
        <v/>
      </c>
      <c r="N290" s="4"/>
      <c r="O290" s="53"/>
      <c r="P290" s="53"/>
      <c r="Q290" s="53"/>
      <c r="R290" s="53"/>
      <c r="S290" s="53"/>
      <c r="T290" s="53"/>
      <c r="U290" s="53"/>
      <c r="V290" s="53"/>
      <c r="W290" s="53"/>
      <c r="X290" s="53"/>
      <c r="Y290" s="53"/>
      <c r="Z290" s="53"/>
      <c r="AA290" s="53"/>
      <c r="AB290" s="53"/>
    </row>
    <row r="291" customFormat="false" ht="15.75" hidden="false" customHeight="false" outlineLevel="0" collapsed="false">
      <c r="A291" s="56"/>
      <c r="B291" s="56"/>
      <c r="C291" s="56"/>
      <c r="D291" s="26"/>
      <c r="E291" s="27"/>
      <c r="F291" s="28" t="n">
        <f aca="false">IF(A297="WIN",1,0)</f>
        <v>0</v>
      </c>
      <c r="G291" s="29"/>
      <c r="H291" s="56"/>
      <c r="I291" s="56"/>
      <c r="J291" s="56"/>
      <c r="K291" s="26"/>
      <c r="L291" s="27"/>
      <c r="M291" s="28" t="n">
        <f aca="false">IF(H297="WIN",1,0)</f>
        <v>0</v>
      </c>
      <c r="N291" s="4"/>
      <c r="O291" s="51"/>
      <c r="P291" s="51"/>
      <c r="Q291" s="51"/>
      <c r="R291" s="51"/>
      <c r="S291" s="51"/>
      <c r="T291" s="51"/>
      <c r="U291" s="51"/>
      <c r="V291" s="51"/>
      <c r="W291" s="51"/>
      <c r="X291" s="51"/>
      <c r="Y291" s="51"/>
      <c r="Z291" s="51"/>
      <c r="AA291" s="51"/>
      <c r="AB291" s="51"/>
    </row>
    <row r="292" customFormat="false" ht="15.75" hidden="false" customHeight="false" outlineLevel="0" collapsed="false">
      <c r="A292" s="25"/>
      <c r="B292" s="25"/>
      <c r="C292" s="25"/>
      <c r="D292" s="26"/>
      <c r="E292" s="27"/>
      <c r="F292" s="28" t="n">
        <f aca="false">IF(A297="WIN",1,0)</f>
        <v>0</v>
      </c>
      <c r="G292" s="29"/>
      <c r="H292" s="25"/>
      <c r="I292" s="25"/>
      <c r="J292" s="25"/>
      <c r="K292" s="26"/>
      <c r="L292" s="27"/>
      <c r="M292" s="28" t="n">
        <f aca="false">IF(H297="WIN",1,0)</f>
        <v>0</v>
      </c>
      <c r="N292" s="4"/>
      <c r="O292" s="51"/>
      <c r="P292" s="51"/>
      <c r="Q292" s="51"/>
      <c r="R292" s="51"/>
      <c r="S292" s="51"/>
      <c r="T292" s="51"/>
      <c r="U292" s="51"/>
      <c r="V292" s="51"/>
      <c r="W292" s="51"/>
      <c r="X292" s="51"/>
      <c r="Y292" s="51"/>
      <c r="Z292" s="51"/>
      <c r="AA292" s="51"/>
      <c r="AB292" s="51"/>
    </row>
    <row r="293" customFormat="false" ht="15.75" hidden="false" customHeight="false" outlineLevel="0" collapsed="false">
      <c r="A293" s="25"/>
      <c r="B293" s="25"/>
      <c r="C293" s="25"/>
      <c r="D293" s="26"/>
      <c r="E293" s="27"/>
      <c r="F293" s="28" t="n">
        <f aca="false">IF(A297="WIN",1,0)</f>
        <v>0</v>
      </c>
      <c r="G293" s="29"/>
      <c r="H293" s="25"/>
      <c r="I293" s="25"/>
      <c r="J293" s="25"/>
      <c r="K293" s="26"/>
      <c r="L293" s="27"/>
      <c r="M293" s="28" t="n">
        <f aca="false">IF(H297="WIN",1,0)</f>
        <v>0</v>
      </c>
      <c r="N293" s="4"/>
      <c r="O293" s="51"/>
      <c r="P293" s="51"/>
      <c r="Q293" s="51"/>
      <c r="R293" s="51"/>
      <c r="S293" s="51"/>
      <c r="T293" s="51"/>
      <c r="U293" s="51"/>
      <c r="V293" s="51"/>
      <c r="W293" s="51"/>
      <c r="X293" s="51"/>
      <c r="Y293" s="51"/>
      <c r="Z293" s="51"/>
      <c r="AA293" s="51"/>
      <c r="AB293" s="51"/>
    </row>
    <row r="294" customFormat="false" ht="15.75" hidden="false" customHeight="false" outlineLevel="0" collapsed="false">
      <c r="A294" s="25"/>
      <c r="B294" s="25"/>
      <c r="C294" s="25"/>
      <c r="D294" s="26"/>
      <c r="E294" s="27"/>
      <c r="F294" s="28" t="n">
        <f aca="false">IF(A297="WIN",1,0)</f>
        <v>0</v>
      </c>
      <c r="G294" s="29"/>
      <c r="H294" s="25"/>
      <c r="I294" s="25"/>
      <c r="J294" s="25"/>
      <c r="K294" s="26"/>
      <c r="L294" s="27"/>
      <c r="M294" s="28" t="n">
        <f aca="false">IF(H297="WIN",1,0)</f>
        <v>0</v>
      </c>
      <c r="N294" s="4"/>
      <c r="O294" s="51"/>
      <c r="P294" s="51"/>
      <c r="Q294" s="51"/>
      <c r="R294" s="51"/>
      <c r="S294" s="51"/>
      <c r="T294" s="51"/>
      <c r="U294" s="51"/>
      <c r="V294" s="51"/>
      <c r="W294" s="51"/>
      <c r="X294" s="51"/>
      <c r="Y294" s="51"/>
      <c r="Z294" s="51"/>
      <c r="AA294" s="51"/>
      <c r="AB294" s="51"/>
    </row>
    <row r="295" customFormat="false" ht="15.75" hidden="false" customHeight="false" outlineLevel="0" collapsed="false">
      <c r="A295" s="25"/>
      <c r="B295" s="25"/>
      <c r="C295" s="25"/>
      <c r="D295" s="26"/>
      <c r="E295" s="27"/>
      <c r="F295" s="28" t="n">
        <f aca="false">IF(A297="WIN",1,0)</f>
        <v>0</v>
      </c>
      <c r="G295" s="29"/>
      <c r="H295" s="25"/>
      <c r="I295" s="25"/>
      <c r="J295" s="25"/>
      <c r="K295" s="26"/>
      <c r="L295" s="27"/>
      <c r="M295" s="28" t="n">
        <f aca="false">IF(H297="WIN",1,0)</f>
        <v>0</v>
      </c>
      <c r="N295" s="4"/>
      <c r="O295" s="51"/>
      <c r="P295" s="51"/>
      <c r="Q295" s="51"/>
      <c r="R295" s="51"/>
      <c r="S295" s="51"/>
      <c r="T295" s="51"/>
      <c r="U295" s="51"/>
      <c r="V295" s="51"/>
      <c r="W295" s="51"/>
      <c r="X295" s="51"/>
      <c r="Y295" s="51"/>
      <c r="Z295" s="51"/>
      <c r="AA295" s="51"/>
      <c r="AB295" s="51"/>
    </row>
    <row r="296" customFormat="false" ht="15.75" hidden="false" customHeight="false" outlineLevel="0" collapsed="false">
      <c r="A296" s="32"/>
      <c r="B296" s="32"/>
      <c r="C296" s="32"/>
      <c r="D296" s="33"/>
      <c r="E296" s="34"/>
      <c r="F296" s="28" t="n">
        <f aca="false">IF(A297="WIN",1,0)</f>
        <v>0</v>
      </c>
      <c r="G296" s="29"/>
      <c r="H296" s="32"/>
      <c r="I296" s="32"/>
      <c r="J296" s="32"/>
      <c r="K296" s="33"/>
      <c r="L296" s="34"/>
      <c r="M296" s="28" t="n">
        <f aca="false">IF(H297="WIN",1,0)</f>
        <v>0</v>
      </c>
      <c r="N296" s="4"/>
      <c r="O296" s="51"/>
      <c r="P296" s="51"/>
      <c r="Q296" s="51"/>
      <c r="R296" s="51"/>
      <c r="S296" s="51"/>
      <c r="T296" s="51"/>
      <c r="U296" s="51"/>
      <c r="V296" s="51"/>
      <c r="W296" s="51"/>
      <c r="X296" s="51"/>
      <c r="Y296" s="51"/>
      <c r="Z296" s="51"/>
      <c r="AA296" s="51"/>
      <c r="AB296" s="51"/>
    </row>
    <row r="297" customFormat="false" ht="15.75" hidden="false" customHeight="false" outlineLevel="0" collapsed="false">
      <c r="A297" s="35" t="s">
        <v>30</v>
      </c>
      <c r="B297" s="35"/>
      <c r="C297" s="35"/>
      <c r="D297" s="36"/>
      <c r="E297" s="37"/>
      <c r="F297" s="38"/>
      <c r="G297" s="39"/>
      <c r="H297" s="35" t="s">
        <v>30</v>
      </c>
      <c r="I297" s="35"/>
      <c r="J297" s="35"/>
      <c r="K297" s="41"/>
      <c r="L297" s="37"/>
      <c r="M297" s="38"/>
      <c r="N297" s="4"/>
      <c r="O297" s="52"/>
      <c r="P297" s="52"/>
      <c r="Q297" s="52"/>
      <c r="R297" s="52"/>
      <c r="S297" s="52"/>
      <c r="T297" s="52"/>
      <c r="U297" s="52"/>
      <c r="V297" s="52"/>
      <c r="W297" s="52"/>
      <c r="X297" s="52"/>
      <c r="Y297" s="52"/>
      <c r="Z297" s="52"/>
      <c r="AA297" s="52"/>
      <c r="AB297" s="52"/>
    </row>
    <row r="298" customFormat="false" ht="17.25" hidden="false" customHeight="false" outlineLevel="0" collapsed="false">
      <c r="A298" s="6" t="s">
        <v>123</v>
      </c>
      <c r="B298" s="6"/>
      <c r="C298" s="6"/>
      <c r="D298" s="6"/>
      <c r="E298" s="6"/>
      <c r="F298" s="6"/>
      <c r="G298" s="6"/>
      <c r="H298" s="6"/>
      <c r="I298" s="6"/>
      <c r="J298" s="6"/>
      <c r="K298" s="6"/>
      <c r="L298" s="6"/>
      <c r="M298" s="6"/>
      <c r="N298" s="4"/>
      <c r="O298" s="55"/>
      <c r="P298" s="55"/>
      <c r="Q298" s="55"/>
      <c r="R298" s="55"/>
      <c r="S298" s="55"/>
      <c r="T298" s="55"/>
      <c r="U298" s="55"/>
      <c r="V298" s="55"/>
      <c r="W298" s="55"/>
      <c r="X298" s="55"/>
      <c r="Y298" s="55"/>
      <c r="Z298" s="55"/>
      <c r="AA298" s="55"/>
      <c r="AB298" s="55"/>
    </row>
    <row r="299" customFormat="false" ht="15.75" hidden="false" customHeight="false" outlineLevel="0" collapsed="false">
      <c r="A299" s="10" t="s">
        <v>4</v>
      </c>
      <c r="B299" s="10"/>
      <c r="C299" s="10"/>
      <c r="D299" s="11" t="s">
        <v>5</v>
      </c>
      <c r="E299" s="12" t="s">
        <v>6</v>
      </c>
      <c r="F299" s="13" t="s">
        <v>7</v>
      </c>
      <c r="G299" s="14"/>
      <c r="H299" s="15" t="s">
        <v>8</v>
      </c>
      <c r="I299" s="15"/>
      <c r="J299" s="15"/>
      <c r="K299" s="11" t="s">
        <v>5</v>
      </c>
      <c r="L299" s="12" t="s">
        <v>6</v>
      </c>
      <c r="M299" s="13" t="s">
        <v>7</v>
      </c>
      <c r="N299" s="4"/>
      <c r="O299" s="52"/>
      <c r="P299" s="52"/>
      <c r="Q299" s="52"/>
      <c r="R299" s="52"/>
      <c r="S299" s="52"/>
      <c r="T299" s="52"/>
      <c r="U299" s="52"/>
      <c r="V299" s="52"/>
      <c r="W299" s="52"/>
      <c r="X299" s="52"/>
      <c r="Y299" s="52"/>
      <c r="Z299" s="52"/>
      <c r="AA299" s="52"/>
      <c r="AB299" s="52"/>
    </row>
    <row r="300" customFormat="false" ht="15.75" hidden="false" customHeight="false" outlineLevel="0" collapsed="false">
      <c r="A300" s="18" t="str">
        <f aca="false">SEA!$G$1</f>
        <v>Seattle Seadras</v>
      </c>
      <c r="B300" s="18"/>
      <c r="C300" s="18"/>
      <c r="D300" s="19" t="n">
        <v>3</v>
      </c>
      <c r="E300" s="20" t="n">
        <v>6</v>
      </c>
      <c r="F300" s="21" t="str">
        <f aca="false">IF(A307="WIN","W",IF(A307="LOSE","L",""))</f>
        <v>L</v>
      </c>
      <c r="G300" s="22"/>
      <c r="H300" s="18" t="str">
        <f aca="false">KKS!$G$1</f>
        <v>Kingston Kecleons</v>
      </c>
      <c r="I300" s="18"/>
      <c r="J300" s="18"/>
      <c r="K300" s="19" t="n">
        <v>6</v>
      </c>
      <c r="L300" s="20" t="n">
        <v>3</v>
      </c>
      <c r="M300" s="21" t="str">
        <f aca="false">IF(H307="WIN","W",IF(H307="LOSE","L",""))</f>
        <v>W</v>
      </c>
      <c r="N300" s="4"/>
      <c r="O300" s="53"/>
      <c r="P300" s="53"/>
      <c r="Q300" s="53"/>
      <c r="R300" s="53"/>
      <c r="S300" s="53"/>
      <c r="T300" s="53"/>
      <c r="U300" s="53"/>
      <c r="V300" s="53"/>
      <c r="W300" s="53"/>
      <c r="X300" s="53"/>
      <c r="Y300" s="53"/>
      <c r="Z300" s="53"/>
      <c r="AA300" s="53"/>
      <c r="AB300" s="53"/>
    </row>
    <row r="301" customFormat="false" ht="15.75" hidden="false" customHeight="false" outlineLevel="0" collapsed="false">
      <c r="A301" s="56" t="s">
        <v>40</v>
      </c>
      <c r="B301" s="56"/>
      <c r="C301" s="56"/>
      <c r="D301" s="26" t="n">
        <v>1</v>
      </c>
      <c r="E301" s="27" t="n">
        <v>1</v>
      </c>
      <c r="F301" s="28" t="n">
        <f aca="false">IF(A307="WIN",1,0)</f>
        <v>0</v>
      </c>
      <c r="G301" s="29"/>
      <c r="H301" s="25" t="s">
        <v>85</v>
      </c>
      <c r="I301" s="25"/>
      <c r="J301" s="25"/>
      <c r="K301" s="26" t="n">
        <v>1</v>
      </c>
      <c r="L301" s="27" t="n">
        <v>1</v>
      </c>
      <c r="M301" s="28" t="n">
        <f aca="false">IF(H307="WIN",1,0)</f>
        <v>1</v>
      </c>
      <c r="N301" s="4"/>
      <c r="O301" s="51"/>
      <c r="P301" s="51"/>
      <c r="Q301" s="51"/>
      <c r="R301" s="51"/>
      <c r="S301" s="51"/>
      <c r="T301" s="51"/>
      <c r="U301" s="51"/>
      <c r="V301" s="51"/>
      <c r="W301" s="51"/>
      <c r="X301" s="51"/>
      <c r="Y301" s="51"/>
      <c r="Z301" s="51"/>
      <c r="AA301" s="51"/>
      <c r="AB301" s="51"/>
    </row>
    <row r="302" customFormat="false" ht="15.75" hidden="false" customHeight="false" outlineLevel="0" collapsed="false">
      <c r="A302" s="25" t="s">
        <v>46</v>
      </c>
      <c r="B302" s="25"/>
      <c r="C302" s="25"/>
      <c r="D302" s="26" t="n">
        <v>0</v>
      </c>
      <c r="E302" s="27" t="n">
        <v>1</v>
      </c>
      <c r="F302" s="28" t="n">
        <f aca="false">IF(A307="WIN",1,0)</f>
        <v>0</v>
      </c>
      <c r="G302" s="29"/>
      <c r="H302" s="25" t="s">
        <v>118</v>
      </c>
      <c r="I302" s="25"/>
      <c r="J302" s="25"/>
      <c r="K302" s="26" t="n">
        <v>1</v>
      </c>
      <c r="L302" s="27" t="n">
        <v>1</v>
      </c>
      <c r="M302" s="28" t="n">
        <f aca="false">IF(H307="WIN",1,0)</f>
        <v>1</v>
      </c>
      <c r="N302" s="4"/>
      <c r="O302" s="51"/>
      <c r="P302" s="51"/>
      <c r="Q302" s="51"/>
      <c r="R302" s="51"/>
      <c r="S302" s="51"/>
      <c r="T302" s="51"/>
      <c r="U302" s="51"/>
      <c r="V302" s="51"/>
      <c r="W302" s="51"/>
      <c r="X302" s="51"/>
      <c r="Y302" s="51"/>
      <c r="Z302" s="51"/>
      <c r="AA302" s="51"/>
      <c r="AB302" s="51"/>
    </row>
    <row r="303" customFormat="false" ht="15.75" hidden="false" customHeight="false" outlineLevel="0" collapsed="false">
      <c r="A303" s="25" t="s">
        <v>91</v>
      </c>
      <c r="B303" s="25"/>
      <c r="C303" s="25"/>
      <c r="D303" s="26" t="n">
        <v>1</v>
      </c>
      <c r="E303" s="27" t="n">
        <v>1</v>
      </c>
      <c r="F303" s="28" t="n">
        <f aca="false">IF(A307="WIN",1,0)</f>
        <v>0</v>
      </c>
      <c r="G303" s="29"/>
      <c r="H303" s="25" t="s">
        <v>19</v>
      </c>
      <c r="I303" s="25"/>
      <c r="J303" s="25"/>
      <c r="K303" s="26" t="n">
        <v>1</v>
      </c>
      <c r="L303" s="27" t="n">
        <v>0</v>
      </c>
      <c r="M303" s="28" t="n">
        <f aca="false">IF(H307="WIN",1,0)</f>
        <v>1</v>
      </c>
      <c r="N303" s="4"/>
      <c r="O303" s="51"/>
      <c r="P303" s="51"/>
      <c r="Q303" s="51"/>
      <c r="R303" s="51"/>
      <c r="S303" s="51"/>
      <c r="T303" s="51"/>
      <c r="U303" s="51"/>
      <c r="V303" s="51"/>
      <c r="W303" s="51"/>
      <c r="X303" s="51"/>
      <c r="Y303" s="51"/>
      <c r="Z303" s="51"/>
      <c r="AA303" s="51"/>
      <c r="AB303" s="51"/>
    </row>
    <row r="304" customFormat="false" ht="15.75" hidden="false" customHeight="false" outlineLevel="0" collapsed="false">
      <c r="A304" s="25" t="s">
        <v>52</v>
      </c>
      <c r="B304" s="25"/>
      <c r="C304" s="25"/>
      <c r="D304" s="26" t="n">
        <v>0</v>
      </c>
      <c r="E304" s="27" t="n">
        <v>1</v>
      </c>
      <c r="F304" s="28" t="n">
        <f aca="false">IF(A307="WIN",1,0)</f>
        <v>0</v>
      </c>
      <c r="G304" s="29"/>
      <c r="H304" s="25" t="s">
        <v>16</v>
      </c>
      <c r="I304" s="25"/>
      <c r="J304" s="25"/>
      <c r="K304" s="26" t="n">
        <v>1</v>
      </c>
      <c r="L304" s="27" t="n">
        <v>0</v>
      </c>
      <c r="M304" s="28" t="n">
        <f aca="false">IF(H307="WIN",1,0)</f>
        <v>1</v>
      </c>
      <c r="N304" s="4"/>
      <c r="O304" s="51"/>
      <c r="P304" s="51"/>
      <c r="Q304" s="51"/>
      <c r="R304" s="51"/>
      <c r="S304" s="51"/>
      <c r="T304" s="51"/>
      <c r="U304" s="51"/>
      <c r="V304" s="51"/>
      <c r="W304" s="51"/>
      <c r="X304" s="51"/>
      <c r="Y304" s="51"/>
      <c r="Z304" s="51"/>
      <c r="AA304" s="51"/>
      <c r="AB304" s="51"/>
    </row>
    <row r="305" customFormat="false" ht="15.75" hidden="false" customHeight="false" outlineLevel="0" collapsed="false">
      <c r="A305" s="25" t="s">
        <v>49</v>
      </c>
      <c r="B305" s="25"/>
      <c r="C305" s="25"/>
      <c r="D305" s="26" t="n">
        <v>1</v>
      </c>
      <c r="E305" s="27" t="n">
        <v>1</v>
      </c>
      <c r="F305" s="28" t="n">
        <f aca="false">IF(A307="WIN",1,0)</f>
        <v>0</v>
      </c>
      <c r="G305" s="29"/>
      <c r="H305" s="25" t="s">
        <v>87</v>
      </c>
      <c r="I305" s="25"/>
      <c r="J305" s="25"/>
      <c r="K305" s="26" t="n">
        <v>1</v>
      </c>
      <c r="L305" s="27" t="n">
        <v>1</v>
      </c>
      <c r="M305" s="28" t="n">
        <f aca="false">IF(H307="WIN",1,0)</f>
        <v>1</v>
      </c>
      <c r="N305" s="4"/>
      <c r="O305" s="51"/>
      <c r="P305" s="51"/>
      <c r="Q305" s="51"/>
      <c r="R305" s="51"/>
      <c r="S305" s="51"/>
      <c r="T305" s="51"/>
      <c r="U305" s="51"/>
      <c r="V305" s="51"/>
      <c r="W305" s="51"/>
      <c r="X305" s="51"/>
      <c r="Y305" s="51"/>
      <c r="Z305" s="51"/>
      <c r="AA305" s="51"/>
      <c r="AB305" s="51"/>
    </row>
    <row r="306" customFormat="false" ht="15.75" hidden="false" customHeight="false" outlineLevel="0" collapsed="false">
      <c r="A306" s="32" t="s">
        <v>90</v>
      </c>
      <c r="B306" s="32"/>
      <c r="C306" s="32"/>
      <c r="D306" s="33" t="n">
        <v>0</v>
      </c>
      <c r="E306" s="34" t="n">
        <v>1</v>
      </c>
      <c r="F306" s="28" t="n">
        <f aca="false">IF(A307="WIN",1,0)</f>
        <v>0</v>
      </c>
      <c r="G306" s="29"/>
      <c r="H306" s="32" t="s">
        <v>103</v>
      </c>
      <c r="I306" s="32"/>
      <c r="J306" s="32"/>
      <c r="K306" s="33" t="n">
        <v>1</v>
      </c>
      <c r="L306" s="34" t="n">
        <v>0</v>
      </c>
      <c r="M306" s="28" t="n">
        <f aca="false">IF(H307="WIN",1,0)</f>
        <v>1</v>
      </c>
      <c r="N306" s="4"/>
      <c r="O306" s="51"/>
      <c r="P306" s="51"/>
      <c r="Q306" s="51"/>
      <c r="R306" s="51"/>
      <c r="S306" s="51"/>
      <c r="T306" s="51"/>
      <c r="U306" s="51"/>
      <c r="V306" s="51"/>
      <c r="W306" s="51"/>
      <c r="X306" s="51"/>
      <c r="Y306" s="51"/>
      <c r="Z306" s="51"/>
      <c r="AA306" s="51"/>
      <c r="AB306" s="51"/>
    </row>
    <row r="307" customFormat="false" ht="15.75" hidden="false" customHeight="false" outlineLevel="0" collapsed="false">
      <c r="A307" s="35" t="s">
        <v>10</v>
      </c>
      <c r="B307" s="35"/>
      <c r="C307" s="35"/>
      <c r="D307" s="36"/>
      <c r="E307" s="37"/>
      <c r="F307" s="38"/>
      <c r="G307" s="39"/>
      <c r="H307" s="35" t="s">
        <v>11</v>
      </c>
      <c r="I307" s="35"/>
      <c r="J307" s="35"/>
      <c r="K307" s="41"/>
      <c r="L307" s="37"/>
      <c r="M307" s="38"/>
      <c r="N307" s="4"/>
      <c r="O307" s="52"/>
      <c r="P307" s="52"/>
      <c r="Q307" s="52"/>
      <c r="R307" s="52"/>
      <c r="S307" s="52"/>
      <c r="T307" s="52"/>
      <c r="U307" s="52"/>
      <c r="V307" s="52"/>
      <c r="W307" s="52"/>
      <c r="X307" s="52"/>
      <c r="Y307" s="52"/>
      <c r="Z307" s="52"/>
      <c r="AA307" s="52"/>
      <c r="AB307" s="52"/>
    </row>
    <row r="308" customFormat="false" ht="15.75" hidden="false" customHeight="false" outlineLevel="0" collapsed="false">
      <c r="A308" s="10" t="s">
        <v>4</v>
      </c>
      <c r="B308" s="10"/>
      <c r="C308" s="10"/>
      <c r="D308" s="11" t="s">
        <v>5</v>
      </c>
      <c r="E308" s="12" t="s">
        <v>6</v>
      </c>
      <c r="F308" s="13" t="s">
        <v>7</v>
      </c>
      <c r="G308" s="14"/>
      <c r="H308" s="15" t="s">
        <v>8</v>
      </c>
      <c r="I308" s="15"/>
      <c r="J308" s="15"/>
      <c r="K308" s="11" t="s">
        <v>5</v>
      </c>
      <c r="L308" s="12" t="s">
        <v>6</v>
      </c>
      <c r="M308" s="13" t="s">
        <v>7</v>
      </c>
      <c r="N308" s="4"/>
      <c r="O308" s="52"/>
      <c r="P308" s="52"/>
      <c r="Q308" s="52"/>
      <c r="R308" s="52"/>
      <c r="S308" s="52"/>
      <c r="T308" s="52"/>
      <c r="U308" s="52"/>
      <c r="V308" s="52"/>
      <c r="W308" s="52"/>
      <c r="X308" s="52"/>
      <c r="Y308" s="52"/>
      <c r="Z308" s="52"/>
      <c r="AA308" s="52"/>
      <c r="AB308" s="52"/>
    </row>
    <row r="309" customFormat="false" ht="15.75" hidden="false" customHeight="false" outlineLevel="0" collapsed="false">
      <c r="A309" s="23" t="str">
        <f aca="false">BBG!$G$1</f>
        <v>Berlin Bronzong</v>
      </c>
      <c r="B309" s="23"/>
      <c r="C309" s="23"/>
      <c r="D309" s="19"/>
      <c r="E309" s="20"/>
      <c r="F309" s="21" t="str">
        <f aca="false">IF(A316="WIN","W",IF(A316="LOSE","L",""))</f>
        <v>L</v>
      </c>
      <c r="G309" s="22"/>
      <c r="H309" s="23" t="str">
        <f aca="false">JVJ!$G$1</f>
        <v>Jacksonville Jumpluffs</v>
      </c>
      <c r="I309" s="23"/>
      <c r="J309" s="23"/>
      <c r="K309" s="19"/>
      <c r="L309" s="20"/>
      <c r="M309" s="21" t="str">
        <f aca="false">IF(H316="WIN","W",IF(H316="LOSE","L",""))</f>
        <v>W</v>
      </c>
      <c r="N309" s="4"/>
      <c r="O309" s="53"/>
      <c r="P309" s="53"/>
      <c r="Q309" s="53"/>
      <c r="R309" s="53"/>
      <c r="S309" s="53"/>
      <c r="T309" s="53"/>
      <c r="U309" s="53"/>
      <c r="V309" s="53"/>
      <c r="W309" s="53"/>
      <c r="X309" s="53"/>
      <c r="Y309" s="53"/>
      <c r="Z309" s="53"/>
      <c r="AA309" s="53"/>
      <c r="AB309" s="53"/>
    </row>
    <row r="310" customFormat="false" ht="15.75" hidden="false" customHeight="false" outlineLevel="0" collapsed="false">
      <c r="A310" s="56"/>
      <c r="B310" s="56"/>
      <c r="C310" s="56"/>
      <c r="D310" s="26"/>
      <c r="E310" s="27"/>
      <c r="F310" s="28" t="n">
        <f aca="false">IF(A316="WIN",1,0)</f>
        <v>0</v>
      </c>
      <c r="G310" s="29"/>
      <c r="H310" s="56"/>
      <c r="I310" s="56"/>
      <c r="J310" s="56"/>
      <c r="K310" s="26"/>
      <c r="L310" s="27"/>
      <c r="M310" s="28" t="n">
        <f aca="false">IF(H316="WIN",1,0)</f>
        <v>1</v>
      </c>
      <c r="N310" s="4"/>
      <c r="O310" s="51"/>
      <c r="P310" s="51"/>
      <c r="Q310" s="51"/>
      <c r="R310" s="51"/>
      <c r="S310" s="51"/>
      <c r="T310" s="51"/>
      <c r="U310" s="51"/>
      <c r="V310" s="51"/>
      <c r="W310" s="51"/>
      <c r="X310" s="51"/>
      <c r="Y310" s="51"/>
      <c r="Z310" s="51"/>
      <c r="AA310" s="51"/>
      <c r="AB310" s="51"/>
    </row>
    <row r="311" customFormat="false" ht="15.75" hidden="false" customHeight="false" outlineLevel="0" collapsed="false">
      <c r="A311" s="25"/>
      <c r="B311" s="25"/>
      <c r="C311" s="25"/>
      <c r="D311" s="26"/>
      <c r="E311" s="27"/>
      <c r="F311" s="28" t="n">
        <f aca="false">IF(A316="WIN",1,0)</f>
        <v>0</v>
      </c>
      <c r="G311" s="29"/>
      <c r="H311" s="25"/>
      <c r="I311" s="25"/>
      <c r="J311" s="25"/>
      <c r="K311" s="26"/>
      <c r="L311" s="27"/>
      <c r="M311" s="28" t="n">
        <f aca="false">IF(H316="WIN",1,0)</f>
        <v>1</v>
      </c>
      <c r="N311" s="4"/>
      <c r="O311" s="51"/>
      <c r="P311" s="51"/>
      <c r="Q311" s="51"/>
      <c r="R311" s="51"/>
      <c r="S311" s="51"/>
      <c r="T311" s="51"/>
      <c r="U311" s="51"/>
      <c r="V311" s="51"/>
      <c r="W311" s="51"/>
      <c r="X311" s="51"/>
      <c r="Y311" s="51"/>
      <c r="Z311" s="51"/>
      <c r="AA311" s="51"/>
      <c r="AB311" s="51"/>
    </row>
    <row r="312" customFormat="false" ht="15.75" hidden="false" customHeight="false" outlineLevel="0" collapsed="false">
      <c r="A312" s="25"/>
      <c r="B312" s="25"/>
      <c r="C312" s="25"/>
      <c r="D312" s="26"/>
      <c r="E312" s="27"/>
      <c r="F312" s="28" t="n">
        <f aca="false">IF(A316="WIN",1,0)</f>
        <v>0</v>
      </c>
      <c r="G312" s="29"/>
      <c r="H312" s="25"/>
      <c r="I312" s="25"/>
      <c r="J312" s="25"/>
      <c r="K312" s="26"/>
      <c r="L312" s="27"/>
      <c r="M312" s="28" t="n">
        <f aca="false">IF(H316="WIN",1,0)</f>
        <v>1</v>
      </c>
      <c r="N312" s="4"/>
      <c r="O312" s="51"/>
      <c r="P312" s="51"/>
      <c r="Q312" s="51"/>
      <c r="R312" s="51"/>
      <c r="S312" s="51"/>
      <c r="T312" s="51"/>
      <c r="U312" s="51"/>
      <c r="V312" s="51"/>
      <c r="W312" s="51"/>
      <c r="X312" s="51"/>
      <c r="Y312" s="51"/>
      <c r="Z312" s="51"/>
      <c r="AA312" s="51"/>
      <c r="AB312" s="51"/>
    </row>
    <row r="313" customFormat="false" ht="15.75" hidden="false" customHeight="false" outlineLevel="0" collapsed="false">
      <c r="A313" s="25"/>
      <c r="B313" s="25"/>
      <c r="C313" s="25"/>
      <c r="D313" s="26"/>
      <c r="E313" s="27"/>
      <c r="F313" s="28" t="n">
        <f aca="false">IF(A316="WIN",1,0)</f>
        <v>0</v>
      </c>
      <c r="G313" s="29"/>
      <c r="H313" s="25"/>
      <c r="I313" s="25"/>
      <c r="J313" s="25"/>
      <c r="K313" s="26"/>
      <c r="L313" s="27"/>
      <c r="M313" s="28" t="n">
        <f aca="false">IF(H316="WIN",1,0)</f>
        <v>1</v>
      </c>
      <c r="N313" s="4"/>
      <c r="O313" s="51"/>
      <c r="P313" s="51"/>
      <c r="Q313" s="51"/>
      <c r="R313" s="51"/>
      <c r="S313" s="51"/>
      <c r="T313" s="51"/>
      <c r="U313" s="51"/>
      <c r="V313" s="51"/>
      <c r="W313" s="51"/>
      <c r="X313" s="51"/>
      <c r="Y313" s="51"/>
      <c r="Z313" s="51"/>
      <c r="AA313" s="51"/>
      <c r="AB313" s="51"/>
    </row>
    <row r="314" customFormat="false" ht="15.75" hidden="false" customHeight="false" outlineLevel="0" collapsed="false">
      <c r="A314" s="25"/>
      <c r="B314" s="25"/>
      <c r="C314" s="25"/>
      <c r="D314" s="26"/>
      <c r="E314" s="27"/>
      <c r="F314" s="28" t="n">
        <f aca="false">IF(A316="WIN",1,0)</f>
        <v>0</v>
      </c>
      <c r="G314" s="29"/>
      <c r="H314" s="25"/>
      <c r="I314" s="25"/>
      <c r="J314" s="25"/>
      <c r="K314" s="26"/>
      <c r="L314" s="27"/>
      <c r="M314" s="28" t="n">
        <f aca="false">IF(H316="WIN",1,0)</f>
        <v>1</v>
      </c>
      <c r="N314" s="4"/>
      <c r="O314" s="51"/>
      <c r="P314" s="51"/>
      <c r="Q314" s="51"/>
      <c r="R314" s="51"/>
      <c r="S314" s="51"/>
      <c r="T314" s="51"/>
      <c r="U314" s="51"/>
      <c r="V314" s="51"/>
      <c r="W314" s="51"/>
      <c r="X314" s="51"/>
      <c r="Y314" s="51"/>
      <c r="Z314" s="51"/>
      <c r="AA314" s="51"/>
      <c r="AB314" s="51"/>
    </row>
    <row r="315" customFormat="false" ht="15.75" hidden="false" customHeight="false" outlineLevel="0" collapsed="false">
      <c r="A315" s="32"/>
      <c r="B315" s="32"/>
      <c r="C315" s="32"/>
      <c r="D315" s="33"/>
      <c r="E315" s="34"/>
      <c r="F315" s="28" t="n">
        <f aca="false">IF(A316="WIN",1,0)</f>
        <v>0</v>
      </c>
      <c r="G315" s="29"/>
      <c r="H315" s="32"/>
      <c r="I315" s="32"/>
      <c r="J315" s="32"/>
      <c r="K315" s="33"/>
      <c r="L315" s="34"/>
      <c r="M315" s="28" t="n">
        <f aca="false">IF(H316="WIN",1,0)</f>
        <v>1</v>
      </c>
      <c r="N315" s="4"/>
      <c r="O315" s="51"/>
      <c r="P315" s="51"/>
      <c r="Q315" s="51"/>
      <c r="R315" s="51"/>
      <c r="S315" s="51"/>
      <c r="T315" s="51"/>
      <c r="U315" s="51"/>
      <c r="V315" s="51"/>
      <c r="W315" s="51"/>
      <c r="X315" s="51"/>
      <c r="Y315" s="51"/>
      <c r="Z315" s="51"/>
      <c r="AA315" s="51"/>
      <c r="AB315" s="51"/>
    </row>
    <row r="316" customFormat="false" ht="15.75" hidden="false" customHeight="false" outlineLevel="0" collapsed="false">
      <c r="A316" s="35" t="s">
        <v>10</v>
      </c>
      <c r="B316" s="35"/>
      <c r="C316" s="35"/>
      <c r="D316" s="36"/>
      <c r="E316" s="37"/>
      <c r="F316" s="38"/>
      <c r="G316" s="39"/>
      <c r="H316" s="35" t="s">
        <v>11</v>
      </c>
      <c r="I316" s="35"/>
      <c r="J316" s="35"/>
      <c r="K316" s="41"/>
      <c r="L316" s="37"/>
      <c r="M316" s="38"/>
      <c r="N316" s="4"/>
      <c r="O316" s="52"/>
      <c r="P316" s="52"/>
      <c r="Q316" s="52"/>
      <c r="R316" s="52"/>
      <c r="S316" s="52"/>
      <c r="T316" s="52"/>
      <c r="U316" s="52"/>
      <c r="V316" s="52"/>
      <c r="W316" s="52"/>
      <c r="X316" s="52"/>
      <c r="Y316" s="52"/>
      <c r="Z316" s="52"/>
      <c r="AA316" s="52"/>
      <c r="AB316" s="52"/>
    </row>
    <row r="317" customFormat="false" ht="15.75" hidden="false" customHeight="false" outlineLevel="0" collapsed="false">
      <c r="A317" s="10" t="s">
        <v>4</v>
      </c>
      <c r="B317" s="10"/>
      <c r="C317" s="10"/>
      <c r="D317" s="11" t="s">
        <v>5</v>
      </c>
      <c r="E317" s="12" t="s">
        <v>6</v>
      </c>
      <c r="F317" s="13" t="s">
        <v>7</v>
      </c>
      <c r="G317" s="14"/>
      <c r="H317" s="15" t="s">
        <v>8</v>
      </c>
      <c r="I317" s="15"/>
      <c r="J317" s="15"/>
      <c r="K317" s="11" t="s">
        <v>5</v>
      </c>
      <c r="L317" s="12" t="s">
        <v>6</v>
      </c>
      <c r="M317" s="13" t="s">
        <v>7</v>
      </c>
      <c r="N317" s="4"/>
      <c r="O317" s="52"/>
      <c r="P317" s="52"/>
      <c r="Q317" s="52"/>
      <c r="R317" s="52"/>
      <c r="S317" s="52"/>
      <c r="T317" s="52"/>
      <c r="U317" s="52"/>
      <c r="V317" s="52"/>
      <c r="W317" s="52"/>
      <c r="X317" s="52"/>
      <c r="Y317" s="52"/>
      <c r="Z317" s="52"/>
      <c r="AA317" s="52"/>
      <c r="AB317" s="52"/>
    </row>
    <row r="318" customFormat="false" ht="15.75" hidden="false" customHeight="false" outlineLevel="0" collapsed="false">
      <c r="A318" s="18" t="str">
        <f aca="false">LVC!$G$1</f>
        <v>Louisville Crobats</v>
      </c>
      <c r="B318" s="18"/>
      <c r="C318" s="18"/>
      <c r="D318" s="19"/>
      <c r="E318" s="20"/>
      <c r="F318" s="21" t="str">
        <f aca="false">IF(A325="WIN","W",IF(A325="LOSE","L",""))</f>
        <v>L</v>
      </c>
      <c r="G318" s="22"/>
      <c r="H318" s="18" t="str">
        <f aca="false">SGP!$G$1</f>
        <v>Slung Patrol</v>
      </c>
      <c r="I318" s="18"/>
      <c r="J318" s="18"/>
      <c r="K318" s="19"/>
      <c r="L318" s="20"/>
      <c r="M318" s="21" t="str">
        <f aca="false">IF(H325="WIN","W",IF(H325="LOSE","L",""))</f>
        <v>W</v>
      </c>
      <c r="N318" s="4"/>
      <c r="O318" s="53"/>
      <c r="P318" s="53"/>
      <c r="Q318" s="53"/>
      <c r="R318" s="53"/>
      <c r="S318" s="53"/>
      <c r="T318" s="53"/>
      <c r="U318" s="53"/>
      <c r="V318" s="53"/>
      <c r="W318" s="53"/>
      <c r="X318" s="53"/>
      <c r="Y318" s="53"/>
      <c r="Z318" s="53"/>
      <c r="AA318" s="53"/>
      <c r="AB318" s="53"/>
    </row>
    <row r="319" customFormat="false" ht="15.75" hidden="false" customHeight="false" outlineLevel="0" collapsed="false">
      <c r="A319" s="56"/>
      <c r="B319" s="56"/>
      <c r="C319" s="56"/>
      <c r="D319" s="26"/>
      <c r="E319" s="27"/>
      <c r="F319" s="28" t="n">
        <f aca="false">IF(A325="WIN",1,0)</f>
        <v>0</v>
      </c>
      <c r="G319" s="29"/>
      <c r="H319" s="56"/>
      <c r="I319" s="56"/>
      <c r="J319" s="56"/>
      <c r="K319" s="26"/>
      <c r="L319" s="27"/>
      <c r="M319" s="28" t="n">
        <f aca="false">IF(H325="WIN",1,0)</f>
        <v>1</v>
      </c>
      <c r="N319" s="4"/>
      <c r="O319" s="51"/>
      <c r="P319" s="51"/>
      <c r="Q319" s="51"/>
      <c r="R319" s="51"/>
      <c r="S319" s="51"/>
      <c r="T319" s="51"/>
      <c r="U319" s="51"/>
      <c r="V319" s="51"/>
      <c r="W319" s="51"/>
      <c r="X319" s="51"/>
      <c r="Y319" s="51"/>
      <c r="Z319" s="51"/>
      <c r="AA319" s="51"/>
      <c r="AB319" s="51"/>
    </row>
    <row r="320" customFormat="false" ht="15.75" hidden="false" customHeight="false" outlineLevel="0" collapsed="false">
      <c r="A320" s="25"/>
      <c r="B320" s="25"/>
      <c r="C320" s="25"/>
      <c r="D320" s="26"/>
      <c r="E320" s="27"/>
      <c r="F320" s="28" t="n">
        <f aca="false">IF(A325="WIN",1,0)</f>
        <v>0</v>
      </c>
      <c r="G320" s="29"/>
      <c r="H320" s="25"/>
      <c r="I320" s="25"/>
      <c r="J320" s="25"/>
      <c r="K320" s="26"/>
      <c r="L320" s="27"/>
      <c r="M320" s="28" t="n">
        <f aca="false">IF(H325="WIN",1,0)</f>
        <v>1</v>
      </c>
      <c r="N320" s="4"/>
      <c r="O320" s="51"/>
      <c r="P320" s="51"/>
      <c r="Q320" s="51"/>
      <c r="R320" s="51"/>
      <c r="S320" s="51"/>
      <c r="T320" s="51"/>
      <c r="U320" s="51"/>
      <c r="V320" s="51"/>
      <c r="W320" s="51"/>
      <c r="X320" s="51"/>
      <c r="Y320" s="51"/>
      <c r="Z320" s="51"/>
      <c r="AA320" s="51"/>
      <c r="AB320" s="51"/>
    </row>
    <row r="321" customFormat="false" ht="15.75" hidden="false" customHeight="false" outlineLevel="0" collapsed="false">
      <c r="A321" s="25"/>
      <c r="B321" s="25"/>
      <c r="C321" s="25"/>
      <c r="D321" s="26"/>
      <c r="E321" s="27"/>
      <c r="F321" s="28" t="n">
        <f aca="false">IF(A325="WIN",1,0)</f>
        <v>0</v>
      </c>
      <c r="G321" s="29"/>
      <c r="H321" s="25"/>
      <c r="I321" s="25"/>
      <c r="J321" s="25"/>
      <c r="K321" s="26"/>
      <c r="L321" s="27"/>
      <c r="M321" s="28" t="n">
        <f aca="false">IF(H325="WIN",1,0)</f>
        <v>1</v>
      </c>
      <c r="N321" s="4"/>
      <c r="O321" s="51"/>
      <c r="P321" s="51"/>
      <c r="Q321" s="51"/>
      <c r="R321" s="51"/>
      <c r="S321" s="51"/>
      <c r="T321" s="51"/>
      <c r="U321" s="51"/>
      <c r="V321" s="51"/>
      <c r="W321" s="51"/>
      <c r="X321" s="51"/>
      <c r="Y321" s="51"/>
      <c r="Z321" s="51"/>
      <c r="AA321" s="51"/>
      <c r="AB321" s="51"/>
    </row>
    <row r="322" customFormat="false" ht="15.75" hidden="false" customHeight="false" outlineLevel="0" collapsed="false">
      <c r="A322" s="25"/>
      <c r="B322" s="25"/>
      <c r="C322" s="25"/>
      <c r="D322" s="26"/>
      <c r="E322" s="27"/>
      <c r="F322" s="28" t="n">
        <f aca="false">IF(A325="WIN",1,0)</f>
        <v>0</v>
      </c>
      <c r="G322" s="29"/>
      <c r="H322" s="25"/>
      <c r="I322" s="25"/>
      <c r="J322" s="25"/>
      <c r="K322" s="26"/>
      <c r="L322" s="27"/>
      <c r="M322" s="28" t="n">
        <f aca="false">IF(H325="WIN",1,0)</f>
        <v>1</v>
      </c>
      <c r="N322" s="4"/>
      <c r="O322" s="51"/>
      <c r="P322" s="51"/>
      <c r="Q322" s="51"/>
      <c r="R322" s="51"/>
      <c r="S322" s="51"/>
      <c r="T322" s="51"/>
      <c r="U322" s="51"/>
      <c r="V322" s="51"/>
      <c r="W322" s="51"/>
      <c r="X322" s="51"/>
      <c r="Y322" s="51"/>
      <c r="Z322" s="51"/>
      <c r="AA322" s="51"/>
      <c r="AB322" s="51"/>
    </row>
    <row r="323" customFormat="false" ht="15.75" hidden="false" customHeight="false" outlineLevel="0" collapsed="false">
      <c r="A323" s="25"/>
      <c r="B323" s="25"/>
      <c r="C323" s="25"/>
      <c r="D323" s="26"/>
      <c r="E323" s="27"/>
      <c r="F323" s="28" t="n">
        <f aca="false">IF(A325="WIN",1,0)</f>
        <v>0</v>
      </c>
      <c r="G323" s="29"/>
      <c r="H323" s="25"/>
      <c r="I323" s="25"/>
      <c r="J323" s="25"/>
      <c r="K323" s="26"/>
      <c r="L323" s="27"/>
      <c r="M323" s="28" t="n">
        <f aca="false">IF(H325="WIN",1,0)</f>
        <v>1</v>
      </c>
      <c r="N323" s="4"/>
      <c r="O323" s="51"/>
      <c r="P323" s="51"/>
      <c r="Q323" s="51"/>
      <c r="R323" s="51"/>
      <c r="S323" s="51"/>
      <c r="T323" s="51"/>
      <c r="U323" s="51"/>
      <c r="V323" s="51"/>
      <c r="W323" s="51"/>
      <c r="X323" s="51"/>
      <c r="Y323" s="51"/>
      <c r="Z323" s="51"/>
      <c r="AA323" s="51"/>
      <c r="AB323" s="51"/>
    </row>
    <row r="324" customFormat="false" ht="15.75" hidden="false" customHeight="false" outlineLevel="0" collapsed="false">
      <c r="A324" s="32"/>
      <c r="B324" s="32"/>
      <c r="C324" s="32"/>
      <c r="D324" s="33"/>
      <c r="E324" s="34"/>
      <c r="F324" s="28" t="n">
        <f aca="false">IF(A325="WIN",1,0)</f>
        <v>0</v>
      </c>
      <c r="G324" s="29"/>
      <c r="H324" s="32"/>
      <c r="I324" s="32"/>
      <c r="J324" s="32"/>
      <c r="K324" s="33"/>
      <c r="L324" s="34"/>
      <c r="M324" s="28" t="n">
        <f aca="false">IF(H325="WIN",1,0)</f>
        <v>1</v>
      </c>
      <c r="N324" s="4"/>
      <c r="O324" s="51"/>
      <c r="P324" s="51"/>
      <c r="Q324" s="51"/>
      <c r="R324" s="51"/>
      <c r="S324" s="51"/>
      <c r="T324" s="51"/>
      <c r="U324" s="51"/>
      <c r="V324" s="51"/>
      <c r="W324" s="51"/>
      <c r="X324" s="51"/>
      <c r="Y324" s="51"/>
      <c r="Z324" s="51"/>
      <c r="AA324" s="51"/>
      <c r="AB324" s="51"/>
    </row>
    <row r="325" customFormat="false" ht="15.75" hidden="false" customHeight="false" outlineLevel="0" collapsed="false">
      <c r="A325" s="35" t="s">
        <v>10</v>
      </c>
      <c r="B325" s="35"/>
      <c r="C325" s="35"/>
      <c r="D325" s="36"/>
      <c r="E325" s="37"/>
      <c r="F325" s="38"/>
      <c r="G325" s="39"/>
      <c r="H325" s="35" t="s">
        <v>11</v>
      </c>
      <c r="I325" s="35"/>
      <c r="J325" s="35"/>
      <c r="K325" s="41"/>
      <c r="L325" s="37"/>
      <c r="M325" s="38"/>
      <c r="N325" s="4"/>
      <c r="O325" s="52"/>
      <c r="P325" s="52"/>
      <c r="Q325" s="52"/>
      <c r="R325" s="52"/>
      <c r="S325" s="52"/>
      <c r="T325" s="52"/>
      <c r="U325" s="52"/>
      <c r="V325" s="52"/>
      <c r="W325" s="52"/>
      <c r="X325" s="52"/>
      <c r="Y325" s="52"/>
      <c r="Z325" s="52"/>
      <c r="AA325" s="52"/>
      <c r="AB325" s="52"/>
    </row>
    <row r="326" customFormat="false" ht="15.75" hidden="false" customHeight="false" outlineLevel="0" collapsed="false">
      <c r="A326" s="10" t="s">
        <v>4</v>
      </c>
      <c r="B326" s="10"/>
      <c r="C326" s="10"/>
      <c r="D326" s="11" t="s">
        <v>5</v>
      </c>
      <c r="E326" s="12" t="s">
        <v>6</v>
      </c>
      <c r="F326" s="13" t="s">
        <v>7</v>
      </c>
      <c r="G326" s="14"/>
      <c r="H326" s="15" t="s">
        <v>8</v>
      </c>
      <c r="I326" s="15"/>
      <c r="J326" s="15"/>
      <c r="K326" s="11" t="s">
        <v>5</v>
      </c>
      <c r="L326" s="12" t="s">
        <v>6</v>
      </c>
      <c r="M326" s="13" t="s">
        <v>7</v>
      </c>
      <c r="N326" s="4"/>
      <c r="O326" s="52"/>
      <c r="P326" s="52"/>
      <c r="Q326" s="52"/>
      <c r="R326" s="52"/>
      <c r="S326" s="52"/>
      <c r="T326" s="52"/>
      <c r="U326" s="52"/>
      <c r="V326" s="52"/>
      <c r="W326" s="52"/>
      <c r="X326" s="52"/>
      <c r="Y326" s="52"/>
      <c r="Z326" s="52"/>
      <c r="AA326" s="52"/>
      <c r="AB326" s="52"/>
    </row>
    <row r="327" customFormat="false" ht="15.75" hidden="false" customHeight="false" outlineLevel="0" collapsed="false">
      <c r="A327" s="57" t="str">
        <f aca="false">BTB!$G$1</f>
        <v>Battlin Brelooms</v>
      </c>
      <c r="B327" s="57"/>
      <c r="C327" s="57"/>
      <c r="D327" s="19"/>
      <c r="E327" s="20"/>
      <c r="F327" s="21" t="str">
        <f aca="false">IF(A334="WIN","W",IF(A334="LOSE","L",""))</f>
        <v>L</v>
      </c>
      <c r="G327" s="22"/>
      <c r="H327" s="57" t="str">
        <f aca="false">FTT!$G$1</f>
        <v>Fortree Trevenants</v>
      </c>
      <c r="I327" s="57"/>
      <c r="J327" s="57"/>
      <c r="K327" s="19"/>
      <c r="L327" s="20"/>
      <c r="M327" s="21" t="str">
        <f aca="false">IF(H334="WIN","W",IF(H334="LOSE","L",""))</f>
        <v>W</v>
      </c>
      <c r="N327" s="4"/>
      <c r="O327" s="53"/>
      <c r="P327" s="53"/>
      <c r="Q327" s="53"/>
      <c r="R327" s="53"/>
      <c r="S327" s="53"/>
      <c r="T327" s="53"/>
      <c r="U327" s="53"/>
      <c r="V327" s="53"/>
      <c r="W327" s="53"/>
      <c r="X327" s="53"/>
      <c r="Y327" s="53"/>
      <c r="Z327" s="53"/>
      <c r="AA327" s="53"/>
      <c r="AB327" s="53"/>
    </row>
    <row r="328" customFormat="false" ht="15.75" hidden="false" customHeight="false" outlineLevel="0" collapsed="false">
      <c r="A328" s="56"/>
      <c r="B328" s="56"/>
      <c r="C328" s="56"/>
      <c r="D328" s="26"/>
      <c r="E328" s="27"/>
      <c r="F328" s="28" t="n">
        <f aca="false">IF(A334="WIN",1,0)</f>
        <v>0</v>
      </c>
      <c r="G328" s="29"/>
      <c r="H328" s="56"/>
      <c r="I328" s="56"/>
      <c r="J328" s="56"/>
      <c r="K328" s="26"/>
      <c r="L328" s="27"/>
      <c r="M328" s="28" t="n">
        <f aca="false">IF(H334="WIN",1,0)</f>
        <v>1</v>
      </c>
      <c r="N328" s="4"/>
      <c r="O328" s="51"/>
      <c r="P328" s="51"/>
      <c r="Q328" s="51"/>
      <c r="R328" s="51"/>
      <c r="S328" s="51"/>
      <c r="T328" s="51"/>
      <c r="U328" s="51"/>
      <c r="V328" s="51"/>
      <c r="W328" s="51"/>
      <c r="X328" s="51"/>
      <c r="Y328" s="51"/>
      <c r="Z328" s="51"/>
      <c r="AA328" s="51"/>
      <c r="AB328" s="51"/>
    </row>
    <row r="329" customFormat="false" ht="15.75" hidden="false" customHeight="false" outlineLevel="0" collapsed="false">
      <c r="A329" s="25"/>
      <c r="B329" s="25"/>
      <c r="C329" s="25"/>
      <c r="D329" s="26"/>
      <c r="E329" s="27"/>
      <c r="F329" s="28" t="n">
        <f aca="false">IF(A334="WIN",1,0)</f>
        <v>0</v>
      </c>
      <c r="G329" s="29"/>
      <c r="H329" s="25"/>
      <c r="I329" s="25"/>
      <c r="J329" s="25"/>
      <c r="K329" s="26"/>
      <c r="L329" s="27"/>
      <c r="M329" s="28" t="n">
        <f aca="false">IF(H334="WIN",1,0)</f>
        <v>1</v>
      </c>
      <c r="N329" s="4"/>
      <c r="O329" s="51"/>
      <c r="P329" s="51"/>
      <c r="Q329" s="51"/>
      <c r="R329" s="51"/>
      <c r="S329" s="51"/>
      <c r="T329" s="51"/>
      <c r="U329" s="51"/>
      <c r="V329" s="51"/>
      <c r="W329" s="51"/>
      <c r="X329" s="51"/>
      <c r="Y329" s="51"/>
      <c r="Z329" s="51"/>
      <c r="AA329" s="51"/>
      <c r="AB329" s="51"/>
    </row>
    <row r="330" customFormat="false" ht="15.75" hidden="false" customHeight="false" outlineLevel="0" collapsed="false">
      <c r="A330" s="25"/>
      <c r="B330" s="25"/>
      <c r="C330" s="25"/>
      <c r="D330" s="26"/>
      <c r="E330" s="27"/>
      <c r="F330" s="28" t="n">
        <f aca="false">IF(A334="WIN",1,0)</f>
        <v>0</v>
      </c>
      <c r="G330" s="29"/>
      <c r="H330" s="25"/>
      <c r="I330" s="25"/>
      <c r="J330" s="25"/>
      <c r="K330" s="26"/>
      <c r="L330" s="27"/>
      <c r="M330" s="28" t="n">
        <f aca="false">IF(H334="WIN",1,0)</f>
        <v>1</v>
      </c>
      <c r="N330" s="4"/>
      <c r="O330" s="51"/>
      <c r="P330" s="51"/>
      <c r="Q330" s="51"/>
      <c r="R330" s="51"/>
      <c r="S330" s="51"/>
      <c r="T330" s="51"/>
      <c r="U330" s="51"/>
      <c r="V330" s="51"/>
      <c r="W330" s="51"/>
      <c r="X330" s="51"/>
      <c r="Y330" s="51"/>
      <c r="Z330" s="51"/>
      <c r="AA330" s="51"/>
      <c r="AB330" s="51"/>
    </row>
    <row r="331" customFormat="false" ht="15.75" hidden="false" customHeight="false" outlineLevel="0" collapsed="false">
      <c r="A331" s="25"/>
      <c r="B331" s="25"/>
      <c r="C331" s="25"/>
      <c r="D331" s="26"/>
      <c r="E331" s="27"/>
      <c r="F331" s="28" t="n">
        <f aca="false">IF(A334="WIN",1,0)</f>
        <v>0</v>
      </c>
      <c r="G331" s="29"/>
      <c r="H331" s="25"/>
      <c r="I331" s="25"/>
      <c r="J331" s="25"/>
      <c r="K331" s="26"/>
      <c r="L331" s="27"/>
      <c r="M331" s="28" t="n">
        <f aca="false">IF(H334="WIN",1,0)</f>
        <v>1</v>
      </c>
      <c r="N331" s="4"/>
      <c r="O331" s="51"/>
      <c r="P331" s="51"/>
      <c r="Q331" s="51"/>
      <c r="R331" s="51"/>
      <c r="S331" s="51"/>
      <c r="T331" s="51"/>
      <c r="U331" s="51"/>
      <c r="V331" s="51"/>
      <c r="W331" s="51"/>
      <c r="X331" s="51"/>
      <c r="Y331" s="51"/>
      <c r="Z331" s="51"/>
      <c r="AA331" s="51"/>
      <c r="AB331" s="51"/>
    </row>
    <row r="332" customFormat="false" ht="15.75" hidden="false" customHeight="false" outlineLevel="0" collapsed="false">
      <c r="A332" s="25"/>
      <c r="B332" s="25"/>
      <c r="C332" s="25"/>
      <c r="D332" s="26"/>
      <c r="E332" s="27"/>
      <c r="F332" s="28" t="n">
        <f aca="false">IF(A334="WIN",1,0)</f>
        <v>0</v>
      </c>
      <c r="G332" s="29"/>
      <c r="H332" s="25"/>
      <c r="I332" s="25"/>
      <c r="J332" s="25"/>
      <c r="K332" s="26"/>
      <c r="L332" s="27"/>
      <c r="M332" s="28" t="n">
        <f aca="false">IF(H334="WIN",1,0)</f>
        <v>1</v>
      </c>
      <c r="N332" s="4"/>
      <c r="O332" s="51"/>
      <c r="P332" s="51"/>
      <c r="Q332" s="51"/>
      <c r="R332" s="51"/>
      <c r="S332" s="51"/>
      <c r="T332" s="51"/>
      <c r="U332" s="51"/>
      <c r="V332" s="51"/>
      <c r="W332" s="51"/>
      <c r="X332" s="51"/>
      <c r="Y332" s="51"/>
      <c r="Z332" s="51"/>
      <c r="AA332" s="51"/>
      <c r="AB332" s="51"/>
    </row>
    <row r="333" customFormat="false" ht="15.75" hidden="false" customHeight="false" outlineLevel="0" collapsed="false">
      <c r="A333" s="32"/>
      <c r="B333" s="32"/>
      <c r="C333" s="32"/>
      <c r="D333" s="33"/>
      <c r="E333" s="34"/>
      <c r="F333" s="28" t="n">
        <f aca="false">IF(A334="WIN",1,0)</f>
        <v>0</v>
      </c>
      <c r="G333" s="29"/>
      <c r="H333" s="32"/>
      <c r="I333" s="32"/>
      <c r="J333" s="32"/>
      <c r="K333" s="33"/>
      <c r="L333" s="34"/>
      <c r="M333" s="28" t="n">
        <f aca="false">IF(H334="WIN",1,0)</f>
        <v>1</v>
      </c>
      <c r="N333" s="4"/>
      <c r="O333" s="51"/>
      <c r="P333" s="51"/>
      <c r="Q333" s="51"/>
      <c r="R333" s="51"/>
      <c r="S333" s="51"/>
      <c r="T333" s="51"/>
      <c r="U333" s="51"/>
      <c r="V333" s="51"/>
      <c r="W333" s="51"/>
      <c r="X333" s="51"/>
      <c r="Y333" s="51"/>
      <c r="Z333" s="51"/>
      <c r="AA333" s="51"/>
      <c r="AB333" s="51"/>
    </row>
    <row r="334" customFormat="false" ht="15.75" hidden="false" customHeight="false" outlineLevel="0" collapsed="false">
      <c r="A334" s="35" t="s">
        <v>10</v>
      </c>
      <c r="B334" s="35"/>
      <c r="C334" s="35"/>
      <c r="D334" s="36"/>
      <c r="E334" s="37"/>
      <c r="F334" s="38"/>
      <c r="G334" s="39"/>
      <c r="H334" s="35" t="s">
        <v>11</v>
      </c>
      <c r="I334" s="35"/>
      <c r="J334" s="35"/>
      <c r="K334" s="41"/>
      <c r="L334" s="37"/>
      <c r="M334" s="38"/>
      <c r="N334" s="4"/>
      <c r="O334" s="52"/>
      <c r="P334" s="52"/>
      <c r="Q334" s="52"/>
      <c r="R334" s="52"/>
      <c r="S334" s="52"/>
      <c r="T334" s="52"/>
      <c r="U334" s="52"/>
      <c r="V334" s="52"/>
      <c r="W334" s="52"/>
      <c r="X334" s="52"/>
      <c r="Y334" s="52"/>
      <c r="Z334" s="52"/>
      <c r="AA334" s="52"/>
      <c r="AB334" s="52"/>
    </row>
    <row r="335" customFormat="false" ht="17.25" hidden="false" customHeight="false" outlineLevel="0" collapsed="false">
      <c r="A335" s="6" t="s">
        <v>35</v>
      </c>
      <c r="B335" s="6"/>
      <c r="C335" s="6"/>
      <c r="D335" s="6"/>
      <c r="E335" s="6"/>
      <c r="F335" s="6"/>
      <c r="G335" s="6"/>
      <c r="H335" s="6"/>
      <c r="I335" s="6"/>
      <c r="J335" s="6"/>
      <c r="K335" s="6"/>
      <c r="L335" s="6"/>
      <c r="M335" s="6"/>
      <c r="N335" s="4"/>
      <c r="O335" s="55"/>
      <c r="P335" s="55"/>
      <c r="Q335" s="55"/>
      <c r="R335" s="55"/>
      <c r="S335" s="55"/>
      <c r="T335" s="55"/>
      <c r="U335" s="55"/>
      <c r="V335" s="55"/>
      <c r="W335" s="55"/>
      <c r="X335" s="55"/>
      <c r="Y335" s="55"/>
      <c r="Z335" s="55"/>
      <c r="AA335" s="55"/>
      <c r="AB335" s="55"/>
    </row>
    <row r="336" customFormat="false" ht="15.75" hidden="false" customHeight="false" outlineLevel="0" collapsed="false">
      <c r="A336" s="10" t="s">
        <v>4</v>
      </c>
      <c r="B336" s="10"/>
      <c r="C336" s="10"/>
      <c r="D336" s="11" t="s">
        <v>5</v>
      </c>
      <c r="E336" s="12" t="s">
        <v>6</v>
      </c>
      <c r="F336" s="13" t="s">
        <v>7</v>
      </c>
      <c r="G336" s="14"/>
      <c r="H336" s="15" t="s">
        <v>8</v>
      </c>
      <c r="I336" s="15"/>
      <c r="J336" s="15"/>
      <c r="K336" s="11" t="s">
        <v>5</v>
      </c>
      <c r="L336" s="12" t="s">
        <v>6</v>
      </c>
      <c r="M336" s="13" t="s">
        <v>7</v>
      </c>
      <c r="N336" s="4"/>
      <c r="O336" s="52"/>
      <c r="P336" s="52"/>
      <c r="Q336" s="52"/>
      <c r="R336" s="52"/>
      <c r="S336" s="52"/>
      <c r="T336" s="52"/>
      <c r="U336" s="52"/>
      <c r="V336" s="52"/>
      <c r="W336" s="52"/>
      <c r="X336" s="52"/>
      <c r="Y336" s="52"/>
      <c r="Z336" s="52"/>
      <c r="AA336" s="52"/>
      <c r="AB336" s="52"/>
    </row>
    <row r="337" customFormat="false" ht="15.75" hidden="false" customHeight="false" outlineLevel="0" collapsed="false">
      <c r="A337" s="18" t="str">
        <f aca="false">KKS!$G$1</f>
        <v>Kingston Kecleons</v>
      </c>
      <c r="B337" s="18"/>
      <c r="C337" s="18"/>
      <c r="D337" s="19"/>
      <c r="E337" s="20"/>
      <c r="F337" s="21" t="str">
        <f aca="false">IF(A344="WIN","W",IF(A344="LOSE","L",""))</f>
        <v>W</v>
      </c>
      <c r="G337" s="22"/>
      <c r="H337" s="18" t="str">
        <f aca="false">LVC!$G$1</f>
        <v>Louisville Crobats</v>
      </c>
      <c r="I337" s="18"/>
      <c r="J337" s="18"/>
      <c r="K337" s="19"/>
      <c r="L337" s="20"/>
      <c r="M337" s="21" t="str">
        <f aca="false">IF(H344="WIN","W",IF(H344="LOSE","L",""))</f>
        <v>L</v>
      </c>
      <c r="N337" s="4"/>
      <c r="O337" s="53"/>
      <c r="P337" s="53"/>
      <c r="Q337" s="53"/>
      <c r="R337" s="53"/>
      <c r="S337" s="53"/>
      <c r="T337" s="53"/>
      <c r="U337" s="53"/>
      <c r="V337" s="53"/>
      <c r="W337" s="53"/>
      <c r="X337" s="53"/>
      <c r="Y337" s="53"/>
      <c r="Z337" s="53"/>
      <c r="AA337" s="53"/>
      <c r="AB337" s="53"/>
    </row>
    <row r="338" customFormat="false" ht="15.75" hidden="false" customHeight="false" outlineLevel="0" collapsed="false">
      <c r="A338" s="25"/>
      <c r="B338" s="25"/>
      <c r="C338" s="25"/>
      <c r="D338" s="26"/>
      <c r="E338" s="27"/>
      <c r="F338" s="28" t="n">
        <f aca="false">IF(A344="WIN",1,0)</f>
        <v>1</v>
      </c>
      <c r="G338" s="29"/>
      <c r="H338" s="56"/>
      <c r="I338" s="56"/>
      <c r="J338" s="56"/>
      <c r="K338" s="26"/>
      <c r="L338" s="27"/>
      <c r="M338" s="28" t="n">
        <f aca="false">IF(H344="WIN",1,0)</f>
        <v>0</v>
      </c>
      <c r="N338" s="4"/>
      <c r="O338" s="51"/>
      <c r="P338" s="51"/>
      <c r="Q338" s="51"/>
      <c r="R338" s="51"/>
      <c r="S338" s="51"/>
      <c r="T338" s="51"/>
      <c r="U338" s="51"/>
      <c r="V338" s="51"/>
      <c r="W338" s="51"/>
      <c r="X338" s="51"/>
      <c r="Y338" s="51"/>
      <c r="Z338" s="51"/>
      <c r="AA338" s="51"/>
      <c r="AB338" s="51"/>
    </row>
    <row r="339" customFormat="false" ht="15.75" hidden="false" customHeight="false" outlineLevel="0" collapsed="false">
      <c r="A339" s="25"/>
      <c r="B339" s="25"/>
      <c r="C339" s="25"/>
      <c r="D339" s="26"/>
      <c r="E339" s="27"/>
      <c r="F339" s="28" t="n">
        <f aca="false">IF(A344="WIN",1,0)</f>
        <v>1</v>
      </c>
      <c r="G339" s="29"/>
      <c r="H339" s="25"/>
      <c r="I339" s="25"/>
      <c r="J339" s="25"/>
      <c r="K339" s="26"/>
      <c r="L339" s="27"/>
      <c r="M339" s="28" t="n">
        <f aca="false">IF(H344="WIN",1,0)</f>
        <v>0</v>
      </c>
      <c r="N339" s="4"/>
      <c r="O339" s="51"/>
      <c r="P339" s="51"/>
      <c r="Q339" s="51"/>
      <c r="R339" s="51"/>
      <c r="S339" s="51"/>
      <c r="T339" s="51"/>
      <c r="U339" s="51"/>
      <c r="V339" s="51"/>
      <c r="W339" s="51"/>
      <c r="X339" s="51"/>
      <c r="Y339" s="51"/>
      <c r="Z339" s="51"/>
      <c r="AA339" s="51"/>
      <c r="AB339" s="51"/>
    </row>
    <row r="340" customFormat="false" ht="15.75" hidden="false" customHeight="false" outlineLevel="0" collapsed="false">
      <c r="A340" s="25"/>
      <c r="B340" s="25"/>
      <c r="C340" s="25"/>
      <c r="D340" s="26"/>
      <c r="E340" s="27"/>
      <c r="F340" s="28" t="n">
        <f aca="false">IF(A344="WIN",1,0)</f>
        <v>1</v>
      </c>
      <c r="G340" s="29"/>
      <c r="H340" s="25"/>
      <c r="I340" s="25"/>
      <c r="J340" s="25"/>
      <c r="K340" s="26"/>
      <c r="L340" s="27"/>
      <c r="M340" s="28" t="n">
        <f aca="false">IF(H344="WIN",1,0)</f>
        <v>0</v>
      </c>
      <c r="N340" s="4"/>
      <c r="O340" s="51"/>
      <c r="P340" s="51"/>
      <c r="Q340" s="51"/>
      <c r="R340" s="51"/>
      <c r="S340" s="51"/>
      <c r="T340" s="51"/>
      <c r="U340" s="51"/>
      <c r="V340" s="51"/>
      <c r="W340" s="51"/>
      <c r="X340" s="51"/>
      <c r="Y340" s="51"/>
      <c r="Z340" s="51"/>
      <c r="AA340" s="51"/>
      <c r="AB340" s="51"/>
    </row>
    <row r="341" customFormat="false" ht="15.75" hidden="false" customHeight="false" outlineLevel="0" collapsed="false">
      <c r="A341" s="25"/>
      <c r="B341" s="25"/>
      <c r="C341" s="25"/>
      <c r="D341" s="26"/>
      <c r="E341" s="27"/>
      <c r="F341" s="28" t="n">
        <f aca="false">IF(A344="WIN",1,0)</f>
        <v>1</v>
      </c>
      <c r="G341" s="29"/>
      <c r="H341" s="25"/>
      <c r="I341" s="25"/>
      <c r="J341" s="25"/>
      <c r="K341" s="26"/>
      <c r="L341" s="27"/>
      <c r="M341" s="28" t="n">
        <f aca="false">IF(H344="WIN",1,0)</f>
        <v>0</v>
      </c>
      <c r="N341" s="4"/>
      <c r="O341" s="51"/>
      <c r="P341" s="51"/>
      <c r="Q341" s="51"/>
      <c r="R341" s="51"/>
      <c r="S341" s="51"/>
      <c r="T341" s="51"/>
      <c r="U341" s="51"/>
      <c r="V341" s="51"/>
      <c r="W341" s="51"/>
      <c r="X341" s="51"/>
      <c r="Y341" s="51"/>
      <c r="Z341" s="51"/>
      <c r="AA341" s="51"/>
      <c r="AB341" s="51"/>
    </row>
    <row r="342" customFormat="false" ht="15.75" hidden="false" customHeight="false" outlineLevel="0" collapsed="false">
      <c r="A342" s="25"/>
      <c r="B342" s="25"/>
      <c r="C342" s="25"/>
      <c r="D342" s="26"/>
      <c r="E342" s="27"/>
      <c r="F342" s="28" t="n">
        <f aca="false">IF(A344="WIN",1,0)</f>
        <v>1</v>
      </c>
      <c r="G342" s="29"/>
      <c r="H342" s="25"/>
      <c r="I342" s="25"/>
      <c r="J342" s="25"/>
      <c r="K342" s="26"/>
      <c r="L342" s="27"/>
      <c r="M342" s="28" t="n">
        <f aca="false">IF(H344="WIN",1,0)</f>
        <v>0</v>
      </c>
      <c r="N342" s="4"/>
      <c r="O342" s="51"/>
      <c r="P342" s="51"/>
      <c r="Q342" s="51"/>
      <c r="R342" s="51"/>
      <c r="S342" s="51"/>
      <c r="T342" s="51"/>
      <c r="U342" s="51"/>
      <c r="V342" s="51"/>
      <c r="W342" s="51"/>
      <c r="X342" s="51"/>
      <c r="Y342" s="51"/>
      <c r="Z342" s="51"/>
      <c r="AA342" s="51"/>
      <c r="AB342" s="51"/>
    </row>
    <row r="343" customFormat="false" ht="15.75" hidden="false" customHeight="false" outlineLevel="0" collapsed="false">
      <c r="A343" s="32"/>
      <c r="B343" s="32"/>
      <c r="C343" s="32"/>
      <c r="D343" s="33"/>
      <c r="E343" s="34"/>
      <c r="F343" s="28" t="n">
        <f aca="false">IF(A344="WIN",1,0)</f>
        <v>1</v>
      </c>
      <c r="G343" s="29"/>
      <c r="H343" s="32"/>
      <c r="I343" s="32"/>
      <c r="J343" s="32"/>
      <c r="K343" s="33"/>
      <c r="L343" s="34"/>
      <c r="M343" s="28" t="n">
        <f aca="false">IF(H344="WIN",1,0)</f>
        <v>0</v>
      </c>
      <c r="N343" s="4"/>
      <c r="O343" s="51"/>
      <c r="P343" s="51"/>
      <c r="Q343" s="51"/>
      <c r="R343" s="51"/>
      <c r="S343" s="51"/>
      <c r="T343" s="51"/>
      <c r="U343" s="51"/>
      <c r="V343" s="51"/>
      <c r="W343" s="51"/>
      <c r="X343" s="51"/>
      <c r="Y343" s="51"/>
      <c r="Z343" s="51"/>
      <c r="AA343" s="51"/>
      <c r="AB343" s="51"/>
    </row>
    <row r="344" customFormat="false" ht="15.75" hidden="false" customHeight="false" outlineLevel="0" collapsed="false">
      <c r="A344" s="35" t="s">
        <v>11</v>
      </c>
      <c r="B344" s="35"/>
      <c r="C344" s="35"/>
      <c r="D344" s="36"/>
      <c r="E344" s="37"/>
      <c r="F344" s="38"/>
      <c r="G344" s="39"/>
      <c r="H344" s="35" t="s">
        <v>10</v>
      </c>
      <c r="I344" s="35"/>
      <c r="J344" s="35"/>
      <c r="K344" s="41"/>
      <c r="L344" s="37"/>
      <c r="M344" s="38"/>
      <c r="N344" s="4"/>
      <c r="O344" s="52"/>
      <c r="P344" s="52"/>
      <c r="Q344" s="52"/>
      <c r="R344" s="52"/>
      <c r="S344" s="52"/>
      <c r="T344" s="52"/>
      <c r="U344" s="52"/>
      <c r="V344" s="52"/>
      <c r="W344" s="52"/>
      <c r="X344" s="52"/>
      <c r="Y344" s="52"/>
      <c r="Z344" s="52"/>
      <c r="AA344" s="52"/>
      <c r="AB344" s="52"/>
    </row>
    <row r="345" customFormat="false" ht="15.75" hidden="false" customHeight="false" outlineLevel="0" collapsed="false">
      <c r="A345" s="10" t="s">
        <v>4</v>
      </c>
      <c r="B345" s="10"/>
      <c r="C345" s="10"/>
      <c r="D345" s="11" t="s">
        <v>5</v>
      </c>
      <c r="E345" s="12" t="s">
        <v>6</v>
      </c>
      <c r="F345" s="13" t="s">
        <v>7</v>
      </c>
      <c r="G345" s="14"/>
      <c r="H345" s="15" t="s">
        <v>8</v>
      </c>
      <c r="I345" s="15"/>
      <c r="J345" s="15"/>
      <c r="K345" s="11" t="s">
        <v>5</v>
      </c>
      <c r="L345" s="12" t="s">
        <v>6</v>
      </c>
      <c r="M345" s="13" t="s">
        <v>7</v>
      </c>
      <c r="N345" s="4"/>
      <c r="O345" s="52"/>
      <c r="P345" s="52"/>
      <c r="Q345" s="52"/>
      <c r="R345" s="52"/>
      <c r="S345" s="52"/>
      <c r="T345" s="52"/>
      <c r="U345" s="52"/>
      <c r="V345" s="52"/>
      <c r="W345" s="52"/>
      <c r="X345" s="52"/>
      <c r="Y345" s="52"/>
      <c r="Z345" s="52"/>
      <c r="AA345" s="52"/>
      <c r="AB345" s="52"/>
    </row>
    <row r="346" customFormat="false" ht="15.75" hidden="false" customHeight="false" outlineLevel="0" collapsed="false">
      <c r="A346" s="18" t="str">
        <f aca="false">SEA!$G$1</f>
        <v>Seattle Seadras</v>
      </c>
      <c r="B346" s="18"/>
      <c r="C346" s="18"/>
      <c r="D346" s="19"/>
      <c r="E346" s="20"/>
      <c r="F346" s="21" t="str">
        <f aca="false">IF(A353="WIN","W",IF(A353="LOSE","L",""))</f>
        <v>W</v>
      </c>
      <c r="G346" s="22"/>
      <c r="H346" s="57" t="str">
        <f aca="false">BTB!$G$1</f>
        <v>Battlin Brelooms</v>
      </c>
      <c r="I346" s="57"/>
      <c r="J346" s="57"/>
      <c r="K346" s="19"/>
      <c r="L346" s="20"/>
      <c r="M346" s="21" t="str">
        <f aca="false">IF(H353="WIN","W",IF(H353="LOSE","L",""))</f>
        <v>L</v>
      </c>
      <c r="N346" s="4"/>
      <c r="O346" s="53"/>
      <c r="P346" s="53"/>
      <c r="Q346" s="53"/>
      <c r="R346" s="53"/>
      <c r="S346" s="53"/>
      <c r="T346" s="53"/>
      <c r="U346" s="53"/>
      <c r="V346" s="53"/>
      <c r="W346" s="53"/>
      <c r="X346" s="53"/>
      <c r="Y346" s="53"/>
      <c r="Z346" s="53"/>
      <c r="AA346" s="53"/>
      <c r="AB346" s="53"/>
    </row>
    <row r="347" customFormat="false" ht="15.75" hidden="false" customHeight="false" outlineLevel="0" collapsed="false">
      <c r="A347" s="56"/>
      <c r="B347" s="56"/>
      <c r="C347" s="56"/>
      <c r="D347" s="26"/>
      <c r="E347" s="27"/>
      <c r="F347" s="28" t="n">
        <f aca="false">IF(A353="WIN",1,0)</f>
        <v>1</v>
      </c>
      <c r="G347" s="29"/>
      <c r="H347" s="56"/>
      <c r="I347" s="56"/>
      <c r="J347" s="56"/>
      <c r="K347" s="26"/>
      <c r="L347" s="27"/>
      <c r="M347" s="28" t="n">
        <f aca="false">IF(H353="WIN",1,0)</f>
        <v>0</v>
      </c>
      <c r="N347" s="4"/>
      <c r="O347" s="51"/>
      <c r="P347" s="51"/>
      <c r="Q347" s="51"/>
      <c r="R347" s="51"/>
      <c r="S347" s="51"/>
      <c r="T347" s="51"/>
      <c r="U347" s="51"/>
      <c r="V347" s="51"/>
      <c r="W347" s="51"/>
      <c r="X347" s="51"/>
      <c r="Y347" s="51"/>
      <c r="Z347" s="51"/>
      <c r="AA347" s="51"/>
      <c r="AB347" s="51"/>
    </row>
    <row r="348" customFormat="false" ht="15.75" hidden="false" customHeight="false" outlineLevel="0" collapsed="false">
      <c r="A348" s="25"/>
      <c r="B348" s="25"/>
      <c r="C348" s="25"/>
      <c r="D348" s="26"/>
      <c r="E348" s="27"/>
      <c r="F348" s="28" t="n">
        <f aca="false">IF(A353="WIN",1,0)</f>
        <v>1</v>
      </c>
      <c r="G348" s="29"/>
      <c r="H348" s="25"/>
      <c r="I348" s="25"/>
      <c r="J348" s="25"/>
      <c r="K348" s="26"/>
      <c r="L348" s="27"/>
      <c r="M348" s="28" t="n">
        <f aca="false">IF(H353="WIN",1,0)</f>
        <v>0</v>
      </c>
      <c r="N348" s="4"/>
      <c r="O348" s="51"/>
      <c r="P348" s="51"/>
      <c r="Q348" s="51"/>
      <c r="R348" s="51"/>
      <c r="S348" s="51"/>
      <c r="T348" s="51"/>
      <c r="U348" s="51"/>
      <c r="V348" s="51"/>
      <c r="W348" s="51"/>
      <c r="X348" s="51"/>
      <c r="Y348" s="51"/>
      <c r="Z348" s="51"/>
      <c r="AA348" s="51"/>
      <c r="AB348" s="51"/>
    </row>
    <row r="349" customFormat="false" ht="15.75" hidden="false" customHeight="false" outlineLevel="0" collapsed="false">
      <c r="A349" s="25"/>
      <c r="B349" s="25"/>
      <c r="C349" s="25"/>
      <c r="D349" s="26"/>
      <c r="E349" s="27"/>
      <c r="F349" s="28" t="n">
        <f aca="false">IF(A353="WIN",1,0)</f>
        <v>1</v>
      </c>
      <c r="G349" s="29"/>
      <c r="H349" s="25"/>
      <c r="I349" s="25"/>
      <c r="J349" s="25"/>
      <c r="K349" s="26"/>
      <c r="L349" s="27"/>
      <c r="M349" s="28" t="n">
        <f aca="false">IF(H353="WIN",1,0)</f>
        <v>0</v>
      </c>
      <c r="N349" s="4"/>
      <c r="O349" s="51"/>
      <c r="P349" s="51"/>
      <c r="Q349" s="51"/>
      <c r="R349" s="51"/>
      <c r="S349" s="51"/>
      <c r="T349" s="51"/>
      <c r="U349" s="51"/>
      <c r="V349" s="51"/>
      <c r="W349" s="51"/>
      <c r="X349" s="51"/>
      <c r="Y349" s="51"/>
      <c r="Z349" s="51"/>
      <c r="AA349" s="51"/>
      <c r="AB349" s="51"/>
    </row>
    <row r="350" customFormat="false" ht="15.75" hidden="false" customHeight="false" outlineLevel="0" collapsed="false">
      <c r="A350" s="25"/>
      <c r="B350" s="25"/>
      <c r="C350" s="25"/>
      <c r="D350" s="26"/>
      <c r="E350" s="27"/>
      <c r="F350" s="28" t="n">
        <f aca="false">IF(A353="WIN",1,0)</f>
        <v>1</v>
      </c>
      <c r="G350" s="29"/>
      <c r="H350" s="25"/>
      <c r="I350" s="25"/>
      <c r="J350" s="25"/>
      <c r="K350" s="26"/>
      <c r="L350" s="27"/>
      <c r="M350" s="28" t="n">
        <f aca="false">IF(H353="WIN",1,0)</f>
        <v>0</v>
      </c>
      <c r="N350" s="4"/>
      <c r="O350" s="51"/>
      <c r="P350" s="51"/>
      <c r="Q350" s="51"/>
      <c r="R350" s="51"/>
      <c r="S350" s="51"/>
      <c r="T350" s="51"/>
      <c r="U350" s="51"/>
      <c r="V350" s="51"/>
      <c r="W350" s="51"/>
      <c r="X350" s="51"/>
      <c r="Y350" s="51"/>
      <c r="Z350" s="51"/>
      <c r="AA350" s="51"/>
      <c r="AB350" s="51"/>
    </row>
    <row r="351" customFormat="false" ht="15.75" hidden="false" customHeight="false" outlineLevel="0" collapsed="false">
      <c r="A351" s="25"/>
      <c r="B351" s="25"/>
      <c r="C351" s="25"/>
      <c r="D351" s="26"/>
      <c r="E351" s="27"/>
      <c r="F351" s="28" t="n">
        <f aca="false">IF(A353="WIN",1,0)</f>
        <v>1</v>
      </c>
      <c r="G351" s="29"/>
      <c r="H351" s="25"/>
      <c r="I351" s="25"/>
      <c r="J351" s="25"/>
      <c r="K351" s="26"/>
      <c r="L351" s="27"/>
      <c r="M351" s="28" t="n">
        <f aca="false">IF(H353="WIN",1,0)</f>
        <v>0</v>
      </c>
      <c r="N351" s="4"/>
      <c r="O351" s="51"/>
      <c r="P351" s="51"/>
      <c r="Q351" s="51"/>
      <c r="R351" s="51"/>
      <c r="S351" s="51"/>
      <c r="T351" s="51"/>
      <c r="U351" s="51"/>
      <c r="V351" s="51"/>
      <c r="W351" s="51"/>
      <c r="X351" s="51"/>
      <c r="Y351" s="51"/>
      <c r="Z351" s="51"/>
      <c r="AA351" s="51"/>
      <c r="AB351" s="51"/>
    </row>
    <row r="352" customFormat="false" ht="15.75" hidden="false" customHeight="false" outlineLevel="0" collapsed="false">
      <c r="A352" s="32"/>
      <c r="B352" s="32"/>
      <c r="C352" s="32"/>
      <c r="D352" s="33"/>
      <c r="E352" s="34"/>
      <c r="F352" s="28" t="n">
        <f aca="false">IF(A353="WIN",1,0)</f>
        <v>1</v>
      </c>
      <c r="G352" s="29"/>
      <c r="H352" s="32"/>
      <c r="I352" s="32"/>
      <c r="J352" s="32"/>
      <c r="K352" s="33"/>
      <c r="L352" s="34"/>
      <c r="M352" s="28" t="n">
        <f aca="false">IF(H353="WIN",1,0)</f>
        <v>0</v>
      </c>
      <c r="N352" s="4"/>
      <c r="O352" s="51"/>
      <c r="P352" s="51"/>
      <c r="Q352" s="51"/>
      <c r="R352" s="51"/>
      <c r="S352" s="51"/>
      <c r="T352" s="51"/>
      <c r="U352" s="51"/>
      <c r="V352" s="51"/>
      <c r="W352" s="51"/>
      <c r="X352" s="51"/>
      <c r="Y352" s="51"/>
      <c r="Z352" s="51"/>
      <c r="AA352" s="51"/>
      <c r="AB352" s="51"/>
    </row>
    <row r="353" customFormat="false" ht="15.75" hidden="false" customHeight="false" outlineLevel="0" collapsed="false">
      <c r="A353" s="35" t="s">
        <v>11</v>
      </c>
      <c r="B353" s="35"/>
      <c r="C353" s="35"/>
      <c r="D353" s="36"/>
      <c r="E353" s="37"/>
      <c r="F353" s="38"/>
      <c r="G353" s="39"/>
      <c r="H353" s="35" t="s">
        <v>10</v>
      </c>
      <c r="I353" s="35"/>
      <c r="J353" s="35"/>
      <c r="K353" s="41"/>
      <c r="L353" s="37"/>
      <c r="M353" s="38"/>
      <c r="N353" s="4"/>
      <c r="O353" s="52"/>
      <c r="P353" s="52"/>
      <c r="Q353" s="52"/>
      <c r="R353" s="52"/>
      <c r="S353" s="52"/>
      <c r="T353" s="52"/>
      <c r="U353" s="52"/>
      <c r="V353" s="52"/>
      <c r="W353" s="52"/>
      <c r="X353" s="52"/>
      <c r="Y353" s="52"/>
      <c r="Z353" s="52"/>
      <c r="AA353" s="52"/>
      <c r="AB353" s="52"/>
    </row>
    <row r="354" customFormat="false" ht="15.75" hidden="false" customHeight="false" outlineLevel="0" collapsed="false">
      <c r="A354" s="10" t="s">
        <v>4</v>
      </c>
      <c r="B354" s="10"/>
      <c r="C354" s="10"/>
      <c r="D354" s="11" t="s">
        <v>5</v>
      </c>
      <c r="E354" s="12" t="s">
        <v>6</v>
      </c>
      <c r="F354" s="13" t="s">
        <v>7</v>
      </c>
      <c r="G354" s="14"/>
      <c r="H354" s="15" t="s">
        <v>8</v>
      </c>
      <c r="I354" s="15"/>
      <c r="J354" s="15"/>
      <c r="K354" s="11" t="s">
        <v>5</v>
      </c>
      <c r="L354" s="12" t="s">
        <v>6</v>
      </c>
      <c r="M354" s="13" t="s">
        <v>7</v>
      </c>
      <c r="N354" s="4"/>
      <c r="O354" s="52"/>
      <c r="P354" s="52"/>
      <c r="Q354" s="52"/>
      <c r="R354" s="52"/>
      <c r="S354" s="52"/>
      <c r="T354" s="52"/>
      <c r="U354" s="52"/>
      <c r="V354" s="52"/>
      <c r="W354" s="52"/>
      <c r="X354" s="52"/>
      <c r="Y354" s="52"/>
      <c r="Z354" s="52"/>
      <c r="AA354" s="52"/>
      <c r="AB354" s="52"/>
    </row>
    <row r="355" customFormat="false" ht="15.75" hidden="false" customHeight="false" outlineLevel="0" collapsed="false">
      <c r="A355" s="23" t="str">
        <f aca="false">JVJ!$G$1</f>
        <v>Jacksonville Jumpluffs</v>
      </c>
      <c r="B355" s="23"/>
      <c r="C355" s="23"/>
      <c r="D355" s="19"/>
      <c r="E355" s="20"/>
      <c r="F355" s="21" t="str">
        <f aca="false">IF(A362="WIN","W",IF(A362="LOSE","L",""))</f>
        <v/>
      </c>
      <c r="G355" s="22"/>
      <c r="H355" s="18" t="str">
        <f aca="false">SGP!$G$1</f>
        <v>Slung Patrol</v>
      </c>
      <c r="I355" s="18"/>
      <c r="J355" s="18"/>
      <c r="K355" s="19"/>
      <c r="L355" s="20"/>
      <c r="M355" s="21" t="str">
        <f aca="false">IF(H362="WIN","W",IF(H362="LOSE","L",""))</f>
        <v/>
      </c>
      <c r="N355" s="4"/>
      <c r="O355" s="53"/>
      <c r="P355" s="53"/>
      <c r="Q355" s="53"/>
      <c r="R355" s="53"/>
      <c r="S355" s="53"/>
      <c r="T355" s="53"/>
      <c r="U355" s="53"/>
      <c r="V355" s="53"/>
      <c r="W355" s="53"/>
      <c r="X355" s="53"/>
      <c r="Y355" s="53"/>
      <c r="Z355" s="53"/>
      <c r="AA355" s="53"/>
      <c r="AB355" s="53"/>
    </row>
    <row r="356" customFormat="false" ht="15.75" hidden="false" customHeight="false" outlineLevel="0" collapsed="false">
      <c r="A356" s="56"/>
      <c r="B356" s="56"/>
      <c r="C356" s="56"/>
      <c r="D356" s="26"/>
      <c r="E356" s="27"/>
      <c r="F356" s="28" t="n">
        <f aca="false">IF(A362="WIN",1,0)</f>
        <v>0</v>
      </c>
      <c r="G356" s="29"/>
      <c r="H356" s="56"/>
      <c r="I356" s="56"/>
      <c r="J356" s="56"/>
      <c r="K356" s="26"/>
      <c r="L356" s="27"/>
      <c r="M356" s="28" t="n">
        <f aca="false">IF(H362="WIN",1,0)</f>
        <v>0</v>
      </c>
      <c r="N356" s="4"/>
      <c r="O356" s="51"/>
      <c r="P356" s="51"/>
      <c r="Q356" s="51"/>
      <c r="R356" s="51"/>
      <c r="S356" s="51"/>
      <c r="T356" s="51"/>
      <c r="U356" s="51"/>
      <c r="V356" s="51"/>
      <c r="W356" s="51"/>
      <c r="X356" s="51"/>
      <c r="Y356" s="51"/>
      <c r="Z356" s="51"/>
      <c r="AA356" s="51"/>
      <c r="AB356" s="51"/>
    </row>
    <row r="357" customFormat="false" ht="15.75" hidden="false" customHeight="false" outlineLevel="0" collapsed="false">
      <c r="A357" s="25"/>
      <c r="B357" s="25"/>
      <c r="C357" s="25"/>
      <c r="D357" s="26"/>
      <c r="E357" s="27"/>
      <c r="F357" s="28" t="n">
        <f aca="false">IF(A362="WIN",1,0)</f>
        <v>0</v>
      </c>
      <c r="G357" s="29"/>
      <c r="H357" s="25"/>
      <c r="I357" s="25"/>
      <c r="J357" s="25"/>
      <c r="K357" s="26"/>
      <c r="L357" s="27"/>
      <c r="M357" s="28" t="n">
        <f aca="false">IF(H362="WIN",1,0)</f>
        <v>0</v>
      </c>
      <c r="N357" s="4"/>
      <c r="O357" s="51"/>
      <c r="P357" s="51"/>
      <c r="Q357" s="51"/>
      <c r="R357" s="51"/>
      <c r="S357" s="51"/>
      <c r="T357" s="51"/>
      <c r="U357" s="51"/>
      <c r="V357" s="51"/>
      <c r="W357" s="51"/>
      <c r="X357" s="51"/>
      <c r="Y357" s="51"/>
      <c r="Z357" s="51"/>
      <c r="AA357" s="51"/>
      <c r="AB357" s="51"/>
    </row>
    <row r="358" customFormat="false" ht="15.75" hidden="false" customHeight="false" outlineLevel="0" collapsed="false">
      <c r="A358" s="25"/>
      <c r="B358" s="25"/>
      <c r="C358" s="25"/>
      <c r="D358" s="26"/>
      <c r="E358" s="27"/>
      <c r="F358" s="28" t="n">
        <f aca="false">IF(A362="WIN",1,0)</f>
        <v>0</v>
      </c>
      <c r="G358" s="29"/>
      <c r="H358" s="25"/>
      <c r="I358" s="25"/>
      <c r="J358" s="25"/>
      <c r="K358" s="26"/>
      <c r="L358" s="27"/>
      <c r="M358" s="28" t="n">
        <f aca="false">IF(H362="WIN",1,0)</f>
        <v>0</v>
      </c>
      <c r="N358" s="4"/>
      <c r="O358" s="51"/>
      <c r="P358" s="51"/>
      <c r="Q358" s="51"/>
      <c r="R358" s="51"/>
      <c r="S358" s="51"/>
      <c r="T358" s="51"/>
      <c r="U358" s="51"/>
      <c r="V358" s="51"/>
      <c r="W358" s="51"/>
      <c r="X358" s="51"/>
      <c r="Y358" s="51"/>
      <c r="Z358" s="51"/>
      <c r="AA358" s="51"/>
      <c r="AB358" s="51"/>
    </row>
    <row r="359" customFormat="false" ht="15.75" hidden="false" customHeight="false" outlineLevel="0" collapsed="false">
      <c r="A359" s="25"/>
      <c r="B359" s="25"/>
      <c r="C359" s="25"/>
      <c r="D359" s="26"/>
      <c r="E359" s="27"/>
      <c r="F359" s="28" t="n">
        <f aca="false">IF(A362="WIN",1,0)</f>
        <v>0</v>
      </c>
      <c r="G359" s="29"/>
      <c r="H359" s="25"/>
      <c r="I359" s="25"/>
      <c r="J359" s="25"/>
      <c r="K359" s="26"/>
      <c r="L359" s="27"/>
      <c r="M359" s="28" t="n">
        <f aca="false">IF(H362="WIN",1,0)</f>
        <v>0</v>
      </c>
      <c r="N359" s="4"/>
      <c r="O359" s="51"/>
      <c r="P359" s="51"/>
      <c r="Q359" s="51"/>
      <c r="R359" s="51"/>
      <c r="S359" s="51"/>
      <c r="T359" s="51"/>
      <c r="U359" s="51"/>
      <c r="V359" s="51"/>
      <c r="W359" s="51"/>
      <c r="X359" s="51"/>
      <c r="Y359" s="51"/>
      <c r="Z359" s="51"/>
      <c r="AA359" s="51"/>
      <c r="AB359" s="51"/>
    </row>
    <row r="360" customFormat="false" ht="15.75" hidden="false" customHeight="false" outlineLevel="0" collapsed="false">
      <c r="A360" s="25"/>
      <c r="B360" s="25"/>
      <c r="C360" s="25"/>
      <c r="D360" s="26"/>
      <c r="E360" s="27"/>
      <c r="F360" s="28" t="n">
        <f aca="false">IF(A362="WIN",1,0)</f>
        <v>0</v>
      </c>
      <c r="G360" s="29"/>
      <c r="H360" s="25"/>
      <c r="I360" s="25"/>
      <c r="J360" s="25"/>
      <c r="K360" s="26"/>
      <c r="L360" s="27"/>
      <c r="M360" s="28" t="n">
        <f aca="false">IF(H362="WIN",1,0)</f>
        <v>0</v>
      </c>
      <c r="N360" s="4"/>
      <c r="O360" s="51"/>
      <c r="P360" s="51"/>
      <c r="Q360" s="51"/>
      <c r="R360" s="51"/>
      <c r="S360" s="51"/>
      <c r="T360" s="51"/>
      <c r="U360" s="51"/>
      <c r="V360" s="51"/>
      <c r="W360" s="51"/>
      <c r="X360" s="51"/>
      <c r="Y360" s="51"/>
      <c r="Z360" s="51"/>
      <c r="AA360" s="51"/>
      <c r="AB360" s="51"/>
    </row>
    <row r="361" customFormat="false" ht="15.75" hidden="false" customHeight="false" outlineLevel="0" collapsed="false">
      <c r="A361" s="32"/>
      <c r="B361" s="32"/>
      <c r="C361" s="32"/>
      <c r="D361" s="33"/>
      <c r="E361" s="34"/>
      <c r="F361" s="28" t="n">
        <f aca="false">IF(A362="WIN",1,0)</f>
        <v>0</v>
      </c>
      <c r="G361" s="29"/>
      <c r="H361" s="32"/>
      <c r="I361" s="32"/>
      <c r="J361" s="32"/>
      <c r="K361" s="33"/>
      <c r="L361" s="34"/>
      <c r="M361" s="28" t="n">
        <f aca="false">IF(H362="WIN",1,0)</f>
        <v>0</v>
      </c>
      <c r="N361" s="4"/>
      <c r="O361" s="51"/>
      <c r="P361" s="51"/>
      <c r="Q361" s="51"/>
      <c r="R361" s="51"/>
      <c r="S361" s="51"/>
      <c r="T361" s="51"/>
      <c r="U361" s="51"/>
      <c r="V361" s="51"/>
      <c r="W361" s="51"/>
      <c r="X361" s="51"/>
      <c r="Y361" s="51"/>
      <c r="Z361" s="51"/>
      <c r="AA361" s="51"/>
      <c r="AB361" s="51"/>
    </row>
    <row r="362" customFormat="false" ht="15.75" hidden="false" customHeight="false" outlineLevel="0" collapsed="false">
      <c r="A362" s="35" t="s">
        <v>30</v>
      </c>
      <c r="B362" s="35"/>
      <c r="C362" s="35"/>
      <c r="D362" s="36"/>
      <c r="E362" s="37"/>
      <c r="F362" s="38"/>
      <c r="G362" s="39"/>
      <c r="H362" s="35" t="s">
        <v>30</v>
      </c>
      <c r="I362" s="35"/>
      <c r="J362" s="35"/>
      <c r="K362" s="41"/>
      <c r="L362" s="37"/>
      <c r="M362" s="38"/>
      <c r="N362" s="4"/>
      <c r="O362" s="52"/>
      <c r="P362" s="52"/>
      <c r="Q362" s="52"/>
      <c r="R362" s="52"/>
      <c r="S362" s="52"/>
      <c r="T362" s="52"/>
      <c r="U362" s="52"/>
      <c r="V362" s="52"/>
      <c r="W362" s="52"/>
      <c r="X362" s="52"/>
      <c r="Y362" s="52"/>
      <c r="Z362" s="52"/>
      <c r="AA362" s="52"/>
      <c r="AB362" s="52"/>
    </row>
    <row r="363" customFormat="false" ht="15.75" hidden="false" customHeight="false" outlineLevel="0" collapsed="false">
      <c r="A363" s="10" t="s">
        <v>4</v>
      </c>
      <c r="B363" s="10"/>
      <c r="C363" s="10"/>
      <c r="D363" s="11" t="s">
        <v>5</v>
      </c>
      <c r="E363" s="12" t="s">
        <v>6</v>
      </c>
      <c r="F363" s="13" t="s">
        <v>7</v>
      </c>
      <c r="G363" s="14"/>
      <c r="H363" s="15" t="s">
        <v>8</v>
      </c>
      <c r="I363" s="15"/>
      <c r="J363" s="15"/>
      <c r="K363" s="11" t="s">
        <v>5</v>
      </c>
      <c r="L363" s="12" t="s">
        <v>6</v>
      </c>
      <c r="M363" s="13" t="s">
        <v>7</v>
      </c>
      <c r="N363" s="4"/>
      <c r="O363" s="52"/>
      <c r="P363" s="52"/>
      <c r="Q363" s="52"/>
      <c r="R363" s="52"/>
      <c r="S363" s="52"/>
      <c r="T363" s="52"/>
      <c r="U363" s="52"/>
      <c r="V363" s="52"/>
      <c r="W363" s="52"/>
      <c r="X363" s="52"/>
      <c r="Y363" s="52"/>
      <c r="Z363" s="52"/>
      <c r="AA363" s="52"/>
      <c r="AB363" s="52"/>
    </row>
    <row r="364" customFormat="false" ht="15.75" hidden="false" customHeight="false" outlineLevel="0" collapsed="false">
      <c r="A364" s="23" t="str">
        <f aca="false">BBG!$G$1</f>
        <v>Berlin Bronzong</v>
      </c>
      <c r="B364" s="23"/>
      <c r="C364" s="23"/>
      <c r="D364" s="19"/>
      <c r="E364" s="20"/>
      <c r="F364" s="21" t="str">
        <f aca="false">IF(A371="WIN","W",IF(A371="LOSE","L",""))</f>
        <v>L</v>
      </c>
      <c r="G364" s="22"/>
      <c r="H364" s="57" t="str">
        <f aca="false">FTT!$G$1</f>
        <v>Fortree Trevenants</v>
      </c>
      <c r="I364" s="57"/>
      <c r="J364" s="57"/>
      <c r="K364" s="19"/>
      <c r="L364" s="20"/>
      <c r="M364" s="21" t="str">
        <f aca="false">IF(H371="WIN","W",IF(H371="LOSE","L",""))</f>
        <v>W</v>
      </c>
      <c r="N364" s="4"/>
      <c r="O364" s="53"/>
      <c r="P364" s="53"/>
      <c r="Q364" s="53"/>
      <c r="R364" s="53"/>
      <c r="S364" s="53"/>
      <c r="T364" s="53"/>
      <c r="U364" s="53"/>
      <c r="V364" s="53"/>
      <c r="W364" s="53"/>
      <c r="X364" s="53"/>
      <c r="Y364" s="53"/>
      <c r="Z364" s="53"/>
      <c r="AA364" s="53"/>
      <c r="AB364" s="53"/>
    </row>
    <row r="365" customFormat="false" ht="15.75" hidden="false" customHeight="false" outlineLevel="0" collapsed="false">
      <c r="A365" s="56"/>
      <c r="B365" s="56"/>
      <c r="C365" s="56"/>
      <c r="D365" s="26"/>
      <c r="E365" s="27"/>
      <c r="F365" s="28" t="n">
        <f aca="false">IF(A371="WIN",1,0)</f>
        <v>0</v>
      </c>
      <c r="G365" s="29"/>
      <c r="H365" s="56"/>
      <c r="I365" s="56"/>
      <c r="J365" s="56"/>
      <c r="K365" s="26"/>
      <c r="L365" s="27"/>
      <c r="M365" s="28" t="n">
        <f aca="false">IF(H371="WIN",1,0)</f>
        <v>1</v>
      </c>
      <c r="N365" s="4"/>
      <c r="O365" s="51"/>
      <c r="P365" s="51"/>
      <c r="Q365" s="51"/>
      <c r="R365" s="51"/>
      <c r="S365" s="51"/>
      <c r="T365" s="51"/>
      <c r="U365" s="51"/>
      <c r="V365" s="51"/>
      <c r="W365" s="51"/>
      <c r="X365" s="51"/>
      <c r="Y365" s="51"/>
      <c r="Z365" s="51"/>
      <c r="AA365" s="51"/>
      <c r="AB365" s="51"/>
    </row>
    <row r="366" customFormat="false" ht="15.75" hidden="false" customHeight="false" outlineLevel="0" collapsed="false">
      <c r="A366" s="25"/>
      <c r="B366" s="25"/>
      <c r="C366" s="25"/>
      <c r="D366" s="26"/>
      <c r="E366" s="27"/>
      <c r="F366" s="28" t="n">
        <f aca="false">IF(A371="WIN",1,0)</f>
        <v>0</v>
      </c>
      <c r="G366" s="29"/>
      <c r="H366" s="25"/>
      <c r="I366" s="25"/>
      <c r="J366" s="25"/>
      <c r="K366" s="26"/>
      <c r="L366" s="27"/>
      <c r="M366" s="28" t="n">
        <f aca="false">IF(H371="WIN",1,0)</f>
        <v>1</v>
      </c>
      <c r="N366" s="4"/>
      <c r="O366" s="51"/>
      <c r="P366" s="51"/>
      <c r="Q366" s="51"/>
      <c r="R366" s="51"/>
      <c r="S366" s="51"/>
      <c r="T366" s="51"/>
      <c r="U366" s="51"/>
      <c r="V366" s="51"/>
      <c r="W366" s="51"/>
      <c r="X366" s="51"/>
      <c r="Y366" s="51"/>
      <c r="Z366" s="51"/>
      <c r="AA366" s="51"/>
      <c r="AB366" s="51"/>
    </row>
    <row r="367" customFormat="false" ht="15.75" hidden="false" customHeight="false" outlineLevel="0" collapsed="false">
      <c r="A367" s="25"/>
      <c r="B367" s="25"/>
      <c r="C367" s="25"/>
      <c r="D367" s="26"/>
      <c r="E367" s="27"/>
      <c r="F367" s="28" t="n">
        <f aca="false">IF(A371="WIN",1,0)</f>
        <v>0</v>
      </c>
      <c r="G367" s="29"/>
      <c r="H367" s="25"/>
      <c r="I367" s="25"/>
      <c r="J367" s="25"/>
      <c r="K367" s="26"/>
      <c r="L367" s="27"/>
      <c r="M367" s="28" t="n">
        <f aca="false">IF(H371="WIN",1,0)</f>
        <v>1</v>
      </c>
      <c r="N367" s="4"/>
      <c r="O367" s="51"/>
      <c r="P367" s="51"/>
      <c r="Q367" s="51"/>
      <c r="R367" s="51"/>
      <c r="S367" s="51"/>
      <c r="T367" s="51"/>
      <c r="U367" s="51"/>
      <c r="V367" s="51"/>
      <c r="W367" s="51"/>
      <c r="X367" s="51"/>
      <c r="Y367" s="51"/>
      <c r="Z367" s="51"/>
      <c r="AA367" s="51"/>
      <c r="AB367" s="51"/>
    </row>
    <row r="368" customFormat="false" ht="15.75" hidden="false" customHeight="false" outlineLevel="0" collapsed="false">
      <c r="A368" s="25"/>
      <c r="B368" s="25"/>
      <c r="C368" s="25"/>
      <c r="D368" s="26"/>
      <c r="E368" s="27"/>
      <c r="F368" s="28" t="n">
        <f aca="false">IF(A371="WIN",1,0)</f>
        <v>0</v>
      </c>
      <c r="G368" s="29"/>
      <c r="H368" s="25"/>
      <c r="I368" s="25"/>
      <c r="J368" s="25"/>
      <c r="K368" s="26"/>
      <c r="L368" s="27"/>
      <c r="M368" s="28" t="n">
        <f aca="false">IF(H371="WIN",1,0)</f>
        <v>1</v>
      </c>
      <c r="N368" s="4"/>
      <c r="O368" s="51"/>
      <c r="P368" s="51"/>
      <c r="Q368" s="51"/>
      <c r="R368" s="51"/>
      <c r="S368" s="51"/>
      <c r="T368" s="51"/>
      <c r="U368" s="51"/>
      <c r="V368" s="51"/>
      <c r="W368" s="51"/>
      <c r="X368" s="51"/>
      <c r="Y368" s="51"/>
      <c r="Z368" s="51"/>
      <c r="AA368" s="51"/>
      <c r="AB368" s="51"/>
    </row>
    <row r="369" customFormat="false" ht="15.75" hidden="false" customHeight="false" outlineLevel="0" collapsed="false">
      <c r="A369" s="25"/>
      <c r="B369" s="25"/>
      <c r="C369" s="25"/>
      <c r="D369" s="26"/>
      <c r="E369" s="27"/>
      <c r="F369" s="28" t="n">
        <f aca="false">IF(A371="WIN",1,0)</f>
        <v>0</v>
      </c>
      <c r="G369" s="29"/>
      <c r="H369" s="25"/>
      <c r="I369" s="25"/>
      <c r="J369" s="25"/>
      <c r="K369" s="26"/>
      <c r="L369" s="27"/>
      <c r="M369" s="28" t="n">
        <f aca="false">IF(H371="WIN",1,0)</f>
        <v>1</v>
      </c>
      <c r="N369" s="4"/>
      <c r="O369" s="51"/>
      <c r="P369" s="51"/>
      <c r="Q369" s="51"/>
      <c r="R369" s="51"/>
      <c r="S369" s="51"/>
      <c r="T369" s="51"/>
      <c r="U369" s="51"/>
      <c r="V369" s="51"/>
      <c r="W369" s="51"/>
      <c r="X369" s="51"/>
      <c r="Y369" s="51"/>
      <c r="Z369" s="51"/>
      <c r="AA369" s="51"/>
      <c r="AB369" s="51"/>
    </row>
    <row r="370" customFormat="false" ht="15.75" hidden="false" customHeight="false" outlineLevel="0" collapsed="false">
      <c r="A370" s="32"/>
      <c r="B370" s="32"/>
      <c r="C370" s="32"/>
      <c r="D370" s="33"/>
      <c r="E370" s="34"/>
      <c r="F370" s="28" t="n">
        <f aca="false">IF(A371="WIN",1,0)</f>
        <v>0</v>
      </c>
      <c r="G370" s="29"/>
      <c r="H370" s="32"/>
      <c r="I370" s="32"/>
      <c r="J370" s="32"/>
      <c r="K370" s="33"/>
      <c r="L370" s="34"/>
      <c r="M370" s="28" t="n">
        <f aca="false">IF(H371="WIN",1,0)</f>
        <v>1</v>
      </c>
      <c r="N370" s="4"/>
      <c r="O370" s="51"/>
      <c r="P370" s="51"/>
      <c r="Q370" s="51"/>
      <c r="R370" s="51"/>
      <c r="S370" s="51"/>
      <c r="T370" s="51"/>
      <c r="U370" s="51"/>
      <c r="V370" s="51"/>
      <c r="W370" s="51"/>
      <c r="X370" s="51"/>
      <c r="Y370" s="51"/>
      <c r="Z370" s="51"/>
      <c r="AA370" s="51"/>
      <c r="AB370" s="51"/>
    </row>
    <row r="371" customFormat="false" ht="15.75" hidden="false" customHeight="false" outlineLevel="0" collapsed="false">
      <c r="A371" s="35" t="s">
        <v>10</v>
      </c>
      <c r="B371" s="35"/>
      <c r="C371" s="35"/>
      <c r="D371" s="36"/>
      <c r="E371" s="37"/>
      <c r="F371" s="38"/>
      <c r="G371" s="39"/>
      <c r="H371" s="35" t="s">
        <v>11</v>
      </c>
      <c r="I371" s="35"/>
      <c r="J371" s="35"/>
      <c r="K371" s="41"/>
      <c r="L371" s="37"/>
      <c r="M371" s="38"/>
      <c r="N371" s="4"/>
    </row>
    <row r="372" customFormat="false" ht="17.25" hidden="false" customHeight="false" outlineLevel="0" collapsed="false">
      <c r="A372" s="6" t="s">
        <v>36</v>
      </c>
      <c r="B372" s="6"/>
      <c r="C372" s="6"/>
      <c r="D372" s="6"/>
      <c r="E372" s="6"/>
      <c r="F372" s="6"/>
      <c r="G372" s="6"/>
      <c r="H372" s="6"/>
      <c r="I372" s="6"/>
      <c r="J372" s="6"/>
      <c r="K372" s="6"/>
      <c r="L372" s="6"/>
      <c r="M372" s="6"/>
      <c r="N372" s="4"/>
    </row>
    <row r="373" customFormat="false" ht="15.75" hidden="false" customHeight="false" outlineLevel="0" collapsed="false">
      <c r="A373" s="10" t="s">
        <v>4</v>
      </c>
      <c r="B373" s="10"/>
      <c r="C373" s="10"/>
      <c r="D373" s="11" t="s">
        <v>5</v>
      </c>
      <c r="E373" s="12" t="s">
        <v>6</v>
      </c>
      <c r="F373" s="13" t="s">
        <v>7</v>
      </c>
      <c r="G373" s="14"/>
      <c r="H373" s="15" t="s">
        <v>8</v>
      </c>
      <c r="I373" s="15"/>
      <c r="J373" s="15"/>
      <c r="K373" s="11" t="s">
        <v>5</v>
      </c>
      <c r="L373" s="12" t="s">
        <v>6</v>
      </c>
      <c r="M373" s="13" t="s">
        <v>7</v>
      </c>
      <c r="N373" s="4"/>
    </row>
    <row r="374" customFormat="false" ht="15.75" hidden="false" customHeight="false" outlineLevel="0" collapsed="false">
      <c r="A374" s="18" t="str">
        <f aca="false">KKS!$G$1</f>
        <v>Kingston Kecleons</v>
      </c>
      <c r="B374" s="18"/>
      <c r="C374" s="18"/>
      <c r="D374" s="19"/>
      <c r="E374" s="20"/>
      <c r="F374" s="21" t="str">
        <f aca="false">IF(A381="WIN","W",IF(A381="LOSE","L",""))</f>
        <v>W</v>
      </c>
      <c r="G374" s="22"/>
      <c r="H374" s="23" t="str">
        <f aca="false">BBG!$G$1</f>
        <v>Berlin Bronzong</v>
      </c>
      <c r="I374" s="23"/>
      <c r="J374" s="23"/>
      <c r="K374" s="19"/>
      <c r="L374" s="20"/>
      <c r="M374" s="21" t="str">
        <f aca="false">IF(H381="WIN","W",IF(H381="LOSE","L",""))</f>
        <v>L</v>
      </c>
      <c r="N374" s="4"/>
    </row>
    <row r="375" customFormat="false" ht="15.75" hidden="false" customHeight="false" outlineLevel="0" collapsed="false">
      <c r="A375" s="25"/>
      <c r="B375" s="25"/>
      <c r="C375" s="25"/>
      <c r="D375" s="26"/>
      <c r="E375" s="27"/>
      <c r="F375" s="28" t="n">
        <f aca="false">IF(A381="WIN",1,0)</f>
        <v>1</v>
      </c>
      <c r="G375" s="29"/>
      <c r="H375" s="56"/>
      <c r="I375" s="56"/>
      <c r="J375" s="56"/>
      <c r="K375" s="26"/>
      <c r="L375" s="27"/>
      <c r="M375" s="28" t="n">
        <f aca="false">IF(H381="WIN",1,0)</f>
        <v>0</v>
      </c>
      <c r="N375" s="4"/>
    </row>
    <row r="376" customFormat="false" ht="15.75" hidden="false" customHeight="false" outlineLevel="0" collapsed="false">
      <c r="A376" s="25"/>
      <c r="B376" s="25"/>
      <c r="C376" s="25"/>
      <c r="D376" s="26"/>
      <c r="E376" s="27"/>
      <c r="F376" s="28" t="n">
        <f aca="false">IF(A381="WIN",1,0)</f>
        <v>1</v>
      </c>
      <c r="G376" s="29"/>
      <c r="H376" s="25"/>
      <c r="I376" s="25"/>
      <c r="J376" s="25"/>
      <c r="K376" s="26"/>
      <c r="L376" s="27"/>
      <c r="M376" s="28" t="n">
        <f aca="false">IF(H381="WIN",1,0)</f>
        <v>0</v>
      </c>
      <c r="N376" s="4"/>
    </row>
    <row r="377" customFormat="false" ht="15.75" hidden="false" customHeight="false" outlineLevel="0" collapsed="false">
      <c r="A377" s="25"/>
      <c r="B377" s="25"/>
      <c r="C377" s="25"/>
      <c r="D377" s="26"/>
      <c r="E377" s="27"/>
      <c r="F377" s="28" t="n">
        <f aca="false">IF(A381="WIN",1,0)</f>
        <v>1</v>
      </c>
      <c r="G377" s="29"/>
      <c r="H377" s="25"/>
      <c r="I377" s="25"/>
      <c r="J377" s="25"/>
      <c r="K377" s="26"/>
      <c r="L377" s="27"/>
      <c r="M377" s="28" t="n">
        <f aca="false">IF(H381="WIN",1,0)</f>
        <v>0</v>
      </c>
      <c r="N377" s="4"/>
    </row>
    <row r="378" customFormat="false" ht="15.75" hidden="false" customHeight="false" outlineLevel="0" collapsed="false">
      <c r="A378" s="25"/>
      <c r="B378" s="25"/>
      <c r="C378" s="25"/>
      <c r="D378" s="26"/>
      <c r="E378" s="27"/>
      <c r="F378" s="28" t="n">
        <f aca="false">IF(A381="WIN",1,0)</f>
        <v>1</v>
      </c>
      <c r="G378" s="29"/>
      <c r="H378" s="25"/>
      <c r="I378" s="25"/>
      <c r="J378" s="25"/>
      <c r="K378" s="26"/>
      <c r="L378" s="27"/>
      <c r="M378" s="28" t="n">
        <f aca="false">IF(H381="WIN",1,0)</f>
        <v>0</v>
      </c>
      <c r="N378" s="4"/>
    </row>
    <row r="379" customFormat="false" ht="15.75" hidden="false" customHeight="false" outlineLevel="0" collapsed="false">
      <c r="A379" s="25"/>
      <c r="B379" s="25"/>
      <c r="C379" s="25"/>
      <c r="D379" s="26"/>
      <c r="E379" s="27"/>
      <c r="F379" s="28" t="n">
        <f aca="false">IF(A381="WIN",1,0)</f>
        <v>1</v>
      </c>
      <c r="G379" s="29"/>
      <c r="H379" s="25"/>
      <c r="I379" s="25"/>
      <c r="J379" s="25"/>
      <c r="K379" s="26"/>
      <c r="L379" s="27"/>
      <c r="M379" s="28" t="n">
        <f aca="false">IF(H381="WIN",1,0)</f>
        <v>0</v>
      </c>
      <c r="N379" s="4"/>
    </row>
    <row r="380" customFormat="false" ht="15.75" hidden="false" customHeight="false" outlineLevel="0" collapsed="false">
      <c r="A380" s="32"/>
      <c r="B380" s="32"/>
      <c r="C380" s="32"/>
      <c r="D380" s="33"/>
      <c r="E380" s="34"/>
      <c r="F380" s="28" t="n">
        <f aca="false">IF(A381="WIN",1,0)</f>
        <v>1</v>
      </c>
      <c r="G380" s="29"/>
      <c r="H380" s="32"/>
      <c r="I380" s="32"/>
      <c r="J380" s="32"/>
      <c r="K380" s="33"/>
      <c r="L380" s="34"/>
      <c r="M380" s="28" t="n">
        <f aca="false">IF(H381="WIN",1,0)</f>
        <v>0</v>
      </c>
      <c r="N380" s="4"/>
    </row>
    <row r="381" customFormat="false" ht="15.75" hidden="false" customHeight="false" outlineLevel="0" collapsed="false">
      <c r="A381" s="35" t="s">
        <v>11</v>
      </c>
      <c r="B381" s="35"/>
      <c r="C381" s="35"/>
      <c r="D381" s="36"/>
      <c r="E381" s="37"/>
      <c r="F381" s="38"/>
      <c r="G381" s="39"/>
      <c r="H381" s="35" t="s">
        <v>10</v>
      </c>
      <c r="I381" s="35"/>
      <c r="J381" s="35"/>
      <c r="K381" s="41"/>
      <c r="L381" s="37"/>
      <c r="M381" s="38"/>
      <c r="N381" s="4"/>
    </row>
    <row r="382" customFormat="false" ht="15.75" hidden="false" customHeight="false" outlineLevel="0" collapsed="false">
      <c r="A382" s="10" t="s">
        <v>4</v>
      </c>
      <c r="B382" s="10"/>
      <c r="C382" s="10"/>
      <c r="D382" s="11" t="s">
        <v>5</v>
      </c>
      <c r="E382" s="12" t="s">
        <v>6</v>
      </c>
      <c r="F382" s="13" t="s">
        <v>7</v>
      </c>
      <c r="G382" s="14"/>
      <c r="H382" s="15" t="s">
        <v>8</v>
      </c>
      <c r="I382" s="15"/>
      <c r="J382" s="15"/>
      <c r="K382" s="11" t="s">
        <v>5</v>
      </c>
      <c r="L382" s="12" t="s">
        <v>6</v>
      </c>
      <c r="M382" s="13" t="s">
        <v>7</v>
      </c>
      <c r="N382" s="4"/>
    </row>
    <row r="383" customFormat="false" ht="15.75" hidden="false" customHeight="false" outlineLevel="0" collapsed="false">
      <c r="A383" s="23" t="str">
        <f aca="false">JVJ!$G$1</f>
        <v>Jacksonville Jumpluffs</v>
      </c>
      <c r="B383" s="23"/>
      <c r="C383" s="23"/>
      <c r="D383" s="19"/>
      <c r="E383" s="20"/>
      <c r="F383" s="21" t="str">
        <f aca="false">IF(A390="WIN","W",IF(A390="LOSE","L",""))</f>
        <v/>
      </c>
      <c r="G383" s="22"/>
      <c r="H383" s="18" t="str">
        <f aca="false">SEA!$G$1</f>
        <v>Seattle Seadras</v>
      </c>
      <c r="I383" s="18"/>
      <c r="J383" s="18"/>
      <c r="K383" s="19"/>
      <c r="L383" s="20"/>
      <c r="M383" s="21" t="str">
        <f aca="false">IF(H390="WIN","W",IF(H390="LOSE","L",""))</f>
        <v/>
      </c>
      <c r="N383" s="4"/>
    </row>
    <row r="384" customFormat="false" ht="15.75" hidden="false" customHeight="false" outlineLevel="0" collapsed="false">
      <c r="A384" s="56"/>
      <c r="B384" s="56"/>
      <c r="C384" s="56"/>
      <c r="D384" s="26"/>
      <c r="E384" s="27"/>
      <c r="F384" s="28" t="n">
        <f aca="false">IF(A390="WIN",1,0)</f>
        <v>0</v>
      </c>
      <c r="G384" s="29"/>
      <c r="H384" s="56"/>
      <c r="I384" s="56"/>
      <c r="J384" s="56"/>
      <c r="K384" s="26"/>
      <c r="L384" s="27"/>
      <c r="M384" s="28" t="n">
        <f aca="false">IF(H390="WIN",1,0)</f>
        <v>0</v>
      </c>
      <c r="N384" s="4"/>
    </row>
    <row r="385" customFormat="false" ht="15.75" hidden="false" customHeight="false" outlineLevel="0" collapsed="false">
      <c r="A385" s="25"/>
      <c r="B385" s="25"/>
      <c r="C385" s="25"/>
      <c r="D385" s="26"/>
      <c r="E385" s="27"/>
      <c r="F385" s="28" t="n">
        <f aca="false">IF(A390="WIN",1,0)</f>
        <v>0</v>
      </c>
      <c r="G385" s="29"/>
      <c r="H385" s="25"/>
      <c r="I385" s="25"/>
      <c r="J385" s="25"/>
      <c r="K385" s="26"/>
      <c r="L385" s="27"/>
      <c r="M385" s="28" t="n">
        <f aca="false">IF(H390="WIN",1,0)</f>
        <v>0</v>
      </c>
      <c r="N385" s="4"/>
    </row>
    <row r="386" customFormat="false" ht="15.75" hidden="false" customHeight="false" outlineLevel="0" collapsed="false">
      <c r="A386" s="25"/>
      <c r="B386" s="25"/>
      <c r="C386" s="25"/>
      <c r="D386" s="26"/>
      <c r="E386" s="27"/>
      <c r="F386" s="28" t="n">
        <f aca="false">IF(A390="WIN",1,0)</f>
        <v>0</v>
      </c>
      <c r="G386" s="29"/>
      <c r="H386" s="25"/>
      <c r="I386" s="25"/>
      <c r="J386" s="25"/>
      <c r="K386" s="26"/>
      <c r="L386" s="27"/>
      <c r="M386" s="28" t="n">
        <f aca="false">IF(H390="WIN",1,0)</f>
        <v>0</v>
      </c>
      <c r="N386" s="4"/>
    </row>
    <row r="387" customFormat="false" ht="15.75" hidden="false" customHeight="false" outlineLevel="0" collapsed="false">
      <c r="A387" s="25"/>
      <c r="B387" s="25"/>
      <c r="C387" s="25"/>
      <c r="D387" s="26"/>
      <c r="E387" s="27"/>
      <c r="F387" s="28" t="n">
        <f aca="false">IF(A390="WIN",1,0)</f>
        <v>0</v>
      </c>
      <c r="G387" s="29"/>
      <c r="H387" s="25"/>
      <c r="I387" s="25"/>
      <c r="J387" s="25"/>
      <c r="K387" s="26"/>
      <c r="L387" s="27"/>
      <c r="M387" s="28" t="n">
        <f aca="false">IF(H390="WIN",1,0)</f>
        <v>0</v>
      </c>
      <c r="N387" s="4"/>
    </row>
    <row r="388" customFormat="false" ht="15.75" hidden="false" customHeight="false" outlineLevel="0" collapsed="false">
      <c r="A388" s="25"/>
      <c r="B388" s="25"/>
      <c r="C388" s="25"/>
      <c r="D388" s="26"/>
      <c r="E388" s="27"/>
      <c r="F388" s="28" t="n">
        <f aca="false">IF(A390="WIN",1,0)</f>
        <v>0</v>
      </c>
      <c r="G388" s="29"/>
      <c r="H388" s="25"/>
      <c r="I388" s="25"/>
      <c r="J388" s="25"/>
      <c r="K388" s="26"/>
      <c r="L388" s="27"/>
      <c r="M388" s="28" t="n">
        <f aca="false">IF(H390="WIN",1,0)</f>
        <v>0</v>
      </c>
      <c r="N388" s="4"/>
    </row>
    <row r="389" customFormat="false" ht="15.75" hidden="false" customHeight="false" outlineLevel="0" collapsed="false">
      <c r="A389" s="32"/>
      <c r="B389" s="32"/>
      <c r="C389" s="32"/>
      <c r="D389" s="33"/>
      <c r="E389" s="34"/>
      <c r="F389" s="28" t="n">
        <f aca="false">IF(A390="WIN",1,0)</f>
        <v>0</v>
      </c>
      <c r="G389" s="29"/>
      <c r="H389" s="32"/>
      <c r="I389" s="32"/>
      <c r="J389" s="32"/>
      <c r="K389" s="33"/>
      <c r="L389" s="34"/>
      <c r="M389" s="28" t="n">
        <f aca="false">IF(H390="WIN",1,0)</f>
        <v>0</v>
      </c>
      <c r="N389" s="4"/>
    </row>
    <row r="390" customFormat="false" ht="15.75" hidden="false" customHeight="false" outlineLevel="0" collapsed="false">
      <c r="A390" s="35" t="s">
        <v>30</v>
      </c>
      <c r="B390" s="35"/>
      <c r="C390" s="35"/>
      <c r="D390" s="36"/>
      <c r="E390" s="37"/>
      <c r="F390" s="38"/>
      <c r="G390" s="39"/>
      <c r="H390" s="35" t="s">
        <v>30</v>
      </c>
      <c r="I390" s="35"/>
      <c r="J390" s="35"/>
      <c r="K390" s="41"/>
      <c r="L390" s="37"/>
      <c r="M390" s="38"/>
      <c r="N390" s="4"/>
    </row>
    <row r="391" customFormat="false" ht="15.75" hidden="false" customHeight="false" outlineLevel="0" collapsed="false">
      <c r="A391" s="10" t="s">
        <v>4</v>
      </c>
      <c r="B391" s="10"/>
      <c r="C391" s="10"/>
      <c r="D391" s="11" t="s">
        <v>5</v>
      </c>
      <c r="E391" s="12" t="s">
        <v>6</v>
      </c>
      <c r="F391" s="13" t="s">
        <v>7</v>
      </c>
      <c r="G391" s="14"/>
      <c r="H391" s="15" t="s">
        <v>8</v>
      </c>
      <c r="I391" s="15"/>
      <c r="J391" s="15"/>
      <c r="K391" s="11" t="s">
        <v>5</v>
      </c>
      <c r="L391" s="12" t="s">
        <v>6</v>
      </c>
      <c r="M391" s="13" t="s">
        <v>7</v>
      </c>
      <c r="N391" s="4"/>
    </row>
    <row r="392" customFormat="false" ht="15.75" hidden="false" customHeight="false" outlineLevel="0" collapsed="false">
      <c r="A392" s="57" t="str">
        <f aca="false">BTB!$G$1</f>
        <v>Battlin Brelooms</v>
      </c>
      <c r="B392" s="57"/>
      <c r="C392" s="57"/>
      <c r="D392" s="19" t="n">
        <v>6</v>
      </c>
      <c r="E392" s="20" t="n">
        <v>2</v>
      </c>
      <c r="F392" s="21" t="str">
        <f aca="false">IF(A399="WIN","W",IF(A399="LOSE","L",""))</f>
        <v>W</v>
      </c>
      <c r="G392" s="22"/>
      <c r="H392" s="18" t="str">
        <f aca="false">SGP!$G$1</f>
        <v>Slung Patrol</v>
      </c>
      <c r="I392" s="18"/>
      <c r="J392" s="18"/>
      <c r="K392" s="19" t="n">
        <v>2</v>
      </c>
      <c r="L392" s="20" t="n">
        <v>6</v>
      </c>
      <c r="M392" s="21" t="str">
        <f aca="false">IF(H399="WIN","W",IF(H399="LOSE","L",""))</f>
        <v>L</v>
      </c>
      <c r="N392" s="4"/>
    </row>
    <row r="393" customFormat="false" ht="15.75" hidden="false" customHeight="false" outlineLevel="0" collapsed="false">
      <c r="A393" s="56" t="s">
        <v>58</v>
      </c>
      <c r="B393" s="56"/>
      <c r="C393" s="56"/>
      <c r="D393" s="26" t="n">
        <v>1</v>
      </c>
      <c r="E393" s="27" t="n">
        <v>1</v>
      </c>
      <c r="F393" s="28" t="n">
        <f aca="false">IF(A399="WIN",1,0)</f>
        <v>1</v>
      </c>
      <c r="G393" s="29"/>
      <c r="H393" s="56" t="s">
        <v>124</v>
      </c>
      <c r="I393" s="56"/>
      <c r="J393" s="56"/>
      <c r="K393" s="26" t="n">
        <v>0</v>
      </c>
      <c r="L393" s="27" t="n">
        <v>1</v>
      </c>
      <c r="M393" s="28" t="n">
        <f aca="false">IF(H399="WIN",1,0)</f>
        <v>0</v>
      </c>
      <c r="N393" s="4"/>
    </row>
    <row r="394" customFormat="false" ht="15.75" hidden="false" customHeight="false" outlineLevel="0" collapsed="false">
      <c r="A394" s="25" t="s">
        <v>67</v>
      </c>
      <c r="B394" s="25"/>
      <c r="C394" s="25"/>
      <c r="D394" s="26"/>
      <c r="E394" s="27" t="n">
        <v>0</v>
      </c>
      <c r="F394" s="28" t="n">
        <f aca="false">IF(A399="WIN",1,0)</f>
        <v>1</v>
      </c>
      <c r="G394" s="29"/>
      <c r="H394" s="25" t="s">
        <v>97</v>
      </c>
      <c r="I394" s="25"/>
      <c r="J394" s="25"/>
      <c r="K394" s="26" t="n">
        <v>0</v>
      </c>
      <c r="L394" s="27" t="n">
        <v>1</v>
      </c>
      <c r="M394" s="28" t="n">
        <f aca="false">IF(H399="WIN",1,0)</f>
        <v>0</v>
      </c>
      <c r="N394" s="4"/>
    </row>
    <row r="395" customFormat="false" ht="15.75" hidden="false" customHeight="false" outlineLevel="0" collapsed="false">
      <c r="A395" s="25" t="s">
        <v>65</v>
      </c>
      <c r="B395" s="25"/>
      <c r="C395" s="25"/>
      <c r="D395" s="26" t="n">
        <v>1</v>
      </c>
      <c r="E395" s="27" t="n">
        <v>0</v>
      </c>
      <c r="F395" s="28" t="n">
        <f aca="false">IF(A399="WIN",1,0)</f>
        <v>1</v>
      </c>
      <c r="G395" s="29"/>
      <c r="H395" s="25" t="s">
        <v>93</v>
      </c>
      <c r="I395" s="25"/>
      <c r="J395" s="25"/>
      <c r="K395" s="26" t="n">
        <v>0</v>
      </c>
      <c r="L395" s="27" t="n">
        <v>1</v>
      </c>
      <c r="M395" s="28" t="n">
        <f aca="false">IF(H399="WIN",1,0)</f>
        <v>0</v>
      </c>
      <c r="N395" s="4"/>
    </row>
    <row r="396" customFormat="false" ht="15.75" hidden="false" customHeight="false" outlineLevel="0" collapsed="false">
      <c r="A396" s="25" t="s">
        <v>63</v>
      </c>
      <c r="B396" s="25"/>
      <c r="C396" s="25"/>
      <c r="D396" s="26"/>
      <c r="E396" s="27" t="n">
        <v>0</v>
      </c>
      <c r="F396" s="28" t="n">
        <f aca="false">IF(A399="WIN",1,0)</f>
        <v>1</v>
      </c>
      <c r="G396" s="29"/>
      <c r="H396" s="25" t="s">
        <v>75</v>
      </c>
      <c r="I396" s="25"/>
      <c r="J396" s="25"/>
      <c r="K396" s="26" t="n">
        <v>1</v>
      </c>
      <c r="L396" s="27" t="n">
        <v>1</v>
      </c>
      <c r="M396" s="28" t="n">
        <f aca="false">IF(H399="WIN",1,0)</f>
        <v>0</v>
      </c>
      <c r="N396" s="4"/>
    </row>
    <row r="397" customFormat="false" ht="15.75" hidden="false" customHeight="false" outlineLevel="0" collapsed="false">
      <c r="A397" s="25" t="s">
        <v>69</v>
      </c>
      <c r="B397" s="25"/>
      <c r="C397" s="25"/>
      <c r="D397" s="26" t="n">
        <v>1</v>
      </c>
      <c r="E397" s="27" t="n">
        <v>1</v>
      </c>
      <c r="F397" s="28" t="n">
        <f aca="false">IF(A399="WIN",1,0)</f>
        <v>1</v>
      </c>
      <c r="G397" s="29"/>
      <c r="H397" s="25" t="s">
        <v>81</v>
      </c>
      <c r="I397" s="25"/>
      <c r="J397" s="25"/>
      <c r="K397" s="26" t="n">
        <v>0</v>
      </c>
      <c r="L397" s="27" t="n">
        <v>1</v>
      </c>
      <c r="M397" s="28" t="n">
        <f aca="false">IF(H399="WIN",1,0)</f>
        <v>0</v>
      </c>
      <c r="N397" s="4"/>
    </row>
    <row r="398" customFormat="false" ht="15.75" hidden="false" customHeight="false" outlineLevel="0" collapsed="false">
      <c r="A398" s="32" t="s">
        <v>61</v>
      </c>
      <c r="B398" s="32"/>
      <c r="C398" s="32"/>
      <c r="D398" s="33" t="n">
        <v>3</v>
      </c>
      <c r="E398" s="34" t="n">
        <v>0</v>
      </c>
      <c r="F398" s="28" t="n">
        <f aca="false">IF(A399="WIN",1,0)</f>
        <v>1</v>
      </c>
      <c r="G398" s="29"/>
      <c r="H398" s="32" t="s">
        <v>114</v>
      </c>
      <c r="I398" s="32"/>
      <c r="J398" s="32"/>
      <c r="K398" s="33" t="n">
        <v>1</v>
      </c>
      <c r="L398" s="34" t="n">
        <v>1</v>
      </c>
      <c r="M398" s="28" t="n">
        <f aca="false">IF(H399="WIN",1,0)</f>
        <v>0</v>
      </c>
      <c r="N398" s="4"/>
    </row>
    <row r="399" customFormat="false" ht="15.75" hidden="false" customHeight="false" outlineLevel="0" collapsed="false">
      <c r="A399" s="35" t="s">
        <v>11</v>
      </c>
      <c r="B399" s="35"/>
      <c r="C399" s="35"/>
      <c r="D399" s="36"/>
      <c r="E399" s="37"/>
      <c r="F399" s="38"/>
      <c r="G399" s="39"/>
      <c r="H399" s="35" t="s">
        <v>10</v>
      </c>
      <c r="I399" s="35"/>
      <c r="J399" s="35"/>
      <c r="K399" s="41"/>
      <c r="L399" s="37"/>
      <c r="M399" s="38"/>
      <c r="N399" s="4"/>
    </row>
    <row r="400" customFormat="false" ht="15.75" hidden="false" customHeight="false" outlineLevel="0" collapsed="false">
      <c r="A400" s="10" t="s">
        <v>4</v>
      </c>
      <c r="B400" s="10"/>
      <c r="C400" s="10"/>
      <c r="D400" s="11" t="s">
        <v>5</v>
      </c>
      <c r="E400" s="12" t="s">
        <v>6</v>
      </c>
      <c r="F400" s="13" t="s">
        <v>7</v>
      </c>
      <c r="G400" s="14"/>
      <c r="H400" s="15" t="s">
        <v>8</v>
      </c>
      <c r="I400" s="15"/>
      <c r="J400" s="15"/>
      <c r="K400" s="11" t="s">
        <v>5</v>
      </c>
      <c r="L400" s="12" t="s">
        <v>6</v>
      </c>
      <c r="M400" s="13" t="s">
        <v>7</v>
      </c>
      <c r="N400" s="4"/>
    </row>
    <row r="401" customFormat="false" ht="15.75" hidden="false" customHeight="false" outlineLevel="0" collapsed="false">
      <c r="A401" s="57" t="str">
        <f aca="false">FTT!$G$1</f>
        <v>Fortree Trevenants</v>
      </c>
      <c r="B401" s="57"/>
      <c r="C401" s="57"/>
      <c r="D401" s="19"/>
      <c r="E401" s="20"/>
      <c r="F401" s="21" t="str">
        <f aca="false">IF(A408="WIN","W",IF(A408="LOSE","L",""))</f>
        <v>W</v>
      </c>
      <c r="G401" s="22"/>
      <c r="H401" s="18" t="str">
        <f aca="false">LVC!$G$1</f>
        <v>Louisville Crobats</v>
      </c>
      <c r="I401" s="18"/>
      <c r="J401" s="18"/>
      <c r="K401" s="19"/>
      <c r="L401" s="20"/>
      <c r="M401" s="21" t="str">
        <f aca="false">IF(H408="WIN","W",IF(H408="LOSE","L",""))</f>
        <v>L</v>
      </c>
      <c r="N401" s="4"/>
    </row>
    <row r="402" customFormat="false" ht="15.75" hidden="false" customHeight="false" outlineLevel="0" collapsed="false">
      <c r="A402" s="56"/>
      <c r="B402" s="56"/>
      <c r="C402" s="56"/>
      <c r="D402" s="26"/>
      <c r="E402" s="27"/>
      <c r="F402" s="28" t="n">
        <f aca="false">IF(A408="WIN",1,0)</f>
        <v>1</v>
      </c>
      <c r="G402" s="29"/>
      <c r="H402" s="56"/>
      <c r="I402" s="56"/>
      <c r="J402" s="56"/>
      <c r="K402" s="26"/>
      <c r="L402" s="27"/>
      <c r="M402" s="28" t="n">
        <f aca="false">IF(H408="WIN",1,0)</f>
        <v>0</v>
      </c>
      <c r="N402" s="4"/>
    </row>
    <row r="403" customFormat="false" ht="15.75" hidden="false" customHeight="false" outlineLevel="0" collapsed="false">
      <c r="A403" s="25"/>
      <c r="B403" s="25"/>
      <c r="C403" s="25"/>
      <c r="D403" s="26"/>
      <c r="E403" s="27"/>
      <c r="F403" s="28" t="n">
        <f aca="false">IF(A408="WIN",1,0)</f>
        <v>1</v>
      </c>
      <c r="G403" s="29"/>
      <c r="H403" s="25"/>
      <c r="I403" s="25"/>
      <c r="J403" s="25"/>
      <c r="K403" s="26"/>
      <c r="L403" s="27"/>
      <c r="M403" s="28" t="n">
        <f aca="false">IF(H408="WIN",1,0)</f>
        <v>0</v>
      </c>
      <c r="N403" s="4"/>
    </row>
    <row r="404" customFormat="false" ht="15.75" hidden="false" customHeight="false" outlineLevel="0" collapsed="false">
      <c r="A404" s="25"/>
      <c r="B404" s="25"/>
      <c r="C404" s="25"/>
      <c r="D404" s="26"/>
      <c r="E404" s="27"/>
      <c r="F404" s="28" t="n">
        <f aca="false">IF(A408="WIN",1,0)</f>
        <v>1</v>
      </c>
      <c r="G404" s="29"/>
      <c r="H404" s="25"/>
      <c r="I404" s="25"/>
      <c r="J404" s="25"/>
      <c r="K404" s="26"/>
      <c r="L404" s="27"/>
      <c r="M404" s="28" t="n">
        <f aca="false">IF(H408="WIN",1,0)</f>
        <v>0</v>
      </c>
      <c r="N404" s="4"/>
    </row>
    <row r="405" customFormat="false" ht="15.75" hidden="false" customHeight="false" outlineLevel="0" collapsed="false">
      <c r="A405" s="25"/>
      <c r="B405" s="25"/>
      <c r="C405" s="25"/>
      <c r="D405" s="26"/>
      <c r="E405" s="27"/>
      <c r="F405" s="28" t="n">
        <f aca="false">IF(A408="WIN",1,0)</f>
        <v>1</v>
      </c>
      <c r="G405" s="29"/>
      <c r="H405" s="25"/>
      <c r="I405" s="25"/>
      <c r="J405" s="25"/>
      <c r="K405" s="26"/>
      <c r="L405" s="27"/>
      <c r="M405" s="28" t="n">
        <f aca="false">IF(H408="WIN",1,0)</f>
        <v>0</v>
      </c>
      <c r="N405" s="4"/>
    </row>
    <row r="406" customFormat="false" ht="15.75" hidden="false" customHeight="false" outlineLevel="0" collapsed="false">
      <c r="A406" s="25"/>
      <c r="B406" s="25"/>
      <c r="C406" s="25"/>
      <c r="D406" s="26"/>
      <c r="E406" s="27"/>
      <c r="F406" s="28" t="n">
        <f aca="false">IF(A408="WIN",1,0)</f>
        <v>1</v>
      </c>
      <c r="G406" s="29"/>
      <c r="H406" s="25"/>
      <c r="I406" s="25"/>
      <c r="J406" s="25"/>
      <c r="K406" s="26"/>
      <c r="L406" s="27"/>
      <c r="M406" s="28" t="n">
        <f aca="false">IF(H408="WIN",1,0)</f>
        <v>0</v>
      </c>
      <c r="N406" s="4"/>
    </row>
    <row r="407" customFormat="false" ht="15.75" hidden="false" customHeight="false" outlineLevel="0" collapsed="false">
      <c r="A407" s="32"/>
      <c r="B407" s="32"/>
      <c r="C407" s="32"/>
      <c r="D407" s="33"/>
      <c r="E407" s="34"/>
      <c r="F407" s="28" t="n">
        <f aca="false">IF(A408="WIN",1,0)</f>
        <v>1</v>
      </c>
      <c r="G407" s="29"/>
      <c r="H407" s="32"/>
      <c r="I407" s="32"/>
      <c r="J407" s="32"/>
      <c r="K407" s="33"/>
      <c r="L407" s="34"/>
      <c r="M407" s="28" t="n">
        <f aca="false">IF(H408="WIN",1,0)</f>
        <v>0</v>
      </c>
      <c r="N407" s="4"/>
    </row>
    <row r="408" customFormat="false" ht="15.75" hidden="false" customHeight="false" outlineLevel="0" collapsed="false">
      <c r="A408" s="35" t="s">
        <v>11</v>
      </c>
      <c r="B408" s="35"/>
      <c r="C408" s="35"/>
      <c r="D408" s="36"/>
      <c r="E408" s="37"/>
      <c r="F408" s="38"/>
      <c r="G408" s="39"/>
      <c r="H408" s="35" t="s">
        <v>10</v>
      </c>
      <c r="I408" s="35"/>
      <c r="J408" s="35"/>
      <c r="K408" s="41"/>
      <c r="L408" s="37"/>
      <c r="M408" s="38"/>
      <c r="N408" s="4"/>
    </row>
    <row r="409" customFormat="false" ht="17.25" hidden="false" customHeight="false" outlineLevel="0" collapsed="false">
      <c r="A409" s="6" t="s">
        <v>39</v>
      </c>
      <c r="B409" s="6"/>
      <c r="C409" s="6"/>
      <c r="D409" s="6"/>
      <c r="E409" s="6"/>
      <c r="F409" s="6"/>
      <c r="G409" s="6"/>
      <c r="H409" s="6"/>
      <c r="I409" s="6"/>
      <c r="J409" s="6"/>
      <c r="K409" s="6"/>
      <c r="L409" s="6"/>
      <c r="M409" s="6"/>
      <c r="N409" s="4"/>
    </row>
    <row r="410" customFormat="false" ht="15.75" hidden="false" customHeight="false" outlineLevel="0" collapsed="false">
      <c r="A410" s="10" t="s">
        <v>4</v>
      </c>
      <c r="B410" s="10"/>
      <c r="C410" s="10"/>
      <c r="D410" s="11" t="s">
        <v>5</v>
      </c>
      <c r="E410" s="12" t="s">
        <v>6</v>
      </c>
      <c r="F410" s="13" t="s">
        <v>7</v>
      </c>
      <c r="G410" s="14"/>
      <c r="H410" s="15" t="s">
        <v>8</v>
      </c>
      <c r="I410" s="15"/>
      <c r="J410" s="15"/>
      <c r="K410" s="11" t="s">
        <v>5</v>
      </c>
      <c r="L410" s="12" t="s">
        <v>6</v>
      </c>
      <c r="M410" s="13" t="s">
        <v>7</v>
      </c>
      <c r="N410" s="4"/>
    </row>
    <row r="411" customFormat="false" ht="15.75" hidden="false" customHeight="false" outlineLevel="0" collapsed="false">
      <c r="A411" s="57" t="str">
        <f aca="false">FTT!$G$1</f>
        <v>Fortree Trevenants</v>
      </c>
      <c r="B411" s="57"/>
      <c r="C411" s="57"/>
      <c r="D411" s="19"/>
      <c r="E411" s="20"/>
      <c r="F411" s="21" t="str">
        <f aca="false">IF(A418="WIN","W",IF(A418="LOSE","L",""))</f>
        <v/>
      </c>
      <c r="G411" s="22"/>
      <c r="H411" s="18" t="str">
        <f aca="false">KKS!$G$1</f>
        <v>Kingston Kecleons</v>
      </c>
      <c r="I411" s="18"/>
      <c r="J411" s="18"/>
      <c r="K411" s="19"/>
      <c r="L411" s="20"/>
      <c r="M411" s="21" t="str">
        <f aca="false">IF(H418="WIN","W",IF(H418="LOSE","L",""))</f>
        <v/>
      </c>
      <c r="N411" s="4"/>
    </row>
    <row r="412" customFormat="false" ht="15.75" hidden="false" customHeight="false" outlineLevel="0" collapsed="false">
      <c r="A412" s="56"/>
      <c r="B412" s="56"/>
      <c r="C412" s="56"/>
      <c r="D412" s="26"/>
      <c r="E412" s="27"/>
      <c r="F412" s="28" t="n">
        <f aca="false">IF(A418="WIN",1,0)</f>
        <v>0</v>
      </c>
      <c r="G412" s="29"/>
      <c r="H412" s="25"/>
      <c r="I412" s="25"/>
      <c r="J412" s="25"/>
      <c r="K412" s="26"/>
      <c r="L412" s="27"/>
      <c r="M412" s="28" t="n">
        <f aca="false">IF(H418="WIN",1,0)</f>
        <v>0</v>
      </c>
      <c r="N412" s="4"/>
    </row>
    <row r="413" customFormat="false" ht="15.75" hidden="false" customHeight="false" outlineLevel="0" collapsed="false">
      <c r="A413" s="25"/>
      <c r="B413" s="25"/>
      <c r="C413" s="25"/>
      <c r="D413" s="26"/>
      <c r="E413" s="27"/>
      <c r="F413" s="28" t="n">
        <f aca="false">IF(A418="WIN",1,0)</f>
        <v>0</v>
      </c>
      <c r="G413" s="29"/>
      <c r="H413" s="25"/>
      <c r="I413" s="25"/>
      <c r="J413" s="25"/>
      <c r="K413" s="26"/>
      <c r="L413" s="27"/>
      <c r="M413" s="28" t="n">
        <f aca="false">IF(H418="WIN",1,0)</f>
        <v>0</v>
      </c>
      <c r="N413" s="4"/>
    </row>
    <row r="414" customFormat="false" ht="15.75" hidden="false" customHeight="false" outlineLevel="0" collapsed="false">
      <c r="A414" s="25"/>
      <c r="B414" s="25"/>
      <c r="C414" s="25"/>
      <c r="D414" s="26"/>
      <c r="E414" s="27"/>
      <c r="F414" s="28" t="n">
        <f aca="false">IF(A418="WIN",1,0)</f>
        <v>0</v>
      </c>
      <c r="G414" s="29"/>
      <c r="H414" s="25"/>
      <c r="I414" s="25"/>
      <c r="J414" s="25"/>
      <c r="K414" s="26"/>
      <c r="L414" s="27"/>
      <c r="M414" s="28" t="n">
        <f aca="false">IF(H418="WIN",1,0)</f>
        <v>0</v>
      </c>
      <c r="N414" s="4"/>
    </row>
    <row r="415" customFormat="false" ht="15.75" hidden="false" customHeight="false" outlineLevel="0" collapsed="false">
      <c r="A415" s="25"/>
      <c r="B415" s="25"/>
      <c r="C415" s="25"/>
      <c r="D415" s="26"/>
      <c r="E415" s="27"/>
      <c r="F415" s="28" t="n">
        <f aca="false">IF(A418="WIN",1,0)</f>
        <v>0</v>
      </c>
      <c r="G415" s="29"/>
      <c r="H415" s="25"/>
      <c r="I415" s="25"/>
      <c r="J415" s="25"/>
      <c r="K415" s="26"/>
      <c r="L415" s="27"/>
      <c r="M415" s="28" t="n">
        <f aca="false">IF(H418="WIN",1,0)</f>
        <v>0</v>
      </c>
      <c r="N415" s="4"/>
      <c r="O415" s="51"/>
      <c r="P415" s="51"/>
      <c r="Q415" s="51"/>
      <c r="R415" s="51"/>
      <c r="S415" s="51"/>
      <c r="T415" s="51"/>
      <c r="U415" s="51"/>
      <c r="V415" s="51"/>
      <c r="W415" s="51"/>
      <c r="X415" s="51"/>
      <c r="Y415" s="51"/>
      <c r="Z415" s="51"/>
      <c r="AA415" s="51"/>
      <c r="AB415" s="51"/>
    </row>
    <row r="416" customFormat="false" ht="15.75" hidden="false" customHeight="false" outlineLevel="0" collapsed="false">
      <c r="A416" s="25"/>
      <c r="B416" s="25"/>
      <c r="C416" s="25"/>
      <c r="D416" s="26"/>
      <c r="E416" s="27"/>
      <c r="F416" s="28" t="n">
        <f aca="false">IF(A418="WIN",1,0)</f>
        <v>0</v>
      </c>
      <c r="G416" s="29"/>
      <c r="H416" s="25"/>
      <c r="I416" s="25"/>
      <c r="J416" s="25"/>
      <c r="K416" s="26"/>
      <c r="L416" s="27"/>
      <c r="M416" s="28" t="n">
        <f aca="false">IF(H418="WIN",1,0)</f>
        <v>0</v>
      </c>
      <c r="N416" s="4"/>
      <c r="O416" s="51"/>
      <c r="P416" s="51"/>
      <c r="Q416" s="51"/>
      <c r="R416" s="51"/>
      <c r="S416" s="51"/>
      <c r="T416" s="51"/>
      <c r="U416" s="51"/>
      <c r="V416" s="51"/>
      <c r="W416" s="51"/>
      <c r="X416" s="51"/>
      <c r="Y416" s="51"/>
      <c r="Z416" s="51"/>
      <c r="AA416" s="51"/>
      <c r="AB416" s="51"/>
    </row>
    <row r="417" customFormat="false" ht="15.75" hidden="false" customHeight="false" outlineLevel="0" collapsed="false">
      <c r="A417" s="32"/>
      <c r="B417" s="32"/>
      <c r="C417" s="32"/>
      <c r="D417" s="33"/>
      <c r="E417" s="34"/>
      <c r="F417" s="28" t="n">
        <f aca="false">IF(A418="WIN",1,0)</f>
        <v>0</v>
      </c>
      <c r="G417" s="29"/>
      <c r="H417" s="32"/>
      <c r="I417" s="32"/>
      <c r="J417" s="32"/>
      <c r="K417" s="33"/>
      <c r="L417" s="34"/>
      <c r="M417" s="28" t="n">
        <f aca="false">IF(H418="WIN",1,0)</f>
        <v>0</v>
      </c>
      <c r="N417" s="4"/>
      <c r="O417" s="51"/>
      <c r="P417" s="51"/>
      <c r="Q417" s="51"/>
      <c r="R417" s="51"/>
      <c r="S417" s="51"/>
      <c r="T417" s="51"/>
      <c r="U417" s="51"/>
      <c r="V417" s="51"/>
      <c r="W417" s="51"/>
      <c r="X417" s="51"/>
      <c r="Y417" s="51"/>
      <c r="Z417" s="51"/>
      <c r="AA417" s="51"/>
      <c r="AB417" s="51"/>
    </row>
    <row r="418" customFormat="false" ht="15.75" hidden="false" customHeight="false" outlineLevel="0" collapsed="false">
      <c r="A418" s="35" t="s">
        <v>30</v>
      </c>
      <c r="B418" s="35"/>
      <c r="C418" s="35"/>
      <c r="D418" s="36" t="n">
        <f aca="false">SUM(D411,-E411)</f>
        <v>0</v>
      </c>
      <c r="E418" s="36"/>
      <c r="F418" s="38"/>
      <c r="G418" s="39"/>
      <c r="H418" s="35" t="s">
        <v>30</v>
      </c>
      <c r="I418" s="35"/>
      <c r="J418" s="35"/>
      <c r="K418" s="36" t="n">
        <f aca="false">SUM(K411,-L411)</f>
        <v>0</v>
      </c>
      <c r="L418" s="36"/>
      <c r="M418" s="38"/>
      <c r="N418" s="4"/>
      <c r="O418" s="52"/>
      <c r="P418" s="52"/>
      <c r="Q418" s="52"/>
      <c r="R418" s="52"/>
      <c r="S418" s="52"/>
      <c r="T418" s="52"/>
      <c r="U418" s="52"/>
      <c r="V418" s="52"/>
      <c r="W418" s="52"/>
      <c r="X418" s="52"/>
      <c r="Y418" s="52"/>
      <c r="Z418" s="52"/>
      <c r="AA418" s="52"/>
      <c r="AB418" s="52"/>
    </row>
    <row r="419" customFormat="false" ht="15.75" hidden="false" customHeight="false" outlineLevel="0" collapsed="false">
      <c r="A419" s="10" t="s">
        <v>4</v>
      </c>
      <c r="B419" s="10"/>
      <c r="C419" s="10"/>
      <c r="D419" s="11" t="s">
        <v>5</v>
      </c>
      <c r="E419" s="12" t="s">
        <v>6</v>
      </c>
      <c r="F419" s="13" t="s">
        <v>7</v>
      </c>
      <c r="G419" s="14"/>
      <c r="H419" s="15" t="s">
        <v>8</v>
      </c>
      <c r="I419" s="15"/>
      <c r="J419" s="15"/>
      <c r="K419" s="11" t="s">
        <v>5</v>
      </c>
      <c r="L419" s="12" t="s">
        <v>6</v>
      </c>
      <c r="M419" s="13" t="s">
        <v>7</v>
      </c>
      <c r="N419" s="4"/>
      <c r="O419" s="52"/>
      <c r="P419" s="52"/>
      <c r="Q419" s="52"/>
      <c r="R419" s="52"/>
      <c r="S419" s="52"/>
      <c r="T419" s="52"/>
      <c r="U419" s="52"/>
      <c r="V419" s="52"/>
      <c r="W419" s="52"/>
      <c r="X419" s="52"/>
      <c r="Y419" s="52"/>
      <c r="Z419" s="52"/>
      <c r="AA419" s="52"/>
      <c r="AB419" s="52"/>
    </row>
    <row r="420" customFormat="false" ht="15.75" hidden="false" customHeight="false" outlineLevel="0" collapsed="false">
      <c r="A420" s="18" t="str">
        <f aca="false">LVC!$G$1</f>
        <v>Louisville Crobats</v>
      </c>
      <c r="B420" s="18"/>
      <c r="C420" s="18"/>
      <c r="D420" s="19"/>
      <c r="E420" s="20"/>
      <c r="F420" s="21" t="str">
        <f aca="false">IF(A427="WIN","W",IF(A427="LOSE","L",""))</f>
        <v>L</v>
      </c>
      <c r="G420" s="22"/>
      <c r="H420" s="18" t="str">
        <f aca="false">SEA!$G$1</f>
        <v>Seattle Seadras</v>
      </c>
      <c r="I420" s="18"/>
      <c r="J420" s="18"/>
      <c r="K420" s="19"/>
      <c r="L420" s="20"/>
      <c r="M420" s="21" t="str">
        <f aca="false">IF(H427="WIN","W",IF(H427="LOSE","L",""))</f>
        <v>W</v>
      </c>
      <c r="N420" s="4"/>
      <c r="O420" s="53"/>
      <c r="P420" s="53"/>
      <c r="Q420" s="53"/>
      <c r="R420" s="53"/>
      <c r="S420" s="53"/>
      <c r="T420" s="53"/>
      <c r="U420" s="53"/>
      <c r="V420" s="53"/>
      <c r="W420" s="53"/>
      <c r="X420" s="53"/>
      <c r="Y420" s="53"/>
      <c r="Z420" s="53"/>
      <c r="AA420" s="53"/>
      <c r="AB420" s="53"/>
    </row>
    <row r="421" customFormat="false" ht="15.75" hidden="false" customHeight="false" outlineLevel="0" collapsed="false">
      <c r="A421" s="56"/>
      <c r="B421" s="56"/>
      <c r="C421" s="56"/>
      <c r="D421" s="26"/>
      <c r="E421" s="27"/>
      <c r="F421" s="28" t="n">
        <f aca="false">IF(A427="WIN",1,0)</f>
        <v>0</v>
      </c>
      <c r="G421" s="29"/>
      <c r="H421" s="56"/>
      <c r="I421" s="56"/>
      <c r="J421" s="56"/>
      <c r="K421" s="26"/>
      <c r="L421" s="27"/>
      <c r="M421" s="28" t="n">
        <f aca="false">IF(H427="WIN",1,0)</f>
        <v>1</v>
      </c>
      <c r="N421" s="4"/>
      <c r="O421" s="51"/>
      <c r="P421" s="51"/>
      <c r="Q421" s="51"/>
      <c r="R421" s="51"/>
      <c r="S421" s="51"/>
      <c r="T421" s="51"/>
      <c r="U421" s="51"/>
      <c r="V421" s="51"/>
      <c r="W421" s="51"/>
      <c r="X421" s="51"/>
      <c r="Y421" s="51"/>
      <c r="Z421" s="51"/>
      <c r="AA421" s="51"/>
      <c r="AB421" s="51"/>
    </row>
    <row r="422" customFormat="false" ht="15.75" hidden="false" customHeight="false" outlineLevel="0" collapsed="false">
      <c r="A422" s="25"/>
      <c r="B422" s="25"/>
      <c r="C422" s="25"/>
      <c r="D422" s="26"/>
      <c r="E422" s="27"/>
      <c r="F422" s="28" t="n">
        <f aca="false">IF(A427="WIN",1,0)</f>
        <v>0</v>
      </c>
      <c r="G422" s="29"/>
      <c r="H422" s="25"/>
      <c r="I422" s="25"/>
      <c r="J422" s="25"/>
      <c r="K422" s="26"/>
      <c r="L422" s="27"/>
      <c r="M422" s="28" t="n">
        <f aca="false">IF(H427="WIN",1,0)</f>
        <v>1</v>
      </c>
      <c r="N422" s="4"/>
      <c r="O422" s="51"/>
      <c r="P422" s="51"/>
      <c r="Q422" s="51"/>
      <c r="R422" s="51"/>
      <c r="S422" s="51"/>
      <c r="T422" s="51"/>
      <c r="U422" s="51"/>
      <c r="V422" s="51"/>
      <c r="W422" s="51"/>
      <c r="X422" s="51"/>
      <c r="Y422" s="51"/>
      <c r="Z422" s="51"/>
      <c r="AA422" s="51"/>
      <c r="AB422" s="51"/>
    </row>
    <row r="423" customFormat="false" ht="15.75" hidden="false" customHeight="false" outlineLevel="0" collapsed="false">
      <c r="A423" s="25"/>
      <c r="B423" s="25"/>
      <c r="C423" s="25"/>
      <c r="D423" s="26"/>
      <c r="E423" s="27"/>
      <c r="F423" s="28" t="n">
        <f aca="false">IF(A427="WIN",1,0)</f>
        <v>0</v>
      </c>
      <c r="G423" s="29"/>
      <c r="H423" s="25"/>
      <c r="I423" s="25"/>
      <c r="J423" s="25"/>
      <c r="K423" s="26"/>
      <c r="L423" s="27"/>
      <c r="M423" s="28" t="n">
        <f aca="false">IF(H427="WIN",1,0)</f>
        <v>1</v>
      </c>
      <c r="N423" s="4"/>
      <c r="O423" s="51"/>
      <c r="P423" s="51"/>
      <c r="Q423" s="51"/>
      <c r="R423" s="51"/>
      <c r="S423" s="51"/>
      <c r="T423" s="51"/>
      <c r="U423" s="51"/>
      <c r="V423" s="51"/>
      <c r="W423" s="51"/>
      <c r="X423" s="51"/>
      <c r="Y423" s="51"/>
      <c r="Z423" s="51"/>
      <c r="AA423" s="51"/>
      <c r="AB423" s="51"/>
    </row>
    <row r="424" customFormat="false" ht="15.75" hidden="false" customHeight="false" outlineLevel="0" collapsed="false">
      <c r="A424" s="25"/>
      <c r="B424" s="25"/>
      <c r="C424" s="25"/>
      <c r="D424" s="26"/>
      <c r="E424" s="27"/>
      <c r="F424" s="28" t="n">
        <f aca="false">IF(A427="WIN",1,0)</f>
        <v>0</v>
      </c>
      <c r="G424" s="29"/>
      <c r="H424" s="25"/>
      <c r="I424" s="25"/>
      <c r="J424" s="25"/>
      <c r="K424" s="26"/>
      <c r="L424" s="27"/>
      <c r="M424" s="28" t="n">
        <f aca="false">IF(H427="WIN",1,0)</f>
        <v>1</v>
      </c>
      <c r="N424" s="4"/>
      <c r="O424" s="51"/>
      <c r="P424" s="51"/>
      <c r="Q424" s="51"/>
      <c r="R424" s="51"/>
      <c r="S424" s="51"/>
      <c r="T424" s="51"/>
      <c r="U424" s="51"/>
      <c r="V424" s="51"/>
      <c r="W424" s="51"/>
      <c r="X424" s="51"/>
      <c r="Y424" s="51"/>
      <c r="Z424" s="51"/>
      <c r="AA424" s="51"/>
      <c r="AB424" s="51"/>
    </row>
    <row r="425" customFormat="false" ht="15.75" hidden="false" customHeight="false" outlineLevel="0" collapsed="false">
      <c r="A425" s="25"/>
      <c r="B425" s="25"/>
      <c r="C425" s="25"/>
      <c r="D425" s="26"/>
      <c r="E425" s="27"/>
      <c r="F425" s="28" t="n">
        <f aca="false">IF(A427="WIN",1,0)</f>
        <v>0</v>
      </c>
      <c r="G425" s="29"/>
      <c r="H425" s="25"/>
      <c r="I425" s="25"/>
      <c r="J425" s="25"/>
      <c r="K425" s="26"/>
      <c r="L425" s="27"/>
      <c r="M425" s="28" t="n">
        <f aca="false">IF(H427="WIN",1,0)</f>
        <v>1</v>
      </c>
      <c r="N425" s="4"/>
      <c r="O425" s="51"/>
      <c r="P425" s="51"/>
      <c r="Q425" s="51"/>
      <c r="R425" s="51"/>
      <c r="S425" s="51"/>
      <c r="T425" s="51"/>
      <c r="U425" s="51"/>
      <c r="V425" s="51"/>
      <c r="W425" s="51"/>
      <c r="X425" s="51"/>
      <c r="Y425" s="51"/>
      <c r="Z425" s="51"/>
      <c r="AA425" s="51"/>
      <c r="AB425" s="51"/>
    </row>
    <row r="426" customFormat="false" ht="15.75" hidden="false" customHeight="false" outlineLevel="0" collapsed="false">
      <c r="A426" s="32"/>
      <c r="B426" s="32"/>
      <c r="C426" s="32"/>
      <c r="D426" s="33"/>
      <c r="E426" s="34"/>
      <c r="F426" s="28" t="n">
        <f aca="false">IF(A427="WIN",1,0)</f>
        <v>0</v>
      </c>
      <c r="G426" s="29"/>
      <c r="H426" s="32"/>
      <c r="I426" s="32"/>
      <c r="J426" s="32"/>
      <c r="K426" s="33"/>
      <c r="L426" s="34"/>
      <c r="M426" s="28" t="n">
        <f aca="false">IF(H427="WIN",1,0)</f>
        <v>1</v>
      </c>
      <c r="N426" s="4"/>
      <c r="O426" s="51"/>
      <c r="P426" s="51"/>
      <c r="Q426" s="51"/>
      <c r="R426" s="51"/>
      <c r="S426" s="51"/>
      <c r="T426" s="51"/>
      <c r="U426" s="51"/>
      <c r="V426" s="51"/>
      <c r="W426" s="51"/>
      <c r="X426" s="51"/>
      <c r="Y426" s="51"/>
      <c r="Z426" s="51"/>
      <c r="AA426" s="51"/>
      <c r="AB426" s="51"/>
    </row>
    <row r="427" customFormat="false" ht="15.75" hidden="false" customHeight="false" outlineLevel="0" collapsed="false">
      <c r="A427" s="35" t="s">
        <v>10</v>
      </c>
      <c r="B427" s="35"/>
      <c r="C427" s="35"/>
      <c r="D427" s="36" t="n">
        <f aca="false">SUM(D420,-E420)</f>
        <v>0</v>
      </c>
      <c r="E427" s="36"/>
      <c r="F427" s="38"/>
      <c r="G427" s="39"/>
      <c r="H427" s="35" t="s">
        <v>11</v>
      </c>
      <c r="I427" s="35"/>
      <c r="J427" s="35"/>
      <c r="K427" s="36" t="n">
        <f aca="false">SUM(K420,-L420)</f>
        <v>0</v>
      </c>
      <c r="L427" s="36"/>
      <c r="M427" s="38"/>
      <c r="N427" s="4"/>
      <c r="O427" s="52"/>
      <c r="P427" s="52"/>
      <c r="Q427" s="52"/>
      <c r="R427" s="52"/>
      <c r="S427" s="52"/>
      <c r="T427" s="52"/>
      <c r="U427" s="52"/>
      <c r="V427" s="52"/>
      <c r="W427" s="52"/>
      <c r="X427" s="52"/>
      <c r="Y427" s="52"/>
      <c r="Z427" s="52"/>
      <c r="AA427" s="52"/>
      <c r="AB427" s="52"/>
    </row>
    <row r="428" customFormat="false" ht="15.75" hidden="false" customHeight="false" outlineLevel="0" collapsed="false">
      <c r="A428" s="10" t="s">
        <v>4</v>
      </c>
      <c r="B428" s="10"/>
      <c r="C428" s="10"/>
      <c r="D428" s="11" t="s">
        <v>5</v>
      </c>
      <c r="E428" s="12" t="s">
        <v>6</v>
      </c>
      <c r="F428" s="13" t="s">
        <v>7</v>
      </c>
      <c r="G428" s="14"/>
      <c r="H428" s="15" t="s">
        <v>8</v>
      </c>
      <c r="I428" s="15"/>
      <c r="J428" s="15"/>
      <c r="K428" s="11" t="s">
        <v>5</v>
      </c>
      <c r="L428" s="12" t="s">
        <v>6</v>
      </c>
      <c r="M428" s="13" t="s">
        <v>7</v>
      </c>
      <c r="N428" s="4"/>
      <c r="O428" s="52"/>
      <c r="P428" s="52"/>
      <c r="Q428" s="52"/>
      <c r="R428" s="52"/>
      <c r="S428" s="52"/>
      <c r="T428" s="52"/>
      <c r="U428" s="52"/>
      <c r="V428" s="52"/>
      <c r="W428" s="52"/>
      <c r="X428" s="52"/>
      <c r="Y428" s="52"/>
      <c r="Z428" s="52"/>
      <c r="AA428" s="52"/>
      <c r="AB428" s="52"/>
    </row>
    <row r="429" customFormat="false" ht="15.75" hidden="false" customHeight="false" outlineLevel="0" collapsed="false">
      <c r="A429" s="57" t="str">
        <f aca="false">BTB!$G$1</f>
        <v>Battlin Brelooms</v>
      </c>
      <c r="B429" s="57"/>
      <c r="C429" s="57"/>
      <c r="D429" s="19"/>
      <c r="E429" s="20"/>
      <c r="F429" s="21" t="str">
        <f aca="false">IF(A436="WIN","W",IF(A436="LOSE","L",""))</f>
        <v>L</v>
      </c>
      <c r="G429" s="22"/>
      <c r="H429" s="23" t="str">
        <f aca="false">JVJ!$G$1</f>
        <v>Jacksonville Jumpluffs</v>
      </c>
      <c r="I429" s="23"/>
      <c r="J429" s="23"/>
      <c r="K429" s="19"/>
      <c r="L429" s="20"/>
      <c r="M429" s="21" t="str">
        <f aca="false">IF(H436="WIN","W",IF(H436="LOSE","L",""))</f>
        <v>W</v>
      </c>
      <c r="N429" s="4"/>
      <c r="O429" s="53"/>
      <c r="P429" s="53"/>
      <c r="Q429" s="53"/>
      <c r="R429" s="53"/>
      <c r="S429" s="53"/>
      <c r="T429" s="53"/>
      <c r="U429" s="53"/>
      <c r="V429" s="53"/>
      <c r="W429" s="53"/>
      <c r="X429" s="53"/>
      <c r="Y429" s="53"/>
      <c r="Z429" s="53"/>
      <c r="AA429" s="53"/>
      <c r="AB429" s="53"/>
    </row>
    <row r="430" customFormat="false" ht="15.75" hidden="false" customHeight="false" outlineLevel="0" collapsed="false">
      <c r="A430" s="56"/>
      <c r="B430" s="56"/>
      <c r="C430" s="56"/>
      <c r="D430" s="26"/>
      <c r="E430" s="27"/>
      <c r="F430" s="28" t="n">
        <f aca="false">IF(A436="WIN",1,0)</f>
        <v>0</v>
      </c>
      <c r="G430" s="29"/>
      <c r="H430" s="56"/>
      <c r="I430" s="56"/>
      <c r="J430" s="56"/>
      <c r="K430" s="26"/>
      <c r="L430" s="27"/>
      <c r="M430" s="28" t="n">
        <f aca="false">IF(H436="WIN",1,0)</f>
        <v>1</v>
      </c>
      <c r="N430" s="4"/>
      <c r="O430" s="51"/>
      <c r="P430" s="51"/>
      <c r="Q430" s="51"/>
      <c r="R430" s="51"/>
      <c r="S430" s="51"/>
      <c r="T430" s="51"/>
      <c r="U430" s="51"/>
      <c r="V430" s="51"/>
      <c r="W430" s="51"/>
      <c r="X430" s="51"/>
      <c r="Y430" s="51"/>
      <c r="Z430" s="51"/>
      <c r="AA430" s="51"/>
      <c r="AB430" s="51"/>
    </row>
    <row r="431" customFormat="false" ht="15.75" hidden="false" customHeight="false" outlineLevel="0" collapsed="false">
      <c r="A431" s="25"/>
      <c r="B431" s="25"/>
      <c r="C431" s="25"/>
      <c r="D431" s="26"/>
      <c r="E431" s="27"/>
      <c r="F431" s="28" t="n">
        <f aca="false">IF(A436="WIN",1,0)</f>
        <v>0</v>
      </c>
      <c r="G431" s="29"/>
      <c r="H431" s="25"/>
      <c r="I431" s="25"/>
      <c r="J431" s="25"/>
      <c r="K431" s="26"/>
      <c r="L431" s="27"/>
      <c r="M431" s="28" t="n">
        <f aca="false">IF(H436="WIN",1,0)</f>
        <v>1</v>
      </c>
      <c r="N431" s="4"/>
      <c r="O431" s="51"/>
      <c r="P431" s="51"/>
      <c r="Q431" s="51"/>
      <c r="R431" s="51"/>
      <c r="S431" s="51"/>
      <c r="T431" s="51"/>
      <c r="U431" s="51"/>
      <c r="V431" s="51"/>
      <c r="W431" s="51"/>
      <c r="X431" s="51"/>
      <c r="Y431" s="51"/>
      <c r="Z431" s="51"/>
      <c r="AA431" s="51"/>
      <c r="AB431" s="51"/>
    </row>
    <row r="432" customFormat="false" ht="15.75" hidden="false" customHeight="false" outlineLevel="0" collapsed="false">
      <c r="A432" s="25"/>
      <c r="B432" s="25"/>
      <c r="C432" s="25"/>
      <c r="D432" s="26"/>
      <c r="E432" s="27"/>
      <c r="F432" s="28" t="n">
        <f aca="false">IF(A436="WIN",1,0)</f>
        <v>0</v>
      </c>
      <c r="G432" s="29"/>
      <c r="H432" s="25"/>
      <c r="I432" s="25"/>
      <c r="J432" s="25"/>
      <c r="K432" s="26"/>
      <c r="L432" s="27"/>
      <c r="M432" s="28" t="n">
        <f aca="false">IF(H436="WIN",1,0)</f>
        <v>1</v>
      </c>
      <c r="N432" s="4"/>
      <c r="O432" s="51"/>
      <c r="P432" s="51"/>
      <c r="Q432" s="51"/>
      <c r="R432" s="51"/>
      <c r="S432" s="51"/>
      <c r="T432" s="51"/>
      <c r="U432" s="51"/>
      <c r="V432" s="51"/>
      <c r="W432" s="51"/>
      <c r="X432" s="51"/>
      <c r="Y432" s="51"/>
      <c r="Z432" s="51"/>
      <c r="AA432" s="51"/>
      <c r="AB432" s="51"/>
    </row>
    <row r="433" customFormat="false" ht="15.75" hidden="false" customHeight="false" outlineLevel="0" collapsed="false">
      <c r="A433" s="25"/>
      <c r="B433" s="25"/>
      <c r="C433" s="25"/>
      <c r="D433" s="26"/>
      <c r="E433" s="27"/>
      <c r="F433" s="28" t="n">
        <f aca="false">IF(A436="WIN",1,0)</f>
        <v>0</v>
      </c>
      <c r="G433" s="29"/>
      <c r="H433" s="25"/>
      <c r="I433" s="25"/>
      <c r="J433" s="25"/>
      <c r="K433" s="26"/>
      <c r="L433" s="27"/>
      <c r="M433" s="28" t="n">
        <f aca="false">IF(H436="WIN",1,0)</f>
        <v>1</v>
      </c>
      <c r="N433" s="4"/>
      <c r="O433" s="51"/>
      <c r="P433" s="51"/>
      <c r="Q433" s="51"/>
      <c r="R433" s="51"/>
      <c r="S433" s="51"/>
      <c r="T433" s="51"/>
      <c r="U433" s="51"/>
      <c r="V433" s="51"/>
      <c r="W433" s="51"/>
      <c r="X433" s="51"/>
      <c r="Y433" s="51"/>
      <c r="Z433" s="51"/>
      <c r="AA433" s="51"/>
      <c r="AB433" s="51"/>
    </row>
    <row r="434" customFormat="false" ht="15.75" hidden="false" customHeight="false" outlineLevel="0" collapsed="false">
      <c r="A434" s="25"/>
      <c r="B434" s="25"/>
      <c r="C434" s="25"/>
      <c r="D434" s="26"/>
      <c r="E434" s="27"/>
      <c r="F434" s="28" t="n">
        <f aca="false">IF(A436="WIN",1,0)</f>
        <v>0</v>
      </c>
      <c r="G434" s="29"/>
      <c r="H434" s="25"/>
      <c r="I434" s="25"/>
      <c r="J434" s="25"/>
      <c r="K434" s="26"/>
      <c r="L434" s="27"/>
      <c r="M434" s="28" t="n">
        <f aca="false">IF(H436="WIN",1,0)</f>
        <v>1</v>
      </c>
      <c r="N434" s="4"/>
      <c r="O434" s="51"/>
      <c r="P434" s="51"/>
      <c r="Q434" s="51"/>
      <c r="R434" s="51"/>
      <c r="S434" s="51"/>
      <c r="T434" s="51"/>
      <c r="U434" s="51"/>
      <c r="V434" s="51"/>
      <c r="W434" s="51"/>
      <c r="X434" s="51"/>
      <c r="Y434" s="51"/>
      <c r="Z434" s="51"/>
      <c r="AA434" s="51"/>
      <c r="AB434" s="51"/>
    </row>
    <row r="435" customFormat="false" ht="15.75" hidden="false" customHeight="false" outlineLevel="0" collapsed="false">
      <c r="A435" s="32"/>
      <c r="B435" s="32"/>
      <c r="C435" s="32"/>
      <c r="D435" s="33"/>
      <c r="E435" s="34"/>
      <c r="F435" s="28" t="n">
        <f aca="false">IF(A436="WIN",1,0)</f>
        <v>0</v>
      </c>
      <c r="G435" s="29"/>
      <c r="H435" s="32"/>
      <c r="I435" s="32"/>
      <c r="J435" s="32"/>
      <c r="K435" s="33"/>
      <c r="L435" s="34"/>
      <c r="M435" s="28" t="n">
        <f aca="false">IF(H436="WIN",1,0)</f>
        <v>1</v>
      </c>
      <c r="N435" s="4"/>
      <c r="O435" s="51"/>
      <c r="P435" s="51"/>
      <c r="Q435" s="51"/>
      <c r="R435" s="51"/>
      <c r="S435" s="51"/>
      <c r="T435" s="51"/>
      <c r="U435" s="51"/>
      <c r="V435" s="51"/>
      <c r="W435" s="51"/>
      <c r="X435" s="51"/>
      <c r="Y435" s="51"/>
      <c r="Z435" s="51"/>
      <c r="AA435" s="51"/>
      <c r="AB435" s="51"/>
    </row>
    <row r="436" customFormat="false" ht="15.75" hidden="false" customHeight="false" outlineLevel="0" collapsed="false">
      <c r="A436" s="35" t="s">
        <v>10</v>
      </c>
      <c r="B436" s="35"/>
      <c r="C436" s="35"/>
      <c r="D436" s="36" t="n">
        <f aca="false">SUM(D429,-E429)</f>
        <v>0</v>
      </c>
      <c r="E436" s="36"/>
      <c r="F436" s="38"/>
      <c r="G436" s="39"/>
      <c r="H436" s="35" t="s">
        <v>11</v>
      </c>
      <c r="I436" s="35"/>
      <c r="J436" s="35"/>
      <c r="K436" s="36" t="n">
        <f aca="false">SUM(K429,-L429)</f>
        <v>0</v>
      </c>
      <c r="L436" s="36"/>
      <c r="M436" s="38"/>
      <c r="N436" s="4"/>
      <c r="O436" s="52"/>
      <c r="P436" s="52"/>
      <c r="Q436" s="52"/>
      <c r="R436" s="52"/>
      <c r="S436" s="52"/>
      <c r="T436" s="52"/>
      <c r="U436" s="52"/>
      <c r="V436" s="52"/>
      <c r="W436" s="52"/>
      <c r="X436" s="52"/>
      <c r="Y436" s="52"/>
      <c r="Z436" s="52"/>
      <c r="AA436" s="52"/>
      <c r="AB436" s="52"/>
    </row>
    <row r="437" customFormat="false" ht="15.75" hidden="false" customHeight="false" outlineLevel="0" collapsed="false">
      <c r="A437" s="10" t="s">
        <v>4</v>
      </c>
      <c r="B437" s="10"/>
      <c r="C437" s="10"/>
      <c r="D437" s="11" t="s">
        <v>5</v>
      </c>
      <c r="E437" s="12" t="s">
        <v>6</v>
      </c>
      <c r="F437" s="13" t="s">
        <v>7</v>
      </c>
      <c r="G437" s="14"/>
      <c r="H437" s="15" t="s">
        <v>8</v>
      </c>
      <c r="I437" s="15"/>
      <c r="J437" s="15"/>
      <c r="K437" s="11" t="s">
        <v>5</v>
      </c>
      <c r="L437" s="12" t="s">
        <v>6</v>
      </c>
      <c r="M437" s="13" t="s">
        <v>7</v>
      </c>
      <c r="N437" s="4"/>
      <c r="O437" s="52"/>
      <c r="P437" s="52"/>
      <c r="Q437" s="52"/>
      <c r="R437" s="52"/>
      <c r="S437" s="52"/>
      <c r="T437" s="52"/>
      <c r="U437" s="52"/>
      <c r="V437" s="52"/>
      <c r="W437" s="52"/>
      <c r="X437" s="52"/>
      <c r="Y437" s="52"/>
      <c r="Z437" s="52"/>
      <c r="AA437" s="52"/>
      <c r="AB437" s="52"/>
    </row>
    <row r="438" customFormat="false" ht="15.75" hidden="false" customHeight="false" outlineLevel="0" collapsed="false">
      <c r="A438" s="18" t="str">
        <f aca="false">SGP!$G$1</f>
        <v>Slung Patrol</v>
      </c>
      <c r="B438" s="18"/>
      <c r="C438" s="18"/>
      <c r="D438" s="19"/>
      <c r="E438" s="20"/>
      <c r="F438" s="21" t="str">
        <f aca="false">IF(A445="WIN","W",IF(A445="LOSE","L",""))</f>
        <v>W</v>
      </c>
      <c r="G438" s="22"/>
      <c r="H438" s="23" t="str">
        <f aca="false">BBG!$G$1</f>
        <v>Berlin Bronzong</v>
      </c>
      <c r="I438" s="23"/>
      <c r="J438" s="23"/>
      <c r="K438" s="19"/>
      <c r="L438" s="20"/>
      <c r="M438" s="21" t="str">
        <f aca="false">IF(H445="WIN","W",IF(H445="LOSE","L",""))</f>
        <v>L</v>
      </c>
      <c r="N438" s="4"/>
      <c r="O438" s="53"/>
      <c r="P438" s="53"/>
      <c r="Q438" s="53"/>
      <c r="R438" s="53"/>
      <c r="S438" s="53"/>
      <c r="T438" s="53"/>
      <c r="U438" s="53"/>
      <c r="V438" s="53"/>
      <c r="W438" s="53"/>
      <c r="X438" s="53"/>
      <c r="Y438" s="53"/>
      <c r="Z438" s="53"/>
      <c r="AA438" s="53"/>
      <c r="AB438" s="53"/>
    </row>
    <row r="439" customFormat="false" ht="15.75" hidden="false" customHeight="false" outlineLevel="0" collapsed="false">
      <c r="A439" s="56"/>
      <c r="B439" s="56"/>
      <c r="C439" s="56"/>
      <c r="D439" s="26"/>
      <c r="E439" s="27"/>
      <c r="F439" s="28" t="n">
        <f aca="false">IF(A445="WIN",1,0)</f>
        <v>1</v>
      </c>
      <c r="G439" s="29"/>
      <c r="H439" s="56"/>
      <c r="I439" s="56"/>
      <c r="J439" s="56"/>
      <c r="K439" s="26"/>
      <c r="L439" s="27"/>
      <c r="M439" s="28" t="n">
        <f aca="false">IF(H445="WIN",1,0)</f>
        <v>0</v>
      </c>
      <c r="N439" s="4"/>
      <c r="O439" s="51"/>
      <c r="P439" s="51"/>
      <c r="Q439" s="51"/>
      <c r="R439" s="51"/>
      <c r="S439" s="51"/>
      <c r="T439" s="51"/>
      <c r="U439" s="51"/>
      <c r="V439" s="51"/>
      <c r="W439" s="51"/>
      <c r="X439" s="51"/>
      <c r="Y439" s="51"/>
      <c r="Z439" s="51"/>
      <c r="AA439" s="51"/>
      <c r="AB439" s="51"/>
    </row>
    <row r="440" customFormat="false" ht="15.75" hidden="false" customHeight="false" outlineLevel="0" collapsed="false">
      <c r="A440" s="25"/>
      <c r="B440" s="25"/>
      <c r="C440" s="25"/>
      <c r="D440" s="26"/>
      <c r="E440" s="27"/>
      <c r="F440" s="28" t="n">
        <f aca="false">IF(A445="WIN",1,0)</f>
        <v>1</v>
      </c>
      <c r="G440" s="29"/>
      <c r="H440" s="25"/>
      <c r="I440" s="25"/>
      <c r="J440" s="25"/>
      <c r="K440" s="26"/>
      <c r="L440" s="27"/>
      <c r="M440" s="28" t="n">
        <f aca="false">IF(H445="WIN",1,0)</f>
        <v>0</v>
      </c>
      <c r="N440" s="4"/>
      <c r="O440" s="51"/>
      <c r="P440" s="51"/>
      <c r="Q440" s="51"/>
      <c r="R440" s="51"/>
      <c r="S440" s="51"/>
      <c r="T440" s="51"/>
      <c r="U440" s="51"/>
      <c r="V440" s="51"/>
      <c r="W440" s="51"/>
      <c r="X440" s="51"/>
      <c r="Y440" s="51"/>
      <c r="Z440" s="51"/>
      <c r="AA440" s="51"/>
      <c r="AB440" s="51"/>
    </row>
    <row r="441" customFormat="false" ht="15.75" hidden="false" customHeight="false" outlineLevel="0" collapsed="false">
      <c r="A441" s="25"/>
      <c r="B441" s="25"/>
      <c r="C441" s="25"/>
      <c r="D441" s="26"/>
      <c r="E441" s="27"/>
      <c r="F441" s="28" t="n">
        <f aca="false">IF(A445="WIN",1,0)</f>
        <v>1</v>
      </c>
      <c r="G441" s="29"/>
      <c r="H441" s="25"/>
      <c r="I441" s="25"/>
      <c r="J441" s="25"/>
      <c r="K441" s="26"/>
      <c r="L441" s="27"/>
      <c r="M441" s="28" t="n">
        <f aca="false">IF(H445="WIN",1,0)</f>
        <v>0</v>
      </c>
      <c r="N441" s="4"/>
      <c r="O441" s="51"/>
      <c r="P441" s="51"/>
      <c r="Q441" s="51"/>
      <c r="R441" s="51"/>
      <c r="S441" s="51"/>
      <c r="T441" s="51"/>
      <c r="U441" s="51"/>
      <c r="V441" s="51"/>
      <c r="W441" s="51"/>
      <c r="X441" s="51"/>
      <c r="Y441" s="51"/>
      <c r="Z441" s="51"/>
      <c r="AA441" s="51"/>
      <c r="AB441" s="51"/>
    </row>
    <row r="442" customFormat="false" ht="15.75" hidden="false" customHeight="false" outlineLevel="0" collapsed="false">
      <c r="A442" s="25"/>
      <c r="B442" s="25"/>
      <c r="C442" s="25"/>
      <c r="D442" s="26"/>
      <c r="E442" s="27"/>
      <c r="F442" s="28" t="n">
        <f aca="false">IF(A445="WIN",1,0)</f>
        <v>1</v>
      </c>
      <c r="G442" s="29"/>
      <c r="H442" s="25"/>
      <c r="I442" s="25"/>
      <c r="J442" s="25"/>
      <c r="K442" s="26"/>
      <c r="L442" s="27"/>
      <c r="M442" s="28" t="n">
        <f aca="false">IF(H445="WIN",1,0)</f>
        <v>0</v>
      </c>
      <c r="N442" s="4"/>
      <c r="O442" s="51"/>
      <c r="P442" s="51"/>
      <c r="Q442" s="51"/>
      <c r="R442" s="51"/>
      <c r="S442" s="51"/>
      <c r="T442" s="51"/>
      <c r="U442" s="51"/>
      <c r="V442" s="51"/>
      <c r="W442" s="51"/>
      <c r="X442" s="51"/>
      <c r="Y442" s="51"/>
      <c r="Z442" s="51"/>
      <c r="AA442" s="51"/>
      <c r="AB442" s="51"/>
    </row>
    <row r="443" customFormat="false" ht="15.75" hidden="false" customHeight="false" outlineLevel="0" collapsed="false">
      <c r="A443" s="25"/>
      <c r="B443" s="25"/>
      <c r="C443" s="25"/>
      <c r="D443" s="26"/>
      <c r="E443" s="27"/>
      <c r="F443" s="28" t="n">
        <f aca="false">IF(A445="WIN",1,0)</f>
        <v>1</v>
      </c>
      <c r="G443" s="29"/>
      <c r="H443" s="25"/>
      <c r="I443" s="25"/>
      <c r="J443" s="25"/>
      <c r="K443" s="26"/>
      <c r="L443" s="27"/>
      <c r="M443" s="28" t="n">
        <f aca="false">IF(H445="WIN",1,0)</f>
        <v>0</v>
      </c>
      <c r="N443" s="4"/>
      <c r="O443" s="51"/>
      <c r="P443" s="51"/>
      <c r="Q443" s="51"/>
      <c r="R443" s="51"/>
      <c r="S443" s="51"/>
      <c r="T443" s="51"/>
      <c r="U443" s="51"/>
      <c r="V443" s="51"/>
      <c r="W443" s="51"/>
      <c r="X443" s="51"/>
      <c r="Y443" s="51"/>
      <c r="Z443" s="51"/>
      <c r="AA443" s="51"/>
      <c r="AB443" s="51"/>
    </row>
    <row r="444" customFormat="false" ht="15.75" hidden="false" customHeight="false" outlineLevel="0" collapsed="false">
      <c r="A444" s="32"/>
      <c r="B444" s="32"/>
      <c r="C444" s="32"/>
      <c r="D444" s="33"/>
      <c r="E444" s="34"/>
      <c r="F444" s="28" t="n">
        <f aca="false">IF(A445="WIN",1,0)</f>
        <v>1</v>
      </c>
      <c r="G444" s="29"/>
      <c r="H444" s="32"/>
      <c r="I444" s="32"/>
      <c r="J444" s="32"/>
      <c r="K444" s="33"/>
      <c r="L444" s="34"/>
      <c r="M444" s="28" t="n">
        <f aca="false">IF(H445="WIN",1,0)</f>
        <v>0</v>
      </c>
      <c r="N444" s="4"/>
      <c r="O444" s="51"/>
      <c r="P444" s="51"/>
      <c r="Q444" s="51"/>
      <c r="R444" s="51"/>
      <c r="S444" s="51"/>
      <c r="T444" s="51"/>
      <c r="U444" s="51"/>
      <c r="V444" s="51"/>
      <c r="W444" s="51"/>
      <c r="X444" s="51"/>
      <c r="Y444" s="51"/>
      <c r="Z444" s="51"/>
      <c r="AA444" s="51"/>
      <c r="AB444" s="51"/>
    </row>
    <row r="445" customFormat="false" ht="15.75" hidden="false" customHeight="false" outlineLevel="0" collapsed="false">
      <c r="A445" s="35" t="s">
        <v>11</v>
      </c>
      <c r="B445" s="35"/>
      <c r="C445" s="35"/>
      <c r="D445" s="36" t="n">
        <f aca="false">SUM(D438,-E438)</f>
        <v>0</v>
      </c>
      <c r="E445" s="36"/>
      <c r="F445" s="38"/>
      <c r="G445" s="39"/>
      <c r="H445" s="35" t="s">
        <v>10</v>
      </c>
      <c r="I445" s="35"/>
      <c r="J445" s="35"/>
      <c r="K445" s="36" t="n">
        <f aca="false">SUM(K438,-L438)</f>
        <v>0</v>
      </c>
      <c r="L445" s="36"/>
      <c r="M445" s="38"/>
      <c r="N445" s="4"/>
      <c r="O445" s="52"/>
      <c r="P445" s="52"/>
      <c r="Q445" s="52"/>
      <c r="R445" s="52"/>
      <c r="S445" s="52"/>
      <c r="T445" s="52"/>
      <c r="U445" s="52"/>
      <c r="V445" s="52"/>
      <c r="W445" s="52"/>
      <c r="X445" s="52"/>
      <c r="Y445" s="52"/>
      <c r="Z445" s="52"/>
      <c r="AA445" s="52"/>
      <c r="AB445" s="52"/>
    </row>
    <row r="446" customFormat="false" ht="17.25" hidden="false" customHeight="false" outlineLevel="0" collapsed="false">
      <c r="A446" s="6" t="s">
        <v>42</v>
      </c>
      <c r="B446" s="6"/>
      <c r="C446" s="6"/>
      <c r="D446" s="6"/>
      <c r="E446" s="6"/>
      <c r="F446" s="6"/>
      <c r="G446" s="6"/>
      <c r="H446" s="6"/>
      <c r="I446" s="6"/>
      <c r="J446" s="6"/>
      <c r="K446" s="6"/>
      <c r="L446" s="6"/>
      <c r="M446" s="6"/>
      <c r="N446" s="4"/>
      <c r="O446" s="55"/>
      <c r="P446" s="55"/>
      <c r="Q446" s="55"/>
      <c r="R446" s="55"/>
      <c r="S446" s="55"/>
      <c r="T446" s="55"/>
      <c r="U446" s="55"/>
      <c r="V446" s="55"/>
      <c r="W446" s="55"/>
      <c r="X446" s="55"/>
      <c r="Y446" s="55"/>
      <c r="Z446" s="55"/>
      <c r="AA446" s="55"/>
      <c r="AB446" s="55"/>
    </row>
    <row r="447" customFormat="false" ht="15.75" hidden="false" customHeight="false" outlineLevel="0" collapsed="false">
      <c r="A447" s="10" t="s">
        <v>4</v>
      </c>
      <c r="B447" s="10"/>
      <c r="C447" s="10"/>
      <c r="D447" s="11" t="s">
        <v>5</v>
      </c>
      <c r="E447" s="12" t="s">
        <v>6</v>
      </c>
      <c r="F447" s="13" t="s">
        <v>7</v>
      </c>
      <c r="G447" s="14"/>
      <c r="H447" s="15" t="s">
        <v>8</v>
      </c>
      <c r="I447" s="15"/>
      <c r="J447" s="15"/>
      <c r="K447" s="11" t="s">
        <v>5</v>
      </c>
      <c r="L447" s="12" t="s">
        <v>6</v>
      </c>
      <c r="M447" s="13" t="s">
        <v>7</v>
      </c>
      <c r="N447" s="4"/>
      <c r="O447" s="52"/>
      <c r="P447" s="52"/>
      <c r="Q447" s="52"/>
      <c r="R447" s="52"/>
      <c r="S447" s="52"/>
      <c r="T447" s="52"/>
      <c r="U447" s="52"/>
      <c r="V447" s="52"/>
      <c r="W447" s="52"/>
      <c r="X447" s="52"/>
      <c r="Y447" s="52"/>
      <c r="Z447" s="52"/>
      <c r="AA447" s="52"/>
      <c r="AB447" s="52"/>
    </row>
    <row r="448" customFormat="false" ht="15.75" hidden="false" customHeight="false" outlineLevel="0" collapsed="false">
      <c r="A448" s="18" t="str">
        <f aca="false">KKS!$G$1</f>
        <v>Kingston Kecleons</v>
      </c>
      <c r="B448" s="18"/>
      <c r="C448" s="18"/>
      <c r="D448" s="19" t="n">
        <v>6</v>
      </c>
      <c r="E448" s="20" t="n">
        <v>5</v>
      </c>
      <c r="F448" s="21" t="str">
        <f aca="false">IF(A455="WIN","W",IF(A455="LOSE","L",""))</f>
        <v>W</v>
      </c>
      <c r="G448" s="22"/>
      <c r="H448" s="23" t="str">
        <f aca="false">JVJ!$G$1</f>
        <v>Jacksonville Jumpluffs</v>
      </c>
      <c r="I448" s="23"/>
      <c r="J448" s="23"/>
      <c r="K448" s="19" t="n">
        <v>5</v>
      </c>
      <c r="L448" s="20" t="n">
        <v>6</v>
      </c>
      <c r="M448" s="21" t="str">
        <f aca="false">IF(H455="WIN","W",IF(H455="LOSE","L",""))</f>
        <v>L</v>
      </c>
      <c r="N448" s="4"/>
      <c r="O448" s="53"/>
      <c r="P448" s="53"/>
      <c r="Q448" s="53"/>
      <c r="R448" s="53"/>
      <c r="S448" s="53"/>
      <c r="T448" s="53"/>
      <c r="U448" s="53"/>
      <c r="V448" s="53"/>
      <c r="W448" s="53"/>
      <c r="X448" s="53"/>
      <c r="Y448" s="53"/>
      <c r="Z448" s="53"/>
      <c r="AA448" s="53"/>
      <c r="AB448" s="53"/>
    </row>
    <row r="449" customFormat="false" ht="15.75" hidden="false" customHeight="false" outlineLevel="0" collapsed="false">
      <c r="A449" s="25" t="s">
        <v>85</v>
      </c>
      <c r="B449" s="25"/>
      <c r="C449" s="25"/>
      <c r="D449" s="26" t="n">
        <v>1</v>
      </c>
      <c r="E449" s="27" t="n">
        <v>1</v>
      </c>
      <c r="F449" s="28" t="n">
        <f aca="false">IF(A455="WIN",1,0)</f>
        <v>1</v>
      </c>
      <c r="G449" s="29"/>
      <c r="H449" s="56" t="s">
        <v>95</v>
      </c>
      <c r="I449" s="56"/>
      <c r="J449" s="56"/>
      <c r="K449" s="26" t="n">
        <v>0</v>
      </c>
      <c r="L449" s="27" t="n">
        <v>1</v>
      </c>
      <c r="M449" s="28" t="n">
        <f aca="false">IF(H455="WIN",1,0)</f>
        <v>0</v>
      </c>
      <c r="N449" s="4"/>
      <c r="O449" s="51"/>
      <c r="P449" s="51"/>
      <c r="Q449" s="51"/>
      <c r="R449" s="51"/>
      <c r="S449" s="51"/>
      <c r="T449" s="51"/>
      <c r="U449" s="51"/>
      <c r="V449" s="51"/>
      <c r="W449" s="51"/>
      <c r="X449" s="51"/>
      <c r="Y449" s="51"/>
      <c r="Z449" s="51"/>
      <c r="AA449" s="51"/>
      <c r="AB449" s="51"/>
    </row>
    <row r="450" customFormat="false" ht="15.75" hidden="false" customHeight="false" outlineLevel="0" collapsed="false">
      <c r="A450" s="25" t="s">
        <v>124</v>
      </c>
      <c r="B450" s="25"/>
      <c r="C450" s="25"/>
      <c r="D450" s="26" t="n">
        <v>0</v>
      </c>
      <c r="E450" s="27" t="n">
        <v>1</v>
      </c>
      <c r="F450" s="28" t="n">
        <f aca="false">IF(A455="WIN",1,0)</f>
        <v>1</v>
      </c>
      <c r="G450" s="29"/>
      <c r="H450" s="25" t="s">
        <v>125</v>
      </c>
      <c r="I450" s="25"/>
      <c r="J450" s="25"/>
      <c r="K450" s="26" t="n">
        <v>0</v>
      </c>
      <c r="L450" s="27" t="n">
        <v>1</v>
      </c>
      <c r="M450" s="28" t="n">
        <f aca="false">IF(H455="WIN",1,0)</f>
        <v>0</v>
      </c>
      <c r="N450" s="4"/>
      <c r="O450" s="51"/>
      <c r="P450" s="51"/>
      <c r="Q450" s="51"/>
      <c r="R450" s="51"/>
      <c r="S450" s="51"/>
      <c r="T450" s="51"/>
      <c r="U450" s="51"/>
      <c r="V450" s="51"/>
      <c r="W450" s="51"/>
      <c r="X450" s="51"/>
      <c r="Y450" s="51"/>
      <c r="Z450" s="51"/>
      <c r="AA450" s="51"/>
      <c r="AB450" s="51"/>
    </row>
    <row r="451" customFormat="false" ht="15.75" hidden="false" customHeight="false" outlineLevel="0" collapsed="false">
      <c r="A451" s="25" t="s">
        <v>19</v>
      </c>
      <c r="B451" s="25"/>
      <c r="C451" s="25"/>
      <c r="D451" s="26" t="n">
        <v>3</v>
      </c>
      <c r="E451" s="27" t="n">
        <v>0</v>
      </c>
      <c r="F451" s="28" t="n">
        <f aca="false">IF(A455="WIN",1,0)</f>
        <v>1</v>
      </c>
      <c r="G451" s="29"/>
      <c r="H451" s="25" t="s">
        <v>32</v>
      </c>
      <c r="I451" s="25"/>
      <c r="J451" s="25"/>
      <c r="K451" s="26" t="n">
        <v>1</v>
      </c>
      <c r="L451" s="27" t="n">
        <v>1</v>
      </c>
      <c r="M451" s="28" t="n">
        <f aca="false">IF(H455="WIN",1,0)</f>
        <v>0</v>
      </c>
      <c r="N451" s="4"/>
      <c r="O451" s="51"/>
      <c r="P451" s="51"/>
      <c r="Q451" s="51"/>
      <c r="R451" s="51"/>
      <c r="S451" s="51"/>
      <c r="T451" s="51"/>
      <c r="U451" s="51"/>
      <c r="V451" s="51"/>
      <c r="W451" s="51"/>
      <c r="X451" s="51"/>
      <c r="Y451" s="51"/>
      <c r="Z451" s="51"/>
      <c r="AA451" s="51"/>
      <c r="AB451" s="51"/>
    </row>
    <row r="452" customFormat="false" ht="15.75" hidden="false" customHeight="false" outlineLevel="0" collapsed="false">
      <c r="A452" s="25" t="s">
        <v>88</v>
      </c>
      <c r="B452" s="25"/>
      <c r="C452" s="25"/>
      <c r="D452" s="26" t="n">
        <v>0</v>
      </c>
      <c r="E452" s="27" t="n">
        <v>1</v>
      </c>
      <c r="F452" s="28" t="n">
        <f aca="false">IF(A455="WIN",1,0)</f>
        <v>1</v>
      </c>
      <c r="G452" s="29"/>
      <c r="H452" s="25" t="s">
        <v>94</v>
      </c>
      <c r="I452" s="25"/>
      <c r="J452" s="25"/>
      <c r="K452" s="26" t="n">
        <v>0</v>
      </c>
      <c r="L452" s="27" t="n">
        <v>1</v>
      </c>
      <c r="M452" s="28" t="n">
        <f aca="false">IF(H455="WIN",1,0)</f>
        <v>0</v>
      </c>
      <c r="N452" s="4"/>
      <c r="O452" s="51"/>
      <c r="P452" s="51"/>
      <c r="Q452" s="51"/>
      <c r="R452" s="51"/>
      <c r="S452" s="51"/>
      <c r="T452" s="51"/>
      <c r="U452" s="51"/>
      <c r="V452" s="51"/>
      <c r="W452" s="51"/>
      <c r="X452" s="51"/>
      <c r="Y452" s="51"/>
      <c r="Z452" s="51"/>
      <c r="AA452" s="51"/>
      <c r="AB452" s="51"/>
    </row>
    <row r="453" customFormat="false" ht="15.75" hidden="false" customHeight="false" outlineLevel="0" collapsed="false">
      <c r="A453" s="25" t="s">
        <v>23</v>
      </c>
      <c r="B453" s="25"/>
      <c r="C453" s="25"/>
      <c r="D453" s="26" t="n">
        <v>0</v>
      </c>
      <c r="E453" s="27" t="n">
        <v>1</v>
      </c>
      <c r="F453" s="28" t="n">
        <f aca="false">IF(A455="WIN",1,0)</f>
        <v>1</v>
      </c>
      <c r="G453" s="29"/>
      <c r="H453" s="25" t="s">
        <v>106</v>
      </c>
      <c r="I453" s="25"/>
      <c r="J453" s="25"/>
      <c r="K453" s="26" t="n">
        <v>2</v>
      </c>
      <c r="L453" s="27" t="n">
        <v>1</v>
      </c>
      <c r="M453" s="28" t="n">
        <f aca="false">IF(H455="WIN",1,0)</f>
        <v>0</v>
      </c>
      <c r="N453" s="4"/>
      <c r="O453" s="51"/>
      <c r="P453" s="51"/>
      <c r="Q453" s="51"/>
      <c r="R453" s="51"/>
      <c r="S453" s="51"/>
      <c r="T453" s="51"/>
      <c r="U453" s="51"/>
      <c r="V453" s="51"/>
      <c r="W453" s="51"/>
      <c r="X453" s="51"/>
      <c r="Y453" s="51"/>
      <c r="Z453" s="51"/>
      <c r="AA453" s="51"/>
      <c r="AB453" s="51"/>
    </row>
    <row r="454" customFormat="false" ht="15.75" hidden="false" customHeight="false" outlineLevel="0" collapsed="false">
      <c r="A454" s="32" t="s">
        <v>84</v>
      </c>
      <c r="B454" s="32"/>
      <c r="C454" s="32"/>
      <c r="D454" s="33" t="n">
        <v>2</v>
      </c>
      <c r="E454" s="34" t="n">
        <v>1</v>
      </c>
      <c r="F454" s="28" t="n">
        <f aca="false">IF(A455="WIN",1,0)</f>
        <v>1</v>
      </c>
      <c r="G454" s="29"/>
      <c r="H454" s="32" t="s">
        <v>28</v>
      </c>
      <c r="I454" s="32"/>
      <c r="J454" s="32"/>
      <c r="K454" s="33" t="n">
        <v>2</v>
      </c>
      <c r="L454" s="34" t="n">
        <v>1</v>
      </c>
      <c r="M454" s="28" t="n">
        <f aca="false">IF(H455="WIN",1,0)</f>
        <v>0</v>
      </c>
      <c r="N454" s="4"/>
      <c r="O454" s="51"/>
      <c r="P454" s="51"/>
      <c r="Q454" s="51"/>
      <c r="R454" s="51"/>
      <c r="S454" s="51"/>
      <c r="T454" s="51"/>
      <c r="U454" s="51"/>
      <c r="V454" s="51"/>
      <c r="W454" s="51"/>
      <c r="X454" s="51"/>
      <c r="Y454" s="51"/>
      <c r="Z454" s="51"/>
      <c r="AA454" s="51"/>
      <c r="AB454" s="51"/>
    </row>
    <row r="455" customFormat="false" ht="15.75" hidden="false" customHeight="false" outlineLevel="0" collapsed="false">
      <c r="A455" s="35" t="s">
        <v>11</v>
      </c>
      <c r="B455" s="35"/>
      <c r="C455" s="35"/>
      <c r="D455" s="36" t="n">
        <f aca="false">SUM(D448,-E448)</f>
        <v>1</v>
      </c>
      <c r="E455" s="36"/>
      <c r="F455" s="38"/>
      <c r="G455" s="39"/>
      <c r="H455" s="35" t="s">
        <v>10</v>
      </c>
      <c r="I455" s="35"/>
      <c r="J455" s="35"/>
      <c r="K455" s="36" t="n">
        <f aca="false">SUM(K448,-L448)</f>
        <v>-1</v>
      </c>
      <c r="L455" s="36"/>
      <c r="M455" s="38"/>
      <c r="N455" s="4"/>
      <c r="O455" s="52"/>
      <c r="P455" s="52"/>
      <c r="Q455" s="52"/>
      <c r="R455" s="52"/>
      <c r="S455" s="52"/>
      <c r="T455" s="52"/>
      <c r="U455" s="52"/>
      <c r="V455" s="52"/>
      <c r="W455" s="52"/>
      <c r="X455" s="52"/>
      <c r="Y455" s="52"/>
      <c r="Z455" s="52"/>
      <c r="AA455" s="52"/>
      <c r="AB455" s="52"/>
    </row>
    <row r="456" customFormat="false" ht="15.75" hidden="false" customHeight="false" outlineLevel="0" collapsed="false">
      <c r="A456" s="10" t="s">
        <v>4</v>
      </c>
      <c r="B456" s="10"/>
      <c r="C456" s="10"/>
      <c r="D456" s="11" t="s">
        <v>5</v>
      </c>
      <c r="E456" s="12" t="s">
        <v>6</v>
      </c>
      <c r="F456" s="13" t="s">
        <v>7</v>
      </c>
      <c r="G456" s="14"/>
      <c r="H456" s="15" t="s">
        <v>8</v>
      </c>
      <c r="I456" s="15"/>
      <c r="J456" s="15"/>
      <c r="K456" s="11" t="s">
        <v>5</v>
      </c>
      <c r="L456" s="12" t="s">
        <v>6</v>
      </c>
      <c r="M456" s="13" t="s">
        <v>7</v>
      </c>
      <c r="N456" s="4"/>
      <c r="O456" s="52"/>
      <c r="P456" s="52"/>
      <c r="Q456" s="52"/>
      <c r="R456" s="52"/>
      <c r="S456" s="52"/>
      <c r="T456" s="52"/>
      <c r="U456" s="52"/>
      <c r="V456" s="52"/>
      <c r="W456" s="52"/>
      <c r="X456" s="52"/>
      <c r="Y456" s="52"/>
      <c r="Z456" s="52"/>
      <c r="AA456" s="52"/>
      <c r="AB456" s="52"/>
    </row>
    <row r="457" customFormat="false" ht="15.75" hidden="false" customHeight="false" outlineLevel="0" collapsed="false">
      <c r="A457" s="18" t="str">
        <f aca="false">SEA!$G$1</f>
        <v>Seattle Seadras</v>
      </c>
      <c r="B457" s="18"/>
      <c r="C457" s="18"/>
      <c r="D457" s="19"/>
      <c r="E457" s="20"/>
      <c r="F457" s="21" t="str">
        <f aca="false">IF(A464="WIN","W",IF(A464="LOSE","L",""))</f>
        <v>W</v>
      </c>
      <c r="G457" s="22"/>
      <c r="H457" s="23" t="str">
        <f aca="false">BBG!$G$1</f>
        <v>Berlin Bronzong</v>
      </c>
      <c r="I457" s="23"/>
      <c r="J457" s="23"/>
      <c r="K457" s="19"/>
      <c r="L457" s="20"/>
      <c r="M457" s="21" t="str">
        <f aca="false">IF(H464="WIN","W",IF(H464="LOSE","L",""))</f>
        <v>L</v>
      </c>
      <c r="N457" s="4"/>
      <c r="O457" s="53"/>
      <c r="P457" s="53"/>
      <c r="Q457" s="53"/>
      <c r="R457" s="53"/>
      <c r="S457" s="53"/>
      <c r="T457" s="53"/>
      <c r="U457" s="53"/>
      <c r="V457" s="53"/>
      <c r="W457" s="53"/>
      <c r="X457" s="53"/>
      <c r="Y457" s="53"/>
      <c r="Z457" s="53"/>
      <c r="AA457" s="53"/>
      <c r="AB457" s="53"/>
    </row>
    <row r="458" customFormat="false" ht="15.75" hidden="false" customHeight="false" outlineLevel="0" collapsed="false">
      <c r="A458" s="56"/>
      <c r="B458" s="56"/>
      <c r="C458" s="56"/>
      <c r="D458" s="26"/>
      <c r="E458" s="27"/>
      <c r="F458" s="28" t="n">
        <f aca="false">IF(A464="WIN",1,0)</f>
        <v>1</v>
      </c>
      <c r="G458" s="29"/>
      <c r="H458" s="56"/>
      <c r="I458" s="56"/>
      <c r="J458" s="56"/>
      <c r="K458" s="26"/>
      <c r="L458" s="27"/>
      <c r="M458" s="28" t="n">
        <f aca="false">IF(H464="WIN",1,0)</f>
        <v>0</v>
      </c>
      <c r="N458" s="4"/>
      <c r="O458" s="51"/>
      <c r="P458" s="51"/>
      <c r="Q458" s="51"/>
      <c r="R458" s="51"/>
      <c r="S458" s="51"/>
      <c r="T458" s="51"/>
      <c r="U458" s="51"/>
      <c r="V458" s="51"/>
      <c r="W458" s="51"/>
      <c r="X458" s="51"/>
      <c r="Y458" s="51"/>
      <c r="Z458" s="51"/>
      <c r="AA458" s="51"/>
      <c r="AB458" s="51"/>
    </row>
    <row r="459" customFormat="false" ht="15.75" hidden="false" customHeight="false" outlineLevel="0" collapsed="false">
      <c r="A459" s="25"/>
      <c r="B459" s="25"/>
      <c r="C459" s="25"/>
      <c r="D459" s="26"/>
      <c r="E459" s="27"/>
      <c r="F459" s="28" t="n">
        <f aca="false">IF(A464="WIN",1,0)</f>
        <v>1</v>
      </c>
      <c r="G459" s="29"/>
      <c r="H459" s="25"/>
      <c r="I459" s="25"/>
      <c r="J459" s="25"/>
      <c r="K459" s="26"/>
      <c r="L459" s="27"/>
      <c r="M459" s="28" t="n">
        <f aca="false">IF(H464="WIN",1,0)</f>
        <v>0</v>
      </c>
      <c r="N459" s="4"/>
      <c r="O459" s="51"/>
      <c r="P459" s="51"/>
      <c r="Q459" s="51"/>
      <c r="R459" s="51"/>
      <c r="S459" s="51"/>
      <c r="T459" s="51"/>
      <c r="U459" s="51"/>
      <c r="V459" s="51"/>
      <c r="W459" s="51"/>
      <c r="X459" s="51"/>
      <c r="Y459" s="51"/>
      <c r="Z459" s="51"/>
      <c r="AA459" s="51"/>
      <c r="AB459" s="51"/>
    </row>
    <row r="460" customFormat="false" ht="15.75" hidden="false" customHeight="false" outlineLevel="0" collapsed="false">
      <c r="A460" s="25"/>
      <c r="B460" s="25"/>
      <c r="C460" s="25"/>
      <c r="D460" s="26"/>
      <c r="E460" s="27"/>
      <c r="F460" s="28" t="n">
        <f aca="false">IF(A464="WIN",1,0)</f>
        <v>1</v>
      </c>
      <c r="G460" s="29"/>
      <c r="H460" s="25"/>
      <c r="I460" s="25"/>
      <c r="J460" s="25"/>
      <c r="K460" s="26"/>
      <c r="L460" s="27"/>
      <c r="M460" s="28" t="n">
        <f aca="false">IF(H464="WIN",1,0)</f>
        <v>0</v>
      </c>
      <c r="N460" s="4"/>
      <c r="O460" s="51"/>
      <c r="P460" s="51"/>
      <c r="Q460" s="51"/>
      <c r="R460" s="51"/>
      <c r="S460" s="51"/>
      <c r="T460" s="51"/>
      <c r="U460" s="51"/>
      <c r="V460" s="51"/>
      <c r="W460" s="51"/>
      <c r="X460" s="51"/>
      <c r="Y460" s="51"/>
      <c r="Z460" s="51"/>
      <c r="AA460" s="51"/>
      <c r="AB460" s="51"/>
    </row>
    <row r="461" customFormat="false" ht="15.75" hidden="false" customHeight="false" outlineLevel="0" collapsed="false">
      <c r="A461" s="25"/>
      <c r="B461" s="25"/>
      <c r="C461" s="25"/>
      <c r="D461" s="26"/>
      <c r="E461" s="27"/>
      <c r="F461" s="28" t="n">
        <f aca="false">IF(A464="WIN",1,0)</f>
        <v>1</v>
      </c>
      <c r="G461" s="29"/>
      <c r="H461" s="25"/>
      <c r="I461" s="25"/>
      <c r="J461" s="25"/>
      <c r="K461" s="26"/>
      <c r="L461" s="27"/>
      <c r="M461" s="28" t="n">
        <f aca="false">IF(H464="WIN",1,0)</f>
        <v>0</v>
      </c>
      <c r="N461" s="4"/>
      <c r="O461" s="51"/>
      <c r="P461" s="51"/>
      <c r="Q461" s="51"/>
      <c r="R461" s="51"/>
      <c r="S461" s="51"/>
      <c r="T461" s="51"/>
      <c r="U461" s="51"/>
      <c r="V461" s="51"/>
      <c r="W461" s="51"/>
      <c r="X461" s="51"/>
      <c r="Y461" s="51"/>
      <c r="Z461" s="51"/>
      <c r="AA461" s="51"/>
      <c r="AB461" s="51"/>
    </row>
    <row r="462" customFormat="false" ht="15.75" hidden="false" customHeight="false" outlineLevel="0" collapsed="false">
      <c r="A462" s="25"/>
      <c r="B462" s="25"/>
      <c r="C462" s="25"/>
      <c r="D462" s="26"/>
      <c r="E462" s="27"/>
      <c r="F462" s="28" t="n">
        <f aca="false">IF(A464="WIN",1,0)</f>
        <v>1</v>
      </c>
      <c r="G462" s="29"/>
      <c r="H462" s="25"/>
      <c r="I462" s="25"/>
      <c r="J462" s="25"/>
      <c r="K462" s="26"/>
      <c r="L462" s="27"/>
      <c r="M462" s="28" t="n">
        <f aca="false">IF(H464="WIN",1,0)</f>
        <v>0</v>
      </c>
      <c r="N462" s="4"/>
      <c r="O462" s="51"/>
      <c r="P462" s="51"/>
      <c r="Q462" s="51"/>
      <c r="R462" s="51"/>
      <c r="S462" s="51"/>
      <c r="T462" s="51"/>
      <c r="U462" s="51"/>
      <c r="V462" s="51"/>
      <c r="W462" s="51"/>
      <c r="X462" s="51"/>
      <c r="Y462" s="51"/>
      <c r="Z462" s="51"/>
      <c r="AA462" s="51"/>
      <c r="AB462" s="51"/>
    </row>
    <row r="463" customFormat="false" ht="15.75" hidden="false" customHeight="false" outlineLevel="0" collapsed="false">
      <c r="A463" s="32"/>
      <c r="B463" s="32"/>
      <c r="C463" s="32"/>
      <c r="D463" s="33"/>
      <c r="E463" s="34"/>
      <c r="F463" s="28" t="n">
        <f aca="false">IF(A464="WIN",1,0)</f>
        <v>1</v>
      </c>
      <c r="G463" s="29"/>
      <c r="H463" s="32"/>
      <c r="I463" s="32"/>
      <c r="J463" s="32"/>
      <c r="K463" s="33"/>
      <c r="L463" s="34"/>
      <c r="M463" s="28" t="n">
        <f aca="false">IF(H464="WIN",1,0)</f>
        <v>0</v>
      </c>
      <c r="N463" s="4"/>
      <c r="O463" s="51"/>
      <c r="P463" s="51"/>
      <c r="Q463" s="51"/>
      <c r="R463" s="51"/>
      <c r="S463" s="51"/>
      <c r="T463" s="51"/>
      <c r="U463" s="51"/>
      <c r="V463" s="51"/>
      <c r="W463" s="51"/>
      <c r="X463" s="51"/>
      <c r="Y463" s="51"/>
      <c r="Z463" s="51"/>
      <c r="AA463" s="51"/>
      <c r="AB463" s="51"/>
    </row>
    <row r="464" customFormat="false" ht="15.75" hidden="false" customHeight="false" outlineLevel="0" collapsed="false">
      <c r="A464" s="35" t="s">
        <v>11</v>
      </c>
      <c r="B464" s="35"/>
      <c r="C464" s="35"/>
      <c r="D464" s="36" t="n">
        <f aca="false">SUM(D457,-E457)</f>
        <v>0</v>
      </c>
      <c r="E464" s="36"/>
      <c r="F464" s="38"/>
      <c r="G464" s="39"/>
      <c r="H464" s="35" t="s">
        <v>10</v>
      </c>
      <c r="I464" s="35"/>
      <c r="J464" s="35"/>
      <c r="K464" s="36" t="n">
        <f aca="false">SUM(K457,-L457)</f>
        <v>0</v>
      </c>
      <c r="L464" s="36"/>
      <c r="M464" s="38"/>
      <c r="N464" s="4"/>
      <c r="O464" s="52"/>
      <c r="P464" s="52"/>
      <c r="Q464" s="52"/>
      <c r="R464" s="52"/>
      <c r="S464" s="52"/>
      <c r="T464" s="52"/>
      <c r="U464" s="52"/>
      <c r="V464" s="52"/>
      <c r="W464" s="52"/>
      <c r="X464" s="52"/>
      <c r="Y464" s="52"/>
      <c r="Z464" s="52"/>
      <c r="AA464" s="52"/>
      <c r="AB464" s="52"/>
    </row>
    <row r="465" customFormat="false" ht="15.75" hidden="false" customHeight="false" outlineLevel="0" collapsed="false">
      <c r="A465" s="10" t="s">
        <v>4</v>
      </c>
      <c r="B465" s="10"/>
      <c r="C465" s="10"/>
      <c r="D465" s="11" t="s">
        <v>5</v>
      </c>
      <c r="E465" s="12" t="s">
        <v>6</v>
      </c>
      <c r="F465" s="13" t="s">
        <v>7</v>
      </c>
      <c r="G465" s="14"/>
      <c r="H465" s="15" t="s">
        <v>8</v>
      </c>
      <c r="I465" s="15"/>
      <c r="J465" s="15"/>
      <c r="K465" s="11" t="s">
        <v>5</v>
      </c>
      <c r="L465" s="12" t="s">
        <v>6</v>
      </c>
      <c r="M465" s="13" t="s">
        <v>7</v>
      </c>
      <c r="N465" s="4"/>
      <c r="O465" s="52"/>
      <c r="P465" s="52"/>
      <c r="Q465" s="52"/>
      <c r="R465" s="52"/>
      <c r="S465" s="52"/>
      <c r="T465" s="52"/>
      <c r="U465" s="52"/>
      <c r="V465" s="52"/>
      <c r="W465" s="52"/>
      <c r="X465" s="52"/>
      <c r="Y465" s="52"/>
      <c r="Z465" s="52"/>
      <c r="AA465" s="52"/>
      <c r="AB465" s="52"/>
    </row>
    <row r="466" customFormat="false" ht="15.75" hidden="false" customHeight="false" outlineLevel="0" collapsed="false">
      <c r="A466" s="18" t="str">
        <f aca="false">LVC!$G$1</f>
        <v>Louisville Crobats</v>
      </c>
      <c r="B466" s="18"/>
      <c r="C466" s="18"/>
      <c r="D466" s="19"/>
      <c r="E466" s="20"/>
      <c r="F466" s="21" t="str">
        <f aca="false">IF(A473="WIN","W",IF(A473="LOSE","L",""))</f>
        <v>L</v>
      </c>
      <c r="G466" s="22"/>
      <c r="H466" s="57" t="str">
        <f aca="false">BTB!$G$1</f>
        <v>Battlin Brelooms</v>
      </c>
      <c r="I466" s="57"/>
      <c r="J466" s="57"/>
      <c r="K466" s="19"/>
      <c r="L466" s="20"/>
      <c r="M466" s="21" t="str">
        <f aca="false">IF(H473="WIN","W",IF(H473="LOSE","L",""))</f>
        <v>W</v>
      </c>
      <c r="N466" s="4"/>
      <c r="O466" s="53"/>
      <c r="P466" s="53"/>
      <c r="Q466" s="53"/>
      <c r="R466" s="53"/>
      <c r="S466" s="53"/>
      <c r="T466" s="53"/>
      <c r="U466" s="53"/>
      <c r="V466" s="53"/>
      <c r="W466" s="53"/>
      <c r="X466" s="53"/>
      <c r="Y466" s="53"/>
      <c r="Z466" s="53"/>
      <c r="AA466" s="53"/>
      <c r="AB466" s="53"/>
    </row>
    <row r="467" customFormat="false" ht="15.75" hidden="false" customHeight="false" outlineLevel="0" collapsed="false">
      <c r="A467" s="56"/>
      <c r="B467" s="56"/>
      <c r="C467" s="56"/>
      <c r="D467" s="26"/>
      <c r="E467" s="27"/>
      <c r="F467" s="28" t="n">
        <f aca="false">IF(A473="WIN",1,0)</f>
        <v>0</v>
      </c>
      <c r="G467" s="29"/>
      <c r="H467" s="56"/>
      <c r="I467" s="56"/>
      <c r="J467" s="56"/>
      <c r="K467" s="26"/>
      <c r="L467" s="27"/>
      <c r="M467" s="28" t="n">
        <f aca="false">IF(H473="WIN",1,0)</f>
        <v>1</v>
      </c>
      <c r="N467" s="4"/>
      <c r="O467" s="51"/>
      <c r="P467" s="51"/>
      <c r="Q467" s="51"/>
      <c r="R467" s="51"/>
      <c r="S467" s="51"/>
      <c r="T467" s="51"/>
      <c r="U467" s="51"/>
      <c r="V467" s="51"/>
      <c r="W467" s="51"/>
      <c r="X467" s="51"/>
      <c r="Y467" s="51"/>
      <c r="Z467" s="51"/>
      <c r="AA467" s="51"/>
      <c r="AB467" s="51"/>
    </row>
    <row r="468" customFormat="false" ht="15.75" hidden="false" customHeight="false" outlineLevel="0" collapsed="false">
      <c r="A468" s="25"/>
      <c r="B468" s="25"/>
      <c r="C468" s="25"/>
      <c r="D468" s="26"/>
      <c r="E468" s="27"/>
      <c r="F468" s="28" t="n">
        <f aca="false">IF(A473="WIN",1,0)</f>
        <v>0</v>
      </c>
      <c r="G468" s="29"/>
      <c r="H468" s="25"/>
      <c r="I468" s="25"/>
      <c r="J468" s="25"/>
      <c r="K468" s="26"/>
      <c r="L468" s="27"/>
      <c r="M468" s="28" t="n">
        <f aca="false">IF(H473="WIN",1,0)</f>
        <v>1</v>
      </c>
      <c r="N468" s="4"/>
      <c r="O468" s="51"/>
      <c r="P468" s="51"/>
      <c r="Q468" s="51"/>
      <c r="R468" s="51"/>
      <c r="S468" s="51"/>
      <c r="T468" s="51"/>
      <c r="U468" s="51"/>
      <c r="V468" s="51"/>
      <c r="W468" s="51"/>
      <c r="X468" s="51"/>
      <c r="Y468" s="51"/>
      <c r="Z468" s="51"/>
      <c r="AA468" s="51"/>
      <c r="AB468" s="51"/>
    </row>
    <row r="469" customFormat="false" ht="15.75" hidden="false" customHeight="false" outlineLevel="0" collapsed="false">
      <c r="A469" s="25"/>
      <c r="B469" s="25"/>
      <c r="C469" s="25"/>
      <c r="D469" s="26"/>
      <c r="E469" s="27"/>
      <c r="F469" s="28" t="n">
        <f aca="false">IF(A473="WIN",1,0)</f>
        <v>0</v>
      </c>
      <c r="G469" s="29"/>
      <c r="H469" s="25"/>
      <c r="I469" s="25"/>
      <c r="J469" s="25"/>
      <c r="K469" s="26"/>
      <c r="L469" s="27"/>
      <c r="M469" s="28" t="n">
        <f aca="false">IF(H473="WIN",1,0)</f>
        <v>1</v>
      </c>
      <c r="N469" s="4"/>
      <c r="O469" s="51"/>
      <c r="P469" s="51"/>
      <c r="Q469" s="51"/>
      <c r="R469" s="51"/>
      <c r="S469" s="51"/>
      <c r="T469" s="51"/>
      <c r="U469" s="51"/>
      <c r="V469" s="51"/>
      <c r="W469" s="51"/>
      <c r="X469" s="51"/>
      <c r="Y469" s="51"/>
      <c r="Z469" s="51"/>
      <c r="AA469" s="51"/>
      <c r="AB469" s="51"/>
    </row>
    <row r="470" customFormat="false" ht="15.75" hidden="false" customHeight="false" outlineLevel="0" collapsed="false">
      <c r="A470" s="25"/>
      <c r="B470" s="25"/>
      <c r="C470" s="25"/>
      <c r="D470" s="26"/>
      <c r="E470" s="27"/>
      <c r="F470" s="28" t="n">
        <f aca="false">IF(A473="WIN",1,0)</f>
        <v>0</v>
      </c>
      <c r="G470" s="29"/>
      <c r="H470" s="25"/>
      <c r="I470" s="25"/>
      <c r="J470" s="25"/>
      <c r="K470" s="26"/>
      <c r="L470" s="27"/>
      <c r="M470" s="28" t="n">
        <f aca="false">IF(H473="WIN",1,0)</f>
        <v>1</v>
      </c>
      <c r="N470" s="4"/>
      <c r="O470" s="51"/>
      <c r="P470" s="51"/>
      <c r="Q470" s="51"/>
      <c r="R470" s="51"/>
      <c r="S470" s="51"/>
      <c r="T470" s="51"/>
      <c r="U470" s="51"/>
      <c r="V470" s="51"/>
      <c r="W470" s="51"/>
      <c r="X470" s="51"/>
      <c r="Y470" s="51"/>
      <c r="Z470" s="51"/>
      <c r="AA470" s="51"/>
      <c r="AB470" s="51"/>
    </row>
    <row r="471" customFormat="false" ht="15.75" hidden="false" customHeight="false" outlineLevel="0" collapsed="false">
      <c r="A471" s="25"/>
      <c r="B471" s="25"/>
      <c r="C471" s="25"/>
      <c r="D471" s="26"/>
      <c r="E471" s="27"/>
      <c r="F471" s="28" t="n">
        <f aca="false">IF(A473="WIN",1,0)</f>
        <v>0</v>
      </c>
      <c r="G471" s="29"/>
      <c r="H471" s="25"/>
      <c r="I471" s="25"/>
      <c r="J471" s="25"/>
      <c r="K471" s="26"/>
      <c r="L471" s="27"/>
      <c r="M471" s="28" t="n">
        <f aca="false">IF(H473="WIN",1,0)</f>
        <v>1</v>
      </c>
      <c r="N471" s="4"/>
      <c r="O471" s="51"/>
      <c r="P471" s="51"/>
      <c r="Q471" s="51"/>
      <c r="R471" s="51"/>
      <c r="S471" s="51"/>
      <c r="T471" s="51"/>
      <c r="U471" s="51"/>
      <c r="V471" s="51"/>
      <c r="W471" s="51"/>
      <c r="X471" s="51"/>
      <c r="Y471" s="51"/>
      <c r="Z471" s="51"/>
      <c r="AA471" s="51"/>
      <c r="AB471" s="51"/>
    </row>
    <row r="472" customFormat="false" ht="15.75" hidden="false" customHeight="false" outlineLevel="0" collapsed="false">
      <c r="A472" s="32"/>
      <c r="B472" s="32"/>
      <c r="C472" s="32"/>
      <c r="D472" s="33"/>
      <c r="E472" s="34"/>
      <c r="F472" s="28" t="n">
        <f aca="false">IF(A473="WIN",1,0)</f>
        <v>0</v>
      </c>
      <c r="G472" s="29"/>
      <c r="H472" s="32"/>
      <c r="I472" s="32"/>
      <c r="J472" s="32"/>
      <c r="K472" s="33"/>
      <c r="L472" s="34"/>
      <c r="M472" s="28" t="n">
        <f aca="false">IF(H473="WIN",1,0)</f>
        <v>1</v>
      </c>
      <c r="N472" s="4"/>
      <c r="O472" s="51"/>
      <c r="P472" s="51"/>
      <c r="Q472" s="51"/>
      <c r="R472" s="51"/>
      <c r="S472" s="51"/>
      <c r="T472" s="51"/>
      <c r="U472" s="51"/>
      <c r="V472" s="51"/>
      <c r="W472" s="51"/>
      <c r="X472" s="51"/>
      <c r="Y472" s="51"/>
      <c r="Z472" s="51"/>
      <c r="AA472" s="51"/>
      <c r="AB472" s="51"/>
    </row>
    <row r="473" customFormat="false" ht="15.75" hidden="false" customHeight="false" outlineLevel="0" collapsed="false">
      <c r="A473" s="35" t="s">
        <v>10</v>
      </c>
      <c r="B473" s="35"/>
      <c r="C473" s="35"/>
      <c r="D473" s="36" t="n">
        <f aca="false">SUM(D466,-E466)</f>
        <v>0</v>
      </c>
      <c r="E473" s="36"/>
      <c r="F473" s="38"/>
      <c r="G473" s="39"/>
      <c r="H473" s="35" t="s">
        <v>11</v>
      </c>
      <c r="I473" s="35"/>
      <c r="J473" s="35"/>
      <c r="K473" s="36" t="n">
        <f aca="false">SUM(K466,-L466)</f>
        <v>0</v>
      </c>
      <c r="L473" s="36"/>
      <c r="M473" s="38"/>
      <c r="N473" s="4"/>
      <c r="O473" s="52"/>
      <c r="P473" s="52"/>
      <c r="Q473" s="52"/>
      <c r="R473" s="52"/>
      <c r="S473" s="52"/>
      <c r="T473" s="52"/>
      <c r="U473" s="52"/>
      <c r="V473" s="52"/>
      <c r="W473" s="52"/>
      <c r="X473" s="52"/>
      <c r="Y473" s="52"/>
      <c r="Z473" s="52"/>
      <c r="AA473" s="52"/>
      <c r="AB473" s="52"/>
    </row>
    <row r="474" customFormat="false" ht="15.75" hidden="false" customHeight="false" outlineLevel="0" collapsed="false">
      <c r="A474" s="10" t="s">
        <v>4</v>
      </c>
      <c r="B474" s="10"/>
      <c r="C474" s="10"/>
      <c r="D474" s="11" t="s">
        <v>5</v>
      </c>
      <c r="E474" s="12" t="s">
        <v>6</v>
      </c>
      <c r="F474" s="13" t="s">
        <v>7</v>
      </c>
      <c r="G474" s="14"/>
      <c r="H474" s="15" t="s">
        <v>8</v>
      </c>
      <c r="I474" s="15"/>
      <c r="J474" s="15"/>
      <c r="K474" s="11" t="s">
        <v>5</v>
      </c>
      <c r="L474" s="12" t="s">
        <v>6</v>
      </c>
      <c r="M474" s="13" t="s">
        <v>7</v>
      </c>
      <c r="N474" s="4"/>
      <c r="O474" s="52"/>
      <c r="P474" s="52"/>
      <c r="Q474" s="52"/>
      <c r="R474" s="52"/>
      <c r="S474" s="52"/>
      <c r="T474" s="52"/>
      <c r="U474" s="52"/>
      <c r="V474" s="52"/>
      <c r="W474" s="52"/>
      <c r="X474" s="52"/>
      <c r="Y474" s="52"/>
      <c r="Z474" s="52"/>
      <c r="AA474" s="52"/>
      <c r="AB474" s="52"/>
    </row>
    <row r="475" customFormat="false" ht="15.75" hidden="false" customHeight="false" outlineLevel="0" collapsed="false">
      <c r="A475" s="18" t="str">
        <f aca="false">SGP!$G$1</f>
        <v>Slung Patrol</v>
      </c>
      <c r="B475" s="18"/>
      <c r="C475" s="18"/>
      <c r="D475" s="19"/>
      <c r="E475" s="20"/>
      <c r="F475" s="21" t="str">
        <f aca="false">IF(A482="WIN","W",IF(A482="LOSE","L",""))</f>
        <v/>
      </c>
      <c r="G475" s="22"/>
      <c r="H475" s="57" t="str">
        <f aca="false">FTT!$G$1</f>
        <v>Fortree Trevenants</v>
      </c>
      <c r="I475" s="57"/>
      <c r="J475" s="57"/>
      <c r="K475" s="19"/>
      <c r="L475" s="20"/>
      <c r="M475" s="21" t="str">
        <f aca="false">IF(H482="WIN","W",IF(H482="LOSE","L",""))</f>
        <v/>
      </c>
      <c r="N475" s="4"/>
      <c r="O475" s="53"/>
      <c r="P475" s="53"/>
      <c r="Q475" s="53"/>
      <c r="R475" s="53"/>
      <c r="S475" s="53"/>
      <c r="T475" s="53"/>
      <c r="U475" s="53"/>
      <c r="V475" s="53"/>
      <c r="W475" s="53"/>
      <c r="X475" s="53"/>
      <c r="Y475" s="53"/>
      <c r="Z475" s="53"/>
      <c r="AA475" s="53"/>
      <c r="AB475" s="53"/>
    </row>
    <row r="476" customFormat="false" ht="15.75" hidden="false" customHeight="false" outlineLevel="0" collapsed="false">
      <c r="A476" s="56"/>
      <c r="B476" s="56"/>
      <c r="C476" s="56"/>
      <c r="D476" s="26"/>
      <c r="E476" s="27"/>
      <c r="F476" s="28" t="n">
        <f aca="false">IF(A482="WIN",1,0)</f>
        <v>0</v>
      </c>
      <c r="G476" s="29"/>
      <c r="H476" s="56"/>
      <c r="I476" s="56"/>
      <c r="J476" s="56"/>
      <c r="K476" s="26"/>
      <c r="L476" s="27"/>
      <c r="M476" s="28" t="n">
        <f aca="false">IF(H482="WIN",1,0)</f>
        <v>0</v>
      </c>
      <c r="N476" s="4"/>
      <c r="O476" s="51"/>
      <c r="P476" s="51"/>
      <c r="Q476" s="51"/>
      <c r="R476" s="51"/>
      <c r="S476" s="51"/>
      <c r="T476" s="51"/>
      <c r="U476" s="51"/>
      <c r="V476" s="51"/>
      <c r="W476" s="51"/>
      <c r="X476" s="51"/>
      <c r="Y476" s="51"/>
      <c r="Z476" s="51"/>
      <c r="AA476" s="51"/>
      <c r="AB476" s="51"/>
    </row>
    <row r="477" customFormat="false" ht="15.75" hidden="false" customHeight="false" outlineLevel="0" collapsed="false">
      <c r="A477" s="25"/>
      <c r="B477" s="25"/>
      <c r="C477" s="25"/>
      <c r="D477" s="26"/>
      <c r="E477" s="27"/>
      <c r="F477" s="28" t="n">
        <f aca="false">IF(A482="WIN",1,0)</f>
        <v>0</v>
      </c>
      <c r="G477" s="29"/>
      <c r="H477" s="25"/>
      <c r="I477" s="25"/>
      <c r="J477" s="25"/>
      <c r="K477" s="26"/>
      <c r="L477" s="27"/>
      <c r="M477" s="28" t="n">
        <f aca="false">IF(H482="WIN",1,0)</f>
        <v>0</v>
      </c>
      <c r="N477" s="4"/>
      <c r="O477" s="51"/>
      <c r="P477" s="51"/>
      <c r="Q477" s="51"/>
      <c r="R477" s="51"/>
      <c r="S477" s="51"/>
      <c r="T477" s="51"/>
      <c r="U477" s="51"/>
      <c r="V477" s="51"/>
      <c r="W477" s="51"/>
      <c r="X477" s="51"/>
      <c r="Y477" s="51"/>
      <c r="Z477" s="51"/>
      <c r="AA477" s="51"/>
      <c r="AB477" s="51"/>
    </row>
    <row r="478" customFormat="false" ht="15.75" hidden="false" customHeight="false" outlineLevel="0" collapsed="false">
      <c r="A478" s="25"/>
      <c r="B478" s="25"/>
      <c r="C478" s="25"/>
      <c r="D478" s="26"/>
      <c r="E478" s="27"/>
      <c r="F478" s="28" t="n">
        <f aca="false">IF(A482="WIN",1,0)</f>
        <v>0</v>
      </c>
      <c r="G478" s="29"/>
      <c r="H478" s="25"/>
      <c r="I478" s="25"/>
      <c r="J478" s="25"/>
      <c r="K478" s="26"/>
      <c r="L478" s="27"/>
      <c r="M478" s="28" t="n">
        <f aca="false">IF(H482="WIN",1,0)</f>
        <v>0</v>
      </c>
      <c r="N478" s="4"/>
      <c r="O478" s="51"/>
      <c r="P478" s="51"/>
      <c r="Q478" s="51"/>
      <c r="R478" s="51"/>
      <c r="S478" s="51"/>
      <c r="T478" s="51"/>
      <c r="U478" s="51"/>
      <c r="V478" s="51"/>
      <c r="W478" s="51"/>
      <c r="X478" s="51"/>
      <c r="Y478" s="51"/>
      <c r="Z478" s="51"/>
      <c r="AA478" s="51"/>
      <c r="AB478" s="51"/>
    </row>
    <row r="479" customFormat="false" ht="15.75" hidden="false" customHeight="false" outlineLevel="0" collapsed="false">
      <c r="A479" s="25"/>
      <c r="B479" s="25"/>
      <c r="C479" s="25"/>
      <c r="D479" s="26"/>
      <c r="E479" s="27"/>
      <c r="F479" s="28" t="n">
        <f aca="false">IF(A482="WIN",1,0)</f>
        <v>0</v>
      </c>
      <c r="G479" s="29"/>
      <c r="H479" s="25"/>
      <c r="I479" s="25"/>
      <c r="J479" s="25"/>
      <c r="K479" s="26"/>
      <c r="L479" s="27"/>
      <c r="M479" s="28" t="n">
        <f aca="false">IF(H482="WIN",1,0)</f>
        <v>0</v>
      </c>
      <c r="N479" s="4"/>
      <c r="O479" s="51"/>
      <c r="P479" s="51"/>
      <c r="Q479" s="51"/>
      <c r="R479" s="51"/>
      <c r="S479" s="51"/>
      <c r="T479" s="51"/>
      <c r="U479" s="51"/>
      <c r="V479" s="51"/>
      <c r="W479" s="51"/>
      <c r="X479" s="51"/>
      <c r="Y479" s="51"/>
      <c r="Z479" s="51"/>
      <c r="AA479" s="51"/>
      <c r="AB479" s="51"/>
    </row>
    <row r="480" customFormat="false" ht="15.75" hidden="false" customHeight="false" outlineLevel="0" collapsed="false">
      <c r="A480" s="25"/>
      <c r="B480" s="25"/>
      <c r="C480" s="25"/>
      <c r="D480" s="26"/>
      <c r="E480" s="27"/>
      <c r="F480" s="28" t="n">
        <f aca="false">IF(A482="WIN",1,0)</f>
        <v>0</v>
      </c>
      <c r="G480" s="29"/>
      <c r="H480" s="25"/>
      <c r="I480" s="25"/>
      <c r="J480" s="25"/>
      <c r="K480" s="26"/>
      <c r="L480" s="27"/>
      <c r="M480" s="28" t="n">
        <f aca="false">IF(H482="WIN",1,0)</f>
        <v>0</v>
      </c>
      <c r="N480" s="4"/>
      <c r="O480" s="51"/>
      <c r="P480" s="51"/>
      <c r="Q480" s="51"/>
      <c r="R480" s="51"/>
      <c r="S480" s="51"/>
      <c r="T480" s="51"/>
      <c r="U480" s="51"/>
      <c r="V480" s="51"/>
      <c r="W480" s="51"/>
      <c r="X480" s="51"/>
      <c r="Y480" s="51"/>
      <c r="Z480" s="51"/>
      <c r="AA480" s="51"/>
      <c r="AB480" s="51"/>
    </row>
    <row r="481" customFormat="false" ht="15.75" hidden="false" customHeight="false" outlineLevel="0" collapsed="false">
      <c r="A481" s="32"/>
      <c r="B481" s="32"/>
      <c r="C481" s="32"/>
      <c r="D481" s="33"/>
      <c r="E481" s="34"/>
      <c r="F481" s="28" t="n">
        <f aca="false">IF(A482="WIN",1,0)</f>
        <v>0</v>
      </c>
      <c r="G481" s="29"/>
      <c r="H481" s="32"/>
      <c r="I481" s="32"/>
      <c r="J481" s="32"/>
      <c r="K481" s="33"/>
      <c r="L481" s="34"/>
      <c r="M481" s="28" t="n">
        <f aca="false">IF(H482="WIN",1,0)</f>
        <v>0</v>
      </c>
      <c r="N481" s="4"/>
      <c r="O481" s="51"/>
      <c r="P481" s="51"/>
      <c r="Q481" s="51"/>
      <c r="R481" s="51"/>
      <c r="S481" s="51"/>
      <c r="T481" s="51"/>
      <c r="U481" s="51"/>
      <c r="V481" s="51"/>
      <c r="W481" s="51"/>
      <c r="X481" s="51"/>
      <c r="Y481" s="51"/>
      <c r="Z481" s="51"/>
      <c r="AA481" s="51"/>
      <c r="AB481" s="51"/>
    </row>
    <row r="482" customFormat="false" ht="15.75" hidden="false" customHeight="false" outlineLevel="0" collapsed="false">
      <c r="A482" s="35" t="s">
        <v>30</v>
      </c>
      <c r="B482" s="35"/>
      <c r="C482" s="35"/>
      <c r="D482" s="36" t="n">
        <f aca="false">SUM(D475,-E475)</f>
        <v>0</v>
      </c>
      <c r="E482" s="36"/>
      <c r="F482" s="38"/>
      <c r="G482" s="39"/>
      <c r="H482" s="35" t="s">
        <v>30</v>
      </c>
      <c r="I482" s="35"/>
      <c r="J482" s="35"/>
      <c r="K482" s="36" t="n">
        <f aca="false">SUM(K475,-L475)</f>
        <v>0</v>
      </c>
      <c r="L482" s="36"/>
      <c r="M482" s="38"/>
      <c r="N482" s="4"/>
      <c r="O482" s="52"/>
      <c r="P482" s="52"/>
      <c r="Q482" s="52"/>
      <c r="R482" s="52"/>
      <c r="S482" s="52"/>
      <c r="T482" s="52"/>
      <c r="U482" s="52"/>
      <c r="V482" s="52"/>
      <c r="W482" s="52"/>
      <c r="X482" s="52"/>
      <c r="Y482" s="52"/>
      <c r="Z482" s="52"/>
      <c r="AA482" s="52"/>
      <c r="AB482" s="52"/>
    </row>
    <row r="483" customFormat="false" ht="17.25" hidden="false" customHeight="false" outlineLevel="0" collapsed="false">
      <c r="A483" s="6" t="s">
        <v>45</v>
      </c>
      <c r="B483" s="6"/>
      <c r="C483" s="6"/>
      <c r="D483" s="6"/>
      <c r="E483" s="6"/>
      <c r="F483" s="6"/>
      <c r="G483" s="6"/>
      <c r="H483" s="6"/>
      <c r="I483" s="6"/>
      <c r="J483" s="6"/>
      <c r="K483" s="6"/>
      <c r="L483" s="6"/>
      <c r="M483" s="6"/>
      <c r="N483" s="4"/>
      <c r="O483" s="55"/>
      <c r="P483" s="55"/>
      <c r="Q483" s="55"/>
      <c r="R483" s="55"/>
      <c r="S483" s="55"/>
      <c r="T483" s="55"/>
      <c r="U483" s="55"/>
      <c r="V483" s="55"/>
      <c r="W483" s="55"/>
      <c r="X483" s="55"/>
      <c r="Y483" s="55"/>
      <c r="Z483" s="55"/>
      <c r="AA483" s="55"/>
      <c r="AB483" s="55"/>
    </row>
    <row r="484" customFormat="false" ht="15.75" hidden="false" customHeight="false" outlineLevel="0" collapsed="false">
      <c r="A484" s="10" t="s">
        <v>4</v>
      </c>
      <c r="B484" s="10"/>
      <c r="C484" s="10"/>
      <c r="D484" s="11" t="s">
        <v>5</v>
      </c>
      <c r="E484" s="12" t="s">
        <v>6</v>
      </c>
      <c r="F484" s="13" t="s">
        <v>7</v>
      </c>
      <c r="G484" s="14"/>
      <c r="H484" s="15" t="s">
        <v>8</v>
      </c>
      <c r="I484" s="15"/>
      <c r="J484" s="15"/>
      <c r="K484" s="11" t="s">
        <v>5</v>
      </c>
      <c r="L484" s="12" t="s">
        <v>6</v>
      </c>
      <c r="M484" s="13" t="s">
        <v>7</v>
      </c>
      <c r="N484" s="4"/>
      <c r="O484" s="52"/>
      <c r="P484" s="52"/>
      <c r="Q484" s="52"/>
      <c r="R484" s="52"/>
      <c r="S484" s="52"/>
      <c r="T484" s="52"/>
      <c r="U484" s="52"/>
      <c r="V484" s="52"/>
      <c r="W484" s="52"/>
      <c r="X484" s="52"/>
      <c r="Y484" s="52"/>
      <c r="Z484" s="52"/>
      <c r="AA484" s="52"/>
      <c r="AB484" s="52"/>
    </row>
    <row r="485" customFormat="false" ht="15.75" hidden="false" customHeight="false" outlineLevel="0" collapsed="false">
      <c r="A485" s="18" t="str">
        <f aca="false">KKS!$G$1</f>
        <v>Kingston Kecleons</v>
      </c>
      <c r="B485" s="18"/>
      <c r="C485" s="18"/>
      <c r="D485" s="19" t="n">
        <v>6</v>
      </c>
      <c r="E485" s="20" t="n">
        <v>2</v>
      </c>
      <c r="F485" s="21" t="str">
        <f aca="false">IF(A492="WIN","W",IF(A492="LOSE","L",""))</f>
        <v>W</v>
      </c>
      <c r="G485" s="22"/>
      <c r="H485" s="18" t="str">
        <f aca="false">SGP!$G$1</f>
        <v>Slung Patrol</v>
      </c>
      <c r="I485" s="18"/>
      <c r="J485" s="18"/>
      <c r="K485" s="19" t="n">
        <v>2</v>
      </c>
      <c r="L485" s="20" t="n">
        <v>6</v>
      </c>
      <c r="M485" s="21" t="str">
        <f aca="false">IF(H492="WIN","W",IF(H492="LOSE","L",""))</f>
        <v>L</v>
      </c>
      <c r="N485" s="4"/>
      <c r="O485" s="53"/>
      <c r="P485" s="53"/>
      <c r="Q485" s="53"/>
      <c r="R485" s="53"/>
      <c r="S485" s="53"/>
      <c r="T485" s="53"/>
      <c r="U485" s="53"/>
      <c r="V485" s="53"/>
      <c r="W485" s="53"/>
      <c r="X485" s="53"/>
      <c r="Y485" s="53"/>
      <c r="Z485" s="53"/>
      <c r="AA485" s="53"/>
      <c r="AB485" s="53"/>
    </row>
    <row r="486" customFormat="false" ht="15.75" hidden="false" customHeight="false" outlineLevel="0" collapsed="false">
      <c r="A486" s="25" t="s">
        <v>85</v>
      </c>
      <c r="B486" s="25"/>
      <c r="C486" s="25"/>
      <c r="D486" s="26" t="n">
        <v>1</v>
      </c>
      <c r="E486" s="27" t="n">
        <v>0</v>
      </c>
      <c r="F486" s="28" t="n">
        <f aca="false">IF(A492="WIN",1,0)</f>
        <v>1</v>
      </c>
      <c r="G486" s="29"/>
      <c r="H486" s="56" t="s">
        <v>75</v>
      </c>
      <c r="I486" s="56"/>
      <c r="J486" s="56"/>
      <c r="K486" s="26" t="n">
        <v>0</v>
      </c>
      <c r="L486" s="27" t="n">
        <v>1</v>
      </c>
      <c r="M486" s="28" t="n">
        <f aca="false">IF(H492="WIN",1,0)</f>
        <v>0</v>
      </c>
      <c r="N486" s="4"/>
      <c r="O486" s="51"/>
      <c r="P486" s="51"/>
      <c r="Q486" s="51"/>
      <c r="R486" s="51"/>
      <c r="S486" s="51"/>
      <c r="T486" s="51"/>
      <c r="U486" s="51"/>
      <c r="V486" s="51"/>
      <c r="W486" s="51"/>
      <c r="X486" s="51"/>
      <c r="Y486" s="51"/>
      <c r="Z486" s="51"/>
      <c r="AA486" s="51"/>
      <c r="AB486" s="51"/>
    </row>
    <row r="487" customFormat="false" ht="15.75" hidden="false" customHeight="false" outlineLevel="0" collapsed="false">
      <c r="A487" s="25" t="s">
        <v>124</v>
      </c>
      <c r="B487" s="25"/>
      <c r="C487" s="25"/>
      <c r="D487" s="26" t="n">
        <v>1</v>
      </c>
      <c r="E487" s="27" t="n">
        <v>0</v>
      </c>
      <c r="F487" s="28" t="n">
        <f aca="false">IF(A492="WIN",1,0)</f>
        <v>1</v>
      </c>
      <c r="G487" s="29"/>
      <c r="H487" s="25" t="s">
        <v>97</v>
      </c>
      <c r="I487" s="25"/>
      <c r="J487" s="25"/>
      <c r="K487" s="26" t="n">
        <v>1</v>
      </c>
      <c r="L487" s="27" t="n">
        <v>1</v>
      </c>
      <c r="M487" s="28" t="n">
        <f aca="false">IF(H492="WIN",1,0)</f>
        <v>0</v>
      </c>
      <c r="N487" s="4"/>
      <c r="O487" s="51"/>
      <c r="P487" s="51"/>
      <c r="Q487" s="51"/>
      <c r="R487" s="51"/>
      <c r="S487" s="51"/>
      <c r="T487" s="51"/>
      <c r="U487" s="51"/>
      <c r="V487" s="51"/>
      <c r="W487" s="51"/>
      <c r="X487" s="51"/>
      <c r="Y487" s="51"/>
      <c r="Z487" s="51"/>
      <c r="AA487" s="51"/>
      <c r="AB487" s="51"/>
    </row>
    <row r="488" customFormat="false" ht="15.75" hidden="false" customHeight="false" outlineLevel="0" collapsed="false">
      <c r="A488" s="25" t="s">
        <v>19</v>
      </c>
      <c r="B488" s="25"/>
      <c r="C488" s="25"/>
      <c r="D488" s="26" t="n">
        <v>0</v>
      </c>
      <c r="E488" s="27" t="n">
        <v>0</v>
      </c>
      <c r="F488" s="28" t="n">
        <f aca="false">IF(A492="WIN",1,0)</f>
        <v>1</v>
      </c>
      <c r="G488" s="29"/>
      <c r="H488" s="25" t="s">
        <v>93</v>
      </c>
      <c r="I488" s="25"/>
      <c r="J488" s="25"/>
      <c r="K488" s="26" t="n">
        <v>0</v>
      </c>
      <c r="L488" s="27" t="n">
        <v>1</v>
      </c>
      <c r="M488" s="28" t="n">
        <f aca="false">IF(H492="WIN",1,0)</f>
        <v>0</v>
      </c>
      <c r="N488" s="4"/>
      <c r="O488" s="51"/>
      <c r="P488" s="51"/>
      <c r="Q488" s="51"/>
      <c r="R488" s="51"/>
      <c r="S488" s="51"/>
      <c r="T488" s="51"/>
      <c r="U488" s="51"/>
      <c r="V488" s="51"/>
      <c r="W488" s="51"/>
      <c r="X488" s="51"/>
      <c r="Y488" s="51"/>
      <c r="Z488" s="51"/>
      <c r="AA488" s="51"/>
      <c r="AB488" s="51"/>
    </row>
    <row r="489" customFormat="false" ht="15.75" hidden="false" customHeight="false" outlineLevel="0" collapsed="false">
      <c r="A489" s="25" t="s">
        <v>23</v>
      </c>
      <c r="B489" s="25"/>
      <c r="C489" s="25"/>
      <c r="D489" s="26" t="n">
        <v>2</v>
      </c>
      <c r="E489" s="27" t="n">
        <v>0</v>
      </c>
      <c r="F489" s="28" t="n">
        <f aca="false">IF(A492="WIN",1,0)</f>
        <v>1</v>
      </c>
      <c r="G489" s="29"/>
      <c r="H489" s="25" t="s">
        <v>81</v>
      </c>
      <c r="I489" s="25"/>
      <c r="J489" s="25"/>
      <c r="K489" s="26" t="n">
        <v>0</v>
      </c>
      <c r="L489" s="27" t="n">
        <v>1</v>
      </c>
      <c r="M489" s="28" t="n">
        <f aca="false">IF(H492="WIN",1,0)</f>
        <v>0</v>
      </c>
      <c r="N489" s="4"/>
      <c r="O489" s="51"/>
      <c r="P489" s="51"/>
      <c r="Q489" s="51"/>
      <c r="R489" s="51"/>
      <c r="S489" s="51"/>
      <c r="T489" s="51"/>
      <c r="U489" s="51"/>
      <c r="V489" s="51"/>
      <c r="W489" s="51"/>
      <c r="X489" s="51"/>
      <c r="Y489" s="51"/>
      <c r="Z489" s="51"/>
      <c r="AA489" s="51"/>
      <c r="AB489" s="51"/>
    </row>
    <row r="490" customFormat="false" ht="15.75" hidden="false" customHeight="false" outlineLevel="0" collapsed="false">
      <c r="A490" s="25" t="s">
        <v>88</v>
      </c>
      <c r="B490" s="25"/>
      <c r="C490" s="25"/>
      <c r="D490" s="26" t="n">
        <v>1</v>
      </c>
      <c r="E490" s="27" t="n">
        <v>1</v>
      </c>
      <c r="F490" s="28" t="n">
        <f aca="false">IF(A492="WIN",1,0)</f>
        <v>1</v>
      </c>
      <c r="G490" s="29"/>
      <c r="H490" s="25" t="s">
        <v>107</v>
      </c>
      <c r="I490" s="25"/>
      <c r="J490" s="25"/>
      <c r="K490" s="26" t="n">
        <v>1</v>
      </c>
      <c r="L490" s="27" t="n">
        <v>1</v>
      </c>
      <c r="M490" s="28" t="n">
        <f aca="false">IF(H492="WIN",1,0)</f>
        <v>0</v>
      </c>
      <c r="N490" s="4"/>
      <c r="O490" s="51"/>
      <c r="P490" s="51"/>
      <c r="Q490" s="51"/>
      <c r="R490" s="51"/>
      <c r="S490" s="51"/>
      <c r="T490" s="51"/>
      <c r="U490" s="51"/>
      <c r="V490" s="51"/>
      <c r="W490" s="51"/>
      <c r="X490" s="51"/>
      <c r="Y490" s="51"/>
      <c r="Z490" s="51"/>
      <c r="AA490" s="51"/>
      <c r="AB490" s="51"/>
    </row>
    <row r="491" customFormat="false" ht="15.75" hidden="false" customHeight="false" outlineLevel="0" collapsed="false">
      <c r="A491" s="32" t="s">
        <v>87</v>
      </c>
      <c r="B491" s="32"/>
      <c r="C491" s="32"/>
      <c r="D491" s="33" t="n">
        <v>1</v>
      </c>
      <c r="E491" s="34" t="n">
        <v>1</v>
      </c>
      <c r="F491" s="28" t="n">
        <f aca="false">IF(A492="WIN",1,0)</f>
        <v>1</v>
      </c>
      <c r="G491" s="29"/>
      <c r="H491" s="32" t="s">
        <v>126</v>
      </c>
      <c r="I491" s="32"/>
      <c r="J491" s="32"/>
      <c r="K491" s="33" t="n">
        <v>0</v>
      </c>
      <c r="L491" s="34" t="n">
        <v>1</v>
      </c>
      <c r="M491" s="28" t="n">
        <f aca="false">IF(H492="WIN",1,0)</f>
        <v>0</v>
      </c>
      <c r="N491" s="4"/>
      <c r="O491" s="51"/>
      <c r="P491" s="51"/>
      <c r="Q491" s="51"/>
      <c r="R491" s="51"/>
      <c r="S491" s="51"/>
      <c r="T491" s="51"/>
      <c r="U491" s="51"/>
      <c r="V491" s="51"/>
      <c r="W491" s="51"/>
      <c r="X491" s="51"/>
      <c r="Y491" s="51"/>
      <c r="Z491" s="51"/>
      <c r="AA491" s="51"/>
      <c r="AB491" s="51"/>
    </row>
    <row r="492" customFormat="false" ht="15.75" hidden="false" customHeight="false" outlineLevel="0" collapsed="false">
      <c r="A492" s="35" t="s">
        <v>11</v>
      </c>
      <c r="B492" s="35"/>
      <c r="C492" s="35"/>
      <c r="D492" s="36" t="n">
        <f aca="false">SUM(D485,-E485)</f>
        <v>4</v>
      </c>
      <c r="E492" s="36"/>
      <c r="F492" s="38"/>
      <c r="G492" s="39"/>
      <c r="H492" s="35" t="s">
        <v>10</v>
      </c>
      <c r="I492" s="35"/>
      <c r="J492" s="35"/>
      <c r="K492" s="36" t="n">
        <f aca="false">SUM(K485,-L485)</f>
        <v>-4</v>
      </c>
      <c r="L492" s="36"/>
      <c r="M492" s="38"/>
      <c r="N492" s="4"/>
      <c r="O492" s="52"/>
      <c r="P492" s="52"/>
      <c r="Q492" s="52"/>
      <c r="R492" s="52"/>
      <c r="S492" s="52"/>
      <c r="T492" s="52"/>
      <c r="U492" s="52"/>
      <c r="V492" s="52"/>
      <c r="W492" s="52"/>
      <c r="X492" s="52"/>
      <c r="Y492" s="52"/>
      <c r="Z492" s="52"/>
      <c r="AA492" s="52"/>
      <c r="AB492" s="52"/>
    </row>
    <row r="493" customFormat="false" ht="15.75" hidden="false" customHeight="false" outlineLevel="0" collapsed="false">
      <c r="A493" s="10" t="s">
        <v>4</v>
      </c>
      <c r="B493" s="10"/>
      <c r="C493" s="10"/>
      <c r="D493" s="11" t="s">
        <v>5</v>
      </c>
      <c r="E493" s="12" t="s">
        <v>6</v>
      </c>
      <c r="F493" s="13" t="s">
        <v>7</v>
      </c>
      <c r="G493" s="14"/>
      <c r="H493" s="15" t="s">
        <v>8</v>
      </c>
      <c r="I493" s="15"/>
      <c r="J493" s="15"/>
      <c r="K493" s="11" t="s">
        <v>5</v>
      </c>
      <c r="L493" s="12" t="s">
        <v>6</v>
      </c>
      <c r="M493" s="13" t="s">
        <v>7</v>
      </c>
      <c r="N493" s="4"/>
      <c r="O493" s="52"/>
      <c r="P493" s="52"/>
      <c r="Q493" s="52"/>
      <c r="R493" s="52"/>
      <c r="S493" s="52"/>
      <c r="T493" s="52"/>
      <c r="U493" s="52"/>
      <c r="V493" s="52"/>
      <c r="W493" s="52"/>
      <c r="X493" s="52"/>
      <c r="Y493" s="52"/>
      <c r="Z493" s="52"/>
      <c r="AA493" s="52"/>
      <c r="AB493" s="52"/>
    </row>
    <row r="494" customFormat="false" ht="15.75" hidden="false" customHeight="false" outlineLevel="0" collapsed="false">
      <c r="A494" s="18" t="str">
        <f aca="false">SEA!$G$1</f>
        <v>Seattle Seadras</v>
      </c>
      <c r="B494" s="18"/>
      <c r="C494" s="18"/>
      <c r="D494" s="19"/>
      <c r="E494" s="20"/>
      <c r="F494" s="21" t="str">
        <f aca="false">IF(A501="WIN","W",IF(A501="LOSE","L",""))</f>
        <v/>
      </c>
      <c r="G494" s="22"/>
      <c r="H494" s="57" t="str">
        <f aca="false">FTT!$G$1</f>
        <v>Fortree Trevenants</v>
      </c>
      <c r="I494" s="57"/>
      <c r="J494" s="57"/>
      <c r="K494" s="19"/>
      <c r="L494" s="20"/>
      <c r="M494" s="21" t="str">
        <f aca="false">IF(H501="WIN","W",IF(H501="LOSE","L",""))</f>
        <v/>
      </c>
      <c r="N494" s="4"/>
      <c r="O494" s="53"/>
      <c r="P494" s="53"/>
      <c r="Q494" s="53"/>
      <c r="R494" s="53"/>
      <c r="S494" s="53"/>
      <c r="T494" s="53"/>
      <c r="U494" s="53"/>
      <c r="V494" s="53"/>
      <c r="W494" s="53"/>
      <c r="X494" s="53"/>
      <c r="Y494" s="53"/>
      <c r="Z494" s="53"/>
      <c r="AA494" s="53"/>
      <c r="AB494" s="53"/>
    </row>
    <row r="495" customFormat="false" ht="15.75" hidden="false" customHeight="false" outlineLevel="0" collapsed="false">
      <c r="A495" s="56"/>
      <c r="B495" s="56"/>
      <c r="C495" s="56"/>
      <c r="D495" s="26"/>
      <c r="E495" s="27"/>
      <c r="F495" s="28" t="n">
        <f aca="false">IF(A501="WIN",1,0)</f>
        <v>0</v>
      </c>
      <c r="G495" s="29"/>
      <c r="H495" s="56"/>
      <c r="I495" s="56"/>
      <c r="J495" s="56"/>
      <c r="K495" s="26"/>
      <c r="L495" s="27"/>
      <c r="M495" s="28" t="n">
        <f aca="false">IF(H501="WIN",1,0)</f>
        <v>0</v>
      </c>
      <c r="N495" s="4"/>
      <c r="O495" s="51"/>
      <c r="P495" s="51"/>
      <c r="Q495" s="51"/>
      <c r="R495" s="51"/>
      <c r="S495" s="51"/>
      <c r="T495" s="51"/>
      <c r="U495" s="51"/>
      <c r="V495" s="51"/>
      <c r="W495" s="51"/>
      <c r="X495" s="51"/>
      <c r="Y495" s="51"/>
      <c r="Z495" s="51"/>
      <c r="AA495" s="51"/>
      <c r="AB495" s="51"/>
    </row>
    <row r="496" customFormat="false" ht="15.75" hidden="false" customHeight="false" outlineLevel="0" collapsed="false">
      <c r="A496" s="25"/>
      <c r="B496" s="25"/>
      <c r="C496" s="25"/>
      <c r="D496" s="26"/>
      <c r="E496" s="27"/>
      <c r="F496" s="28" t="n">
        <f aca="false">IF(A501="WIN",1,0)</f>
        <v>0</v>
      </c>
      <c r="G496" s="29"/>
      <c r="H496" s="25"/>
      <c r="I496" s="25"/>
      <c r="J496" s="25"/>
      <c r="K496" s="26"/>
      <c r="L496" s="27"/>
      <c r="M496" s="28" t="n">
        <f aca="false">IF(H501="WIN",1,0)</f>
        <v>0</v>
      </c>
      <c r="N496" s="4"/>
      <c r="O496" s="51"/>
      <c r="P496" s="51"/>
      <c r="Q496" s="51"/>
      <c r="R496" s="51"/>
      <c r="S496" s="51"/>
      <c r="T496" s="51"/>
      <c r="U496" s="51"/>
      <c r="V496" s="51"/>
      <c r="W496" s="51"/>
      <c r="X496" s="51"/>
      <c r="Y496" s="51"/>
      <c r="Z496" s="51"/>
      <c r="AA496" s="51"/>
      <c r="AB496" s="51"/>
    </row>
    <row r="497" customFormat="false" ht="15.75" hidden="false" customHeight="false" outlineLevel="0" collapsed="false">
      <c r="A497" s="25"/>
      <c r="B497" s="25"/>
      <c r="C497" s="25"/>
      <c r="D497" s="26"/>
      <c r="E497" s="27"/>
      <c r="F497" s="28" t="n">
        <f aca="false">IF(A501="WIN",1,0)</f>
        <v>0</v>
      </c>
      <c r="G497" s="29"/>
      <c r="H497" s="25"/>
      <c r="I497" s="25"/>
      <c r="J497" s="25"/>
      <c r="K497" s="26"/>
      <c r="L497" s="27"/>
      <c r="M497" s="28" t="n">
        <f aca="false">IF(H501="WIN",1,0)</f>
        <v>0</v>
      </c>
      <c r="N497" s="4"/>
      <c r="O497" s="51"/>
      <c r="P497" s="51"/>
      <c r="Q497" s="51"/>
      <c r="R497" s="51"/>
      <c r="S497" s="51"/>
      <c r="T497" s="51"/>
      <c r="U497" s="51"/>
      <c r="V497" s="51"/>
      <c r="W497" s="51"/>
      <c r="X497" s="51"/>
      <c r="Y497" s="51"/>
      <c r="Z497" s="51"/>
      <c r="AA497" s="51"/>
      <c r="AB497" s="51"/>
    </row>
    <row r="498" customFormat="false" ht="15.75" hidden="false" customHeight="false" outlineLevel="0" collapsed="false">
      <c r="A498" s="25"/>
      <c r="B498" s="25"/>
      <c r="C498" s="25"/>
      <c r="D498" s="26"/>
      <c r="E498" s="27"/>
      <c r="F498" s="28" t="n">
        <f aca="false">IF(A501="WIN",1,0)</f>
        <v>0</v>
      </c>
      <c r="G498" s="29"/>
      <c r="H498" s="25"/>
      <c r="I498" s="25"/>
      <c r="J498" s="25"/>
      <c r="K498" s="26"/>
      <c r="L498" s="27"/>
      <c r="M498" s="28" t="n">
        <f aca="false">IF(H501="WIN",1,0)</f>
        <v>0</v>
      </c>
      <c r="N498" s="4"/>
      <c r="O498" s="51"/>
      <c r="P498" s="51"/>
      <c r="Q498" s="51"/>
      <c r="R498" s="51"/>
      <c r="S498" s="51"/>
      <c r="T498" s="51"/>
      <c r="U498" s="51"/>
      <c r="V498" s="51"/>
      <c r="W498" s="51"/>
      <c r="X498" s="51"/>
      <c r="Y498" s="51"/>
      <c r="Z498" s="51"/>
      <c r="AA498" s="51"/>
      <c r="AB498" s="51"/>
    </row>
    <row r="499" customFormat="false" ht="15.75" hidden="false" customHeight="false" outlineLevel="0" collapsed="false">
      <c r="A499" s="25"/>
      <c r="B499" s="25"/>
      <c r="C499" s="25"/>
      <c r="D499" s="26"/>
      <c r="E499" s="27"/>
      <c r="F499" s="28" t="n">
        <f aca="false">IF(A501="WIN",1,0)</f>
        <v>0</v>
      </c>
      <c r="G499" s="29"/>
      <c r="H499" s="25"/>
      <c r="I499" s="25"/>
      <c r="J499" s="25"/>
      <c r="K499" s="26"/>
      <c r="L499" s="27"/>
      <c r="M499" s="28" t="n">
        <f aca="false">IF(H501="WIN",1,0)</f>
        <v>0</v>
      </c>
      <c r="N499" s="4"/>
      <c r="O499" s="51"/>
      <c r="P499" s="51"/>
      <c r="Q499" s="51"/>
      <c r="R499" s="51"/>
      <c r="S499" s="51"/>
      <c r="T499" s="51"/>
      <c r="U499" s="51"/>
      <c r="V499" s="51"/>
      <c r="W499" s="51"/>
      <c r="X499" s="51"/>
      <c r="Y499" s="51"/>
      <c r="Z499" s="51"/>
      <c r="AA499" s="51"/>
      <c r="AB499" s="51"/>
    </row>
    <row r="500" customFormat="false" ht="15.75" hidden="false" customHeight="false" outlineLevel="0" collapsed="false">
      <c r="A500" s="32"/>
      <c r="B500" s="32"/>
      <c r="C500" s="32"/>
      <c r="D500" s="33"/>
      <c r="E500" s="34"/>
      <c r="F500" s="28" t="n">
        <f aca="false">IF(A501="WIN",1,0)</f>
        <v>0</v>
      </c>
      <c r="G500" s="29"/>
      <c r="H500" s="32"/>
      <c r="I500" s="32"/>
      <c r="J500" s="32"/>
      <c r="K500" s="33"/>
      <c r="L500" s="34"/>
      <c r="M500" s="28" t="n">
        <f aca="false">IF(H501="WIN",1,0)</f>
        <v>0</v>
      </c>
      <c r="N500" s="4"/>
      <c r="O500" s="51"/>
      <c r="P500" s="51"/>
      <c r="Q500" s="51"/>
      <c r="R500" s="51"/>
      <c r="S500" s="51"/>
      <c r="T500" s="51"/>
      <c r="U500" s="51"/>
      <c r="V500" s="51"/>
      <c r="W500" s="51"/>
      <c r="X500" s="51"/>
      <c r="Y500" s="51"/>
      <c r="Z500" s="51"/>
      <c r="AA500" s="51"/>
      <c r="AB500" s="51"/>
    </row>
    <row r="501" customFormat="false" ht="15.75" hidden="false" customHeight="false" outlineLevel="0" collapsed="false">
      <c r="A501" s="35" t="s">
        <v>30</v>
      </c>
      <c r="B501" s="35"/>
      <c r="C501" s="35"/>
      <c r="D501" s="36" t="n">
        <f aca="false">SUM(D494,-E494)</f>
        <v>0</v>
      </c>
      <c r="E501" s="36"/>
      <c r="F501" s="38"/>
      <c r="G501" s="39"/>
      <c r="H501" s="35" t="s">
        <v>30</v>
      </c>
      <c r="I501" s="35"/>
      <c r="J501" s="35"/>
      <c r="K501" s="36" t="n">
        <f aca="false">SUM(K494,-L494)</f>
        <v>0</v>
      </c>
      <c r="L501" s="36"/>
      <c r="M501" s="38"/>
      <c r="N501" s="4"/>
      <c r="O501" s="52"/>
      <c r="P501" s="52"/>
      <c r="Q501" s="52"/>
      <c r="R501" s="52"/>
      <c r="S501" s="52"/>
      <c r="T501" s="52"/>
      <c r="U501" s="52"/>
      <c r="V501" s="52"/>
      <c r="W501" s="52"/>
      <c r="X501" s="52"/>
      <c r="Y501" s="52"/>
      <c r="Z501" s="52"/>
      <c r="AA501" s="52"/>
      <c r="AB501" s="52"/>
    </row>
    <row r="502" customFormat="false" ht="15.75" hidden="false" customHeight="false" outlineLevel="0" collapsed="false">
      <c r="A502" s="10" t="s">
        <v>4</v>
      </c>
      <c r="B502" s="10"/>
      <c r="C502" s="10"/>
      <c r="D502" s="11" t="s">
        <v>5</v>
      </c>
      <c r="E502" s="12" t="s">
        <v>6</v>
      </c>
      <c r="F502" s="13" t="s">
        <v>7</v>
      </c>
      <c r="G502" s="14"/>
      <c r="H502" s="15" t="s">
        <v>8</v>
      </c>
      <c r="I502" s="15"/>
      <c r="J502" s="15"/>
      <c r="K502" s="11" t="s">
        <v>5</v>
      </c>
      <c r="L502" s="12" t="s">
        <v>6</v>
      </c>
      <c r="M502" s="13" t="s">
        <v>7</v>
      </c>
      <c r="N502" s="4"/>
      <c r="O502" s="52"/>
      <c r="P502" s="52"/>
      <c r="Q502" s="52"/>
      <c r="R502" s="52"/>
      <c r="S502" s="52"/>
      <c r="T502" s="52"/>
      <c r="U502" s="52"/>
      <c r="V502" s="52"/>
      <c r="W502" s="52"/>
      <c r="X502" s="52"/>
      <c r="Y502" s="52"/>
      <c r="Z502" s="52"/>
      <c r="AA502" s="52"/>
      <c r="AB502" s="52"/>
    </row>
    <row r="503" customFormat="false" ht="15.75" hidden="false" customHeight="false" outlineLevel="0" collapsed="false">
      <c r="A503" s="23" t="str">
        <f aca="false">JVJ!$G$1</f>
        <v>Jacksonville Jumpluffs</v>
      </c>
      <c r="B503" s="23"/>
      <c r="C503" s="23"/>
      <c r="D503" s="19"/>
      <c r="E503" s="20"/>
      <c r="F503" s="21" t="str">
        <f aca="false">IF(A510="WIN","W",IF(A510="LOSE","L",""))</f>
        <v>W</v>
      </c>
      <c r="G503" s="22"/>
      <c r="H503" s="18" t="str">
        <f aca="false">LVC!$G$1</f>
        <v>Louisville Crobats</v>
      </c>
      <c r="I503" s="18"/>
      <c r="J503" s="18"/>
      <c r="K503" s="19"/>
      <c r="L503" s="20"/>
      <c r="M503" s="21" t="str">
        <f aca="false">IF(H510="WIN","W",IF(H510="LOSE","L",""))</f>
        <v>L</v>
      </c>
      <c r="N503" s="4"/>
      <c r="O503" s="53"/>
      <c r="P503" s="53"/>
      <c r="Q503" s="53"/>
      <c r="R503" s="53"/>
      <c r="S503" s="53"/>
      <c r="T503" s="53"/>
      <c r="U503" s="53"/>
      <c r="V503" s="53"/>
      <c r="W503" s="53"/>
      <c r="X503" s="53"/>
      <c r="Y503" s="53"/>
      <c r="Z503" s="53"/>
      <c r="AA503" s="53"/>
      <c r="AB503" s="53"/>
    </row>
    <row r="504" customFormat="false" ht="15.75" hidden="false" customHeight="false" outlineLevel="0" collapsed="false">
      <c r="A504" s="56"/>
      <c r="B504" s="56"/>
      <c r="C504" s="56"/>
      <c r="D504" s="26"/>
      <c r="E504" s="27"/>
      <c r="F504" s="28" t="n">
        <f aca="false">IF(A510="WIN",1,0)</f>
        <v>1</v>
      </c>
      <c r="G504" s="29"/>
      <c r="H504" s="56"/>
      <c r="I504" s="56"/>
      <c r="J504" s="56"/>
      <c r="K504" s="26"/>
      <c r="L504" s="27"/>
      <c r="M504" s="28" t="n">
        <f aca="false">IF(H510="WIN",1,0)</f>
        <v>0</v>
      </c>
      <c r="N504" s="4"/>
      <c r="O504" s="51"/>
      <c r="P504" s="51"/>
      <c r="Q504" s="51"/>
      <c r="R504" s="51"/>
      <c r="S504" s="51"/>
      <c r="T504" s="51"/>
      <c r="U504" s="51"/>
      <c r="V504" s="51"/>
      <c r="W504" s="51"/>
      <c r="X504" s="51"/>
      <c r="Y504" s="51"/>
      <c r="Z504" s="51"/>
      <c r="AA504" s="51"/>
      <c r="AB504" s="51"/>
    </row>
    <row r="505" customFormat="false" ht="15.75" hidden="false" customHeight="false" outlineLevel="0" collapsed="false">
      <c r="A505" s="25"/>
      <c r="B505" s="25"/>
      <c r="C505" s="25"/>
      <c r="D505" s="26"/>
      <c r="E505" s="27"/>
      <c r="F505" s="28" t="n">
        <f aca="false">IF(A510="WIN",1,0)</f>
        <v>1</v>
      </c>
      <c r="G505" s="29"/>
      <c r="H505" s="25"/>
      <c r="I505" s="25"/>
      <c r="J505" s="25"/>
      <c r="K505" s="26"/>
      <c r="L505" s="27"/>
      <c r="M505" s="28" t="n">
        <f aca="false">IF(H510="WIN",1,0)</f>
        <v>0</v>
      </c>
      <c r="N505" s="4"/>
      <c r="O505" s="51"/>
      <c r="P505" s="51"/>
      <c r="Q505" s="51"/>
      <c r="R505" s="51"/>
      <c r="S505" s="51"/>
      <c r="T505" s="51"/>
      <c r="U505" s="51"/>
      <c r="V505" s="51"/>
      <c r="W505" s="51"/>
      <c r="X505" s="51"/>
      <c r="Y505" s="51"/>
      <c r="Z505" s="51"/>
      <c r="AA505" s="51"/>
      <c r="AB505" s="51"/>
    </row>
    <row r="506" customFormat="false" ht="15.75" hidden="false" customHeight="false" outlineLevel="0" collapsed="false">
      <c r="A506" s="25"/>
      <c r="B506" s="25"/>
      <c r="C506" s="25"/>
      <c r="D506" s="26"/>
      <c r="E506" s="27"/>
      <c r="F506" s="28" t="n">
        <f aca="false">IF(A510="WIN",1,0)</f>
        <v>1</v>
      </c>
      <c r="G506" s="29"/>
      <c r="H506" s="25"/>
      <c r="I506" s="25"/>
      <c r="J506" s="25"/>
      <c r="K506" s="26"/>
      <c r="L506" s="27"/>
      <c r="M506" s="28" t="n">
        <f aca="false">IF(H510="WIN",1,0)</f>
        <v>0</v>
      </c>
      <c r="N506" s="4"/>
      <c r="O506" s="51"/>
      <c r="P506" s="51"/>
      <c r="Q506" s="51"/>
      <c r="R506" s="51"/>
      <c r="S506" s="51"/>
      <c r="T506" s="51"/>
      <c r="U506" s="51"/>
      <c r="V506" s="51"/>
      <c r="W506" s="51"/>
      <c r="X506" s="51"/>
      <c r="Y506" s="51"/>
      <c r="Z506" s="51"/>
      <c r="AA506" s="51"/>
      <c r="AB506" s="51"/>
    </row>
    <row r="507" customFormat="false" ht="15.75" hidden="false" customHeight="false" outlineLevel="0" collapsed="false">
      <c r="A507" s="25"/>
      <c r="B507" s="25"/>
      <c r="C507" s="25"/>
      <c r="D507" s="26"/>
      <c r="E507" s="27"/>
      <c r="F507" s="28" t="n">
        <f aca="false">IF(A510="WIN",1,0)</f>
        <v>1</v>
      </c>
      <c r="G507" s="29"/>
      <c r="H507" s="25"/>
      <c r="I507" s="25"/>
      <c r="J507" s="25"/>
      <c r="K507" s="26"/>
      <c r="L507" s="27"/>
      <c r="M507" s="28" t="n">
        <f aca="false">IF(H510="WIN",1,0)</f>
        <v>0</v>
      </c>
      <c r="N507" s="4"/>
      <c r="O507" s="51"/>
      <c r="P507" s="51"/>
      <c r="Q507" s="51"/>
      <c r="R507" s="51"/>
      <c r="S507" s="51"/>
      <c r="T507" s="51"/>
      <c r="U507" s="51"/>
      <c r="V507" s="51"/>
      <c r="W507" s="51"/>
      <c r="X507" s="51"/>
      <c r="Y507" s="51"/>
      <c r="Z507" s="51"/>
      <c r="AA507" s="51"/>
      <c r="AB507" s="51"/>
    </row>
    <row r="508" customFormat="false" ht="15.75" hidden="false" customHeight="false" outlineLevel="0" collapsed="false">
      <c r="A508" s="25"/>
      <c r="B508" s="25"/>
      <c r="C508" s="25"/>
      <c r="D508" s="26"/>
      <c r="E508" s="27"/>
      <c r="F508" s="28" t="n">
        <f aca="false">IF(A510="WIN",1,0)</f>
        <v>1</v>
      </c>
      <c r="G508" s="29"/>
      <c r="H508" s="25"/>
      <c r="I508" s="25"/>
      <c r="J508" s="25"/>
      <c r="K508" s="26"/>
      <c r="L508" s="27"/>
      <c r="M508" s="28" t="n">
        <f aca="false">IF(H510="WIN",1,0)</f>
        <v>0</v>
      </c>
      <c r="N508" s="4"/>
      <c r="O508" s="51"/>
      <c r="P508" s="51"/>
      <c r="Q508" s="51"/>
      <c r="R508" s="51"/>
      <c r="S508" s="51"/>
      <c r="T508" s="51"/>
      <c r="U508" s="51"/>
      <c r="V508" s="51"/>
      <c r="W508" s="51"/>
      <c r="X508" s="51"/>
      <c r="Y508" s="51"/>
      <c r="Z508" s="51"/>
      <c r="AA508" s="51"/>
      <c r="AB508" s="51"/>
    </row>
    <row r="509" customFormat="false" ht="15.75" hidden="false" customHeight="false" outlineLevel="0" collapsed="false">
      <c r="A509" s="32"/>
      <c r="B509" s="32"/>
      <c r="C509" s="32"/>
      <c r="D509" s="33"/>
      <c r="E509" s="34"/>
      <c r="F509" s="28" t="n">
        <f aca="false">IF(A510="WIN",1,0)</f>
        <v>1</v>
      </c>
      <c r="G509" s="29"/>
      <c r="H509" s="32"/>
      <c r="I509" s="32"/>
      <c r="J509" s="32"/>
      <c r="K509" s="33"/>
      <c r="L509" s="34"/>
      <c r="M509" s="28" t="n">
        <f aca="false">IF(H510="WIN",1,0)</f>
        <v>0</v>
      </c>
      <c r="N509" s="4"/>
      <c r="O509" s="51"/>
      <c r="P509" s="51"/>
      <c r="Q509" s="51"/>
      <c r="R509" s="51"/>
      <c r="S509" s="51"/>
      <c r="T509" s="51"/>
      <c r="U509" s="51"/>
      <c r="V509" s="51"/>
      <c r="W509" s="51"/>
      <c r="X509" s="51"/>
      <c r="Y509" s="51"/>
      <c r="Z509" s="51"/>
      <c r="AA509" s="51"/>
      <c r="AB509" s="51"/>
    </row>
    <row r="510" customFormat="false" ht="15.75" hidden="false" customHeight="false" outlineLevel="0" collapsed="false">
      <c r="A510" s="35" t="s">
        <v>11</v>
      </c>
      <c r="B510" s="35"/>
      <c r="C510" s="35"/>
      <c r="D510" s="36" t="n">
        <f aca="false">SUM(D503,-E503)</f>
        <v>0</v>
      </c>
      <c r="E510" s="36"/>
      <c r="F510" s="38"/>
      <c r="G510" s="39"/>
      <c r="H510" s="35" t="s">
        <v>10</v>
      </c>
      <c r="I510" s="35"/>
      <c r="J510" s="35"/>
      <c r="K510" s="36" t="n">
        <f aca="false">SUM(K503,-L503)</f>
        <v>0</v>
      </c>
      <c r="L510" s="36"/>
      <c r="M510" s="38"/>
      <c r="N510" s="4"/>
      <c r="O510" s="52"/>
      <c r="P510" s="52"/>
      <c r="Q510" s="52"/>
      <c r="R510" s="52"/>
      <c r="S510" s="52"/>
      <c r="T510" s="52"/>
      <c r="U510" s="52"/>
      <c r="V510" s="52"/>
      <c r="W510" s="52"/>
      <c r="X510" s="52"/>
      <c r="Y510" s="52"/>
      <c r="Z510" s="52"/>
      <c r="AA510" s="52"/>
      <c r="AB510" s="52"/>
    </row>
    <row r="511" customFormat="false" ht="15.75" hidden="false" customHeight="false" outlineLevel="0" collapsed="false">
      <c r="A511" s="10" t="s">
        <v>4</v>
      </c>
      <c r="B511" s="10"/>
      <c r="C511" s="10"/>
      <c r="D511" s="11" t="s">
        <v>5</v>
      </c>
      <c r="E511" s="12" t="s">
        <v>6</v>
      </c>
      <c r="F511" s="13" t="s">
        <v>7</v>
      </c>
      <c r="G511" s="14"/>
      <c r="H511" s="15" t="s">
        <v>8</v>
      </c>
      <c r="I511" s="15"/>
      <c r="J511" s="15"/>
      <c r="K511" s="11" t="s">
        <v>5</v>
      </c>
      <c r="L511" s="12" t="s">
        <v>6</v>
      </c>
      <c r="M511" s="13" t="s">
        <v>7</v>
      </c>
      <c r="N511" s="4"/>
      <c r="O511" s="52"/>
      <c r="P511" s="52"/>
      <c r="Q511" s="52"/>
      <c r="R511" s="52"/>
      <c r="S511" s="52"/>
      <c r="T511" s="52"/>
      <c r="U511" s="52"/>
      <c r="V511" s="52"/>
      <c r="W511" s="52"/>
      <c r="X511" s="52"/>
      <c r="Y511" s="52"/>
      <c r="Z511" s="52"/>
      <c r="AA511" s="52"/>
      <c r="AB511" s="52"/>
    </row>
    <row r="512" customFormat="false" ht="15.75" hidden="false" customHeight="false" outlineLevel="0" collapsed="false">
      <c r="A512" s="23" t="str">
        <f aca="false">BBG!$G$1</f>
        <v>Berlin Bronzong</v>
      </c>
      <c r="B512" s="23"/>
      <c r="C512" s="23"/>
      <c r="D512" s="19"/>
      <c r="E512" s="20"/>
      <c r="F512" s="21" t="str">
        <f aca="false">IF(A519="WIN","W",IF(A519="LOSE","L",""))</f>
        <v>L</v>
      </c>
      <c r="G512" s="22"/>
      <c r="H512" s="57" t="str">
        <f aca="false">BTB!$G$1</f>
        <v>Battlin Brelooms</v>
      </c>
      <c r="I512" s="57"/>
      <c r="J512" s="57"/>
      <c r="K512" s="19"/>
      <c r="L512" s="20"/>
      <c r="M512" s="21" t="str">
        <f aca="false">IF(H519="WIN","W",IF(H519="LOSE","L",""))</f>
        <v>W</v>
      </c>
      <c r="N512" s="4"/>
      <c r="O512" s="53"/>
      <c r="P512" s="53"/>
      <c r="Q512" s="53"/>
      <c r="R512" s="53"/>
      <c r="S512" s="53"/>
      <c r="T512" s="53"/>
      <c r="U512" s="53"/>
      <c r="V512" s="53"/>
      <c r="W512" s="53"/>
      <c r="X512" s="53"/>
      <c r="Y512" s="53"/>
      <c r="Z512" s="53"/>
      <c r="AA512" s="53"/>
      <c r="AB512" s="53"/>
    </row>
    <row r="513" customFormat="false" ht="15.75" hidden="false" customHeight="false" outlineLevel="0" collapsed="false">
      <c r="A513" s="56"/>
      <c r="B513" s="56"/>
      <c r="C513" s="56"/>
      <c r="D513" s="26"/>
      <c r="E513" s="27"/>
      <c r="F513" s="28" t="n">
        <f aca="false">IF(A519="WIN",1,0)</f>
        <v>0</v>
      </c>
      <c r="G513" s="29"/>
      <c r="H513" s="56"/>
      <c r="I513" s="56"/>
      <c r="J513" s="56"/>
      <c r="K513" s="26"/>
      <c r="L513" s="27"/>
      <c r="M513" s="28" t="n">
        <f aca="false">IF(H519="WIN",1,0)</f>
        <v>1</v>
      </c>
      <c r="N513" s="4"/>
      <c r="O513" s="51"/>
      <c r="P513" s="51"/>
      <c r="Q513" s="51"/>
      <c r="R513" s="51"/>
      <c r="S513" s="51"/>
      <c r="T513" s="51"/>
      <c r="U513" s="51"/>
      <c r="V513" s="51"/>
      <c r="W513" s="51"/>
      <c r="X513" s="51"/>
      <c r="Y513" s="51"/>
      <c r="Z513" s="51"/>
      <c r="AA513" s="51"/>
      <c r="AB513" s="51"/>
    </row>
    <row r="514" customFormat="false" ht="15.75" hidden="false" customHeight="false" outlineLevel="0" collapsed="false">
      <c r="A514" s="25"/>
      <c r="B514" s="25"/>
      <c r="C514" s="25"/>
      <c r="D514" s="26"/>
      <c r="E514" s="27"/>
      <c r="F514" s="28" t="n">
        <f aca="false">IF(A519="WIN",1,0)</f>
        <v>0</v>
      </c>
      <c r="G514" s="29"/>
      <c r="H514" s="25"/>
      <c r="I514" s="25"/>
      <c r="J514" s="25"/>
      <c r="K514" s="26"/>
      <c r="L514" s="27"/>
      <c r="M514" s="28" t="n">
        <f aca="false">IF(H519="WIN",1,0)</f>
        <v>1</v>
      </c>
      <c r="N514" s="4"/>
      <c r="O514" s="51"/>
      <c r="P514" s="51"/>
      <c r="Q514" s="51"/>
      <c r="R514" s="51"/>
      <c r="S514" s="51"/>
      <c r="T514" s="51"/>
      <c r="U514" s="51"/>
      <c r="V514" s="51"/>
      <c r="W514" s="51"/>
      <c r="X514" s="51"/>
      <c r="Y514" s="51"/>
      <c r="Z514" s="51"/>
      <c r="AA514" s="51"/>
      <c r="AB514" s="51"/>
    </row>
    <row r="515" customFormat="false" ht="15.75" hidden="false" customHeight="false" outlineLevel="0" collapsed="false">
      <c r="A515" s="25"/>
      <c r="B515" s="25"/>
      <c r="C515" s="25"/>
      <c r="D515" s="26"/>
      <c r="E515" s="27"/>
      <c r="F515" s="28" t="n">
        <f aca="false">IF(A519="WIN",1,0)</f>
        <v>0</v>
      </c>
      <c r="G515" s="29"/>
      <c r="H515" s="25"/>
      <c r="I515" s="25"/>
      <c r="J515" s="25"/>
      <c r="K515" s="26"/>
      <c r="L515" s="27"/>
      <c r="M515" s="28" t="n">
        <f aca="false">IF(H519="WIN",1,0)</f>
        <v>1</v>
      </c>
      <c r="N515" s="4"/>
      <c r="O515" s="51"/>
      <c r="P515" s="51"/>
      <c r="Q515" s="51"/>
      <c r="R515" s="51"/>
      <c r="S515" s="51"/>
      <c r="T515" s="51"/>
      <c r="U515" s="51"/>
      <c r="V515" s="51"/>
      <c r="W515" s="51"/>
      <c r="X515" s="51"/>
      <c r="Y515" s="51"/>
      <c r="Z515" s="51"/>
      <c r="AA515" s="51"/>
      <c r="AB515" s="51"/>
    </row>
    <row r="516" customFormat="false" ht="15.75" hidden="false" customHeight="false" outlineLevel="0" collapsed="false">
      <c r="A516" s="25"/>
      <c r="B516" s="25"/>
      <c r="C516" s="25"/>
      <c r="D516" s="26"/>
      <c r="E516" s="27"/>
      <c r="F516" s="28" t="n">
        <f aca="false">IF(A519="WIN",1,0)</f>
        <v>0</v>
      </c>
      <c r="G516" s="29"/>
      <c r="H516" s="25"/>
      <c r="I516" s="25"/>
      <c r="J516" s="25"/>
      <c r="K516" s="26"/>
      <c r="L516" s="27"/>
      <c r="M516" s="28" t="n">
        <f aca="false">IF(H519="WIN",1,0)</f>
        <v>1</v>
      </c>
      <c r="N516" s="4"/>
      <c r="O516" s="51"/>
      <c r="P516" s="51"/>
      <c r="Q516" s="51"/>
      <c r="R516" s="51"/>
      <c r="S516" s="51"/>
      <c r="T516" s="51"/>
      <c r="U516" s="51"/>
      <c r="V516" s="51"/>
      <c r="W516" s="51"/>
      <c r="X516" s="51"/>
      <c r="Y516" s="51"/>
      <c r="Z516" s="51"/>
      <c r="AA516" s="51"/>
      <c r="AB516" s="51"/>
    </row>
    <row r="517" customFormat="false" ht="15.75" hidden="false" customHeight="false" outlineLevel="0" collapsed="false">
      <c r="A517" s="25"/>
      <c r="B517" s="25"/>
      <c r="C517" s="25"/>
      <c r="D517" s="26"/>
      <c r="E517" s="27"/>
      <c r="F517" s="28" t="n">
        <f aca="false">IF(A519="WIN",1,0)</f>
        <v>0</v>
      </c>
      <c r="G517" s="29"/>
      <c r="H517" s="25"/>
      <c r="I517" s="25"/>
      <c r="J517" s="25"/>
      <c r="K517" s="26"/>
      <c r="L517" s="27"/>
      <c r="M517" s="28" t="n">
        <f aca="false">IF(H519="WIN",1,0)</f>
        <v>1</v>
      </c>
      <c r="N517" s="4"/>
      <c r="O517" s="51"/>
      <c r="P517" s="51"/>
      <c r="Q517" s="51"/>
      <c r="R517" s="51"/>
      <c r="S517" s="51"/>
      <c r="T517" s="51"/>
      <c r="U517" s="51"/>
      <c r="V517" s="51"/>
      <c r="W517" s="51"/>
      <c r="X517" s="51"/>
      <c r="Y517" s="51"/>
      <c r="Z517" s="51"/>
      <c r="AA517" s="51"/>
      <c r="AB517" s="51"/>
    </row>
    <row r="518" customFormat="false" ht="15.75" hidden="false" customHeight="false" outlineLevel="0" collapsed="false">
      <c r="A518" s="32"/>
      <c r="B518" s="32"/>
      <c r="C518" s="32"/>
      <c r="D518" s="33"/>
      <c r="E518" s="34"/>
      <c r="F518" s="28" t="n">
        <f aca="false">IF(A519="WIN",1,0)</f>
        <v>0</v>
      </c>
      <c r="G518" s="29"/>
      <c r="H518" s="32"/>
      <c r="I518" s="32"/>
      <c r="J518" s="32"/>
      <c r="K518" s="33"/>
      <c r="L518" s="34"/>
      <c r="M518" s="28" t="n">
        <f aca="false">IF(H519="WIN",1,0)</f>
        <v>1</v>
      </c>
      <c r="N518" s="4"/>
      <c r="O518" s="51"/>
      <c r="P518" s="51"/>
      <c r="Q518" s="51"/>
      <c r="R518" s="51"/>
      <c r="S518" s="51"/>
      <c r="T518" s="51"/>
      <c r="U518" s="51"/>
      <c r="V518" s="51"/>
      <c r="W518" s="51"/>
      <c r="X518" s="51"/>
      <c r="Y518" s="51"/>
      <c r="Z518" s="51"/>
      <c r="AA518" s="51"/>
      <c r="AB518" s="51"/>
    </row>
    <row r="519" customFormat="false" ht="15.75" hidden="false" customHeight="false" outlineLevel="0" collapsed="false">
      <c r="A519" s="35" t="s">
        <v>10</v>
      </c>
      <c r="B519" s="35"/>
      <c r="C519" s="35"/>
      <c r="D519" s="36" t="n">
        <f aca="false">SUM(D512,-E512)</f>
        <v>0</v>
      </c>
      <c r="E519" s="36"/>
      <c r="F519" s="38"/>
      <c r="G519" s="39"/>
      <c r="H519" s="35" t="s">
        <v>11</v>
      </c>
      <c r="I519" s="35"/>
      <c r="J519" s="35"/>
      <c r="K519" s="36" t="n">
        <f aca="false">SUM(K512,-L512)</f>
        <v>0</v>
      </c>
      <c r="L519" s="36"/>
      <c r="M519" s="38"/>
      <c r="N519" s="4"/>
      <c r="O519" s="52"/>
      <c r="P519" s="52"/>
      <c r="Q519" s="52"/>
      <c r="R519" s="52"/>
      <c r="S519" s="52"/>
      <c r="T519" s="52"/>
      <c r="U519" s="52"/>
      <c r="V519" s="52"/>
      <c r="W519" s="52"/>
      <c r="X519" s="52"/>
      <c r="Y519" s="52"/>
      <c r="Z519" s="52"/>
      <c r="AA519" s="52"/>
      <c r="AB519" s="52"/>
    </row>
    <row r="520" customFormat="false" ht="17.25" hidden="false" customHeight="false" outlineLevel="0" collapsed="false">
      <c r="A520" s="6" t="s">
        <v>48</v>
      </c>
      <c r="B520" s="6"/>
      <c r="C520" s="6"/>
      <c r="D520" s="6"/>
      <c r="E520" s="6"/>
      <c r="F520" s="6"/>
      <c r="G520" s="6"/>
      <c r="H520" s="6"/>
      <c r="I520" s="6"/>
      <c r="J520" s="6"/>
      <c r="K520" s="6"/>
      <c r="L520" s="6"/>
      <c r="M520" s="6"/>
      <c r="N520" s="4"/>
      <c r="O520" s="55"/>
      <c r="P520" s="55"/>
      <c r="Q520" s="55"/>
      <c r="R520" s="55"/>
      <c r="S520" s="55"/>
      <c r="T520" s="55"/>
      <c r="U520" s="55"/>
      <c r="V520" s="55"/>
      <c r="W520" s="55"/>
      <c r="X520" s="55"/>
      <c r="Y520" s="55"/>
      <c r="Z520" s="55"/>
      <c r="AA520" s="55"/>
      <c r="AB520" s="55"/>
    </row>
    <row r="521" customFormat="false" ht="15.75" hidden="false" customHeight="false" outlineLevel="0" collapsed="false">
      <c r="A521" s="10" t="s">
        <v>4</v>
      </c>
      <c r="B521" s="10"/>
      <c r="C521" s="10"/>
      <c r="D521" s="11" t="s">
        <v>5</v>
      </c>
      <c r="E521" s="12" t="s">
        <v>6</v>
      </c>
      <c r="F521" s="13" t="s">
        <v>7</v>
      </c>
      <c r="G521" s="14"/>
      <c r="H521" s="15" t="s">
        <v>8</v>
      </c>
      <c r="I521" s="15"/>
      <c r="J521" s="15"/>
      <c r="K521" s="11" t="s">
        <v>5</v>
      </c>
      <c r="L521" s="12" t="s">
        <v>6</v>
      </c>
      <c r="M521" s="13" t="s">
        <v>7</v>
      </c>
      <c r="N521" s="4"/>
      <c r="O521" s="52"/>
      <c r="P521" s="52"/>
      <c r="Q521" s="52"/>
      <c r="R521" s="52"/>
      <c r="S521" s="52"/>
      <c r="T521" s="52"/>
      <c r="U521" s="52"/>
      <c r="V521" s="52"/>
      <c r="W521" s="52"/>
      <c r="X521" s="52"/>
      <c r="Y521" s="52"/>
      <c r="Z521" s="52"/>
      <c r="AA521" s="52"/>
      <c r="AB521" s="52"/>
    </row>
    <row r="522" customFormat="false" ht="15.75" hidden="false" customHeight="false" outlineLevel="0" collapsed="false">
      <c r="A522" s="18" t="str">
        <f aca="false">KKS!$G$1</f>
        <v>Kingston Kecleons</v>
      </c>
      <c r="B522" s="18"/>
      <c r="C522" s="18"/>
      <c r="D522" s="19" t="n">
        <v>6</v>
      </c>
      <c r="E522" s="20" t="n">
        <v>5</v>
      </c>
      <c r="F522" s="21" t="str">
        <f aca="false">IF(A529="WIN","W",IF(A529="LOSE","L",""))</f>
        <v>W</v>
      </c>
      <c r="G522" s="22"/>
      <c r="H522" s="18" t="str">
        <f aca="false">SEA!$G$1</f>
        <v>Seattle Seadras</v>
      </c>
      <c r="I522" s="18"/>
      <c r="J522" s="18"/>
      <c r="K522" s="19" t="n">
        <v>5</v>
      </c>
      <c r="L522" s="20" t="n">
        <v>6</v>
      </c>
      <c r="M522" s="21" t="str">
        <f aca="false">IF(H529="WIN","W",IF(H529="LOSE","L",""))</f>
        <v>L</v>
      </c>
      <c r="N522" s="4"/>
      <c r="O522" s="53"/>
      <c r="P522" s="53"/>
      <c r="Q522" s="53"/>
      <c r="R522" s="53"/>
      <c r="S522" s="53"/>
      <c r="T522" s="53"/>
      <c r="U522" s="53"/>
      <c r="V522" s="53"/>
      <c r="W522" s="53"/>
      <c r="X522" s="53"/>
      <c r="Y522" s="53"/>
      <c r="Z522" s="53"/>
      <c r="AA522" s="53"/>
      <c r="AB522" s="53"/>
    </row>
    <row r="523" customFormat="false" ht="15.75" hidden="false" customHeight="false" outlineLevel="0" collapsed="false">
      <c r="A523" s="25" t="s">
        <v>85</v>
      </c>
      <c r="B523" s="25"/>
      <c r="C523" s="25"/>
      <c r="D523" s="26" t="n">
        <v>1</v>
      </c>
      <c r="E523" s="27" t="n">
        <v>0</v>
      </c>
      <c r="F523" s="28" t="n">
        <f aca="false">IF(A529="WIN",1,0)</f>
        <v>1</v>
      </c>
      <c r="G523" s="29"/>
      <c r="H523" s="56" t="s">
        <v>40</v>
      </c>
      <c r="I523" s="56"/>
      <c r="J523" s="56"/>
      <c r="K523" s="26" t="n">
        <v>0</v>
      </c>
      <c r="L523" s="27" t="n">
        <v>1</v>
      </c>
      <c r="M523" s="28" t="n">
        <f aca="false">IF(H529="WIN",1,0)</f>
        <v>0</v>
      </c>
      <c r="N523" s="4"/>
      <c r="O523" s="51"/>
      <c r="P523" s="51"/>
      <c r="Q523" s="51"/>
      <c r="R523" s="51"/>
      <c r="S523" s="51"/>
      <c r="T523" s="51"/>
      <c r="U523" s="51"/>
      <c r="V523" s="51"/>
      <c r="W523" s="51"/>
      <c r="X523" s="51"/>
      <c r="Y523" s="51"/>
      <c r="Z523" s="51"/>
      <c r="AA523" s="51"/>
      <c r="AB523" s="51"/>
    </row>
    <row r="524" customFormat="false" ht="15.75" hidden="false" customHeight="false" outlineLevel="0" collapsed="false">
      <c r="A524" s="25" t="s">
        <v>124</v>
      </c>
      <c r="B524" s="25"/>
      <c r="C524" s="25"/>
      <c r="D524" s="26" t="n">
        <v>3</v>
      </c>
      <c r="E524" s="27" t="n">
        <v>1</v>
      </c>
      <c r="F524" s="28" t="n">
        <f aca="false">IF(A529="WIN",1,0)</f>
        <v>1</v>
      </c>
      <c r="G524" s="29"/>
      <c r="H524" s="25" t="s">
        <v>89</v>
      </c>
      <c r="I524" s="25"/>
      <c r="J524" s="25"/>
      <c r="K524" s="26" t="n">
        <v>0</v>
      </c>
      <c r="L524" s="27" t="n">
        <v>1</v>
      </c>
      <c r="M524" s="28" t="n">
        <f aca="false">IF(H529="WIN",1,0)</f>
        <v>0</v>
      </c>
      <c r="N524" s="4"/>
      <c r="O524" s="51"/>
      <c r="P524" s="51"/>
      <c r="Q524" s="51"/>
      <c r="R524" s="51"/>
      <c r="S524" s="51"/>
      <c r="T524" s="51"/>
      <c r="U524" s="51"/>
      <c r="V524" s="51"/>
      <c r="W524" s="51"/>
      <c r="X524" s="51"/>
      <c r="Y524" s="51"/>
      <c r="Z524" s="51"/>
      <c r="AA524" s="51"/>
      <c r="AB524" s="51"/>
    </row>
    <row r="525" customFormat="false" ht="15.75" hidden="false" customHeight="false" outlineLevel="0" collapsed="false">
      <c r="A525" s="25" t="s">
        <v>103</v>
      </c>
      <c r="B525" s="25"/>
      <c r="C525" s="25"/>
      <c r="D525" s="26" t="n">
        <v>1</v>
      </c>
      <c r="E525" s="27" t="n">
        <v>1</v>
      </c>
      <c r="F525" s="28" t="n">
        <f aca="false">IF(A529="WIN",1,0)</f>
        <v>1</v>
      </c>
      <c r="G525" s="29"/>
      <c r="H525" s="25" t="s">
        <v>43</v>
      </c>
      <c r="I525" s="25"/>
      <c r="J525" s="25"/>
      <c r="K525" s="26" t="n">
        <v>0</v>
      </c>
      <c r="L525" s="27" t="n">
        <v>1</v>
      </c>
      <c r="M525" s="28" t="n">
        <f aca="false">IF(H529="WIN",1,0)</f>
        <v>0</v>
      </c>
      <c r="N525" s="4"/>
      <c r="O525" s="51"/>
      <c r="P525" s="51"/>
      <c r="Q525" s="51"/>
      <c r="R525" s="51"/>
      <c r="S525" s="51"/>
      <c r="T525" s="51"/>
      <c r="U525" s="51"/>
      <c r="V525" s="51"/>
      <c r="W525" s="51"/>
      <c r="X525" s="51"/>
      <c r="Y525" s="51"/>
      <c r="Z525" s="51"/>
      <c r="AA525" s="51"/>
      <c r="AB525" s="51"/>
    </row>
    <row r="526" customFormat="false" ht="15.75" hidden="false" customHeight="false" outlineLevel="0" collapsed="false">
      <c r="A526" s="25" t="s">
        <v>111</v>
      </c>
      <c r="B526" s="25"/>
      <c r="C526" s="25"/>
      <c r="D526" s="26" t="n">
        <v>0</v>
      </c>
      <c r="E526" s="27" t="n">
        <v>1</v>
      </c>
      <c r="F526" s="28" t="n">
        <f aca="false">IF(A529="WIN",1,0)</f>
        <v>1</v>
      </c>
      <c r="G526" s="29"/>
      <c r="H526" s="25" t="s">
        <v>113</v>
      </c>
      <c r="I526" s="25"/>
      <c r="J526" s="25"/>
      <c r="K526" s="26" t="n">
        <v>1</v>
      </c>
      <c r="L526" s="27" t="n">
        <v>1</v>
      </c>
      <c r="M526" s="28" t="n">
        <f aca="false">IF(H529="WIN",1,0)</f>
        <v>0</v>
      </c>
      <c r="N526" s="4"/>
      <c r="O526" s="51"/>
      <c r="P526" s="51"/>
      <c r="Q526" s="51"/>
      <c r="R526" s="51"/>
      <c r="S526" s="51"/>
      <c r="T526" s="51"/>
      <c r="U526" s="51"/>
      <c r="V526" s="51"/>
      <c r="W526" s="51"/>
      <c r="X526" s="51"/>
      <c r="Y526" s="51"/>
      <c r="Z526" s="51"/>
      <c r="AA526" s="51"/>
      <c r="AB526" s="51"/>
    </row>
    <row r="527" customFormat="false" ht="15.75" hidden="false" customHeight="false" outlineLevel="0" collapsed="false">
      <c r="A527" s="25" t="s">
        <v>88</v>
      </c>
      <c r="B527" s="25"/>
      <c r="C527" s="25"/>
      <c r="D527" s="26" t="n">
        <v>1</v>
      </c>
      <c r="E527" s="27" t="n">
        <v>1</v>
      </c>
      <c r="F527" s="28" t="n">
        <f aca="false">IF(A529="WIN",1,0)</f>
        <v>1</v>
      </c>
      <c r="G527" s="29"/>
      <c r="H527" s="25" t="s">
        <v>52</v>
      </c>
      <c r="I527" s="25"/>
      <c r="J527" s="25"/>
      <c r="K527" s="26" t="n">
        <v>2</v>
      </c>
      <c r="L527" s="27" t="n">
        <v>1</v>
      </c>
      <c r="M527" s="28" t="n">
        <f aca="false">IF(H529="WIN",1,0)</f>
        <v>0</v>
      </c>
      <c r="N527" s="4"/>
      <c r="O527" s="51"/>
      <c r="P527" s="51"/>
      <c r="Q527" s="51"/>
      <c r="R527" s="51"/>
      <c r="S527" s="51"/>
      <c r="T527" s="51"/>
      <c r="U527" s="51"/>
      <c r="V527" s="51"/>
      <c r="W527" s="51"/>
      <c r="X527" s="51"/>
      <c r="Y527" s="51"/>
      <c r="Z527" s="51"/>
      <c r="AA527" s="51"/>
      <c r="AB527" s="51"/>
    </row>
    <row r="528" customFormat="false" ht="15.75" hidden="false" customHeight="false" outlineLevel="0" collapsed="false">
      <c r="A528" s="32" t="s">
        <v>87</v>
      </c>
      <c r="B528" s="32"/>
      <c r="C528" s="32"/>
      <c r="D528" s="33" t="n">
        <v>0</v>
      </c>
      <c r="E528" s="34" t="n">
        <v>1</v>
      </c>
      <c r="F528" s="28" t="n">
        <f aca="false">IF(A529="WIN",1,0)</f>
        <v>1</v>
      </c>
      <c r="G528" s="29"/>
      <c r="H528" s="32" t="s">
        <v>119</v>
      </c>
      <c r="I528" s="32"/>
      <c r="J528" s="32"/>
      <c r="K528" s="33" t="n">
        <v>2</v>
      </c>
      <c r="L528" s="34" t="n">
        <v>1</v>
      </c>
      <c r="M528" s="28" t="n">
        <f aca="false">IF(H529="WIN",1,0)</f>
        <v>0</v>
      </c>
      <c r="N528" s="4"/>
      <c r="O528" s="51"/>
      <c r="P528" s="51"/>
      <c r="Q528" s="51"/>
      <c r="R528" s="51"/>
      <c r="S528" s="51"/>
      <c r="T528" s="51"/>
      <c r="U528" s="51"/>
      <c r="V528" s="51"/>
      <c r="W528" s="51"/>
      <c r="X528" s="51"/>
      <c r="Y528" s="51"/>
      <c r="Z528" s="51"/>
      <c r="AA528" s="51"/>
      <c r="AB528" s="51"/>
    </row>
    <row r="529" customFormat="false" ht="15.75" hidden="false" customHeight="false" outlineLevel="0" collapsed="false">
      <c r="A529" s="35" t="s">
        <v>11</v>
      </c>
      <c r="B529" s="35"/>
      <c r="C529" s="35"/>
      <c r="D529" s="36" t="n">
        <f aca="false">SUM(D522,-E522)</f>
        <v>1</v>
      </c>
      <c r="E529" s="36"/>
      <c r="F529" s="38"/>
      <c r="G529" s="39"/>
      <c r="H529" s="35" t="s">
        <v>10</v>
      </c>
      <c r="I529" s="35"/>
      <c r="J529" s="35"/>
      <c r="K529" s="36" t="n">
        <f aca="false">SUM(K522,-L522)</f>
        <v>-1</v>
      </c>
      <c r="L529" s="36"/>
      <c r="M529" s="38"/>
      <c r="N529" s="4"/>
      <c r="O529" s="52"/>
      <c r="P529" s="52"/>
      <c r="Q529" s="52"/>
      <c r="R529" s="52"/>
      <c r="S529" s="52"/>
      <c r="T529" s="52"/>
      <c r="U529" s="52"/>
      <c r="V529" s="52"/>
      <c r="W529" s="52"/>
      <c r="X529" s="52"/>
      <c r="Y529" s="52"/>
      <c r="Z529" s="52"/>
      <c r="AA529" s="52"/>
      <c r="AB529" s="52"/>
    </row>
    <row r="530" customFormat="false" ht="15.75" hidden="false" customHeight="false" outlineLevel="0" collapsed="false">
      <c r="A530" s="10" t="s">
        <v>4</v>
      </c>
      <c r="B530" s="10"/>
      <c r="C530" s="10"/>
      <c r="D530" s="11" t="s">
        <v>5</v>
      </c>
      <c r="E530" s="12" t="s">
        <v>6</v>
      </c>
      <c r="F530" s="13" t="s">
        <v>7</v>
      </c>
      <c r="G530" s="14"/>
      <c r="H530" s="15" t="s">
        <v>8</v>
      </c>
      <c r="I530" s="15"/>
      <c r="J530" s="15"/>
      <c r="K530" s="11" t="s">
        <v>5</v>
      </c>
      <c r="L530" s="12" t="s">
        <v>6</v>
      </c>
      <c r="M530" s="13" t="s">
        <v>7</v>
      </c>
      <c r="N530" s="4"/>
      <c r="O530" s="52"/>
      <c r="P530" s="52"/>
      <c r="Q530" s="52"/>
      <c r="R530" s="52"/>
      <c r="S530" s="52"/>
      <c r="T530" s="52"/>
      <c r="U530" s="52"/>
      <c r="V530" s="52"/>
      <c r="W530" s="52"/>
      <c r="X530" s="52"/>
      <c r="Y530" s="52"/>
      <c r="Z530" s="52"/>
      <c r="AA530" s="52"/>
      <c r="AB530" s="52"/>
    </row>
    <row r="531" customFormat="false" ht="15.75" hidden="false" customHeight="false" outlineLevel="0" collapsed="false">
      <c r="A531" s="23" t="str">
        <f aca="false">JVJ!$G$1</f>
        <v>Jacksonville Jumpluffs</v>
      </c>
      <c r="B531" s="23"/>
      <c r="C531" s="23"/>
      <c r="D531" s="19"/>
      <c r="E531" s="20"/>
      <c r="F531" s="21" t="str">
        <f aca="false">IF(A538="WIN","W",IF(A538="LOSE","L",""))</f>
        <v>W</v>
      </c>
      <c r="G531" s="22"/>
      <c r="H531" s="23" t="str">
        <f aca="false">BBG!$G$1</f>
        <v>Berlin Bronzong</v>
      </c>
      <c r="I531" s="23"/>
      <c r="J531" s="23"/>
      <c r="K531" s="19"/>
      <c r="L531" s="20"/>
      <c r="M531" s="21" t="str">
        <f aca="false">IF(H538="WIN","W",IF(H538="LOSE","L",""))</f>
        <v>L</v>
      </c>
      <c r="N531" s="4"/>
      <c r="O531" s="53"/>
      <c r="P531" s="53"/>
      <c r="Q531" s="53"/>
      <c r="R531" s="53"/>
      <c r="S531" s="53"/>
      <c r="T531" s="53"/>
      <c r="U531" s="53"/>
      <c r="V531" s="53"/>
      <c r="W531" s="53"/>
      <c r="X531" s="53"/>
      <c r="Y531" s="53"/>
      <c r="Z531" s="53"/>
      <c r="AA531" s="53"/>
      <c r="AB531" s="53"/>
    </row>
    <row r="532" customFormat="false" ht="15.75" hidden="false" customHeight="false" outlineLevel="0" collapsed="false">
      <c r="A532" s="56"/>
      <c r="B532" s="56"/>
      <c r="C532" s="56"/>
      <c r="D532" s="26"/>
      <c r="E532" s="27"/>
      <c r="F532" s="28" t="n">
        <f aca="false">IF(A538="WIN",1,0)</f>
        <v>1</v>
      </c>
      <c r="G532" s="29"/>
      <c r="H532" s="56"/>
      <c r="I532" s="56"/>
      <c r="J532" s="56"/>
      <c r="K532" s="26"/>
      <c r="L532" s="27"/>
      <c r="M532" s="28" t="n">
        <f aca="false">IF(H538="WIN",1,0)</f>
        <v>0</v>
      </c>
      <c r="N532" s="4"/>
      <c r="O532" s="51"/>
      <c r="P532" s="51"/>
      <c r="Q532" s="51"/>
      <c r="R532" s="51"/>
      <c r="S532" s="51"/>
      <c r="T532" s="51"/>
      <c r="U532" s="51"/>
      <c r="V532" s="51"/>
      <c r="W532" s="51"/>
      <c r="X532" s="51"/>
      <c r="Y532" s="51"/>
      <c r="Z532" s="51"/>
      <c r="AA532" s="51"/>
      <c r="AB532" s="51"/>
    </row>
    <row r="533" customFormat="false" ht="15.75" hidden="false" customHeight="false" outlineLevel="0" collapsed="false">
      <c r="A533" s="25"/>
      <c r="B533" s="25"/>
      <c r="C533" s="25"/>
      <c r="D533" s="26"/>
      <c r="E533" s="27"/>
      <c r="F533" s="28" t="n">
        <f aca="false">IF(A538="WIN",1,0)</f>
        <v>1</v>
      </c>
      <c r="G533" s="29"/>
      <c r="H533" s="25"/>
      <c r="I533" s="25"/>
      <c r="J533" s="25"/>
      <c r="K533" s="26"/>
      <c r="L533" s="27"/>
      <c r="M533" s="28" t="n">
        <f aca="false">IF(H538="WIN",1,0)</f>
        <v>0</v>
      </c>
      <c r="N533" s="4"/>
      <c r="O533" s="51"/>
      <c r="P533" s="51"/>
      <c r="Q533" s="51"/>
      <c r="R533" s="51"/>
      <c r="S533" s="51"/>
      <c r="T533" s="51"/>
      <c r="U533" s="51"/>
      <c r="V533" s="51"/>
      <c r="W533" s="51"/>
      <c r="X533" s="51"/>
      <c r="Y533" s="51"/>
      <c r="Z533" s="51"/>
      <c r="AA533" s="51"/>
      <c r="AB533" s="51"/>
    </row>
    <row r="534" customFormat="false" ht="15.75" hidden="false" customHeight="false" outlineLevel="0" collapsed="false">
      <c r="A534" s="25"/>
      <c r="B534" s="25"/>
      <c r="C534" s="25"/>
      <c r="D534" s="26"/>
      <c r="E534" s="27"/>
      <c r="F534" s="28" t="n">
        <f aca="false">IF(A538="WIN",1,0)</f>
        <v>1</v>
      </c>
      <c r="G534" s="29"/>
      <c r="H534" s="25"/>
      <c r="I534" s="25"/>
      <c r="J534" s="25"/>
      <c r="K534" s="26"/>
      <c r="L534" s="27"/>
      <c r="M534" s="28" t="n">
        <f aca="false">IF(H538="WIN",1,0)</f>
        <v>0</v>
      </c>
      <c r="N534" s="4"/>
      <c r="O534" s="51"/>
      <c r="P534" s="51"/>
      <c r="Q534" s="51"/>
      <c r="R534" s="51"/>
      <c r="S534" s="51"/>
      <c r="T534" s="51"/>
      <c r="U534" s="51"/>
      <c r="V534" s="51"/>
      <c r="W534" s="51"/>
      <c r="X534" s="51"/>
      <c r="Y534" s="51"/>
      <c r="Z534" s="51"/>
      <c r="AA534" s="51"/>
      <c r="AB534" s="51"/>
    </row>
    <row r="535" customFormat="false" ht="15.75" hidden="false" customHeight="false" outlineLevel="0" collapsed="false">
      <c r="A535" s="25"/>
      <c r="B535" s="25"/>
      <c r="C535" s="25"/>
      <c r="D535" s="26"/>
      <c r="E535" s="27"/>
      <c r="F535" s="28" t="n">
        <f aca="false">IF(A538="WIN",1,0)</f>
        <v>1</v>
      </c>
      <c r="G535" s="29"/>
      <c r="H535" s="25"/>
      <c r="I535" s="25"/>
      <c r="J535" s="25"/>
      <c r="K535" s="26"/>
      <c r="L535" s="27"/>
      <c r="M535" s="28" t="n">
        <f aca="false">IF(H538="WIN",1,0)</f>
        <v>0</v>
      </c>
      <c r="N535" s="4"/>
      <c r="O535" s="51"/>
      <c r="P535" s="51"/>
      <c r="Q535" s="51"/>
      <c r="R535" s="51"/>
      <c r="S535" s="51"/>
      <c r="T535" s="51"/>
      <c r="U535" s="51"/>
      <c r="V535" s="51"/>
      <c r="W535" s="51"/>
      <c r="X535" s="51"/>
      <c r="Y535" s="51"/>
      <c r="Z535" s="51"/>
      <c r="AA535" s="51"/>
      <c r="AB535" s="51"/>
    </row>
    <row r="536" customFormat="false" ht="15.75" hidden="false" customHeight="false" outlineLevel="0" collapsed="false">
      <c r="A536" s="25"/>
      <c r="B536" s="25"/>
      <c r="C536" s="25"/>
      <c r="D536" s="26"/>
      <c r="E536" s="27"/>
      <c r="F536" s="28" t="n">
        <f aca="false">IF(A538="WIN",1,0)</f>
        <v>1</v>
      </c>
      <c r="G536" s="29"/>
      <c r="H536" s="25"/>
      <c r="I536" s="25"/>
      <c r="J536" s="25"/>
      <c r="K536" s="26"/>
      <c r="L536" s="27"/>
      <c r="M536" s="28" t="n">
        <f aca="false">IF(H538="WIN",1,0)</f>
        <v>0</v>
      </c>
      <c r="N536" s="4"/>
      <c r="O536" s="51"/>
      <c r="P536" s="51"/>
      <c r="Q536" s="51"/>
      <c r="R536" s="51"/>
      <c r="S536" s="51"/>
      <c r="T536" s="51"/>
      <c r="U536" s="51"/>
      <c r="V536" s="51"/>
      <c r="W536" s="51"/>
      <c r="X536" s="51"/>
      <c r="Y536" s="51"/>
      <c r="Z536" s="51"/>
      <c r="AA536" s="51"/>
      <c r="AB536" s="51"/>
    </row>
    <row r="537" customFormat="false" ht="15.75" hidden="false" customHeight="false" outlineLevel="0" collapsed="false">
      <c r="A537" s="32"/>
      <c r="B537" s="32"/>
      <c r="C537" s="32"/>
      <c r="D537" s="33"/>
      <c r="E537" s="34"/>
      <c r="F537" s="28" t="n">
        <f aca="false">IF(A538="WIN",1,0)</f>
        <v>1</v>
      </c>
      <c r="G537" s="29"/>
      <c r="H537" s="32"/>
      <c r="I537" s="32"/>
      <c r="J537" s="32"/>
      <c r="K537" s="33"/>
      <c r="L537" s="34"/>
      <c r="M537" s="28" t="n">
        <f aca="false">IF(H538="WIN",1,0)</f>
        <v>0</v>
      </c>
      <c r="N537" s="4"/>
      <c r="O537" s="51"/>
      <c r="P537" s="51"/>
      <c r="Q537" s="51"/>
      <c r="R537" s="51"/>
      <c r="S537" s="51"/>
      <c r="T537" s="51"/>
      <c r="U537" s="51"/>
      <c r="V537" s="51"/>
      <c r="W537" s="51"/>
      <c r="X537" s="51"/>
      <c r="Y537" s="51"/>
      <c r="Z537" s="51"/>
      <c r="AA537" s="51"/>
      <c r="AB537" s="51"/>
    </row>
    <row r="538" customFormat="false" ht="15.75" hidden="false" customHeight="false" outlineLevel="0" collapsed="false">
      <c r="A538" s="35" t="s">
        <v>11</v>
      </c>
      <c r="B538" s="35"/>
      <c r="C538" s="35"/>
      <c r="D538" s="36" t="n">
        <f aca="false">SUM(D531,-E531)</f>
        <v>0</v>
      </c>
      <c r="E538" s="36"/>
      <c r="F538" s="38"/>
      <c r="G538" s="39"/>
      <c r="H538" s="35" t="s">
        <v>10</v>
      </c>
      <c r="I538" s="35"/>
      <c r="J538" s="35"/>
      <c r="K538" s="36" t="n">
        <f aca="false">SUM(K531,-L531)</f>
        <v>0</v>
      </c>
      <c r="L538" s="36"/>
      <c r="M538" s="38"/>
      <c r="N538" s="4"/>
      <c r="O538" s="52"/>
      <c r="P538" s="52"/>
      <c r="Q538" s="52"/>
      <c r="R538" s="52"/>
      <c r="S538" s="52"/>
      <c r="T538" s="52"/>
      <c r="U538" s="52"/>
      <c r="V538" s="52"/>
      <c r="W538" s="52"/>
      <c r="X538" s="52"/>
      <c r="Y538" s="52"/>
      <c r="Z538" s="52"/>
      <c r="AA538" s="52"/>
      <c r="AB538" s="52"/>
    </row>
    <row r="539" customFormat="false" ht="15.75" hidden="false" customHeight="false" outlineLevel="0" collapsed="false">
      <c r="A539" s="10" t="s">
        <v>4</v>
      </c>
      <c r="B539" s="10"/>
      <c r="C539" s="10"/>
      <c r="D539" s="11" t="s">
        <v>5</v>
      </c>
      <c r="E539" s="12" t="s">
        <v>6</v>
      </c>
      <c r="F539" s="13" t="s">
        <v>7</v>
      </c>
      <c r="G539" s="14"/>
      <c r="H539" s="15" t="s">
        <v>8</v>
      </c>
      <c r="I539" s="15"/>
      <c r="J539" s="15"/>
      <c r="K539" s="11" t="s">
        <v>5</v>
      </c>
      <c r="L539" s="12" t="s">
        <v>6</v>
      </c>
      <c r="M539" s="13" t="s">
        <v>7</v>
      </c>
      <c r="N539" s="4"/>
      <c r="O539" s="52"/>
      <c r="P539" s="52"/>
      <c r="Q539" s="52"/>
      <c r="R539" s="52"/>
      <c r="S539" s="52"/>
      <c r="T539" s="52"/>
      <c r="U539" s="52"/>
      <c r="V539" s="52"/>
      <c r="W539" s="52"/>
      <c r="X539" s="52"/>
      <c r="Y539" s="52"/>
      <c r="Z539" s="52"/>
      <c r="AA539" s="52"/>
      <c r="AB539" s="52"/>
    </row>
    <row r="540" customFormat="false" ht="15.75" hidden="false" customHeight="false" outlineLevel="0" collapsed="false">
      <c r="A540" s="18" t="str">
        <f aca="false">LVC!$G$1</f>
        <v>Louisville Crobats</v>
      </c>
      <c r="B540" s="18"/>
      <c r="C540" s="18"/>
      <c r="D540" s="19"/>
      <c r="E540" s="20"/>
      <c r="F540" s="21" t="str">
        <f aca="false">IF(A547="WIN","W",IF(A547="LOSE","L",""))</f>
        <v>L</v>
      </c>
      <c r="G540" s="22"/>
      <c r="H540" s="18" t="str">
        <f aca="false">SGP!$G$1</f>
        <v>Slung Patrol</v>
      </c>
      <c r="I540" s="18"/>
      <c r="J540" s="18"/>
      <c r="K540" s="19"/>
      <c r="L540" s="20"/>
      <c r="M540" s="21" t="str">
        <f aca="false">IF(H547="WIN","W",IF(H547="LOSE","L",""))</f>
        <v>W</v>
      </c>
      <c r="N540" s="4"/>
      <c r="O540" s="53"/>
      <c r="P540" s="53"/>
      <c r="Q540" s="53"/>
      <c r="R540" s="53"/>
      <c r="S540" s="53"/>
      <c r="T540" s="53"/>
      <c r="U540" s="53"/>
      <c r="V540" s="53"/>
      <c r="W540" s="53"/>
      <c r="X540" s="53"/>
      <c r="Y540" s="53"/>
      <c r="Z540" s="53"/>
      <c r="AA540" s="53"/>
      <c r="AB540" s="53"/>
    </row>
    <row r="541" customFormat="false" ht="15.75" hidden="false" customHeight="false" outlineLevel="0" collapsed="false">
      <c r="A541" s="56"/>
      <c r="B541" s="56"/>
      <c r="C541" s="56"/>
      <c r="D541" s="26"/>
      <c r="E541" s="27"/>
      <c r="F541" s="28" t="n">
        <f aca="false">IF(A547="WIN",1,0)</f>
        <v>0</v>
      </c>
      <c r="G541" s="29"/>
      <c r="H541" s="56"/>
      <c r="I541" s="56"/>
      <c r="J541" s="56"/>
      <c r="K541" s="26"/>
      <c r="L541" s="27"/>
      <c r="M541" s="28" t="n">
        <f aca="false">IF(H547="WIN",1,0)</f>
        <v>1</v>
      </c>
      <c r="N541" s="4"/>
      <c r="O541" s="51"/>
      <c r="P541" s="51"/>
      <c r="Q541" s="51"/>
      <c r="R541" s="51"/>
      <c r="S541" s="51"/>
      <c r="T541" s="51"/>
      <c r="U541" s="51"/>
      <c r="V541" s="51"/>
      <c r="W541" s="51"/>
      <c r="X541" s="51"/>
      <c r="Y541" s="51"/>
      <c r="Z541" s="51"/>
      <c r="AA541" s="51"/>
      <c r="AB541" s="51"/>
    </row>
    <row r="542" customFormat="false" ht="15.75" hidden="false" customHeight="false" outlineLevel="0" collapsed="false">
      <c r="A542" s="25"/>
      <c r="B542" s="25"/>
      <c r="C542" s="25"/>
      <c r="D542" s="26"/>
      <c r="E542" s="27"/>
      <c r="F542" s="28" t="n">
        <f aca="false">IF(A547="WIN",1,0)</f>
        <v>0</v>
      </c>
      <c r="G542" s="29"/>
      <c r="H542" s="25"/>
      <c r="I542" s="25"/>
      <c r="J542" s="25"/>
      <c r="K542" s="26"/>
      <c r="L542" s="27"/>
      <c r="M542" s="28" t="n">
        <f aca="false">IF(H547="WIN",1,0)</f>
        <v>1</v>
      </c>
      <c r="N542" s="4"/>
      <c r="O542" s="51"/>
      <c r="P542" s="51"/>
      <c r="Q542" s="51"/>
      <c r="R542" s="51"/>
      <c r="S542" s="51"/>
      <c r="T542" s="51"/>
      <c r="U542" s="51"/>
      <c r="V542" s="51"/>
      <c r="W542" s="51"/>
      <c r="X542" s="51"/>
      <c r="Y542" s="51"/>
      <c r="Z542" s="51"/>
      <c r="AA542" s="51"/>
      <c r="AB542" s="51"/>
    </row>
    <row r="543" customFormat="false" ht="15.75" hidden="false" customHeight="false" outlineLevel="0" collapsed="false">
      <c r="A543" s="25"/>
      <c r="B543" s="25"/>
      <c r="C543" s="25"/>
      <c r="D543" s="26"/>
      <c r="E543" s="27"/>
      <c r="F543" s="28" t="n">
        <f aca="false">IF(A547="WIN",1,0)</f>
        <v>0</v>
      </c>
      <c r="G543" s="29"/>
      <c r="H543" s="25"/>
      <c r="I543" s="25"/>
      <c r="J543" s="25"/>
      <c r="K543" s="26"/>
      <c r="L543" s="27"/>
      <c r="M543" s="28" t="n">
        <f aca="false">IF(H547="WIN",1,0)</f>
        <v>1</v>
      </c>
      <c r="N543" s="4"/>
      <c r="O543" s="51"/>
      <c r="P543" s="51"/>
      <c r="Q543" s="51"/>
      <c r="R543" s="51"/>
      <c r="S543" s="51"/>
      <c r="T543" s="51"/>
      <c r="U543" s="51"/>
      <c r="V543" s="51"/>
      <c r="W543" s="51"/>
      <c r="X543" s="51"/>
      <c r="Y543" s="51"/>
      <c r="Z543" s="51"/>
      <c r="AA543" s="51"/>
      <c r="AB543" s="51"/>
    </row>
    <row r="544" customFormat="false" ht="15.75" hidden="false" customHeight="false" outlineLevel="0" collapsed="false">
      <c r="A544" s="25"/>
      <c r="B544" s="25"/>
      <c r="C544" s="25"/>
      <c r="D544" s="26"/>
      <c r="E544" s="27"/>
      <c r="F544" s="28" t="n">
        <f aca="false">IF(A547="WIN",1,0)</f>
        <v>0</v>
      </c>
      <c r="G544" s="29"/>
      <c r="H544" s="25"/>
      <c r="I544" s="25"/>
      <c r="J544" s="25"/>
      <c r="K544" s="26"/>
      <c r="L544" s="27"/>
      <c r="M544" s="28" t="n">
        <f aca="false">IF(H547="WIN",1,0)</f>
        <v>1</v>
      </c>
      <c r="N544" s="4"/>
      <c r="O544" s="51"/>
      <c r="P544" s="51"/>
      <c r="Q544" s="51"/>
      <c r="R544" s="51"/>
      <c r="S544" s="51"/>
      <c r="T544" s="51"/>
      <c r="U544" s="51"/>
      <c r="V544" s="51"/>
      <c r="W544" s="51"/>
      <c r="X544" s="51"/>
      <c r="Y544" s="51"/>
      <c r="Z544" s="51"/>
      <c r="AA544" s="51"/>
      <c r="AB544" s="51"/>
    </row>
    <row r="545" customFormat="false" ht="15.75" hidden="false" customHeight="false" outlineLevel="0" collapsed="false">
      <c r="A545" s="25"/>
      <c r="B545" s="25"/>
      <c r="C545" s="25"/>
      <c r="D545" s="26"/>
      <c r="E545" s="27"/>
      <c r="F545" s="28" t="n">
        <f aca="false">IF(A547="WIN",1,0)</f>
        <v>0</v>
      </c>
      <c r="G545" s="29"/>
      <c r="H545" s="25"/>
      <c r="I545" s="25"/>
      <c r="J545" s="25"/>
      <c r="K545" s="26"/>
      <c r="L545" s="27"/>
      <c r="M545" s="28" t="n">
        <f aca="false">IF(H547="WIN",1,0)</f>
        <v>1</v>
      </c>
      <c r="N545" s="4"/>
      <c r="O545" s="51"/>
      <c r="P545" s="51"/>
      <c r="Q545" s="51"/>
      <c r="R545" s="51"/>
      <c r="S545" s="51"/>
      <c r="T545" s="51"/>
      <c r="U545" s="51"/>
      <c r="V545" s="51"/>
      <c r="W545" s="51"/>
      <c r="X545" s="51"/>
      <c r="Y545" s="51"/>
      <c r="Z545" s="51"/>
      <c r="AA545" s="51"/>
      <c r="AB545" s="51"/>
    </row>
    <row r="546" customFormat="false" ht="15.75" hidden="false" customHeight="false" outlineLevel="0" collapsed="false">
      <c r="A546" s="32"/>
      <c r="B546" s="32"/>
      <c r="C546" s="32"/>
      <c r="D546" s="33"/>
      <c r="E546" s="34"/>
      <c r="F546" s="28" t="n">
        <f aca="false">IF(A547="WIN",1,0)</f>
        <v>0</v>
      </c>
      <c r="G546" s="29"/>
      <c r="H546" s="32"/>
      <c r="I546" s="32"/>
      <c r="J546" s="32"/>
      <c r="K546" s="33"/>
      <c r="L546" s="34"/>
      <c r="M546" s="28" t="n">
        <f aca="false">IF(H547="WIN",1,0)</f>
        <v>1</v>
      </c>
      <c r="N546" s="4"/>
      <c r="O546" s="51"/>
      <c r="P546" s="51"/>
      <c r="Q546" s="51"/>
      <c r="R546" s="51"/>
      <c r="S546" s="51"/>
      <c r="T546" s="51"/>
      <c r="U546" s="51"/>
      <c r="V546" s="51"/>
      <c r="W546" s="51"/>
      <c r="X546" s="51"/>
      <c r="Y546" s="51"/>
      <c r="Z546" s="51"/>
      <c r="AA546" s="51"/>
      <c r="AB546" s="51"/>
    </row>
    <row r="547" customFormat="false" ht="15.75" hidden="false" customHeight="false" outlineLevel="0" collapsed="false">
      <c r="A547" s="35" t="s">
        <v>10</v>
      </c>
      <c r="B547" s="35"/>
      <c r="C547" s="35"/>
      <c r="D547" s="36" t="n">
        <f aca="false">SUM(D540,-E540)</f>
        <v>0</v>
      </c>
      <c r="E547" s="36"/>
      <c r="F547" s="38"/>
      <c r="G547" s="39"/>
      <c r="H547" s="35" t="s">
        <v>11</v>
      </c>
      <c r="I547" s="35"/>
      <c r="J547" s="35"/>
      <c r="K547" s="36" t="n">
        <f aca="false">SUM(K540,-L540)</f>
        <v>0</v>
      </c>
      <c r="L547" s="36"/>
      <c r="M547" s="38"/>
      <c r="N547" s="4"/>
      <c r="O547" s="52"/>
      <c r="P547" s="52"/>
      <c r="Q547" s="52"/>
      <c r="R547" s="52"/>
      <c r="S547" s="52"/>
      <c r="T547" s="52"/>
      <c r="U547" s="52"/>
      <c r="V547" s="52"/>
      <c r="W547" s="52"/>
      <c r="X547" s="52"/>
      <c r="Y547" s="52"/>
      <c r="Z547" s="52"/>
      <c r="AA547" s="52"/>
      <c r="AB547" s="52"/>
    </row>
    <row r="548" customFormat="false" ht="15.75" hidden="false" customHeight="false" outlineLevel="0" collapsed="false">
      <c r="A548" s="10" t="s">
        <v>4</v>
      </c>
      <c r="B548" s="10"/>
      <c r="C548" s="10"/>
      <c r="D548" s="11" t="s">
        <v>5</v>
      </c>
      <c r="E548" s="12" t="s">
        <v>6</v>
      </c>
      <c r="F548" s="13" t="s">
        <v>7</v>
      </c>
      <c r="G548" s="14"/>
      <c r="H548" s="15" t="s">
        <v>8</v>
      </c>
      <c r="I548" s="15"/>
      <c r="J548" s="15"/>
      <c r="K548" s="11" t="s">
        <v>5</v>
      </c>
      <c r="L548" s="12" t="s">
        <v>6</v>
      </c>
      <c r="M548" s="13" t="s">
        <v>7</v>
      </c>
      <c r="N548" s="4"/>
      <c r="O548" s="52"/>
      <c r="P548" s="52"/>
      <c r="Q548" s="52"/>
      <c r="R548" s="52"/>
      <c r="S548" s="52"/>
      <c r="T548" s="52"/>
      <c r="U548" s="52"/>
      <c r="V548" s="52"/>
      <c r="W548" s="52"/>
      <c r="X548" s="52"/>
      <c r="Y548" s="52"/>
      <c r="Z548" s="52"/>
      <c r="AA548" s="52"/>
      <c r="AB548" s="52"/>
    </row>
    <row r="549" customFormat="false" ht="15.75" hidden="false" customHeight="false" outlineLevel="0" collapsed="false">
      <c r="A549" s="57" t="str">
        <f aca="false">BTB!$G$1</f>
        <v>Battlin Brelooms</v>
      </c>
      <c r="B549" s="57"/>
      <c r="C549" s="57"/>
      <c r="D549" s="19"/>
      <c r="E549" s="20"/>
      <c r="F549" s="21" t="str">
        <f aca="false">IF(A556="WIN","W",IF(A556="LOSE","L",""))</f>
        <v>L</v>
      </c>
      <c r="G549" s="22"/>
      <c r="H549" s="57" t="str">
        <f aca="false">FTT!$G$1</f>
        <v>Fortree Trevenants</v>
      </c>
      <c r="I549" s="57"/>
      <c r="J549" s="57"/>
      <c r="K549" s="19"/>
      <c r="L549" s="20"/>
      <c r="M549" s="21" t="str">
        <f aca="false">IF(H556="WIN","W",IF(H556="LOSE","L",""))</f>
        <v>W</v>
      </c>
      <c r="N549" s="4"/>
      <c r="O549" s="53"/>
      <c r="P549" s="53"/>
      <c r="Q549" s="53"/>
      <c r="R549" s="53"/>
      <c r="S549" s="53"/>
      <c r="T549" s="53"/>
      <c r="U549" s="53"/>
      <c r="V549" s="53"/>
      <c r="W549" s="53"/>
      <c r="X549" s="53"/>
      <c r="Y549" s="53"/>
      <c r="Z549" s="53"/>
      <c r="AA549" s="53"/>
      <c r="AB549" s="53"/>
    </row>
    <row r="550" customFormat="false" ht="15.75" hidden="false" customHeight="false" outlineLevel="0" collapsed="false">
      <c r="A550" s="56"/>
      <c r="B550" s="56"/>
      <c r="C550" s="56"/>
      <c r="D550" s="26"/>
      <c r="E550" s="27"/>
      <c r="F550" s="28" t="n">
        <f aca="false">IF(A556="WIN",1,0)</f>
        <v>0</v>
      </c>
      <c r="G550" s="29"/>
      <c r="H550" s="56"/>
      <c r="I550" s="56"/>
      <c r="J550" s="56"/>
      <c r="K550" s="26"/>
      <c r="L550" s="27"/>
      <c r="M550" s="28" t="n">
        <f aca="false">IF(H556="WIN",1,0)</f>
        <v>1</v>
      </c>
      <c r="N550" s="4"/>
      <c r="O550" s="51"/>
      <c r="P550" s="51"/>
      <c r="Q550" s="51"/>
      <c r="R550" s="51"/>
      <c r="S550" s="51"/>
      <c r="T550" s="51"/>
      <c r="U550" s="51"/>
      <c r="V550" s="51"/>
      <c r="W550" s="51"/>
      <c r="X550" s="51"/>
      <c r="Y550" s="51"/>
      <c r="Z550" s="51"/>
      <c r="AA550" s="51"/>
      <c r="AB550" s="51"/>
    </row>
    <row r="551" customFormat="false" ht="15.75" hidden="false" customHeight="false" outlineLevel="0" collapsed="false">
      <c r="A551" s="25"/>
      <c r="B551" s="25"/>
      <c r="C551" s="25"/>
      <c r="D551" s="26"/>
      <c r="E551" s="27"/>
      <c r="F551" s="28" t="n">
        <f aca="false">IF(A556="WIN",1,0)</f>
        <v>0</v>
      </c>
      <c r="G551" s="29"/>
      <c r="H551" s="25"/>
      <c r="I551" s="25"/>
      <c r="J551" s="25"/>
      <c r="K551" s="26"/>
      <c r="L551" s="27"/>
      <c r="M551" s="28" t="n">
        <f aca="false">IF(H556="WIN",1,0)</f>
        <v>1</v>
      </c>
      <c r="N551" s="4"/>
      <c r="O551" s="51"/>
      <c r="P551" s="51"/>
      <c r="Q551" s="51"/>
      <c r="R551" s="51"/>
      <c r="S551" s="51"/>
      <c r="T551" s="51"/>
      <c r="U551" s="51"/>
      <c r="V551" s="51"/>
      <c r="W551" s="51"/>
      <c r="X551" s="51"/>
      <c r="Y551" s="51"/>
      <c r="Z551" s="51"/>
      <c r="AA551" s="51"/>
      <c r="AB551" s="51"/>
    </row>
    <row r="552" customFormat="false" ht="15.75" hidden="false" customHeight="false" outlineLevel="0" collapsed="false">
      <c r="A552" s="25"/>
      <c r="B552" s="25"/>
      <c r="C552" s="25"/>
      <c r="D552" s="26"/>
      <c r="E552" s="27"/>
      <c r="F552" s="28" t="n">
        <f aca="false">IF(A556="WIN",1,0)</f>
        <v>0</v>
      </c>
      <c r="G552" s="29"/>
      <c r="H552" s="25"/>
      <c r="I552" s="25"/>
      <c r="J552" s="25"/>
      <c r="K552" s="26"/>
      <c r="L552" s="27"/>
      <c r="M552" s="28" t="n">
        <f aca="false">IF(H556="WIN",1,0)</f>
        <v>1</v>
      </c>
      <c r="N552" s="4"/>
      <c r="O552" s="51"/>
      <c r="P552" s="51"/>
      <c r="Q552" s="51"/>
      <c r="R552" s="51"/>
      <c r="S552" s="51"/>
      <c r="T552" s="51"/>
      <c r="U552" s="51"/>
      <c r="V552" s="51"/>
      <c r="W552" s="51"/>
      <c r="X552" s="51"/>
      <c r="Y552" s="51"/>
      <c r="Z552" s="51"/>
      <c r="AA552" s="51"/>
      <c r="AB552" s="51"/>
    </row>
    <row r="553" customFormat="false" ht="15.75" hidden="false" customHeight="false" outlineLevel="0" collapsed="false">
      <c r="A553" s="25"/>
      <c r="B553" s="25"/>
      <c r="C553" s="25"/>
      <c r="D553" s="26"/>
      <c r="E553" s="27"/>
      <c r="F553" s="28" t="n">
        <f aca="false">IF(A556="WIN",1,0)</f>
        <v>0</v>
      </c>
      <c r="G553" s="29"/>
      <c r="H553" s="25"/>
      <c r="I553" s="25"/>
      <c r="J553" s="25"/>
      <c r="K553" s="26"/>
      <c r="L553" s="27"/>
      <c r="M553" s="28" t="n">
        <f aca="false">IF(H556="WIN",1,0)</f>
        <v>1</v>
      </c>
      <c r="N553" s="4"/>
      <c r="O553" s="51"/>
      <c r="P553" s="51"/>
      <c r="Q553" s="51"/>
      <c r="R553" s="51"/>
      <c r="S553" s="51"/>
      <c r="T553" s="51"/>
      <c r="U553" s="51"/>
      <c r="V553" s="51"/>
      <c r="W553" s="51"/>
      <c r="X553" s="51"/>
      <c r="Y553" s="51"/>
      <c r="Z553" s="51"/>
      <c r="AA553" s="51"/>
      <c r="AB553" s="51"/>
    </row>
    <row r="554" customFormat="false" ht="15.75" hidden="false" customHeight="false" outlineLevel="0" collapsed="false">
      <c r="A554" s="25"/>
      <c r="B554" s="25"/>
      <c r="C554" s="25"/>
      <c r="D554" s="26"/>
      <c r="E554" s="27"/>
      <c r="F554" s="28" t="n">
        <f aca="false">IF(A556="WIN",1,0)</f>
        <v>0</v>
      </c>
      <c r="G554" s="29"/>
      <c r="H554" s="25"/>
      <c r="I554" s="25"/>
      <c r="J554" s="25"/>
      <c r="K554" s="26"/>
      <c r="L554" s="27"/>
      <c r="M554" s="28" t="n">
        <f aca="false">IF(H556="WIN",1,0)</f>
        <v>1</v>
      </c>
      <c r="N554" s="4"/>
      <c r="O554" s="51"/>
      <c r="P554" s="51"/>
      <c r="Q554" s="51"/>
      <c r="R554" s="51"/>
      <c r="S554" s="51"/>
      <c r="T554" s="51"/>
      <c r="U554" s="51"/>
      <c r="V554" s="51"/>
      <c r="W554" s="51"/>
      <c r="X554" s="51"/>
      <c r="Y554" s="51"/>
      <c r="Z554" s="51"/>
      <c r="AA554" s="51"/>
      <c r="AB554" s="51"/>
    </row>
    <row r="555" customFormat="false" ht="15.75" hidden="false" customHeight="false" outlineLevel="0" collapsed="false">
      <c r="A555" s="32"/>
      <c r="B555" s="32"/>
      <c r="C555" s="32"/>
      <c r="D555" s="33"/>
      <c r="E555" s="34"/>
      <c r="F555" s="28" t="n">
        <f aca="false">IF(A556="WIN",1,0)</f>
        <v>0</v>
      </c>
      <c r="G555" s="29"/>
      <c r="H555" s="32"/>
      <c r="I555" s="32"/>
      <c r="J555" s="32"/>
      <c r="K555" s="33"/>
      <c r="L555" s="34"/>
      <c r="M555" s="28" t="n">
        <f aca="false">IF(H556="WIN",1,0)</f>
        <v>1</v>
      </c>
      <c r="N555" s="4"/>
      <c r="O555" s="51"/>
      <c r="P555" s="51"/>
      <c r="Q555" s="51"/>
      <c r="R555" s="51"/>
      <c r="S555" s="51"/>
      <c r="T555" s="51"/>
      <c r="U555" s="51"/>
      <c r="V555" s="51"/>
      <c r="W555" s="51"/>
      <c r="X555" s="51"/>
      <c r="Y555" s="51"/>
      <c r="Z555" s="51"/>
      <c r="AA555" s="51"/>
      <c r="AB555" s="51"/>
    </row>
    <row r="556" customFormat="false" ht="15.75" hidden="false" customHeight="false" outlineLevel="0" collapsed="false">
      <c r="A556" s="35" t="s">
        <v>10</v>
      </c>
      <c r="B556" s="35"/>
      <c r="C556" s="35"/>
      <c r="D556" s="36" t="n">
        <f aca="false">SUM(D549,-E549)</f>
        <v>0</v>
      </c>
      <c r="E556" s="36"/>
      <c r="F556" s="38"/>
      <c r="G556" s="39"/>
      <c r="H556" s="35" t="s">
        <v>11</v>
      </c>
      <c r="I556" s="35"/>
      <c r="J556" s="35"/>
      <c r="K556" s="36" t="n">
        <f aca="false">SUM(K549,-L549)</f>
        <v>0</v>
      </c>
      <c r="L556" s="36"/>
      <c r="M556" s="38"/>
      <c r="N556" s="4"/>
      <c r="O556" s="52"/>
      <c r="P556" s="52"/>
      <c r="Q556" s="52"/>
      <c r="R556" s="52"/>
      <c r="S556" s="52"/>
      <c r="T556" s="52"/>
      <c r="U556" s="52"/>
      <c r="V556" s="52"/>
      <c r="W556" s="52"/>
      <c r="X556" s="52"/>
      <c r="Y556" s="52"/>
      <c r="Z556" s="52"/>
      <c r="AA556" s="52"/>
      <c r="AB556" s="52"/>
    </row>
    <row r="557" customFormat="false" ht="17.25" hidden="false" customHeight="false" outlineLevel="0" collapsed="false">
      <c r="A557" s="6" t="s">
        <v>51</v>
      </c>
      <c r="B557" s="6"/>
      <c r="C557" s="6"/>
      <c r="D557" s="6"/>
      <c r="E557" s="6"/>
      <c r="F557" s="6"/>
      <c r="G557" s="6"/>
      <c r="H557" s="6"/>
      <c r="I557" s="6"/>
      <c r="J557" s="6"/>
      <c r="K557" s="6"/>
      <c r="L557" s="6"/>
      <c r="M557" s="6"/>
      <c r="N557" s="4"/>
      <c r="O557" s="55"/>
      <c r="P557" s="55"/>
      <c r="Q557" s="55"/>
      <c r="R557" s="55"/>
      <c r="S557" s="55"/>
      <c r="T557" s="55"/>
      <c r="U557" s="55"/>
      <c r="V557" s="55"/>
      <c r="W557" s="55"/>
      <c r="X557" s="55"/>
      <c r="Y557" s="55"/>
      <c r="Z557" s="55"/>
      <c r="AA557" s="55"/>
      <c r="AB557" s="55"/>
    </row>
    <row r="558" customFormat="false" ht="15.75" hidden="false" customHeight="false" outlineLevel="0" collapsed="false">
      <c r="A558" s="10" t="s">
        <v>4</v>
      </c>
      <c r="B558" s="10"/>
      <c r="C558" s="10"/>
      <c r="D558" s="11" t="s">
        <v>5</v>
      </c>
      <c r="E558" s="12" t="s">
        <v>6</v>
      </c>
      <c r="F558" s="13" t="s">
        <v>7</v>
      </c>
      <c r="G558" s="14"/>
      <c r="H558" s="15" t="s">
        <v>8</v>
      </c>
      <c r="I558" s="15"/>
      <c r="J558" s="15"/>
      <c r="K558" s="11" t="s">
        <v>5</v>
      </c>
      <c r="L558" s="12" t="s">
        <v>6</v>
      </c>
      <c r="M558" s="13" t="s">
        <v>7</v>
      </c>
      <c r="N558" s="4"/>
      <c r="O558" s="52"/>
      <c r="P558" s="52"/>
      <c r="Q558" s="52"/>
      <c r="R558" s="52"/>
      <c r="S558" s="52"/>
      <c r="T558" s="52"/>
      <c r="U558" s="52"/>
      <c r="V558" s="52"/>
      <c r="W558" s="52"/>
      <c r="X558" s="52"/>
      <c r="Y558" s="52"/>
      <c r="Z558" s="52"/>
      <c r="AA558" s="52"/>
      <c r="AB558" s="52"/>
    </row>
    <row r="559" customFormat="false" ht="15.75" hidden="false" customHeight="false" outlineLevel="0" collapsed="false">
      <c r="A559" s="57" t="str">
        <f aca="false">BTB!$G$1</f>
        <v>Battlin Brelooms</v>
      </c>
      <c r="B559" s="57"/>
      <c r="C559" s="57"/>
      <c r="D559" s="19"/>
      <c r="E559" s="20"/>
      <c r="F559" s="21" t="str">
        <f aca="false">IF(A566="WIN","W",IF(A566="LOSE","L",""))</f>
        <v>L</v>
      </c>
      <c r="G559" s="22"/>
      <c r="H559" s="18" t="str">
        <f aca="false">KKS!$G$1</f>
        <v>Kingston Kecleons</v>
      </c>
      <c r="I559" s="18"/>
      <c r="J559" s="18"/>
      <c r="K559" s="19"/>
      <c r="L559" s="20"/>
      <c r="M559" s="21" t="str">
        <f aca="false">IF(H566="WIN","W",IF(H566="LOSE","L",""))</f>
        <v>W</v>
      </c>
      <c r="N559" s="4"/>
      <c r="O559" s="53"/>
      <c r="P559" s="53"/>
      <c r="Q559" s="53"/>
      <c r="R559" s="53"/>
      <c r="S559" s="53"/>
      <c r="T559" s="53"/>
      <c r="U559" s="53"/>
      <c r="V559" s="53"/>
      <c r="W559" s="53"/>
      <c r="X559" s="53"/>
      <c r="Y559" s="53"/>
      <c r="Z559" s="53"/>
      <c r="AA559" s="53"/>
      <c r="AB559" s="53"/>
    </row>
    <row r="560" customFormat="false" ht="15.75" hidden="false" customHeight="false" outlineLevel="0" collapsed="false">
      <c r="A560" s="56"/>
      <c r="B560" s="56"/>
      <c r="C560" s="56"/>
      <c r="D560" s="26"/>
      <c r="E560" s="27"/>
      <c r="F560" s="28" t="n">
        <f aca="false">IF(A566="WIN",1,0)</f>
        <v>0</v>
      </c>
      <c r="G560" s="29"/>
      <c r="H560" s="25"/>
      <c r="I560" s="25"/>
      <c r="J560" s="25"/>
      <c r="K560" s="26"/>
      <c r="L560" s="27"/>
      <c r="M560" s="28" t="n">
        <f aca="false">IF(H566="WIN",1,0)</f>
        <v>1</v>
      </c>
      <c r="N560" s="4"/>
      <c r="O560" s="51"/>
      <c r="P560" s="51"/>
      <c r="Q560" s="51"/>
      <c r="R560" s="51"/>
      <c r="S560" s="51"/>
      <c r="T560" s="51"/>
      <c r="U560" s="51"/>
      <c r="V560" s="51"/>
      <c r="W560" s="51"/>
      <c r="X560" s="51"/>
      <c r="Y560" s="51"/>
      <c r="Z560" s="51"/>
      <c r="AA560" s="51"/>
      <c r="AB560" s="51"/>
    </row>
    <row r="561" customFormat="false" ht="15.75" hidden="false" customHeight="false" outlineLevel="0" collapsed="false">
      <c r="A561" s="25"/>
      <c r="B561" s="25"/>
      <c r="C561" s="25"/>
      <c r="D561" s="26"/>
      <c r="E561" s="27"/>
      <c r="F561" s="28" t="n">
        <f aca="false">IF(A566="WIN",1,0)</f>
        <v>0</v>
      </c>
      <c r="G561" s="29"/>
      <c r="H561" s="25"/>
      <c r="I561" s="25"/>
      <c r="J561" s="25"/>
      <c r="K561" s="26"/>
      <c r="L561" s="27"/>
      <c r="M561" s="28" t="n">
        <f aca="false">IF(H566="WIN",1,0)</f>
        <v>1</v>
      </c>
      <c r="N561" s="4"/>
      <c r="O561" s="51"/>
      <c r="P561" s="51"/>
      <c r="Q561" s="51"/>
      <c r="R561" s="51"/>
      <c r="S561" s="51"/>
      <c r="T561" s="51"/>
      <c r="U561" s="51"/>
      <c r="V561" s="51"/>
      <c r="W561" s="51"/>
      <c r="X561" s="51"/>
      <c r="Y561" s="51"/>
      <c r="Z561" s="51"/>
      <c r="AA561" s="51"/>
      <c r="AB561" s="51"/>
    </row>
    <row r="562" customFormat="false" ht="15.75" hidden="false" customHeight="false" outlineLevel="0" collapsed="false">
      <c r="A562" s="25"/>
      <c r="B562" s="25"/>
      <c r="C562" s="25"/>
      <c r="D562" s="26"/>
      <c r="E562" s="27"/>
      <c r="F562" s="28" t="n">
        <f aca="false">IF(A566="WIN",1,0)</f>
        <v>0</v>
      </c>
      <c r="G562" s="29"/>
      <c r="H562" s="25"/>
      <c r="I562" s="25"/>
      <c r="J562" s="25"/>
      <c r="K562" s="26"/>
      <c r="L562" s="27"/>
      <c r="M562" s="28" t="n">
        <f aca="false">IF(H566="WIN",1,0)</f>
        <v>1</v>
      </c>
      <c r="N562" s="4"/>
      <c r="O562" s="51"/>
      <c r="P562" s="51"/>
      <c r="Q562" s="51"/>
      <c r="R562" s="51"/>
      <c r="S562" s="51"/>
      <c r="T562" s="51"/>
      <c r="U562" s="51"/>
      <c r="V562" s="51"/>
      <c r="W562" s="51"/>
      <c r="X562" s="51"/>
      <c r="Y562" s="51"/>
      <c r="Z562" s="51"/>
      <c r="AA562" s="51"/>
      <c r="AB562" s="51"/>
    </row>
    <row r="563" customFormat="false" ht="15.75" hidden="false" customHeight="false" outlineLevel="0" collapsed="false">
      <c r="A563" s="25"/>
      <c r="B563" s="25"/>
      <c r="C563" s="25"/>
      <c r="D563" s="26"/>
      <c r="E563" s="27"/>
      <c r="F563" s="28" t="n">
        <f aca="false">IF(A566="WIN",1,0)</f>
        <v>0</v>
      </c>
      <c r="G563" s="29"/>
      <c r="H563" s="25"/>
      <c r="I563" s="25"/>
      <c r="J563" s="25"/>
      <c r="K563" s="26"/>
      <c r="L563" s="27"/>
      <c r="M563" s="28" t="n">
        <f aca="false">IF(H566="WIN",1,0)</f>
        <v>1</v>
      </c>
      <c r="N563" s="4"/>
      <c r="O563" s="51"/>
      <c r="P563" s="51"/>
      <c r="Q563" s="51"/>
      <c r="R563" s="51"/>
      <c r="S563" s="51"/>
      <c r="T563" s="51"/>
      <c r="U563" s="51"/>
      <c r="V563" s="51"/>
      <c r="W563" s="51"/>
      <c r="X563" s="51"/>
      <c r="Y563" s="51"/>
      <c r="Z563" s="51"/>
      <c r="AA563" s="51"/>
      <c r="AB563" s="51"/>
    </row>
    <row r="564" customFormat="false" ht="15.75" hidden="false" customHeight="false" outlineLevel="0" collapsed="false">
      <c r="A564" s="25"/>
      <c r="B564" s="25"/>
      <c r="C564" s="25"/>
      <c r="D564" s="26"/>
      <c r="E564" s="27"/>
      <c r="F564" s="28" t="n">
        <f aca="false">IF(A566="WIN",1,0)</f>
        <v>0</v>
      </c>
      <c r="G564" s="29"/>
      <c r="H564" s="25"/>
      <c r="I564" s="25"/>
      <c r="J564" s="25"/>
      <c r="K564" s="26"/>
      <c r="L564" s="27"/>
      <c r="M564" s="28" t="n">
        <f aca="false">IF(H566="WIN",1,0)</f>
        <v>1</v>
      </c>
      <c r="N564" s="4"/>
      <c r="O564" s="51"/>
      <c r="P564" s="51"/>
      <c r="Q564" s="51"/>
      <c r="R564" s="51"/>
      <c r="S564" s="51"/>
      <c r="T564" s="51"/>
      <c r="U564" s="51"/>
      <c r="V564" s="51"/>
      <c r="W564" s="51"/>
      <c r="X564" s="51"/>
      <c r="Y564" s="51"/>
      <c r="Z564" s="51"/>
      <c r="AA564" s="51"/>
      <c r="AB564" s="51"/>
    </row>
    <row r="565" customFormat="false" ht="15.75" hidden="false" customHeight="false" outlineLevel="0" collapsed="false">
      <c r="A565" s="32"/>
      <c r="B565" s="32"/>
      <c r="C565" s="32"/>
      <c r="D565" s="33"/>
      <c r="E565" s="34"/>
      <c r="F565" s="28" t="n">
        <f aca="false">IF(A566="WIN",1,0)</f>
        <v>0</v>
      </c>
      <c r="G565" s="29"/>
      <c r="H565" s="32"/>
      <c r="I565" s="32"/>
      <c r="J565" s="32"/>
      <c r="K565" s="33"/>
      <c r="L565" s="34"/>
      <c r="M565" s="28" t="n">
        <f aca="false">IF(H566="WIN",1,0)</f>
        <v>1</v>
      </c>
      <c r="N565" s="4"/>
      <c r="O565" s="51"/>
      <c r="P565" s="51"/>
      <c r="Q565" s="51"/>
      <c r="R565" s="51"/>
      <c r="S565" s="51"/>
      <c r="T565" s="51"/>
      <c r="U565" s="51"/>
      <c r="V565" s="51"/>
      <c r="W565" s="51"/>
      <c r="X565" s="51"/>
      <c r="Y565" s="51"/>
      <c r="Z565" s="51"/>
      <c r="AA565" s="51"/>
      <c r="AB565" s="51"/>
    </row>
    <row r="566" customFormat="false" ht="15.75" hidden="false" customHeight="false" outlineLevel="0" collapsed="false">
      <c r="A566" s="35" t="s">
        <v>10</v>
      </c>
      <c r="B566" s="35"/>
      <c r="C566" s="35"/>
      <c r="D566" s="36" t="n">
        <f aca="false">SUM(D559,-E559)</f>
        <v>0</v>
      </c>
      <c r="E566" s="36"/>
      <c r="F566" s="38"/>
      <c r="G566" s="39"/>
      <c r="H566" s="35" t="s">
        <v>11</v>
      </c>
      <c r="I566" s="35"/>
      <c r="J566" s="35"/>
      <c r="K566" s="36" t="n">
        <f aca="false">SUM(K559,-L559)</f>
        <v>0</v>
      </c>
      <c r="L566" s="36"/>
      <c r="M566" s="38"/>
      <c r="N566" s="4"/>
      <c r="O566" s="52"/>
      <c r="P566" s="52"/>
      <c r="Q566" s="52"/>
      <c r="R566" s="52"/>
      <c r="S566" s="52"/>
      <c r="T566" s="52"/>
      <c r="U566" s="52"/>
      <c r="V566" s="52"/>
      <c r="W566" s="52"/>
      <c r="X566" s="52"/>
      <c r="Y566" s="52"/>
      <c r="Z566" s="52"/>
      <c r="AA566" s="52"/>
      <c r="AB566" s="52"/>
    </row>
    <row r="567" customFormat="false" ht="15.75" hidden="false" customHeight="false" outlineLevel="0" collapsed="false">
      <c r="A567" s="10" t="s">
        <v>4</v>
      </c>
      <c r="B567" s="10"/>
      <c r="C567" s="10"/>
      <c r="D567" s="11" t="s">
        <v>5</v>
      </c>
      <c r="E567" s="12" t="s">
        <v>6</v>
      </c>
      <c r="F567" s="13" t="s">
        <v>7</v>
      </c>
      <c r="G567" s="14"/>
      <c r="H567" s="15" t="s">
        <v>8</v>
      </c>
      <c r="I567" s="15"/>
      <c r="J567" s="15"/>
      <c r="K567" s="11" t="s">
        <v>5</v>
      </c>
      <c r="L567" s="12" t="s">
        <v>6</v>
      </c>
      <c r="M567" s="13" t="s">
        <v>7</v>
      </c>
      <c r="N567" s="4"/>
      <c r="O567" s="52"/>
      <c r="P567" s="52"/>
      <c r="Q567" s="52"/>
      <c r="R567" s="52"/>
      <c r="S567" s="52"/>
      <c r="T567" s="52"/>
      <c r="U567" s="52"/>
      <c r="V567" s="52"/>
      <c r="W567" s="52"/>
      <c r="X567" s="52"/>
      <c r="Y567" s="52"/>
      <c r="Z567" s="52"/>
      <c r="AA567" s="52"/>
      <c r="AB567" s="52"/>
    </row>
    <row r="568" customFormat="false" ht="15.75" hidden="false" customHeight="false" outlineLevel="0" collapsed="false">
      <c r="A568" s="18" t="str">
        <f aca="false">SGP!$G$1</f>
        <v>Slung Patrol</v>
      </c>
      <c r="B568" s="18"/>
      <c r="C568" s="18"/>
      <c r="D568" s="19"/>
      <c r="E568" s="20"/>
      <c r="F568" s="21" t="str">
        <f aca="false">IF(A575="WIN","W",IF(A575="LOSE","L",""))</f>
        <v/>
      </c>
      <c r="G568" s="22"/>
      <c r="H568" s="18" t="str">
        <f aca="false">SEA!$G$1</f>
        <v>Seattle Seadras</v>
      </c>
      <c r="I568" s="18"/>
      <c r="J568" s="18"/>
      <c r="K568" s="19"/>
      <c r="L568" s="20"/>
      <c r="M568" s="21" t="str">
        <f aca="false">IF(H575="WIN","W",IF(H575="LOSE","L",""))</f>
        <v/>
      </c>
      <c r="N568" s="4"/>
      <c r="O568" s="53"/>
      <c r="P568" s="53"/>
      <c r="Q568" s="53"/>
      <c r="R568" s="53"/>
      <c r="S568" s="53"/>
      <c r="T568" s="53"/>
      <c r="U568" s="53"/>
      <c r="V568" s="53"/>
      <c r="W568" s="53"/>
      <c r="X568" s="53"/>
      <c r="Y568" s="53"/>
      <c r="Z568" s="53"/>
      <c r="AA568" s="53"/>
      <c r="AB568" s="53"/>
    </row>
    <row r="569" customFormat="false" ht="15.75" hidden="false" customHeight="false" outlineLevel="0" collapsed="false">
      <c r="A569" s="56"/>
      <c r="B569" s="56"/>
      <c r="C569" s="56"/>
      <c r="D569" s="26"/>
      <c r="E569" s="27"/>
      <c r="F569" s="28" t="n">
        <f aca="false">IF(A575="WIN",1,0)</f>
        <v>0</v>
      </c>
      <c r="G569" s="29"/>
      <c r="H569" s="56"/>
      <c r="I569" s="56"/>
      <c r="J569" s="56"/>
      <c r="K569" s="26"/>
      <c r="L569" s="27"/>
      <c r="M569" s="28" t="n">
        <f aca="false">IF(H575="WIN",1,0)</f>
        <v>0</v>
      </c>
      <c r="N569" s="4"/>
      <c r="O569" s="51"/>
      <c r="P569" s="51"/>
      <c r="Q569" s="51"/>
      <c r="R569" s="51"/>
      <c r="S569" s="51"/>
      <c r="T569" s="51"/>
      <c r="U569" s="51"/>
      <c r="V569" s="51"/>
      <c r="W569" s="51"/>
      <c r="X569" s="51"/>
      <c r="Y569" s="51"/>
      <c r="Z569" s="51"/>
      <c r="AA569" s="51"/>
      <c r="AB569" s="51"/>
    </row>
    <row r="570" customFormat="false" ht="15.75" hidden="false" customHeight="false" outlineLevel="0" collapsed="false">
      <c r="A570" s="25"/>
      <c r="B570" s="25"/>
      <c r="C570" s="25"/>
      <c r="D570" s="26"/>
      <c r="E570" s="27"/>
      <c r="F570" s="28" t="n">
        <f aca="false">IF(A575="WIN",1,0)</f>
        <v>0</v>
      </c>
      <c r="G570" s="29"/>
      <c r="H570" s="25"/>
      <c r="I570" s="25"/>
      <c r="J570" s="25"/>
      <c r="K570" s="26"/>
      <c r="L570" s="27"/>
      <c r="M570" s="28" t="n">
        <f aca="false">IF(H575="WIN",1,0)</f>
        <v>0</v>
      </c>
      <c r="N570" s="4"/>
      <c r="O570" s="51"/>
      <c r="P570" s="51"/>
      <c r="Q570" s="51"/>
      <c r="R570" s="51"/>
      <c r="S570" s="51"/>
      <c r="T570" s="51"/>
      <c r="U570" s="51"/>
      <c r="V570" s="51"/>
      <c r="W570" s="51"/>
      <c r="X570" s="51"/>
      <c r="Y570" s="51"/>
      <c r="Z570" s="51"/>
      <c r="AA570" s="51"/>
      <c r="AB570" s="51"/>
    </row>
    <row r="571" customFormat="false" ht="15.75" hidden="false" customHeight="false" outlineLevel="0" collapsed="false">
      <c r="A571" s="25"/>
      <c r="B571" s="25"/>
      <c r="C571" s="25"/>
      <c r="D571" s="26"/>
      <c r="E571" s="27"/>
      <c r="F571" s="28" t="n">
        <f aca="false">IF(A575="WIN",1,0)</f>
        <v>0</v>
      </c>
      <c r="G571" s="29"/>
      <c r="H571" s="25"/>
      <c r="I571" s="25"/>
      <c r="J571" s="25"/>
      <c r="K571" s="26"/>
      <c r="L571" s="27"/>
      <c r="M571" s="28" t="n">
        <f aca="false">IF(H575="WIN",1,0)</f>
        <v>0</v>
      </c>
      <c r="N571" s="4"/>
      <c r="O571" s="51"/>
      <c r="P571" s="51"/>
      <c r="Q571" s="51"/>
      <c r="R571" s="51"/>
      <c r="S571" s="51"/>
      <c r="T571" s="51"/>
      <c r="U571" s="51"/>
      <c r="V571" s="51"/>
      <c r="W571" s="51"/>
      <c r="X571" s="51"/>
      <c r="Y571" s="51"/>
      <c r="Z571" s="51"/>
      <c r="AA571" s="51"/>
      <c r="AB571" s="51"/>
    </row>
    <row r="572" customFormat="false" ht="15.75" hidden="false" customHeight="false" outlineLevel="0" collapsed="false">
      <c r="A572" s="25"/>
      <c r="B572" s="25"/>
      <c r="C572" s="25"/>
      <c r="D572" s="26"/>
      <c r="E572" s="27"/>
      <c r="F572" s="28" t="n">
        <f aca="false">IF(A575="WIN",1,0)</f>
        <v>0</v>
      </c>
      <c r="G572" s="29"/>
      <c r="H572" s="25"/>
      <c r="I572" s="25"/>
      <c r="J572" s="25"/>
      <c r="K572" s="26"/>
      <c r="L572" s="27"/>
      <c r="M572" s="28" t="n">
        <f aca="false">IF(H575="WIN",1,0)</f>
        <v>0</v>
      </c>
      <c r="N572" s="4"/>
      <c r="O572" s="51"/>
      <c r="P572" s="51"/>
      <c r="Q572" s="51"/>
      <c r="R572" s="51"/>
      <c r="S572" s="51"/>
      <c r="T572" s="51"/>
      <c r="U572" s="51"/>
      <c r="V572" s="51"/>
      <c r="W572" s="51"/>
      <c r="X572" s="51"/>
      <c r="Y572" s="51"/>
      <c r="Z572" s="51"/>
      <c r="AA572" s="51"/>
      <c r="AB572" s="51"/>
    </row>
    <row r="573" customFormat="false" ht="15.75" hidden="false" customHeight="false" outlineLevel="0" collapsed="false">
      <c r="A573" s="25"/>
      <c r="B573" s="25"/>
      <c r="C573" s="25"/>
      <c r="D573" s="26"/>
      <c r="E573" s="27"/>
      <c r="F573" s="28" t="n">
        <f aca="false">IF(A575="WIN",1,0)</f>
        <v>0</v>
      </c>
      <c r="G573" s="29"/>
      <c r="H573" s="25"/>
      <c r="I573" s="25"/>
      <c r="J573" s="25"/>
      <c r="K573" s="26"/>
      <c r="L573" s="27"/>
      <c r="M573" s="28" t="n">
        <f aca="false">IF(H575="WIN",1,0)</f>
        <v>0</v>
      </c>
      <c r="N573" s="4"/>
      <c r="O573" s="51"/>
      <c r="P573" s="51"/>
      <c r="Q573" s="51"/>
      <c r="R573" s="51"/>
      <c r="S573" s="51"/>
      <c r="T573" s="51"/>
      <c r="U573" s="51"/>
      <c r="V573" s="51"/>
      <c r="W573" s="51"/>
      <c r="X573" s="51"/>
      <c r="Y573" s="51"/>
      <c r="Z573" s="51"/>
      <c r="AA573" s="51"/>
      <c r="AB573" s="51"/>
    </row>
    <row r="574" customFormat="false" ht="15.75" hidden="false" customHeight="false" outlineLevel="0" collapsed="false">
      <c r="A574" s="32"/>
      <c r="B574" s="32"/>
      <c r="C574" s="32"/>
      <c r="D574" s="33"/>
      <c r="E574" s="34"/>
      <c r="F574" s="28" t="n">
        <f aca="false">IF(A575="WIN",1,0)</f>
        <v>0</v>
      </c>
      <c r="G574" s="29"/>
      <c r="H574" s="32"/>
      <c r="I574" s="32"/>
      <c r="J574" s="32"/>
      <c r="K574" s="33"/>
      <c r="L574" s="34"/>
      <c r="M574" s="28" t="n">
        <f aca="false">IF(H575="WIN",1,0)</f>
        <v>0</v>
      </c>
      <c r="N574" s="4"/>
      <c r="O574" s="51"/>
      <c r="P574" s="51"/>
      <c r="Q574" s="51"/>
      <c r="R574" s="51"/>
      <c r="S574" s="51"/>
      <c r="T574" s="51"/>
      <c r="U574" s="51"/>
      <c r="V574" s="51"/>
      <c r="W574" s="51"/>
      <c r="X574" s="51"/>
      <c r="Y574" s="51"/>
      <c r="Z574" s="51"/>
      <c r="AA574" s="51"/>
      <c r="AB574" s="51"/>
    </row>
    <row r="575" customFormat="false" ht="15.75" hidden="false" customHeight="false" outlineLevel="0" collapsed="false">
      <c r="A575" s="35" t="s">
        <v>30</v>
      </c>
      <c r="B575" s="35"/>
      <c r="C575" s="35"/>
      <c r="D575" s="36" t="n">
        <f aca="false">SUM(D568,-E568)</f>
        <v>0</v>
      </c>
      <c r="E575" s="36"/>
      <c r="F575" s="38"/>
      <c r="G575" s="39"/>
      <c r="H575" s="35" t="s">
        <v>30</v>
      </c>
      <c r="I575" s="35"/>
      <c r="J575" s="35"/>
      <c r="K575" s="36" t="n">
        <f aca="false">SUM(K568,-L568)</f>
        <v>0</v>
      </c>
      <c r="L575" s="36"/>
      <c r="M575" s="38"/>
      <c r="N575" s="4"/>
      <c r="O575" s="52"/>
      <c r="P575" s="52"/>
      <c r="Q575" s="52"/>
      <c r="R575" s="52"/>
      <c r="S575" s="52"/>
      <c r="T575" s="52"/>
      <c r="U575" s="52"/>
      <c r="V575" s="52"/>
      <c r="W575" s="52"/>
      <c r="X575" s="52"/>
      <c r="Y575" s="52"/>
      <c r="Z575" s="52"/>
      <c r="AA575" s="52"/>
      <c r="AB575" s="52"/>
    </row>
    <row r="576" customFormat="false" ht="15.75" hidden="false" customHeight="false" outlineLevel="0" collapsed="false">
      <c r="A576" s="10" t="s">
        <v>4</v>
      </c>
      <c r="B576" s="10"/>
      <c r="C576" s="10"/>
      <c r="D576" s="11" t="s">
        <v>5</v>
      </c>
      <c r="E576" s="12" t="s">
        <v>6</v>
      </c>
      <c r="F576" s="13" t="s">
        <v>7</v>
      </c>
      <c r="G576" s="14"/>
      <c r="H576" s="15" t="s">
        <v>8</v>
      </c>
      <c r="I576" s="15"/>
      <c r="J576" s="15"/>
      <c r="K576" s="11" t="s">
        <v>5</v>
      </c>
      <c r="L576" s="12" t="s">
        <v>6</v>
      </c>
      <c r="M576" s="13" t="s">
        <v>7</v>
      </c>
      <c r="N576" s="4"/>
      <c r="O576" s="52"/>
      <c r="P576" s="52"/>
      <c r="Q576" s="52"/>
      <c r="R576" s="52"/>
      <c r="S576" s="52"/>
      <c r="T576" s="52"/>
      <c r="U576" s="52"/>
      <c r="V576" s="52"/>
      <c r="W576" s="52"/>
      <c r="X576" s="52"/>
      <c r="Y576" s="52"/>
      <c r="Z576" s="52"/>
      <c r="AA576" s="52"/>
      <c r="AB576" s="52"/>
    </row>
    <row r="577" customFormat="false" ht="15.75" hidden="false" customHeight="false" outlineLevel="0" collapsed="false">
      <c r="A577" s="57" t="str">
        <f aca="false">FTT!$G$1</f>
        <v>Fortree Trevenants</v>
      </c>
      <c r="B577" s="57"/>
      <c r="C577" s="57"/>
      <c r="D577" s="19"/>
      <c r="E577" s="20"/>
      <c r="F577" s="21" t="str">
        <f aca="false">IF(A584="WIN","W",IF(A584="LOSE","L",""))</f>
        <v/>
      </c>
      <c r="G577" s="22"/>
      <c r="H577" s="23" t="str">
        <f aca="false">JVJ!$G$1</f>
        <v>Jacksonville Jumpluffs</v>
      </c>
      <c r="I577" s="23"/>
      <c r="J577" s="23"/>
      <c r="K577" s="19"/>
      <c r="L577" s="20"/>
      <c r="M577" s="21" t="str">
        <f aca="false">IF(H584="WIN","W",IF(H584="LOSE","L",""))</f>
        <v/>
      </c>
      <c r="N577" s="4"/>
      <c r="O577" s="53"/>
      <c r="P577" s="53"/>
      <c r="Q577" s="53"/>
      <c r="R577" s="53"/>
      <c r="S577" s="53"/>
      <c r="T577" s="53"/>
      <c r="U577" s="53"/>
      <c r="V577" s="53"/>
      <c r="W577" s="53"/>
      <c r="X577" s="53"/>
      <c r="Y577" s="53"/>
      <c r="Z577" s="53"/>
      <c r="AA577" s="53"/>
      <c r="AB577" s="53"/>
    </row>
    <row r="578" customFormat="false" ht="15.75" hidden="false" customHeight="false" outlineLevel="0" collapsed="false">
      <c r="A578" s="56"/>
      <c r="B578" s="56"/>
      <c r="C578" s="56"/>
      <c r="D578" s="26"/>
      <c r="E578" s="27"/>
      <c r="F578" s="28" t="n">
        <f aca="false">IF(A584="WIN",1,0)</f>
        <v>0</v>
      </c>
      <c r="G578" s="29"/>
      <c r="H578" s="56"/>
      <c r="I578" s="56"/>
      <c r="J578" s="56"/>
      <c r="K578" s="26"/>
      <c r="L578" s="27"/>
      <c r="M578" s="28" t="n">
        <f aca="false">IF(H584="WIN",1,0)</f>
        <v>0</v>
      </c>
      <c r="N578" s="4"/>
      <c r="O578" s="51"/>
      <c r="P578" s="51"/>
      <c r="Q578" s="51"/>
      <c r="R578" s="51"/>
      <c r="S578" s="51"/>
      <c r="T578" s="51"/>
      <c r="U578" s="51"/>
      <c r="V578" s="51"/>
      <c r="W578" s="51"/>
      <c r="X578" s="51"/>
      <c r="Y578" s="51"/>
      <c r="Z578" s="51"/>
      <c r="AA578" s="51"/>
      <c r="AB578" s="51"/>
    </row>
    <row r="579" customFormat="false" ht="15.75" hidden="false" customHeight="false" outlineLevel="0" collapsed="false">
      <c r="A579" s="25"/>
      <c r="B579" s="25"/>
      <c r="C579" s="25"/>
      <c r="D579" s="26"/>
      <c r="E579" s="27"/>
      <c r="F579" s="28" t="n">
        <f aca="false">IF(A584="WIN",1,0)</f>
        <v>0</v>
      </c>
      <c r="G579" s="29"/>
      <c r="H579" s="25"/>
      <c r="I579" s="25"/>
      <c r="J579" s="25"/>
      <c r="K579" s="26"/>
      <c r="L579" s="27"/>
      <c r="M579" s="28" t="n">
        <f aca="false">IF(H584="WIN",1,0)</f>
        <v>0</v>
      </c>
      <c r="N579" s="4"/>
      <c r="O579" s="51"/>
      <c r="P579" s="51"/>
      <c r="Q579" s="51"/>
      <c r="R579" s="51"/>
      <c r="S579" s="51"/>
      <c r="T579" s="51"/>
      <c r="U579" s="51"/>
      <c r="V579" s="51"/>
      <c r="W579" s="51"/>
      <c r="X579" s="51"/>
      <c r="Y579" s="51"/>
      <c r="Z579" s="51"/>
      <c r="AA579" s="51"/>
      <c r="AB579" s="51"/>
    </row>
    <row r="580" customFormat="false" ht="15.75" hidden="false" customHeight="false" outlineLevel="0" collapsed="false">
      <c r="A580" s="25"/>
      <c r="B580" s="25"/>
      <c r="C580" s="25"/>
      <c r="D580" s="26"/>
      <c r="E580" s="27"/>
      <c r="F580" s="28" t="n">
        <f aca="false">IF(A584="WIN",1,0)</f>
        <v>0</v>
      </c>
      <c r="G580" s="29"/>
      <c r="H580" s="25"/>
      <c r="I580" s="25"/>
      <c r="J580" s="25"/>
      <c r="K580" s="26"/>
      <c r="L580" s="27"/>
      <c r="M580" s="28" t="n">
        <f aca="false">IF(H584="WIN",1,0)</f>
        <v>0</v>
      </c>
      <c r="N580" s="4"/>
      <c r="O580" s="51"/>
      <c r="P580" s="51"/>
      <c r="Q580" s="51"/>
      <c r="R580" s="51"/>
      <c r="S580" s="51"/>
      <c r="T580" s="51"/>
      <c r="U580" s="51"/>
      <c r="V580" s="51"/>
      <c r="W580" s="51"/>
      <c r="X580" s="51"/>
      <c r="Y580" s="51"/>
      <c r="Z580" s="51"/>
      <c r="AA580" s="51"/>
      <c r="AB580" s="51"/>
    </row>
    <row r="581" customFormat="false" ht="15.75" hidden="false" customHeight="false" outlineLevel="0" collapsed="false">
      <c r="A581" s="25"/>
      <c r="B581" s="25"/>
      <c r="C581" s="25"/>
      <c r="D581" s="26"/>
      <c r="E581" s="27"/>
      <c r="F581" s="28" t="n">
        <f aca="false">IF(A584="WIN",1,0)</f>
        <v>0</v>
      </c>
      <c r="G581" s="29"/>
      <c r="H581" s="25"/>
      <c r="I581" s="25"/>
      <c r="J581" s="25"/>
      <c r="K581" s="26"/>
      <c r="L581" s="27"/>
      <c r="M581" s="28" t="n">
        <f aca="false">IF(H584="WIN",1,0)</f>
        <v>0</v>
      </c>
      <c r="N581" s="4"/>
      <c r="O581" s="51"/>
      <c r="P581" s="51"/>
      <c r="Q581" s="51"/>
      <c r="R581" s="51"/>
      <c r="S581" s="51"/>
      <c r="T581" s="51"/>
      <c r="U581" s="51"/>
      <c r="V581" s="51"/>
      <c r="W581" s="51"/>
      <c r="X581" s="51"/>
      <c r="Y581" s="51"/>
      <c r="Z581" s="51"/>
      <c r="AA581" s="51"/>
      <c r="AB581" s="51"/>
    </row>
    <row r="582" customFormat="false" ht="15.75" hidden="false" customHeight="false" outlineLevel="0" collapsed="false">
      <c r="A582" s="25"/>
      <c r="B582" s="25"/>
      <c r="C582" s="25"/>
      <c r="D582" s="26"/>
      <c r="E582" s="27"/>
      <c r="F582" s="28" t="n">
        <f aca="false">IF(A584="WIN",1,0)</f>
        <v>0</v>
      </c>
      <c r="G582" s="29"/>
      <c r="H582" s="25"/>
      <c r="I582" s="25"/>
      <c r="J582" s="25"/>
      <c r="K582" s="26"/>
      <c r="L582" s="27"/>
      <c r="M582" s="28" t="n">
        <f aca="false">IF(H584="WIN",1,0)</f>
        <v>0</v>
      </c>
      <c r="N582" s="4"/>
      <c r="O582" s="51"/>
      <c r="P582" s="51"/>
      <c r="Q582" s="51"/>
      <c r="R582" s="51"/>
      <c r="S582" s="51"/>
      <c r="T582" s="51"/>
      <c r="U582" s="51"/>
      <c r="V582" s="51"/>
      <c r="W582" s="51"/>
      <c r="X582" s="51"/>
      <c r="Y582" s="51"/>
      <c r="Z582" s="51"/>
      <c r="AA582" s="51"/>
      <c r="AB582" s="51"/>
    </row>
    <row r="583" customFormat="false" ht="15.75" hidden="false" customHeight="false" outlineLevel="0" collapsed="false">
      <c r="A583" s="32"/>
      <c r="B583" s="32"/>
      <c r="C583" s="32"/>
      <c r="D583" s="33"/>
      <c r="E583" s="34"/>
      <c r="F583" s="28" t="n">
        <f aca="false">IF(A584="WIN",1,0)</f>
        <v>0</v>
      </c>
      <c r="G583" s="29"/>
      <c r="H583" s="32"/>
      <c r="I583" s="32"/>
      <c r="J583" s="32"/>
      <c r="K583" s="33"/>
      <c r="L583" s="34"/>
      <c r="M583" s="28" t="n">
        <f aca="false">IF(H584="WIN",1,0)</f>
        <v>0</v>
      </c>
      <c r="N583" s="4"/>
      <c r="O583" s="51"/>
      <c r="P583" s="51"/>
      <c r="Q583" s="51"/>
      <c r="R583" s="51"/>
      <c r="S583" s="51"/>
      <c r="T583" s="51"/>
      <c r="U583" s="51"/>
      <c r="V583" s="51"/>
      <c r="W583" s="51"/>
      <c r="X583" s="51"/>
      <c r="Y583" s="51"/>
      <c r="Z583" s="51"/>
      <c r="AA583" s="51"/>
      <c r="AB583" s="51"/>
    </row>
    <row r="584" customFormat="false" ht="15.75" hidden="false" customHeight="false" outlineLevel="0" collapsed="false">
      <c r="A584" s="35" t="s">
        <v>30</v>
      </c>
      <c r="B584" s="35"/>
      <c r="C584" s="35"/>
      <c r="D584" s="36" t="n">
        <f aca="false">SUM(D577,-E577)</f>
        <v>0</v>
      </c>
      <c r="E584" s="36"/>
      <c r="F584" s="38"/>
      <c r="G584" s="39"/>
      <c r="H584" s="35" t="s">
        <v>30</v>
      </c>
      <c r="I584" s="35"/>
      <c r="J584" s="35"/>
      <c r="K584" s="36" t="n">
        <f aca="false">SUM(K577,-L577)</f>
        <v>0</v>
      </c>
      <c r="L584" s="36"/>
      <c r="M584" s="38"/>
      <c r="N584" s="4"/>
      <c r="O584" s="52"/>
      <c r="P584" s="52"/>
      <c r="Q584" s="52"/>
      <c r="R584" s="52"/>
      <c r="S584" s="52"/>
      <c r="T584" s="52"/>
      <c r="U584" s="52"/>
      <c r="V584" s="52"/>
      <c r="W584" s="52"/>
      <c r="X584" s="52"/>
      <c r="Y584" s="52"/>
      <c r="Z584" s="52"/>
      <c r="AA584" s="52"/>
      <c r="AB584" s="52"/>
    </row>
    <row r="585" customFormat="false" ht="15.75" hidden="false" customHeight="false" outlineLevel="0" collapsed="false">
      <c r="A585" s="10" t="s">
        <v>4</v>
      </c>
      <c r="B585" s="10"/>
      <c r="C585" s="10"/>
      <c r="D585" s="11" t="s">
        <v>5</v>
      </c>
      <c r="E585" s="12" t="s">
        <v>6</v>
      </c>
      <c r="F585" s="13" t="s">
        <v>7</v>
      </c>
      <c r="G585" s="14"/>
      <c r="H585" s="15" t="s">
        <v>8</v>
      </c>
      <c r="I585" s="15"/>
      <c r="J585" s="15"/>
      <c r="K585" s="11" t="s">
        <v>5</v>
      </c>
      <c r="L585" s="12" t="s">
        <v>6</v>
      </c>
      <c r="M585" s="13" t="s">
        <v>7</v>
      </c>
      <c r="N585" s="4"/>
      <c r="O585" s="52"/>
      <c r="P585" s="52"/>
      <c r="Q585" s="52"/>
      <c r="R585" s="52"/>
      <c r="S585" s="52"/>
      <c r="T585" s="52"/>
      <c r="U585" s="52"/>
      <c r="V585" s="52"/>
      <c r="W585" s="52"/>
      <c r="X585" s="52"/>
      <c r="Y585" s="52"/>
      <c r="Z585" s="52"/>
      <c r="AA585" s="52"/>
      <c r="AB585" s="52"/>
    </row>
    <row r="586" customFormat="false" ht="15.75" hidden="false" customHeight="false" outlineLevel="0" collapsed="false">
      <c r="A586" s="18" t="str">
        <f aca="false">LVC!$G$1</f>
        <v>Louisville Crobats</v>
      </c>
      <c r="B586" s="18"/>
      <c r="C586" s="18"/>
      <c r="D586" s="19"/>
      <c r="E586" s="20"/>
      <c r="F586" s="21" t="str">
        <f aca="false">IF(A593="WIN","W",IF(A593="LOSE","L",""))</f>
        <v/>
      </c>
      <c r="G586" s="22"/>
      <c r="H586" s="23" t="str">
        <f aca="false">BBG!$G$1</f>
        <v>Berlin Bronzong</v>
      </c>
      <c r="I586" s="23"/>
      <c r="J586" s="23"/>
      <c r="K586" s="19"/>
      <c r="L586" s="20"/>
      <c r="M586" s="21" t="str">
        <f aca="false">IF(H593="WIN","W",IF(H593="LOSE","L",""))</f>
        <v/>
      </c>
      <c r="N586" s="4"/>
      <c r="O586" s="53"/>
      <c r="P586" s="53"/>
      <c r="Q586" s="53"/>
      <c r="R586" s="53"/>
      <c r="S586" s="53"/>
      <c r="T586" s="53"/>
      <c r="U586" s="53"/>
      <c r="V586" s="53"/>
      <c r="W586" s="53"/>
      <c r="X586" s="53"/>
      <c r="Y586" s="53"/>
      <c r="Z586" s="53"/>
      <c r="AA586" s="53"/>
      <c r="AB586" s="53"/>
    </row>
    <row r="587" customFormat="false" ht="15.75" hidden="false" customHeight="false" outlineLevel="0" collapsed="false">
      <c r="A587" s="56"/>
      <c r="B587" s="56"/>
      <c r="C587" s="56"/>
      <c r="D587" s="26"/>
      <c r="E587" s="27"/>
      <c r="F587" s="28" t="n">
        <f aca="false">IF(A593="WIN",1,0)</f>
        <v>0</v>
      </c>
      <c r="G587" s="29"/>
      <c r="H587" s="56"/>
      <c r="I587" s="56"/>
      <c r="J587" s="56"/>
      <c r="K587" s="26"/>
      <c r="L587" s="27"/>
      <c r="M587" s="28" t="n">
        <f aca="false">IF(H593="WIN",1,0)</f>
        <v>0</v>
      </c>
      <c r="N587" s="4"/>
      <c r="O587" s="51"/>
      <c r="P587" s="51"/>
      <c r="Q587" s="51"/>
      <c r="R587" s="51"/>
      <c r="S587" s="51"/>
      <c r="T587" s="51"/>
      <c r="U587" s="51"/>
      <c r="V587" s="51"/>
      <c r="W587" s="51"/>
      <c r="X587" s="51"/>
      <c r="Y587" s="51"/>
      <c r="Z587" s="51"/>
      <c r="AA587" s="51"/>
      <c r="AB587" s="51"/>
    </row>
    <row r="588" customFormat="false" ht="15.75" hidden="false" customHeight="false" outlineLevel="0" collapsed="false">
      <c r="A588" s="25"/>
      <c r="B588" s="25"/>
      <c r="C588" s="25"/>
      <c r="D588" s="26"/>
      <c r="E588" s="27"/>
      <c r="F588" s="28" t="n">
        <f aca="false">IF(A593="WIN",1,0)</f>
        <v>0</v>
      </c>
      <c r="G588" s="29"/>
      <c r="H588" s="25"/>
      <c r="I588" s="25"/>
      <c r="J588" s="25"/>
      <c r="K588" s="26"/>
      <c r="L588" s="27"/>
      <c r="M588" s="28" t="n">
        <f aca="false">IF(H593="WIN",1,0)</f>
        <v>0</v>
      </c>
      <c r="N588" s="4"/>
      <c r="O588" s="51"/>
      <c r="P588" s="51"/>
      <c r="Q588" s="51"/>
      <c r="R588" s="51"/>
      <c r="S588" s="51"/>
      <c r="T588" s="51"/>
      <c r="U588" s="51"/>
      <c r="V588" s="51"/>
      <c r="W588" s="51"/>
      <c r="X588" s="51"/>
      <c r="Y588" s="51"/>
      <c r="Z588" s="51"/>
      <c r="AA588" s="51"/>
      <c r="AB588" s="51"/>
    </row>
    <row r="589" customFormat="false" ht="15.75" hidden="false" customHeight="false" outlineLevel="0" collapsed="false">
      <c r="A589" s="25"/>
      <c r="B589" s="25"/>
      <c r="C589" s="25"/>
      <c r="D589" s="26"/>
      <c r="E589" s="27"/>
      <c r="F589" s="28" t="n">
        <f aca="false">IF(A593="WIN",1,0)</f>
        <v>0</v>
      </c>
      <c r="G589" s="29"/>
      <c r="H589" s="25"/>
      <c r="I589" s="25"/>
      <c r="J589" s="25"/>
      <c r="K589" s="26"/>
      <c r="L589" s="27"/>
      <c r="M589" s="28" t="n">
        <f aca="false">IF(H593="WIN",1,0)</f>
        <v>0</v>
      </c>
      <c r="N589" s="4"/>
      <c r="O589" s="51"/>
      <c r="P589" s="51"/>
      <c r="Q589" s="51"/>
      <c r="R589" s="51"/>
      <c r="S589" s="51"/>
      <c r="T589" s="51"/>
      <c r="U589" s="51"/>
      <c r="V589" s="51"/>
      <c r="W589" s="51"/>
      <c r="X589" s="51"/>
      <c r="Y589" s="51"/>
      <c r="Z589" s="51"/>
      <c r="AA589" s="51"/>
      <c r="AB589" s="51"/>
    </row>
    <row r="590" customFormat="false" ht="15.75" hidden="false" customHeight="false" outlineLevel="0" collapsed="false">
      <c r="A590" s="25"/>
      <c r="B590" s="25"/>
      <c r="C590" s="25"/>
      <c r="D590" s="26"/>
      <c r="E590" s="27"/>
      <c r="F590" s="28" t="n">
        <f aca="false">IF(A593="WIN",1,0)</f>
        <v>0</v>
      </c>
      <c r="G590" s="29"/>
      <c r="H590" s="25"/>
      <c r="I590" s="25"/>
      <c r="J590" s="25"/>
      <c r="K590" s="26"/>
      <c r="L590" s="27"/>
      <c r="M590" s="28" t="n">
        <f aca="false">IF(H593="WIN",1,0)</f>
        <v>0</v>
      </c>
      <c r="N590" s="4"/>
      <c r="O590" s="51"/>
      <c r="P590" s="51"/>
      <c r="Q590" s="51"/>
      <c r="R590" s="51"/>
      <c r="S590" s="51"/>
      <c r="T590" s="51"/>
      <c r="U590" s="51"/>
      <c r="V590" s="51"/>
      <c r="W590" s="51"/>
      <c r="X590" s="51"/>
      <c r="Y590" s="51"/>
      <c r="Z590" s="51"/>
      <c r="AA590" s="51"/>
      <c r="AB590" s="51"/>
    </row>
    <row r="591" customFormat="false" ht="15.75" hidden="false" customHeight="false" outlineLevel="0" collapsed="false">
      <c r="A591" s="25"/>
      <c r="B591" s="25"/>
      <c r="C591" s="25"/>
      <c r="D591" s="26"/>
      <c r="E591" s="27"/>
      <c r="F591" s="28" t="n">
        <f aca="false">IF(A593="WIN",1,0)</f>
        <v>0</v>
      </c>
      <c r="G591" s="29"/>
      <c r="H591" s="25"/>
      <c r="I591" s="25"/>
      <c r="J591" s="25"/>
      <c r="K591" s="26"/>
      <c r="L591" s="27"/>
      <c r="M591" s="28" t="n">
        <f aca="false">IF(H593="WIN",1,0)</f>
        <v>0</v>
      </c>
      <c r="N591" s="4"/>
      <c r="O591" s="51"/>
      <c r="P591" s="51"/>
      <c r="Q591" s="51"/>
      <c r="R591" s="51"/>
      <c r="S591" s="51"/>
      <c r="T591" s="51"/>
      <c r="U591" s="51"/>
      <c r="V591" s="51"/>
      <c r="W591" s="51"/>
      <c r="X591" s="51"/>
      <c r="Y591" s="51"/>
      <c r="Z591" s="51"/>
      <c r="AA591" s="51"/>
      <c r="AB591" s="51"/>
    </row>
    <row r="592" customFormat="false" ht="15.75" hidden="false" customHeight="false" outlineLevel="0" collapsed="false">
      <c r="A592" s="32"/>
      <c r="B592" s="32"/>
      <c r="C592" s="32"/>
      <c r="D592" s="33"/>
      <c r="E592" s="34"/>
      <c r="F592" s="28" t="n">
        <f aca="false">IF(A593="WIN",1,0)</f>
        <v>0</v>
      </c>
      <c r="G592" s="29"/>
      <c r="H592" s="32"/>
      <c r="I592" s="32"/>
      <c r="J592" s="32"/>
      <c r="K592" s="33"/>
      <c r="L592" s="34"/>
      <c r="M592" s="28" t="n">
        <f aca="false">IF(H593="WIN",1,0)</f>
        <v>0</v>
      </c>
      <c r="N592" s="4"/>
      <c r="O592" s="51"/>
      <c r="P592" s="51"/>
      <c r="Q592" s="51"/>
      <c r="R592" s="51"/>
      <c r="S592" s="51"/>
      <c r="T592" s="51"/>
      <c r="U592" s="51"/>
      <c r="V592" s="51"/>
      <c r="W592" s="51"/>
      <c r="X592" s="51"/>
      <c r="Y592" s="51"/>
      <c r="Z592" s="51"/>
      <c r="AA592" s="51"/>
      <c r="AB592" s="51"/>
    </row>
    <row r="593" customFormat="false" ht="15.75" hidden="false" customHeight="false" outlineLevel="0" collapsed="false">
      <c r="A593" s="35" t="s">
        <v>30</v>
      </c>
      <c r="B593" s="35"/>
      <c r="C593" s="35"/>
      <c r="D593" s="36" t="n">
        <f aca="false">SUM(D586,-E586)</f>
        <v>0</v>
      </c>
      <c r="E593" s="36"/>
      <c r="F593" s="38"/>
      <c r="G593" s="39"/>
      <c r="H593" s="35" t="s">
        <v>30</v>
      </c>
      <c r="I593" s="35"/>
      <c r="J593" s="35"/>
      <c r="K593" s="36" t="n">
        <f aca="false">SUM(K586,-L586)</f>
        <v>0</v>
      </c>
      <c r="L593" s="36"/>
      <c r="M593" s="38"/>
      <c r="N593" s="4"/>
      <c r="O593" s="52"/>
      <c r="P593" s="52"/>
      <c r="Q593" s="52"/>
      <c r="R593" s="52"/>
      <c r="S593" s="52"/>
      <c r="T593" s="52"/>
      <c r="U593" s="52"/>
      <c r="V593" s="52"/>
      <c r="W593" s="52"/>
      <c r="X593" s="52"/>
      <c r="Y593" s="52"/>
      <c r="Z593" s="52"/>
      <c r="AA593" s="52"/>
      <c r="AB593" s="52"/>
    </row>
    <row r="594" customFormat="false" ht="17.25" hidden="false" customHeight="false" outlineLevel="0" collapsed="false">
      <c r="A594" s="6" t="s">
        <v>54</v>
      </c>
      <c r="B594" s="6"/>
      <c r="C594" s="6"/>
      <c r="D594" s="6"/>
      <c r="E594" s="6"/>
      <c r="F594" s="6"/>
      <c r="G594" s="6"/>
      <c r="H594" s="6"/>
      <c r="I594" s="6"/>
      <c r="J594" s="6"/>
      <c r="K594" s="6"/>
      <c r="L594" s="6"/>
      <c r="M594" s="6"/>
      <c r="N594" s="4"/>
      <c r="O594" s="55"/>
      <c r="P594" s="55"/>
      <c r="Q594" s="55"/>
      <c r="R594" s="55"/>
      <c r="S594" s="55"/>
      <c r="T594" s="55"/>
      <c r="U594" s="55"/>
      <c r="V594" s="55"/>
      <c r="W594" s="55"/>
      <c r="X594" s="55"/>
      <c r="Y594" s="55"/>
      <c r="Z594" s="55"/>
      <c r="AA594" s="55"/>
      <c r="AB594" s="55"/>
    </row>
    <row r="595" customFormat="false" ht="15.75" hidden="false" customHeight="false" outlineLevel="0" collapsed="false">
      <c r="A595" s="10" t="s">
        <v>4</v>
      </c>
      <c r="B595" s="10"/>
      <c r="C595" s="10"/>
      <c r="D595" s="11" t="s">
        <v>5</v>
      </c>
      <c r="E595" s="12" t="s">
        <v>6</v>
      </c>
      <c r="F595" s="13" t="s">
        <v>7</v>
      </c>
      <c r="G595" s="14"/>
      <c r="H595" s="15" t="s">
        <v>8</v>
      </c>
      <c r="I595" s="15"/>
      <c r="J595" s="15"/>
      <c r="K595" s="11" t="s">
        <v>5</v>
      </c>
      <c r="L595" s="12" t="s">
        <v>6</v>
      </c>
      <c r="M595" s="13" t="s">
        <v>7</v>
      </c>
      <c r="N595" s="4"/>
      <c r="O595" s="52"/>
      <c r="P595" s="52"/>
      <c r="Q595" s="52"/>
      <c r="R595" s="52"/>
      <c r="S595" s="52"/>
      <c r="T595" s="52"/>
      <c r="U595" s="52"/>
      <c r="V595" s="52"/>
      <c r="W595" s="52"/>
      <c r="X595" s="52"/>
      <c r="Y595" s="52"/>
      <c r="Z595" s="52"/>
      <c r="AA595" s="52"/>
      <c r="AB595" s="52"/>
    </row>
    <row r="596" customFormat="false" ht="15.75" hidden="false" customHeight="false" outlineLevel="0" collapsed="false">
      <c r="A596" s="23" t="str">
        <f aca="false">BBG!$G$1</f>
        <v>Berlin Bronzong</v>
      </c>
      <c r="B596" s="23"/>
      <c r="C596" s="23"/>
      <c r="D596" s="19"/>
      <c r="E596" s="20"/>
      <c r="F596" s="21" t="str">
        <f aca="false">IF(A603="WIN","W",IF(A603="LOSE","L",""))</f>
        <v>L</v>
      </c>
      <c r="G596" s="22"/>
      <c r="H596" s="18" t="str">
        <f aca="false">KKS!$G$1</f>
        <v>Kingston Kecleons</v>
      </c>
      <c r="I596" s="18"/>
      <c r="J596" s="18"/>
      <c r="K596" s="19"/>
      <c r="L596" s="20"/>
      <c r="M596" s="21" t="str">
        <f aca="false">IF(H603="WIN","W",IF(H603="LOSE","L",""))</f>
        <v>W</v>
      </c>
      <c r="N596" s="4"/>
      <c r="O596" s="53"/>
      <c r="P596" s="53"/>
      <c r="Q596" s="53"/>
      <c r="R596" s="53"/>
      <c r="S596" s="53"/>
      <c r="T596" s="53"/>
      <c r="U596" s="53"/>
      <c r="V596" s="53"/>
      <c r="W596" s="53"/>
      <c r="X596" s="53"/>
      <c r="Y596" s="53"/>
      <c r="Z596" s="53"/>
      <c r="AA596" s="53"/>
      <c r="AB596" s="53"/>
    </row>
    <row r="597" customFormat="false" ht="15.75" hidden="false" customHeight="false" outlineLevel="0" collapsed="false">
      <c r="A597" s="56"/>
      <c r="B597" s="56"/>
      <c r="C597" s="56"/>
      <c r="D597" s="26"/>
      <c r="E597" s="27"/>
      <c r="F597" s="28" t="n">
        <f aca="false">IF(A603="WIN",1,0)</f>
        <v>0</v>
      </c>
      <c r="G597" s="29"/>
      <c r="H597" s="25"/>
      <c r="I597" s="25"/>
      <c r="J597" s="25"/>
      <c r="K597" s="26"/>
      <c r="L597" s="27"/>
      <c r="M597" s="28" t="n">
        <f aca="false">IF(H603="WIN",1,0)</f>
        <v>1</v>
      </c>
      <c r="N597" s="4"/>
      <c r="O597" s="51"/>
      <c r="P597" s="51"/>
      <c r="Q597" s="51"/>
      <c r="R597" s="51"/>
      <c r="S597" s="51"/>
      <c r="T597" s="51"/>
      <c r="U597" s="51"/>
      <c r="V597" s="51"/>
      <c r="W597" s="51"/>
      <c r="X597" s="51"/>
      <c r="Y597" s="51"/>
      <c r="Z597" s="51"/>
      <c r="AA597" s="51"/>
      <c r="AB597" s="51"/>
    </row>
    <row r="598" customFormat="false" ht="15.75" hidden="false" customHeight="false" outlineLevel="0" collapsed="false">
      <c r="A598" s="25"/>
      <c r="B598" s="25"/>
      <c r="C598" s="25"/>
      <c r="D598" s="26"/>
      <c r="E598" s="27"/>
      <c r="F598" s="28" t="n">
        <f aca="false">IF(A603="WIN",1,0)</f>
        <v>0</v>
      </c>
      <c r="G598" s="29"/>
      <c r="H598" s="25"/>
      <c r="I598" s="25"/>
      <c r="J598" s="25"/>
      <c r="K598" s="26"/>
      <c r="L598" s="27"/>
      <c r="M598" s="28" t="n">
        <f aca="false">IF(H603="WIN",1,0)</f>
        <v>1</v>
      </c>
      <c r="N598" s="4"/>
      <c r="O598" s="51"/>
      <c r="P598" s="51"/>
      <c r="Q598" s="51"/>
      <c r="R598" s="51"/>
      <c r="S598" s="51"/>
      <c r="T598" s="51"/>
      <c r="U598" s="51"/>
      <c r="V598" s="51"/>
      <c r="W598" s="51"/>
      <c r="X598" s="51"/>
      <c r="Y598" s="51"/>
      <c r="Z598" s="51"/>
      <c r="AA598" s="51"/>
      <c r="AB598" s="51"/>
    </row>
    <row r="599" customFormat="false" ht="15.75" hidden="false" customHeight="false" outlineLevel="0" collapsed="false">
      <c r="A599" s="25"/>
      <c r="B599" s="25"/>
      <c r="C599" s="25"/>
      <c r="D599" s="26"/>
      <c r="E599" s="27"/>
      <c r="F599" s="28" t="n">
        <f aca="false">IF(A603="WIN",1,0)</f>
        <v>0</v>
      </c>
      <c r="G599" s="29"/>
      <c r="H599" s="25"/>
      <c r="I599" s="25"/>
      <c r="J599" s="25"/>
      <c r="K599" s="26"/>
      <c r="L599" s="27"/>
      <c r="M599" s="28" t="n">
        <f aca="false">IF(H603="WIN",1,0)</f>
        <v>1</v>
      </c>
      <c r="N599" s="4"/>
      <c r="O599" s="51"/>
      <c r="P599" s="51"/>
      <c r="Q599" s="51"/>
      <c r="R599" s="51"/>
      <c r="S599" s="51"/>
      <c r="T599" s="51"/>
      <c r="U599" s="51"/>
      <c r="V599" s="51"/>
      <c r="W599" s="51"/>
      <c r="X599" s="51"/>
      <c r="Y599" s="51"/>
      <c r="Z599" s="51"/>
      <c r="AA599" s="51"/>
      <c r="AB599" s="51"/>
    </row>
    <row r="600" customFormat="false" ht="15.75" hidden="false" customHeight="false" outlineLevel="0" collapsed="false">
      <c r="A600" s="25"/>
      <c r="B600" s="25"/>
      <c r="C600" s="25"/>
      <c r="D600" s="26"/>
      <c r="E600" s="27"/>
      <c r="F600" s="28" t="n">
        <f aca="false">IF(A603="WIN",1,0)</f>
        <v>0</v>
      </c>
      <c r="G600" s="29"/>
      <c r="H600" s="25"/>
      <c r="I600" s="25"/>
      <c r="J600" s="25"/>
      <c r="K600" s="26"/>
      <c r="L600" s="27"/>
      <c r="M600" s="28" t="n">
        <f aca="false">IF(H603="WIN",1,0)</f>
        <v>1</v>
      </c>
      <c r="N600" s="4"/>
      <c r="O600" s="51"/>
      <c r="P600" s="51"/>
      <c r="Q600" s="51"/>
      <c r="R600" s="51"/>
      <c r="S600" s="51"/>
      <c r="T600" s="51"/>
      <c r="U600" s="51"/>
      <c r="V600" s="51"/>
      <c r="W600" s="51"/>
      <c r="X600" s="51"/>
      <c r="Y600" s="51"/>
      <c r="Z600" s="51"/>
      <c r="AA600" s="51"/>
      <c r="AB600" s="51"/>
    </row>
    <row r="601" customFormat="false" ht="15.75" hidden="false" customHeight="false" outlineLevel="0" collapsed="false">
      <c r="A601" s="25"/>
      <c r="B601" s="25"/>
      <c r="C601" s="25"/>
      <c r="D601" s="26"/>
      <c r="E601" s="27"/>
      <c r="F601" s="28" t="n">
        <f aca="false">IF(A603="WIN",1,0)</f>
        <v>0</v>
      </c>
      <c r="G601" s="29"/>
      <c r="H601" s="25"/>
      <c r="I601" s="25"/>
      <c r="J601" s="25"/>
      <c r="K601" s="26"/>
      <c r="L601" s="27"/>
      <c r="M601" s="28" t="n">
        <f aca="false">IF(H603="WIN",1,0)</f>
        <v>1</v>
      </c>
      <c r="N601" s="4"/>
      <c r="O601" s="51"/>
      <c r="P601" s="51"/>
      <c r="Q601" s="51"/>
      <c r="R601" s="51"/>
      <c r="S601" s="51"/>
      <c r="T601" s="51"/>
      <c r="U601" s="51"/>
      <c r="V601" s="51"/>
      <c r="W601" s="51"/>
      <c r="X601" s="51"/>
      <c r="Y601" s="51"/>
      <c r="Z601" s="51"/>
      <c r="AA601" s="51"/>
      <c r="AB601" s="51"/>
    </row>
    <row r="602" customFormat="false" ht="15.75" hidden="false" customHeight="false" outlineLevel="0" collapsed="false">
      <c r="A602" s="32"/>
      <c r="B602" s="32"/>
      <c r="C602" s="32"/>
      <c r="D602" s="33"/>
      <c r="E602" s="34"/>
      <c r="F602" s="28" t="n">
        <f aca="false">IF(A603="WIN",1,0)</f>
        <v>0</v>
      </c>
      <c r="G602" s="29"/>
      <c r="H602" s="32"/>
      <c r="I602" s="32"/>
      <c r="J602" s="32"/>
      <c r="K602" s="33"/>
      <c r="L602" s="34"/>
      <c r="M602" s="28" t="n">
        <f aca="false">IF(H603="WIN",1,0)</f>
        <v>1</v>
      </c>
      <c r="N602" s="4"/>
      <c r="O602" s="51"/>
      <c r="P602" s="51"/>
      <c r="Q602" s="51"/>
      <c r="R602" s="51"/>
      <c r="S602" s="51"/>
      <c r="T602" s="51"/>
      <c r="U602" s="51"/>
      <c r="V602" s="51"/>
      <c r="W602" s="51"/>
      <c r="X602" s="51"/>
      <c r="Y602" s="51"/>
      <c r="Z602" s="51"/>
      <c r="AA602" s="51"/>
      <c r="AB602" s="51"/>
    </row>
    <row r="603" customFormat="false" ht="15.75" hidden="false" customHeight="false" outlineLevel="0" collapsed="false">
      <c r="A603" s="35" t="s">
        <v>10</v>
      </c>
      <c r="B603" s="35"/>
      <c r="C603" s="35"/>
      <c r="D603" s="36" t="n">
        <f aca="false">SUM(D596,-E596)</f>
        <v>0</v>
      </c>
      <c r="E603" s="36"/>
      <c r="F603" s="38"/>
      <c r="G603" s="39"/>
      <c r="H603" s="35" t="s">
        <v>11</v>
      </c>
      <c r="I603" s="35"/>
      <c r="J603" s="35"/>
      <c r="K603" s="36" t="n">
        <f aca="false">SUM(K596,-L596)</f>
        <v>0</v>
      </c>
      <c r="L603" s="36"/>
      <c r="M603" s="38"/>
      <c r="N603" s="4"/>
      <c r="O603" s="52"/>
      <c r="P603" s="52"/>
      <c r="Q603" s="52"/>
      <c r="R603" s="52"/>
      <c r="S603" s="52"/>
      <c r="T603" s="52"/>
      <c r="U603" s="52"/>
      <c r="V603" s="52"/>
      <c r="W603" s="52"/>
      <c r="X603" s="52"/>
      <c r="Y603" s="52"/>
      <c r="Z603" s="52"/>
      <c r="AA603" s="52"/>
      <c r="AB603" s="52"/>
    </row>
    <row r="604" customFormat="false" ht="15.75" hidden="false" customHeight="false" outlineLevel="0" collapsed="false">
      <c r="A604" s="10" t="s">
        <v>4</v>
      </c>
      <c r="B604" s="10"/>
      <c r="C604" s="10"/>
      <c r="D604" s="11" t="s">
        <v>5</v>
      </c>
      <c r="E604" s="12" t="s">
        <v>6</v>
      </c>
      <c r="F604" s="13" t="s">
        <v>7</v>
      </c>
      <c r="G604" s="14"/>
      <c r="H604" s="15" t="s">
        <v>8</v>
      </c>
      <c r="I604" s="15"/>
      <c r="J604" s="15"/>
      <c r="K604" s="11" t="s">
        <v>5</v>
      </c>
      <c r="L604" s="12" t="s">
        <v>6</v>
      </c>
      <c r="M604" s="13" t="s">
        <v>7</v>
      </c>
      <c r="N604" s="4"/>
      <c r="O604" s="52"/>
      <c r="P604" s="52"/>
      <c r="Q604" s="52"/>
      <c r="R604" s="52"/>
      <c r="S604" s="52"/>
      <c r="T604" s="52"/>
      <c r="U604" s="52"/>
      <c r="V604" s="52"/>
      <c r="W604" s="52"/>
      <c r="X604" s="52"/>
      <c r="Y604" s="52"/>
      <c r="Z604" s="52"/>
      <c r="AA604" s="52"/>
      <c r="AB604" s="52"/>
    </row>
    <row r="605" customFormat="false" ht="15.75" hidden="false" customHeight="false" outlineLevel="0" collapsed="false">
      <c r="A605" s="18" t="str">
        <f aca="false">SEA!$G$1</f>
        <v>Seattle Seadras</v>
      </c>
      <c r="B605" s="18"/>
      <c r="C605" s="18"/>
      <c r="D605" s="19"/>
      <c r="E605" s="20"/>
      <c r="F605" s="21" t="str">
        <f aca="false">IF(A612="WIN","W",IF(A612="LOSE","L",""))</f>
        <v/>
      </c>
      <c r="G605" s="22"/>
      <c r="H605" s="23" t="str">
        <f aca="false">JVJ!$G$1</f>
        <v>Jacksonville Jumpluffs</v>
      </c>
      <c r="I605" s="23"/>
      <c r="J605" s="23"/>
      <c r="K605" s="19"/>
      <c r="L605" s="20"/>
      <c r="M605" s="21" t="str">
        <f aca="false">IF(H612="WIN","W",IF(H612="LOSE","L",""))</f>
        <v/>
      </c>
      <c r="N605" s="4"/>
      <c r="O605" s="53"/>
      <c r="P605" s="53"/>
      <c r="Q605" s="53"/>
      <c r="R605" s="53"/>
      <c r="S605" s="53"/>
      <c r="T605" s="53"/>
      <c r="U605" s="53"/>
      <c r="V605" s="53"/>
      <c r="W605" s="53"/>
      <c r="X605" s="53"/>
      <c r="Y605" s="53"/>
      <c r="Z605" s="53"/>
      <c r="AA605" s="53"/>
      <c r="AB605" s="53"/>
    </row>
    <row r="606" customFormat="false" ht="15.75" hidden="false" customHeight="false" outlineLevel="0" collapsed="false">
      <c r="A606" s="56"/>
      <c r="B606" s="56"/>
      <c r="C606" s="56"/>
      <c r="D606" s="26"/>
      <c r="E606" s="27"/>
      <c r="F606" s="28" t="n">
        <f aca="false">IF(A612="WIN",1,0)</f>
        <v>0</v>
      </c>
      <c r="G606" s="29"/>
      <c r="H606" s="56"/>
      <c r="I606" s="56"/>
      <c r="J606" s="56"/>
      <c r="K606" s="26"/>
      <c r="L606" s="27"/>
      <c r="M606" s="28" t="n">
        <f aca="false">IF(H612="WIN",1,0)</f>
        <v>0</v>
      </c>
      <c r="N606" s="4"/>
      <c r="O606" s="51"/>
      <c r="P606" s="51"/>
      <c r="Q606" s="51"/>
      <c r="R606" s="51"/>
      <c r="S606" s="51"/>
      <c r="T606" s="51"/>
      <c r="U606" s="51"/>
      <c r="V606" s="51"/>
      <c r="W606" s="51"/>
      <c r="X606" s="51"/>
      <c r="Y606" s="51"/>
      <c r="Z606" s="51"/>
      <c r="AA606" s="51"/>
      <c r="AB606" s="51"/>
    </row>
    <row r="607" customFormat="false" ht="15.75" hidden="false" customHeight="false" outlineLevel="0" collapsed="false">
      <c r="A607" s="25"/>
      <c r="B607" s="25"/>
      <c r="C607" s="25"/>
      <c r="D607" s="26"/>
      <c r="E607" s="27"/>
      <c r="F607" s="28" t="n">
        <f aca="false">IF(A612="WIN",1,0)</f>
        <v>0</v>
      </c>
      <c r="G607" s="29"/>
      <c r="H607" s="25"/>
      <c r="I607" s="25"/>
      <c r="J607" s="25"/>
      <c r="K607" s="26"/>
      <c r="L607" s="27"/>
      <c r="M607" s="28" t="n">
        <f aca="false">IF(H612="WIN",1,0)</f>
        <v>0</v>
      </c>
      <c r="N607" s="4"/>
      <c r="O607" s="51"/>
      <c r="P607" s="51"/>
      <c r="Q607" s="51"/>
      <c r="R607" s="51"/>
      <c r="S607" s="51"/>
      <c r="T607" s="51"/>
      <c r="U607" s="51"/>
      <c r="V607" s="51"/>
      <c r="W607" s="51"/>
      <c r="X607" s="51"/>
      <c r="Y607" s="51"/>
      <c r="Z607" s="51"/>
      <c r="AA607" s="51"/>
      <c r="AB607" s="51"/>
    </row>
    <row r="608" customFormat="false" ht="15.75" hidden="false" customHeight="false" outlineLevel="0" collapsed="false">
      <c r="A608" s="25"/>
      <c r="B608" s="25"/>
      <c r="C608" s="25"/>
      <c r="D608" s="26"/>
      <c r="E608" s="27"/>
      <c r="F608" s="28" t="n">
        <f aca="false">IF(A612="WIN",1,0)</f>
        <v>0</v>
      </c>
      <c r="G608" s="29"/>
      <c r="H608" s="25"/>
      <c r="I608" s="25"/>
      <c r="J608" s="25"/>
      <c r="K608" s="26"/>
      <c r="L608" s="27"/>
      <c r="M608" s="28" t="n">
        <f aca="false">IF(H612="WIN",1,0)</f>
        <v>0</v>
      </c>
      <c r="N608" s="4"/>
      <c r="O608" s="51"/>
      <c r="P608" s="51"/>
      <c r="Q608" s="51"/>
      <c r="R608" s="51"/>
      <c r="S608" s="51"/>
      <c r="T608" s="51"/>
      <c r="U608" s="51"/>
      <c r="V608" s="51"/>
      <c r="W608" s="51"/>
      <c r="X608" s="51"/>
      <c r="Y608" s="51"/>
      <c r="Z608" s="51"/>
      <c r="AA608" s="51"/>
      <c r="AB608" s="51"/>
    </row>
    <row r="609" customFormat="false" ht="15.75" hidden="false" customHeight="false" outlineLevel="0" collapsed="false">
      <c r="A609" s="25"/>
      <c r="B609" s="25"/>
      <c r="C609" s="25"/>
      <c r="D609" s="26"/>
      <c r="E609" s="27"/>
      <c r="F609" s="28" t="n">
        <f aca="false">IF(A612="WIN",1,0)</f>
        <v>0</v>
      </c>
      <c r="G609" s="29"/>
      <c r="H609" s="25"/>
      <c r="I609" s="25"/>
      <c r="J609" s="25"/>
      <c r="K609" s="26"/>
      <c r="L609" s="27"/>
      <c r="M609" s="28" t="n">
        <f aca="false">IF(H612="WIN",1,0)</f>
        <v>0</v>
      </c>
      <c r="N609" s="4"/>
      <c r="O609" s="51"/>
      <c r="P609" s="51"/>
      <c r="Q609" s="51"/>
      <c r="R609" s="51"/>
      <c r="S609" s="51"/>
      <c r="T609" s="51"/>
      <c r="U609" s="51"/>
      <c r="V609" s="51"/>
      <c r="W609" s="51"/>
      <c r="X609" s="51"/>
      <c r="Y609" s="51"/>
      <c r="Z609" s="51"/>
      <c r="AA609" s="51"/>
      <c r="AB609" s="51"/>
    </row>
    <row r="610" customFormat="false" ht="15.75" hidden="false" customHeight="false" outlineLevel="0" collapsed="false">
      <c r="A610" s="25"/>
      <c r="B610" s="25"/>
      <c r="C610" s="25"/>
      <c r="D610" s="26"/>
      <c r="E610" s="27"/>
      <c r="F610" s="28" t="n">
        <f aca="false">IF(A612="WIN",1,0)</f>
        <v>0</v>
      </c>
      <c r="G610" s="29"/>
      <c r="H610" s="25"/>
      <c r="I610" s="25"/>
      <c r="J610" s="25"/>
      <c r="K610" s="26"/>
      <c r="L610" s="27"/>
      <c r="M610" s="28" t="n">
        <f aca="false">IF(H612="WIN",1,0)</f>
        <v>0</v>
      </c>
      <c r="N610" s="4"/>
      <c r="O610" s="51"/>
      <c r="P610" s="51"/>
      <c r="Q610" s="51"/>
      <c r="R610" s="51"/>
      <c r="S610" s="51"/>
      <c r="T610" s="51"/>
      <c r="U610" s="51"/>
      <c r="V610" s="51"/>
      <c r="W610" s="51"/>
      <c r="X610" s="51"/>
      <c r="Y610" s="51"/>
      <c r="Z610" s="51"/>
      <c r="AA610" s="51"/>
      <c r="AB610" s="51"/>
    </row>
    <row r="611" customFormat="false" ht="15.75" hidden="false" customHeight="false" outlineLevel="0" collapsed="false">
      <c r="A611" s="32"/>
      <c r="B611" s="32"/>
      <c r="C611" s="32"/>
      <c r="D611" s="33"/>
      <c r="E611" s="34"/>
      <c r="F611" s="28" t="n">
        <f aca="false">IF(A612="WIN",1,0)</f>
        <v>0</v>
      </c>
      <c r="G611" s="29"/>
      <c r="H611" s="32"/>
      <c r="I611" s="32"/>
      <c r="J611" s="32"/>
      <c r="K611" s="33"/>
      <c r="L611" s="34"/>
      <c r="M611" s="28" t="n">
        <f aca="false">IF(H612="WIN",1,0)</f>
        <v>0</v>
      </c>
      <c r="N611" s="4"/>
      <c r="O611" s="51"/>
      <c r="P611" s="51"/>
      <c r="Q611" s="51"/>
      <c r="R611" s="51"/>
      <c r="S611" s="51"/>
      <c r="T611" s="51"/>
      <c r="U611" s="51"/>
      <c r="V611" s="51"/>
      <c r="W611" s="51"/>
      <c r="X611" s="51"/>
      <c r="Y611" s="51"/>
      <c r="Z611" s="51"/>
      <c r="AA611" s="51"/>
      <c r="AB611" s="51"/>
    </row>
    <row r="612" customFormat="false" ht="15.75" hidden="false" customHeight="false" outlineLevel="0" collapsed="false">
      <c r="A612" s="35" t="s">
        <v>30</v>
      </c>
      <c r="B612" s="35"/>
      <c r="C612" s="35"/>
      <c r="D612" s="36" t="n">
        <f aca="false">SUM(D605,-E605)</f>
        <v>0</v>
      </c>
      <c r="E612" s="36"/>
      <c r="F612" s="38"/>
      <c r="G612" s="39"/>
      <c r="H612" s="35" t="s">
        <v>30</v>
      </c>
      <c r="I612" s="35"/>
      <c r="J612" s="35"/>
      <c r="K612" s="36" t="n">
        <f aca="false">SUM(K605,-L605)</f>
        <v>0</v>
      </c>
      <c r="L612" s="36"/>
      <c r="M612" s="38"/>
      <c r="N612" s="4"/>
      <c r="O612" s="52"/>
      <c r="P612" s="52"/>
      <c r="Q612" s="52"/>
      <c r="R612" s="52"/>
      <c r="S612" s="52"/>
      <c r="T612" s="52"/>
      <c r="U612" s="52"/>
      <c r="V612" s="52"/>
      <c r="W612" s="52"/>
      <c r="X612" s="52"/>
      <c r="Y612" s="52"/>
      <c r="Z612" s="52"/>
      <c r="AA612" s="52"/>
      <c r="AB612" s="52"/>
    </row>
    <row r="613" customFormat="false" ht="15.75" hidden="false" customHeight="false" outlineLevel="0" collapsed="false">
      <c r="A613" s="10" t="s">
        <v>4</v>
      </c>
      <c r="B613" s="10"/>
      <c r="C613" s="10"/>
      <c r="D613" s="11" t="s">
        <v>5</v>
      </c>
      <c r="E613" s="12" t="s">
        <v>6</v>
      </c>
      <c r="F613" s="13" t="s">
        <v>7</v>
      </c>
      <c r="G613" s="14"/>
      <c r="H613" s="15" t="s">
        <v>8</v>
      </c>
      <c r="I613" s="15"/>
      <c r="J613" s="15"/>
      <c r="K613" s="11" t="s">
        <v>5</v>
      </c>
      <c r="L613" s="12" t="s">
        <v>6</v>
      </c>
      <c r="M613" s="13" t="s">
        <v>7</v>
      </c>
      <c r="N613" s="4"/>
      <c r="O613" s="52"/>
      <c r="P613" s="52"/>
      <c r="Q613" s="52"/>
      <c r="R613" s="52"/>
      <c r="S613" s="52"/>
      <c r="T613" s="52"/>
      <c r="U613" s="52"/>
      <c r="V613" s="52"/>
      <c r="W613" s="52"/>
      <c r="X613" s="52"/>
      <c r="Y613" s="52"/>
      <c r="Z613" s="52"/>
      <c r="AA613" s="52"/>
      <c r="AB613" s="52"/>
    </row>
    <row r="614" customFormat="false" ht="15.75" hidden="false" customHeight="false" outlineLevel="0" collapsed="false">
      <c r="A614" s="57" t="str">
        <f aca="false">FTT!$G$1</f>
        <v>Fortree Trevenants</v>
      </c>
      <c r="B614" s="57"/>
      <c r="C614" s="57"/>
      <c r="D614" s="19"/>
      <c r="E614" s="20"/>
      <c r="F614" s="21" t="str">
        <f aca="false">IF(A621="WIN","W",IF(A621="LOSE","L",""))</f>
        <v>W</v>
      </c>
      <c r="G614" s="22"/>
      <c r="H614" s="18" t="str">
        <f aca="false">LVC!$G$1</f>
        <v>Louisville Crobats</v>
      </c>
      <c r="I614" s="18"/>
      <c r="J614" s="18"/>
      <c r="K614" s="19"/>
      <c r="L614" s="20"/>
      <c r="M614" s="21" t="str">
        <f aca="false">IF(H621="WIN","W",IF(H621="LOSE","L",""))</f>
        <v>L</v>
      </c>
      <c r="N614" s="4"/>
      <c r="O614" s="53"/>
      <c r="P614" s="53"/>
      <c r="Q614" s="53"/>
      <c r="R614" s="53"/>
      <c r="S614" s="53"/>
      <c r="T614" s="53"/>
      <c r="U614" s="53"/>
      <c r="V614" s="53"/>
      <c r="W614" s="53"/>
      <c r="X614" s="53"/>
      <c r="Y614" s="53"/>
      <c r="Z614" s="53"/>
      <c r="AA614" s="53"/>
      <c r="AB614" s="53"/>
    </row>
    <row r="615" customFormat="false" ht="15.75" hidden="false" customHeight="false" outlineLevel="0" collapsed="false">
      <c r="A615" s="56"/>
      <c r="B615" s="56"/>
      <c r="C615" s="56"/>
      <c r="D615" s="26"/>
      <c r="E615" s="27"/>
      <c r="F615" s="28" t="n">
        <f aca="false">IF(A621="WIN",1,0)</f>
        <v>1</v>
      </c>
      <c r="G615" s="29"/>
      <c r="H615" s="56"/>
      <c r="I615" s="56"/>
      <c r="J615" s="56"/>
      <c r="K615" s="26"/>
      <c r="L615" s="27"/>
      <c r="M615" s="28" t="n">
        <f aca="false">IF(H621="WIN",1,0)</f>
        <v>0</v>
      </c>
      <c r="N615" s="4"/>
      <c r="O615" s="51"/>
      <c r="P615" s="51"/>
      <c r="Q615" s="51"/>
      <c r="R615" s="51"/>
      <c r="S615" s="51"/>
      <c r="T615" s="51"/>
      <c r="U615" s="51"/>
      <c r="V615" s="51"/>
      <c r="W615" s="51"/>
      <c r="X615" s="51"/>
      <c r="Y615" s="51"/>
      <c r="Z615" s="51"/>
      <c r="AA615" s="51"/>
      <c r="AB615" s="51"/>
    </row>
    <row r="616" customFormat="false" ht="15.75" hidden="false" customHeight="false" outlineLevel="0" collapsed="false">
      <c r="A616" s="25"/>
      <c r="B616" s="25"/>
      <c r="C616" s="25"/>
      <c r="D616" s="26"/>
      <c r="E616" s="27"/>
      <c r="F616" s="28" t="n">
        <f aca="false">IF(A621="WIN",1,0)</f>
        <v>1</v>
      </c>
      <c r="G616" s="29"/>
      <c r="H616" s="25"/>
      <c r="I616" s="25"/>
      <c r="J616" s="25"/>
      <c r="K616" s="26"/>
      <c r="L616" s="27"/>
      <c r="M616" s="28" t="n">
        <f aca="false">IF(H621="WIN",1,0)</f>
        <v>0</v>
      </c>
      <c r="N616" s="4"/>
      <c r="O616" s="51"/>
      <c r="P616" s="51"/>
      <c r="Q616" s="51"/>
      <c r="R616" s="51"/>
      <c r="S616" s="51"/>
      <c r="T616" s="51"/>
      <c r="U616" s="51"/>
      <c r="V616" s="51"/>
      <c r="W616" s="51"/>
      <c r="X616" s="51"/>
      <c r="Y616" s="51"/>
      <c r="Z616" s="51"/>
      <c r="AA616" s="51"/>
      <c r="AB616" s="51"/>
    </row>
    <row r="617" customFormat="false" ht="15.75" hidden="false" customHeight="false" outlineLevel="0" collapsed="false">
      <c r="A617" s="25"/>
      <c r="B617" s="25"/>
      <c r="C617" s="25"/>
      <c r="D617" s="26"/>
      <c r="E617" s="27"/>
      <c r="F617" s="28" t="n">
        <f aca="false">IF(A621="WIN",1,0)</f>
        <v>1</v>
      </c>
      <c r="G617" s="29"/>
      <c r="H617" s="25"/>
      <c r="I617" s="25"/>
      <c r="J617" s="25"/>
      <c r="K617" s="26"/>
      <c r="L617" s="27"/>
      <c r="M617" s="28" t="n">
        <f aca="false">IF(H621="WIN",1,0)</f>
        <v>0</v>
      </c>
      <c r="N617" s="4"/>
      <c r="O617" s="51"/>
      <c r="P617" s="51"/>
      <c r="Q617" s="51"/>
      <c r="R617" s="51"/>
      <c r="S617" s="51"/>
      <c r="T617" s="51"/>
      <c r="U617" s="51"/>
      <c r="V617" s="51"/>
      <c r="W617" s="51"/>
      <c r="X617" s="51"/>
      <c r="Y617" s="51"/>
      <c r="Z617" s="51"/>
      <c r="AA617" s="51"/>
      <c r="AB617" s="51"/>
    </row>
    <row r="618" customFormat="false" ht="15.75" hidden="false" customHeight="false" outlineLevel="0" collapsed="false">
      <c r="A618" s="25"/>
      <c r="B618" s="25"/>
      <c r="C618" s="25"/>
      <c r="D618" s="26"/>
      <c r="E618" s="27"/>
      <c r="F618" s="28" t="n">
        <f aca="false">IF(A621="WIN",1,0)</f>
        <v>1</v>
      </c>
      <c r="G618" s="29"/>
      <c r="H618" s="25"/>
      <c r="I618" s="25"/>
      <c r="J618" s="25"/>
      <c r="K618" s="26"/>
      <c r="L618" s="27"/>
      <c r="M618" s="28" t="n">
        <f aca="false">IF(H621="WIN",1,0)</f>
        <v>0</v>
      </c>
      <c r="N618" s="4"/>
      <c r="O618" s="51"/>
      <c r="P618" s="51"/>
      <c r="Q618" s="51"/>
      <c r="R618" s="51"/>
      <c r="S618" s="51"/>
      <c r="T618" s="51"/>
      <c r="U618" s="51"/>
      <c r="V618" s="51"/>
      <c r="W618" s="51"/>
      <c r="X618" s="51"/>
      <c r="Y618" s="51"/>
      <c r="Z618" s="51"/>
      <c r="AA618" s="51"/>
      <c r="AB618" s="51"/>
    </row>
    <row r="619" customFormat="false" ht="15.75" hidden="false" customHeight="false" outlineLevel="0" collapsed="false">
      <c r="A619" s="25"/>
      <c r="B619" s="25"/>
      <c r="C619" s="25"/>
      <c r="D619" s="26"/>
      <c r="E619" s="27"/>
      <c r="F619" s="28" t="n">
        <f aca="false">IF(A621="WIN",1,0)</f>
        <v>1</v>
      </c>
      <c r="G619" s="29"/>
      <c r="H619" s="25"/>
      <c r="I619" s="25"/>
      <c r="J619" s="25"/>
      <c r="K619" s="26"/>
      <c r="L619" s="27"/>
      <c r="M619" s="28" t="n">
        <f aca="false">IF(H621="WIN",1,0)</f>
        <v>0</v>
      </c>
      <c r="N619" s="4"/>
      <c r="O619" s="51"/>
      <c r="P619" s="51"/>
      <c r="Q619" s="51"/>
      <c r="R619" s="51"/>
      <c r="S619" s="51"/>
      <c r="T619" s="51"/>
      <c r="U619" s="51"/>
      <c r="V619" s="51"/>
      <c r="W619" s="51"/>
      <c r="X619" s="51"/>
      <c r="Y619" s="51"/>
      <c r="Z619" s="51"/>
      <c r="AA619" s="51"/>
      <c r="AB619" s="51"/>
    </row>
    <row r="620" customFormat="false" ht="15.75" hidden="false" customHeight="false" outlineLevel="0" collapsed="false">
      <c r="A620" s="32"/>
      <c r="B620" s="32"/>
      <c r="C620" s="32"/>
      <c r="D620" s="33"/>
      <c r="E620" s="34"/>
      <c r="F620" s="28" t="n">
        <f aca="false">IF(A621="WIN",1,0)</f>
        <v>1</v>
      </c>
      <c r="G620" s="29"/>
      <c r="H620" s="32"/>
      <c r="I620" s="32"/>
      <c r="J620" s="32"/>
      <c r="K620" s="33"/>
      <c r="L620" s="34"/>
      <c r="M620" s="28" t="n">
        <f aca="false">IF(H621="WIN",1,0)</f>
        <v>0</v>
      </c>
      <c r="N620" s="4"/>
      <c r="O620" s="51"/>
      <c r="P620" s="51"/>
      <c r="Q620" s="51"/>
      <c r="R620" s="51"/>
      <c r="S620" s="51"/>
      <c r="T620" s="51"/>
      <c r="U620" s="51"/>
      <c r="V620" s="51"/>
      <c r="W620" s="51"/>
      <c r="X620" s="51"/>
      <c r="Y620" s="51"/>
      <c r="Z620" s="51"/>
      <c r="AA620" s="51"/>
      <c r="AB620" s="51"/>
    </row>
    <row r="621" customFormat="false" ht="15.75" hidden="false" customHeight="false" outlineLevel="0" collapsed="false">
      <c r="A621" s="35" t="s">
        <v>11</v>
      </c>
      <c r="B621" s="35"/>
      <c r="C621" s="35"/>
      <c r="D621" s="36" t="n">
        <f aca="false">SUM(D614,-E614)</f>
        <v>0</v>
      </c>
      <c r="E621" s="36"/>
      <c r="F621" s="38"/>
      <c r="G621" s="39"/>
      <c r="H621" s="35" t="s">
        <v>10</v>
      </c>
      <c r="I621" s="35"/>
      <c r="J621" s="35"/>
      <c r="K621" s="36" t="n">
        <f aca="false">SUM(K614,-L614)</f>
        <v>0</v>
      </c>
      <c r="L621" s="36"/>
      <c r="M621" s="38"/>
      <c r="N621" s="4"/>
      <c r="O621" s="52"/>
      <c r="P621" s="52"/>
      <c r="Q621" s="52"/>
      <c r="R621" s="52"/>
      <c r="S621" s="52"/>
      <c r="T621" s="52"/>
      <c r="U621" s="52"/>
      <c r="V621" s="52"/>
      <c r="W621" s="52"/>
      <c r="X621" s="52"/>
      <c r="Y621" s="52"/>
      <c r="Z621" s="52"/>
      <c r="AA621" s="52"/>
      <c r="AB621" s="52"/>
    </row>
    <row r="622" customFormat="false" ht="15.75" hidden="false" customHeight="false" outlineLevel="0" collapsed="false">
      <c r="A622" s="10" t="s">
        <v>4</v>
      </c>
      <c r="B622" s="10"/>
      <c r="C622" s="10"/>
      <c r="D622" s="11" t="s">
        <v>5</v>
      </c>
      <c r="E622" s="12" t="s">
        <v>6</v>
      </c>
      <c r="F622" s="13" t="s">
        <v>7</v>
      </c>
      <c r="G622" s="14"/>
      <c r="H622" s="15" t="s">
        <v>8</v>
      </c>
      <c r="I622" s="15"/>
      <c r="J622" s="15"/>
      <c r="K622" s="11" t="s">
        <v>5</v>
      </c>
      <c r="L622" s="12" t="s">
        <v>6</v>
      </c>
      <c r="M622" s="13" t="s">
        <v>7</v>
      </c>
      <c r="N622" s="4"/>
      <c r="O622" s="52"/>
      <c r="P622" s="52"/>
      <c r="Q622" s="52"/>
      <c r="R622" s="52"/>
      <c r="S622" s="52"/>
      <c r="T622" s="52"/>
      <c r="U622" s="52"/>
      <c r="V622" s="52"/>
      <c r="W622" s="52"/>
      <c r="X622" s="52"/>
      <c r="Y622" s="52"/>
      <c r="Z622" s="52"/>
      <c r="AA622" s="52"/>
      <c r="AB622" s="52"/>
    </row>
    <row r="623" customFormat="false" ht="15.75" hidden="false" customHeight="false" outlineLevel="0" collapsed="false">
      <c r="A623" s="18" t="str">
        <f aca="false">SGP!$G$1</f>
        <v>Slung Patrol</v>
      </c>
      <c r="B623" s="18"/>
      <c r="C623" s="18"/>
      <c r="D623" s="19"/>
      <c r="E623" s="20"/>
      <c r="F623" s="21" t="str">
        <f aca="false">IF(A630="WIN","W",IF(A630="LOSE","L",""))</f>
        <v>W</v>
      </c>
      <c r="G623" s="22"/>
      <c r="H623" s="57" t="str">
        <f aca="false">BTB!$G$1</f>
        <v>Battlin Brelooms</v>
      </c>
      <c r="I623" s="57"/>
      <c r="J623" s="57"/>
      <c r="K623" s="19"/>
      <c r="L623" s="20"/>
      <c r="M623" s="21" t="str">
        <f aca="false">IF(H630="WIN","W",IF(H630="LOSE","L",""))</f>
        <v>L</v>
      </c>
      <c r="N623" s="4"/>
      <c r="O623" s="53"/>
      <c r="P623" s="53"/>
      <c r="Q623" s="53"/>
      <c r="R623" s="53"/>
      <c r="S623" s="53"/>
      <c r="T623" s="53"/>
      <c r="U623" s="53"/>
      <c r="V623" s="53"/>
      <c r="W623" s="53"/>
      <c r="X623" s="53"/>
      <c r="Y623" s="53"/>
      <c r="Z623" s="53"/>
      <c r="AA623" s="53"/>
      <c r="AB623" s="53"/>
    </row>
    <row r="624" customFormat="false" ht="15.75" hidden="false" customHeight="false" outlineLevel="0" collapsed="false">
      <c r="A624" s="56"/>
      <c r="B624" s="56"/>
      <c r="C624" s="56"/>
      <c r="D624" s="26"/>
      <c r="E624" s="27"/>
      <c r="F624" s="28" t="n">
        <f aca="false">IF(A630="WIN",1,0)</f>
        <v>1</v>
      </c>
      <c r="G624" s="29"/>
      <c r="H624" s="56"/>
      <c r="I624" s="56"/>
      <c r="J624" s="56"/>
      <c r="K624" s="26"/>
      <c r="L624" s="27"/>
      <c r="M624" s="28" t="n">
        <f aca="false">IF(H630="WIN",1,0)</f>
        <v>0</v>
      </c>
      <c r="N624" s="4"/>
      <c r="O624" s="51"/>
      <c r="P624" s="51"/>
      <c r="Q624" s="51"/>
      <c r="R624" s="51"/>
      <c r="S624" s="51"/>
      <c r="T624" s="51"/>
      <c r="U624" s="51"/>
      <c r="V624" s="51"/>
      <c r="W624" s="51"/>
      <c r="X624" s="51"/>
      <c r="Y624" s="51"/>
      <c r="Z624" s="51"/>
      <c r="AA624" s="51"/>
      <c r="AB624" s="51"/>
    </row>
    <row r="625" customFormat="false" ht="15.75" hidden="false" customHeight="false" outlineLevel="0" collapsed="false">
      <c r="A625" s="25"/>
      <c r="B625" s="25"/>
      <c r="C625" s="25"/>
      <c r="D625" s="26"/>
      <c r="E625" s="27"/>
      <c r="F625" s="28" t="n">
        <f aca="false">IF(A630="WIN",1,0)</f>
        <v>1</v>
      </c>
      <c r="G625" s="29"/>
      <c r="H625" s="25"/>
      <c r="I625" s="25"/>
      <c r="J625" s="25"/>
      <c r="K625" s="26"/>
      <c r="L625" s="27"/>
      <c r="M625" s="28" t="n">
        <f aca="false">IF(H630="WIN",1,0)</f>
        <v>0</v>
      </c>
      <c r="N625" s="4"/>
      <c r="O625" s="51"/>
      <c r="P625" s="51"/>
      <c r="Q625" s="51"/>
      <c r="R625" s="51"/>
      <c r="S625" s="51"/>
      <c r="T625" s="51"/>
      <c r="U625" s="51"/>
      <c r="V625" s="51"/>
      <c r="W625" s="51"/>
      <c r="X625" s="51"/>
      <c r="Y625" s="51"/>
      <c r="Z625" s="51"/>
      <c r="AA625" s="51"/>
      <c r="AB625" s="51"/>
    </row>
    <row r="626" customFormat="false" ht="15.75" hidden="false" customHeight="false" outlineLevel="0" collapsed="false">
      <c r="A626" s="25"/>
      <c r="B626" s="25"/>
      <c r="C626" s="25"/>
      <c r="D626" s="26"/>
      <c r="E626" s="27"/>
      <c r="F626" s="28" t="n">
        <f aca="false">IF(A630="WIN",1,0)</f>
        <v>1</v>
      </c>
      <c r="G626" s="29"/>
      <c r="H626" s="25"/>
      <c r="I626" s="25"/>
      <c r="J626" s="25"/>
      <c r="K626" s="26"/>
      <c r="L626" s="27"/>
      <c r="M626" s="28" t="n">
        <f aca="false">IF(H630="WIN",1,0)</f>
        <v>0</v>
      </c>
      <c r="N626" s="4"/>
      <c r="O626" s="51"/>
      <c r="P626" s="51"/>
      <c r="Q626" s="51"/>
      <c r="R626" s="51"/>
      <c r="S626" s="51"/>
      <c r="T626" s="51"/>
      <c r="U626" s="51"/>
      <c r="V626" s="51"/>
      <c r="W626" s="51"/>
      <c r="X626" s="51"/>
      <c r="Y626" s="51"/>
      <c r="Z626" s="51"/>
      <c r="AA626" s="51"/>
      <c r="AB626" s="51"/>
    </row>
    <row r="627" customFormat="false" ht="15.75" hidden="false" customHeight="false" outlineLevel="0" collapsed="false">
      <c r="A627" s="25"/>
      <c r="B627" s="25"/>
      <c r="C627" s="25"/>
      <c r="D627" s="26"/>
      <c r="E627" s="27"/>
      <c r="F627" s="28" t="n">
        <f aca="false">IF(A630="WIN",1,0)</f>
        <v>1</v>
      </c>
      <c r="G627" s="29"/>
      <c r="H627" s="25"/>
      <c r="I627" s="25"/>
      <c r="J627" s="25"/>
      <c r="K627" s="26"/>
      <c r="L627" s="27"/>
      <c r="M627" s="28" t="n">
        <f aca="false">IF(H630="WIN",1,0)</f>
        <v>0</v>
      </c>
      <c r="N627" s="4"/>
      <c r="O627" s="51"/>
      <c r="P627" s="51"/>
      <c r="Q627" s="51"/>
      <c r="R627" s="51"/>
      <c r="S627" s="51"/>
      <c r="T627" s="51"/>
      <c r="U627" s="51"/>
      <c r="V627" s="51"/>
      <c r="W627" s="51"/>
      <c r="X627" s="51"/>
      <c r="Y627" s="51"/>
      <c r="Z627" s="51"/>
      <c r="AA627" s="51"/>
      <c r="AB627" s="51"/>
    </row>
    <row r="628" customFormat="false" ht="15.75" hidden="false" customHeight="false" outlineLevel="0" collapsed="false">
      <c r="A628" s="25"/>
      <c r="B628" s="25"/>
      <c r="C628" s="25"/>
      <c r="D628" s="26"/>
      <c r="E628" s="27"/>
      <c r="F628" s="28" t="n">
        <f aca="false">IF(A630="WIN",1,0)</f>
        <v>1</v>
      </c>
      <c r="G628" s="29"/>
      <c r="H628" s="25"/>
      <c r="I628" s="25"/>
      <c r="J628" s="25"/>
      <c r="K628" s="26"/>
      <c r="L628" s="27"/>
      <c r="M628" s="28" t="n">
        <f aca="false">IF(H630="WIN",1,0)</f>
        <v>0</v>
      </c>
      <c r="N628" s="4"/>
      <c r="O628" s="51"/>
      <c r="P628" s="51"/>
      <c r="Q628" s="51"/>
      <c r="R628" s="51"/>
      <c r="S628" s="51"/>
      <c r="T628" s="51"/>
      <c r="U628" s="51"/>
      <c r="V628" s="51"/>
      <c r="W628" s="51"/>
      <c r="X628" s="51"/>
      <c r="Y628" s="51"/>
      <c r="Z628" s="51"/>
      <c r="AA628" s="51"/>
      <c r="AB628" s="51"/>
    </row>
    <row r="629" customFormat="false" ht="15.75" hidden="false" customHeight="false" outlineLevel="0" collapsed="false">
      <c r="A629" s="32"/>
      <c r="B629" s="32"/>
      <c r="C629" s="32"/>
      <c r="D629" s="33"/>
      <c r="E629" s="34"/>
      <c r="F629" s="28" t="n">
        <f aca="false">IF(A630="WIN",1,0)</f>
        <v>1</v>
      </c>
      <c r="G629" s="29"/>
      <c r="H629" s="32"/>
      <c r="I629" s="32"/>
      <c r="J629" s="32"/>
      <c r="K629" s="33"/>
      <c r="L629" s="34"/>
      <c r="M629" s="28" t="n">
        <f aca="false">IF(H630="WIN",1,0)</f>
        <v>0</v>
      </c>
      <c r="N629" s="4"/>
      <c r="O629" s="51"/>
      <c r="P629" s="51"/>
      <c r="Q629" s="51"/>
      <c r="R629" s="51"/>
      <c r="S629" s="51"/>
      <c r="T629" s="51"/>
      <c r="U629" s="51"/>
      <c r="V629" s="51"/>
      <c r="W629" s="51"/>
      <c r="X629" s="51"/>
      <c r="Y629" s="51"/>
      <c r="Z629" s="51"/>
      <c r="AA629" s="51"/>
      <c r="AB629" s="51"/>
    </row>
    <row r="630" customFormat="false" ht="15.75" hidden="false" customHeight="false" outlineLevel="0" collapsed="false">
      <c r="A630" s="35" t="s">
        <v>11</v>
      </c>
      <c r="B630" s="35"/>
      <c r="C630" s="35"/>
      <c r="D630" s="36" t="n">
        <f aca="false">SUM(D623,-E623)</f>
        <v>0</v>
      </c>
      <c r="E630" s="36"/>
      <c r="F630" s="38"/>
      <c r="G630" s="39"/>
      <c r="H630" s="35" t="s">
        <v>10</v>
      </c>
      <c r="I630" s="35"/>
      <c r="J630" s="35"/>
      <c r="K630" s="36" t="n">
        <f aca="false">SUM(K623,-L623)</f>
        <v>0</v>
      </c>
      <c r="L630" s="36"/>
      <c r="M630" s="38"/>
      <c r="N630" s="4"/>
      <c r="O630" s="52"/>
      <c r="P630" s="52"/>
      <c r="Q630" s="52"/>
      <c r="R630" s="52"/>
      <c r="S630" s="52"/>
      <c r="T630" s="52"/>
      <c r="U630" s="52"/>
      <c r="V630" s="52"/>
      <c r="W630" s="52"/>
      <c r="X630" s="52"/>
      <c r="Y630" s="52"/>
      <c r="Z630" s="52"/>
      <c r="AA630" s="52"/>
      <c r="AB630" s="52"/>
    </row>
  </sheetData>
  <mergeCells count="1341">
    <mergeCell ref="A1:F1"/>
    <mergeCell ref="H1:M1"/>
    <mergeCell ref="N1:N630"/>
    <mergeCell ref="O1:AB1"/>
    <mergeCell ref="A2:M2"/>
    <mergeCell ref="O2:Q2"/>
    <mergeCell ref="A3:C3"/>
    <mergeCell ref="H3:J3"/>
    <mergeCell ref="O3:Q3"/>
    <mergeCell ref="A4:C4"/>
    <mergeCell ref="H4:J4"/>
    <mergeCell ref="O4:Q4"/>
    <mergeCell ref="A5:C5"/>
    <mergeCell ref="H5:J5"/>
    <mergeCell ref="O5:Q5"/>
    <mergeCell ref="A6:C6"/>
    <mergeCell ref="H6:J6"/>
    <mergeCell ref="O6:Q6"/>
    <mergeCell ref="A7:C7"/>
    <mergeCell ref="H7:J7"/>
    <mergeCell ref="O7:Q7"/>
    <mergeCell ref="Z7:AB7"/>
    <mergeCell ref="A8:C8"/>
    <mergeCell ref="H8:J8"/>
    <mergeCell ref="O8:Q8"/>
    <mergeCell ref="Z8:AB17"/>
    <mergeCell ref="A9:C9"/>
    <mergeCell ref="H9:J9"/>
    <mergeCell ref="O9:Q9"/>
    <mergeCell ref="A10:C10"/>
    <mergeCell ref="H10:J10"/>
    <mergeCell ref="O10:Q10"/>
    <mergeCell ref="A11:C11"/>
    <mergeCell ref="H11:J11"/>
    <mergeCell ref="O11:Q11"/>
    <mergeCell ref="A12:C12"/>
    <mergeCell ref="H12:J12"/>
    <mergeCell ref="O12:Q12"/>
    <mergeCell ref="A13:C13"/>
    <mergeCell ref="H13:J13"/>
    <mergeCell ref="O13:Q13"/>
    <mergeCell ref="A14:C14"/>
    <mergeCell ref="H14:J14"/>
    <mergeCell ref="O14:Q14"/>
    <mergeCell ref="A15:C15"/>
    <mergeCell ref="H15:J15"/>
    <mergeCell ref="O15:Q15"/>
    <mergeCell ref="A16:C16"/>
    <mergeCell ref="H16:J16"/>
    <mergeCell ref="O16:Q16"/>
    <mergeCell ref="A17:C17"/>
    <mergeCell ref="H17:J17"/>
    <mergeCell ref="O17:Q17"/>
    <mergeCell ref="A18:C18"/>
    <mergeCell ref="H18:J18"/>
    <mergeCell ref="O18:Q18"/>
    <mergeCell ref="Z18:AB18"/>
    <mergeCell ref="A19:C19"/>
    <mergeCell ref="H19:J19"/>
    <mergeCell ref="O19:Q19"/>
    <mergeCell ref="A20:C20"/>
    <mergeCell ref="H20:J20"/>
    <mergeCell ref="O20:Q20"/>
    <mergeCell ref="A21:C21"/>
    <mergeCell ref="H21:J21"/>
    <mergeCell ref="O21:Q21"/>
    <mergeCell ref="A22:C22"/>
    <mergeCell ref="H22:J22"/>
    <mergeCell ref="O22:Q22"/>
    <mergeCell ref="A23:C23"/>
    <mergeCell ref="H23:J23"/>
    <mergeCell ref="O23:Q23"/>
    <mergeCell ref="A24:C24"/>
    <mergeCell ref="H24:J24"/>
    <mergeCell ref="A25:C25"/>
    <mergeCell ref="H25:J25"/>
    <mergeCell ref="O25:Q25"/>
    <mergeCell ref="A26:C26"/>
    <mergeCell ref="H26:J26"/>
    <mergeCell ref="O26:Q26"/>
    <mergeCell ref="A27:C27"/>
    <mergeCell ref="H27:J27"/>
    <mergeCell ref="O27:Q27"/>
    <mergeCell ref="A28:C28"/>
    <mergeCell ref="H28:J28"/>
    <mergeCell ref="O28:Q28"/>
    <mergeCell ref="A29:C29"/>
    <mergeCell ref="H29:J29"/>
    <mergeCell ref="O29:Q29"/>
    <mergeCell ref="A30:C30"/>
    <mergeCell ref="H30:J30"/>
    <mergeCell ref="O30:Q30"/>
    <mergeCell ref="Z30:AB30"/>
    <mergeCell ref="A31:C31"/>
    <mergeCell ref="H31:J31"/>
    <mergeCell ref="O31:Q31"/>
    <mergeCell ref="Z31:AB40"/>
    <mergeCell ref="A32:C32"/>
    <mergeCell ref="H32:J32"/>
    <mergeCell ref="O32:Q32"/>
    <mergeCell ref="A33:C33"/>
    <mergeCell ref="H33:J33"/>
    <mergeCell ref="O33:Q33"/>
    <mergeCell ref="A34:C34"/>
    <mergeCell ref="H34:J34"/>
    <mergeCell ref="O34:Q34"/>
    <mergeCell ref="A35:C35"/>
    <mergeCell ref="H35:J35"/>
    <mergeCell ref="O35:Q35"/>
    <mergeCell ref="A36:C36"/>
    <mergeCell ref="H36:J36"/>
    <mergeCell ref="O36:Q36"/>
    <mergeCell ref="A37:C37"/>
    <mergeCell ref="H37:J37"/>
    <mergeCell ref="O37:Q37"/>
    <mergeCell ref="A38:C38"/>
    <mergeCell ref="H38:J38"/>
    <mergeCell ref="O38:Q38"/>
    <mergeCell ref="A39:M39"/>
    <mergeCell ref="O39:Q39"/>
    <mergeCell ref="A40:C40"/>
    <mergeCell ref="H40:J40"/>
    <mergeCell ref="O40:Q40"/>
    <mergeCell ref="A41:C41"/>
    <mergeCell ref="H41:J41"/>
    <mergeCell ref="O41:Q41"/>
    <mergeCell ref="Z41:AB41"/>
    <mergeCell ref="A42:C42"/>
    <mergeCell ref="H42:J42"/>
    <mergeCell ref="O42:Q42"/>
    <mergeCell ref="A43:C43"/>
    <mergeCell ref="H43:J43"/>
    <mergeCell ref="O43:Q43"/>
    <mergeCell ref="A44:C44"/>
    <mergeCell ref="H44:J44"/>
    <mergeCell ref="O44:Q44"/>
    <mergeCell ref="A45:C45"/>
    <mergeCell ref="H45:J45"/>
    <mergeCell ref="A46:C46"/>
    <mergeCell ref="H46:J46"/>
    <mergeCell ref="A47:C47"/>
    <mergeCell ref="H47:J47"/>
    <mergeCell ref="A48:C48"/>
    <mergeCell ref="H48:J48"/>
    <mergeCell ref="A49:C49"/>
    <mergeCell ref="H49:J49"/>
    <mergeCell ref="A50:C50"/>
    <mergeCell ref="H50:J50"/>
    <mergeCell ref="A51:C51"/>
    <mergeCell ref="H51:J51"/>
    <mergeCell ref="A52:C52"/>
    <mergeCell ref="H52:J52"/>
    <mergeCell ref="A53:C53"/>
    <mergeCell ref="H53:J53"/>
    <mergeCell ref="A54:C54"/>
    <mergeCell ref="H54:J54"/>
    <mergeCell ref="A55:C55"/>
    <mergeCell ref="H55:J55"/>
    <mergeCell ref="A56:C56"/>
    <mergeCell ref="H56:J56"/>
    <mergeCell ref="A57:C57"/>
    <mergeCell ref="H57:J57"/>
    <mergeCell ref="A58:C58"/>
    <mergeCell ref="H58:J58"/>
    <mergeCell ref="A59:C59"/>
    <mergeCell ref="H59:J59"/>
    <mergeCell ref="A60:C60"/>
    <mergeCell ref="H60:J60"/>
    <mergeCell ref="A61:C61"/>
    <mergeCell ref="H61:J61"/>
    <mergeCell ref="A62:C62"/>
    <mergeCell ref="H62:J62"/>
    <mergeCell ref="A63:C63"/>
    <mergeCell ref="H63:J63"/>
    <mergeCell ref="A64:C64"/>
    <mergeCell ref="H64:J64"/>
    <mergeCell ref="A65:C65"/>
    <mergeCell ref="H65:J65"/>
    <mergeCell ref="A66:C66"/>
    <mergeCell ref="H66:J66"/>
    <mergeCell ref="A67:C67"/>
    <mergeCell ref="H67:J67"/>
    <mergeCell ref="A68:C68"/>
    <mergeCell ref="H68:J68"/>
    <mergeCell ref="A69:C69"/>
    <mergeCell ref="H69:J69"/>
    <mergeCell ref="A70:C70"/>
    <mergeCell ref="H70:J70"/>
    <mergeCell ref="A71:C71"/>
    <mergeCell ref="H71:J71"/>
    <mergeCell ref="A72:C72"/>
    <mergeCell ref="H72:J72"/>
    <mergeCell ref="A73:C73"/>
    <mergeCell ref="H73:J73"/>
    <mergeCell ref="A74:C74"/>
    <mergeCell ref="H74:J74"/>
    <mergeCell ref="A75:C75"/>
    <mergeCell ref="H75:J75"/>
    <mergeCell ref="A76:M76"/>
    <mergeCell ref="A77:C77"/>
    <mergeCell ref="H77:J77"/>
    <mergeCell ref="A78:C78"/>
    <mergeCell ref="H78:J78"/>
    <mergeCell ref="A79:C79"/>
    <mergeCell ref="H79:J79"/>
    <mergeCell ref="A80:C80"/>
    <mergeCell ref="H80:J80"/>
    <mergeCell ref="A81:C81"/>
    <mergeCell ref="H81:J81"/>
    <mergeCell ref="A82:C82"/>
    <mergeCell ref="H82:J82"/>
    <mergeCell ref="A83:C83"/>
    <mergeCell ref="H83:J83"/>
    <mergeCell ref="A84:C84"/>
    <mergeCell ref="H84:J84"/>
    <mergeCell ref="A85:C85"/>
    <mergeCell ref="H85:J85"/>
    <mergeCell ref="A86:C86"/>
    <mergeCell ref="H86:J86"/>
    <mergeCell ref="A87:C87"/>
    <mergeCell ref="H87:J87"/>
    <mergeCell ref="A88:C88"/>
    <mergeCell ref="H88:J88"/>
    <mergeCell ref="A89:C89"/>
    <mergeCell ref="H89:J89"/>
    <mergeCell ref="A90:C90"/>
    <mergeCell ref="H90:J90"/>
    <mergeCell ref="A91:C91"/>
    <mergeCell ref="H91:J91"/>
    <mergeCell ref="A92:C92"/>
    <mergeCell ref="H92:J92"/>
    <mergeCell ref="A93:C93"/>
    <mergeCell ref="H93:J93"/>
    <mergeCell ref="A94:C94"/>
    <mergeCell ref="H94:J94"/>
    <mergeCell ref="A95:C95"/>
    <mergeCell ref="H95:J95"/>
    <mergeCell ref="A96:C96"/>
    <mergeCell ref="H96:J96"/>
    <mergeCell ref="A97:C97"/>
    <mergeCell ref="H97:J97"/>
    <mergeCell ref="A98:C98"/>
    <mergeCell ref="H98:J98"/>
    <mergeCell ref="A99:C99"/>
    <mergeCell ref="H99:J99"/>
    <mergeCell ref="A100:C100"/>
    <mergeCell ref="H100:J100"/>
    <mergeCell ref="A101:C101"/>
    <mergeCell ref="H101:J101"/>
    <mergeCell ref="A102:C102"/>
    <mergeCell ref="H102:J102"/>
    <mergeCell ref="A103:C103"/>
    <mergeCell ref="H103:J103"/>
    <mergeCell ref="A104:C104"/>
    <mergeCell ref="H104:J104"/>
    <mergeCell ref="A105:C105"/>
    <mergeCell ref="H105:J105"/>
    <mergeCell ref="A106:C106"/>
    <mergeCell ref="H106:J106"/>
    <mergeCell ref="A107:C107"/>
    <mergeCell ref="H107:J107"/>
    <mergeCell ref="A108:C108"/>
    <mergeCell ref="H108:J108"/>
    <mergeCell ref="A109:C109"/>
    <mergeCell ref="H109:J109"/>
    <mergeCell ref="A110:C110"/>
    <mergeCell ref="H110:J110"/>
    <mergeCell ref="A111:C111"/>
    <mergeCell ref="H111:J111"/>
    <mergeCell ref="A112:C112"/>
    <mergeCell ref="H112:J112"/>
    <mergeCell ref="A113:M113"/>
    <mergeCell ref="A114:C114"/>
    <mergeCell ref="H114:J114"/>
    <mergeCell ref="A115:C115"/>
    <mergeCell ref="H115:J115"/>
    <mergeCell ref="A116:C116"/>
    <mergeCell ref="H116:J116"/>
    <mergeCell ref="A117:C117"/>
    <mergeCell ref="H117:J117"/>
    <mergeCell ref="A118:C118"/>
    <mergeCell ref="H118:J118"/>
    <mergeCell ref="A119:C119"/>
    <mergeCell ref="H119:J119"/>
    <mergeCell ref="A120:C120"/>
    <mergeCell ref="H120:J120"/>
    <mergeCell ref="A121:C121"/>
    <mergeCell ref="H121:J121"/>
    <mergeCell ref="A122:C122"/>
    <mergeCell ref="H122:J122"/>
    <mergeCell ref="A123:C123"/>
    <mergeCell ref="H123:J123"/>
    <mergeCell ref="A124:C124"/>
    <mergeCell ref="H124:J124"/>
    <mergeCell ref="A125:C125"/>
    <mergeCell ref="H125:J125"/>
    <mergeCell ref="A126:C126"/>
    <mergeCell ref="H126:J126"/>
    <mergeCell ref="A127:C127"/>
    <mergeCell ref="H127:J127"/>
    <mergeCell ref="A128:C128"/>
    <mergeCell ref="H128:J128"/>
    <mergeCell ref="A129:C129"/>
    <mergeCell ref="H129:J129"/>
    <mergeCell ref="A130:C130"/>
    <mergeCell ref="H130:J130"/>
    <mergeCell ref="A131:C131"/>
    <mergeCell ref="H131:J131"/>
    <mergeCell ref="A132:C132"/>
    <mergeCell ref="H132:J132"/>
    <mergeCell ref="A133:C133"/>
    <mergeCell ref="H133:J133"/>
    <mergeCell ref="A134:C134"/>
    <mergeCell ref="H134:J134"/>
    <mergeCell ref="A135:C135"/>
    <mergeCell ref="H135:J135"/>
    <mergeCell ref="A136:C136"/>
    <mergeCell ref="H136:J136"/>
    <mergeCell ref="A137:C137"/>
    <mergeCell ref="H137:J137"/>
    <mergeCell ref="A138:C138"/>
    <mergeCell ref="H138:J138"/>
    <mergeCell ref="A139:C139"/>
    <mergeCell ref="H139:J139"/>
    <mergeCell ref="A140:C140"/>
    <mergeCell ref="H140:J140"/>
    <mergeCell ref="A141:C141"/>
    <mergeCell ref="H141:J141"/>
    <mergeCell ref="A142:C142"/>
    <mergeCell ref="H142:J142"/>
    <mergeCell ref="A143:C143"/>
    <mergeCell ref="H143:J143"/>
    <mergeCell ref="A144:C144"/>
    <mergeCell ref="H144:J144"/>
    <mergeCell ref="A145:C145"/>
    <mergeCell ref="H145:J145"/>
    <mergeCell ref="A146:C146"/>
    <mergeCell ref="H146:J146"/>
    <mergeCell ref="A147:C147"/>
    <mergeCell ref="H147:J147"/>
    <mergeCell ref="A148:C148"/>
    <mergeCell ref="H148:J148"/>
    <mergeCell ref="A149:C149"/>
    <mergeCell ref="H149:J149"/>
    <mergeCell ref="A150:M150"/>
    <mergeCell ref="A151:C151"/>
    <mergeCell ref="H151:J151"/>
    <mergeCell ref="A152:C152"/>
    <mergeCell ref="H152:J152"/>
    <mergeCell ref="A153:C153"/>
    <mergeCell ref="H153:J153"/>
    <mergeCell ref="A154:C154"/>
    <mergeCell ref="H154:J154"/>
    <mergeCell ref="A155:C155"/>
    <mergeCell ref="H155:J155"/>
    <mergeCell ref="A156:C156"/>
    <mergeCell ref="H156:J156"/>
    <mergeCell ref="A157:C157"/>
    <mergeCell ref="H157:J157"/>
    <mergeCell ref="A158:C158"/>
    <mergeCell ref="H158:J158"/>
    <mergeCell ref="A159:C159"/>
    <mergeCell ref="H159:J159"/>
    <mergeCell ref="A160:C160"/>
    <mergeCell ref="H160:J160"/>
    <mergeCell ref="A161:C161"/>
    <mergeCell ref="H161:J161"/>
    <mergeCell ref="A162:C162"/>
    <mergeCell ref="H162:J162"/>
    <mergeCell ref="A163:C163"/>
    <mergeCell ref="H163:J163"/>
    <mergeCell ref="A164:C164"/>
    <mergeCell ref="H164:J164"/>
    <mergeCell ref="A165:C165"/>
    <mergeCell ref="H165:J165"/>
    <mergeCell ref="A166:C166"/>
    <mergeCell ref="H166:J166"/>
    <mergeCell ref="A167:C167"/>
    <mergeCell ref="H167:J167"/>
    <mergeCell ref="A168:C168"/>
    <mergeCell ref="H168:J168"/>
    <mergeCell ref="A169:C169"/>
    <mergeCell ref="H169:J169"/>
    <mergeCell ref="A170:C170"/>
    <mergeCell ref="H170:J170"/>
    <mergeCell ref="A171:C171"/>
    <mergeCell ref="H171:J171"/>
    <mergeCell ref="A172:C172"/>
    <mergeCell ref="H172:J172"/>
    <mergeCell ref="A173:C173"/>
    <mergeCell ref="H173:J173"/>
    <mergeCell ref="A174:C174"/>
    <mergeCell ref="H174:J174"/>
    <mergeCell ref="A175:C175"/>
    <mergeCell ref="H175:J175"/>
    <mergeCell ref="A176:C176"/>
    <mergeCell ref="H176:J176"/>
    <mergeCell ref="A177:C177"/>
    <mergeCell ref="H177:J177"/>
    <mergeCell ref="A178:C178"/>
    <mergeCell ref="H178:J178"/>
    <mergeCell ref="A179:C179"/>
    <mergeCell ref="H179:J179"/>
    <mergeCell ref="A180:C180"/>
    <mergeCell ref="H180:J180"/>
    <mergeCell ref="A181:C181"/>
    <mergeCell ref="H181:J181"/>
    <mergeCell ref="A182:C182"/>
    <mergeCell ref="H182:J182"/>
    <mergeCell ref="A183:C183"/>
    <mergeCell ref="H183:J183"/>
    <mergeCell ref="A184:C184"/>
    <mergeCell ref="H184:J184"/>
    <mergeCell ref="A185:C185"/>
    <mergeCell ref="H185:J185"/>
    <mergeCell ref="A186:C186"/>
    <mergeCell ref="H186:J186"/>
    <mergeCell ref="A187:M187"/>
    <mergeCell ref="A188:C188"/>
    <mergeCell ref="H188:J188"/>
    <mergeCell ref="A189:C189"/>
    <mergeCell ref="H189:J189"/>
    <mergeCell ref="A190:C190"/>
    <mergeCell ref="H190:J190"/>
    <mergeCell ref="A191:C191"/>
    <mergeCell ref="H191:J191"/>
    <mergeCell ref="A192:C192"/>
    <mergeCell ref="H192:J192"/>
    <mergeCell ref="A193:C193"/>
    <mergeCell ref="H193:J193"/>
    <mergeCell ref="A194:C194"/>
    <mergeCell ref="H194:J194"/>
    <mergeCell ref="A195:C195"/>
    <mergeCell ref="H195:J195"/>
    <mergeCell ref="A196:C196"/>
    <mergeCell ref="H196:J196"/>
    <mergeCell ref="A197:C197"/>
    <mergeCell ref="H197:J197"/>
    <mergeCell ref="A198:C198"/>
    <mergeCell ref="H198:J198"/>
    <mergeCell ref="A199:C199"/>
    <mergeCell ref="H199:J199"/>
    <mergeCell ref="A200:C200"/>
    <mergeCell ref="H200:J200"/>
    <mergeCell ref="A201:C201"/>
    <mergeCell ref="H201:J201"/>
    <mergeCell ref="A202:C202"/>
    <mergeCell ref="H202:J202"/>
    <mergeCell ref="A203:C203"/>
    <mergeCell ref="H203:J203"/>
    <mergeCell ref="A204:C204"/>
    <mergeCell ref="H204:J204"/>
    <mergeCell ref="A205:C205"/>
    <mergeCell ref="H205:J205"/>
    <mergeCell ref="A206:C206"/>
    <mergeCell ref="H206:J206"/>
    <mergeCell ref="A207:C207"/>
    <mergeCell ref="H207:J207"/>
    <mergeCell ref="A208:C208"/>
    <mergeCell ref="H208:J208"/>
    <mergeCell ref="A209:C209"/>
    <mergeCell ref="H209:J209"/>
    <mergeCell ref="A210:C210"/>
    <mergeCell ref="H210:J210"/>
    <mergeCell ref="A211:C211"/>
    <mergeCell ref="H211:J211"/>
    <mergeCell ref="A212:C212"/>
    <mergeCell ref="H212:J212"/>
    <mergeCell ref="A213:C213"/>
    <mergeCell ref="H213:J213"/>
    <mergeCell ref="A214:C214"/>
    <mergeCell ref="H214:J214"/>
    <mergeCell ref="A215:C215"/>
    <mergeCell ref="H215:J215"/>
    <mergeCell ref="A216:C216"/>
    <mergeCell ref="H216:J216"/>
    <mergeCell ref="A217:C217"/>
    <mergeCell ref="H217:J217"/>
    <mergeCell ref="A218:C218"/>
    <mergeCell ref="H218:J218"/>
    <mergeCell ref="A219:C219"/>
    <mergeCell ref="H219:J219"/>
    <mergeCell ref="A220:C220"/>
    <mergeCell ref="H220:J220"/>
    <mergeCell ref="A221:C221"/>
    <mergeCell ref="H221:J221"/>
    <mergeCell ref="A222:C222"/>
    <mergeCell ref="H222:J222"/>
    <mergeCell ref="A223:C223"/>
    <mergeCell ref="H223:J223"/>
    <mergeCell ref="A224:M224"/>
    <mergeCell ref="A225:C225"/>
    <mergeCell ref="H225:J225"/>
    <mergeCell ref="A226:C226"/>
    <mergeCell ref="H226:J226"/>
    <mergeCell ref="A227:C227"/>
    <mergeCell ref="H227:J227"/>
    <mergeCell ref="A228:C228"/>
    <mergeCell ref="H228:J228"/>
    <mergeCell ref="A229:C229"/>
    <mergeCell ref="H229:J229"/>
    <mergeCell ref="A230:C230"/>
    <mergeCell ref="H230:J230"/>
    <mergeCell ref="A231:C231"/>
    <mergeCell ref="H231:J231"/>
    <mergeCell ref="A232:C232"/>
    <mergeCell ref="H232:J232"/>
    <mergeCell ref="A233:C233"/>
    <mergeCell ref="H233:J233"/>
    <mergeCell ref="A234:C234"/>
    <mergeCell ref="H234:J234"/>
    <mergeCell ref="A235:C235"/>
    <mergeCell ref="H235:J235"/>
    <mergeCell ref="A236:C236"/>
    <mergeCell ref="H236:J236"/>
    <mergeCell ref="A237:C237"/>
    <mergeCell ref="H237:J237"/>
    <mergeCell ref="A238:C238"/>
    <mergeCell ref="H238:J238"/>
    <mergeCell ref="A239:C239"/>
    <mergeCell ref="H239:J239"/>
    <mergeCell ref="A240:C240"/>
    <mergeCell ref="H240:J240"/>
    <mergeCell ref="A241:C241"/>
    <mergeCell ref="H241:J241"/>
    <mergeCell ref="A242:C242"/>
    <mergeCell ref="H242:J242"/>
    <mergeCell ref="A243:C243"/>
    <mergeCell ref="H243:J243"/>
    <mergeCell ref="A244:C244"/>
    <mergeCell ref="H244:J244"/>
    <mergeCell ref="A245:C245"/>
    <mergeCell ref="H245:J245"/>
    <mergeCell ref="A246:C246"/>
    <mergeCell ref="H246:J246"/>
    <mergeCell ref="A247:C247"/>
    <mergeCell ref="H247:J247"/>
    <mergeCell ref="A248:C248"/>
    <mergeCell ref="H248:J248"/>
    <mergeCell ref="A249:C249"/>
    <mergeCell ref="H249:J249"/>
    <mergeCell ref="A250:C250"/>
    <mergeCell ref="H250:J250"/>
    <mergeCell ref="A251:C251"/>
    <mergeCell ref="H251:J251"/>
    <mergeCell ref="A252:C252"/>
    <mergeCell ref="H252:J252"/>
    <mergeCell ref="A253:C253"/>
    <mergeCell ref="H253:J253"/>
    <mergeCell ref="A254:C254"/>
    <mergeCell ref="H254:J254"/>
    <mergeCell ref="A255:C255"/>
    <mergeCell ref="H255:J255"/>
    <mergeCell ref="A256:C256"/>
    <mergeCell ref="H256:J256"/>
    <mergeCell ref="A257:C257"/>
    <mergeCell ref="H257:J257"/>
    <mergeCell ref="A258:C258"/>
    <mergeCell ref="H258:J258"/>
    <mergeCell ref="A259:C259"/>
    <mergeCell ref="H259:J259"/>
    <mergeCell ref="A260:C260"/>
    <mergeCell ref="H260:J260"/>
    <mergeCell ref="A261:M261"/>
    <mergeCell ref="A262:C262"/>
    <mergeCell ref="H262:J262"/>
    <mergeCell ref="A263:C263"/>
    <mergeCell ref="H263:J263"/>
    <mergeCell ref="A264:C264"/>
    <mergeCell ref="H264:J264"/>
    <mergeCell ref="A265:C265"/>
    <mergeCell ref="H265:J265"/>
    <mergeCell ref="A266:C266"/>
    <mergeCell ref="H266:J266"/>
    <mergeCell ref="A267:C267"/>
    <mergeCell ref="H267:J267"/>
    <mergeCell ref="A268:C268"/>
    <mergeCell ref="H268:J268"/>
    <mergeCell ref="A269:C269"/>
    <mergeCell ref="H269:J269"/>
    <mergeCell ref="A270:C270"/>
    <mergeCell ref="H270:J270"/>
    <mergeCell ref="A271:C271"/>
    <mergeCell ref="H271:J271"/>
    <mergeCell ref="A272:C272"/>
    <mergeCell ref="H272:J272"/>
    <mergeCell ref="A273:C273"/>
    <mergeCell ref="H273:J273"/>
    <mergeCell ref="A274:C274"/>
    <mergeCell ref="H274:J274"/>
    <mergeCell ref="A275:C275"/>
    <mergeCell ref="H275:J275"/>
    <mergeCell ref="A276:C276"/>
    <mergeCell ref="H276:J276"/>
    <mergeCell ref="A277:C277"/>
    <mergeCell ref="H277:J277"/>
    <mergeCell ref="A278:C278"/>
    <mergeCell ref="H278:J278"/>
    <mergeCell ref="A279:C279"/>
    <mergeCell ref="H279:J279"/>
    <mergeCell ref="A280:C280"/>
    <mergeCell ref="H280:J280"/>
    <mergeCell ref="A281:C281"/>
    <mergeCell ref="H281:J281"/>
    <mergeCell ref="A282:C282"/>
    <mergeCell ref="H282:J282"/>
    <mergeCell ref="A283:C283"/>
    <mergeCell ref="H283:J283"/>
    <mergeCell ref="A284:C284"/>
    <mergeCell ref="H284:J284"/>
    <mergeCell ref="A285:C285"/>
    <mergeCell ref="H285:J285"/>
    <mergeCell ref="A286:C286"/>
    <mergeCell ref="H286:J286"/>
    <mergeCell ref="A287:C287"/>
    <mergeCell ref="H287:J287"/>
    <mergeCell ref="A288:C288"/>
    <mergeCell ref="H288:J288"/>
    <mergeCell ref="A289:C289"/>
    <mergeCell ref="H289:J289"/>
    <mergeCell ref="A290:C290"/>
    <mergeCell ref="H290:J290"/>
    <mergeCell ref="A291:C291"/>
    <mergeCell ref="H291:J291"/>
    <mergeCell ref="A292:C292"/>
    <mergeCell ref="H292:J292"/>
    <mergeCell ref="A293:C293"/>
    <mergeCell ref="H293:J293"/>
    <mergeCell ref="A294:C294"/>
    <mergeCell ref="H294:J294"/>
    <mergeCell ref="A295:C295"/>
    <mergeCell ref="H295:J295"/>
    <mergeCell ref="A296:C296"/>
    <mergeCell ref="H296:J296"/>
    <mergeCell ref="A297:C297"/>
    <mergeCell ref="H297:J297"/>
    <mergeCell ref="A298:M298"/>
    <mergeCell ref="A299:C299"/>
    <mergeCell ref="H299:J299"/>
    <mergeCell ref="A300:C300"/>
    <mergeCell ref="H300:J300"/>
    <mergeCell ref="A301:C301"/>
    <mergeCell ref="H301:J301"/>
    <mergeCell ref="A302:C302"/>
    <mergeCell ref="H302:J302"/>
    <mergeCell ref="A303:C303"/>
    <mergeCell ref="H303:J303"/>
    <mergeCell ref="A304:C304"/>
    <mergeCell ref="H304:J304"/>
    <mergeCell ref="A305:C305"/>
    <mergeCell ref="H305:J305"/>
    <mergeCell ref="A306:C306"/>
    <mergeCell ref="H306:J306"/>
    <mergeCell ref="A307:C307"/>
    <mergeCell ref="H307:J307"/>
    <mergeCell ref="A308:C308"/>
    <mergeCell ref="H308:J308"/>
    <mergeCell ref="A309:C309"/>
    <mergeCell ref="H309:J309"/>
    <mergeCell ref="A310:C310"/>
    <mergeCell ref="H310:J310"/>
    <mergeCell ref="A311:C311"/>
    <mergeCell ref="H311:J311"/>
    <mergeCell ref="A312:C312"/>
    <mergeCell ref="H312:J312"/>
    <mergeCell ref="A313:C313"/>
    <mergeCell ref="H313:J313"/>
    <mergeCell ref="A314:C314"/>
    <mergeCell ref="H314:J314"/>
    <mergeCell ref="A315:C315"/>
    <mergeCell ref="H315:J315"/>
    <mergeCell ref="A316:C316"/>
    <mergeCell ref="H316:J316"/>
    <mergeCell ref="A317:C317"/>
    <mergeCell ref="H317:J317"/>
    <mergeCell ref="A318:C318"/>
    <mergeCell ref="H318:J318"/>
    <mergeCell ref="A319:C319"/>
    <mergeCell ref="H319:J319"/>
    <mergeCell ref="A320:C320"/>
    <mergeCell ref="H320:J320"/>
    <mergeCell ref="A321:C321"/>
    <mergeCell ref="H321:J321"/>
    <mergeCell ref="A322:C322"/>
    <mergeCell ref="H322:J322"/>
    <mergeCell ref="A323:C323"/>
    <mergeCell ref="H323:J323"/>
    <mergeCell ref="A324:C324"/>
    <mergeCell ref="H324:J324"/>
    <mergeCell ref="A325:C325"/>
    <mergeCell ref="H325:J325"/>
    <mergeCell ref="A326:C326"/>
    <mergeCell ref="H326:J326"/>
    <mergeCell ref="A327:C327"/>
    <mergeCell ref="H327:J327"/>
    <mergeCell ref="A328:C328"/>
    <mergeCell ref="H328:J328"/>
    <mergeCell ref="A329:C329"/>
    <mergeCell ref="H329:J329"/>
    <mergeCell ref="A330:C330"/>
    <mergeCell ref="H330:J330"/>
    <mergeCell ref="A331:C331"/>
    <mergeCell ref="H331:J331"/>
    <mergeCell ref="A332:C332"/>
    <mergeCell ref="H332:J332"/>
    <mergeCell ref="A333:C333"/>
    <mergeCell ref="H333:J333"/>
    <mergeCell ref="A334:C334"/>
    <mergeCell ref="H334:J334"/>
    <mergeCell ref="A335:M335"/>
    <mergeCell ref="A336:C336"/>
    <mergeCell ref="H336:J336"/>
    <mergeCell ref="A337:C337"/>
    <mergeCell ref="H337:J337"/>
    <mergeCell ref="A338:C338"/>
    <mergeCell ref="H338:J338"/>
    <mergeCell ref="A339:C339"/>
    <mergeCell ref="H339:J339"/>
    <mergeCell ref="A340:C340"/>
    <mergeCell ref="H340:J340"/>
    <mergeCell ref="A341:C341"/>
    <mergeCell ref="H341:J341"/>
    <mergeCell ref="A342:C342"/>
    <mergeCell ref="H342:J342"/>
    <mergeCell ref="A343:C343"/>
    <mergeCell ref="H343:J343"/>
    <mergeCell ref="A344:C344"/>
    <mergeCell ref="H344:J344"/>
    <mergeCell ref="A345:C345"/>
    <mergeCell ref="H345:J345"/>
    <mergeCell ref="A346:C346"/>
    <mergeCell ref="H346:J346"/>
    <mergeCell ref="A347:C347"/>
    <mergeCell ref="H347:J347"/>
    <mergeCell ref="A348:C348"/>
    <mergeCell ref="H348:J348"/>
    <mergeCell ref="A349:C349"/>
    <mergeCell ref="H349:J349"/>
    <mergeCell ref="A350:C350"/>
    <mergeCell ref="H350:J350"/>
    <mergeCell ref="A351:C351"/>
    <mergeCell ref="H351:J351"/>
    <mergeCell ref="A352:C352"/>
    <mergeCell ref="H352:J352"/>
    <mergeCell ref="A353:C353"/>
    <mergeCell ref="H353:J353"/>
    <mergeCell ref="A354:C354"/>
    <mergeCell ref="H354:J354"/>
    <mergeCell ref="A355:C355"/>
    <mergeCell ref="H355:J355"/>
    <mergeCell ref="A356:C356"/>
    <mergeCell ref="H356:J356"/>
    <mergeCell ref="A357:C357"/>
    <mergeCell ref="H357:J357"/>
    <mergeCell ref="A358:C358"/>
    <mergeCell ref="H358:J358"/>
    <mergeCell ref="A359:C359"/>
    <mergeCell ref="H359:J359"/>
    <mergeCell ref="A360:C360"/>
    <mergeCell ref="H360:J360"/>
    <mergeCell ref="A361:C361"/>
    <mergeCell ref="H361:J361"/>
    <mergeCell ref="A362:C362"/>
    <mergeCell ref="H362:J362"/>
    <mergeCell ref="A363:C363"/>
    <mergeCell ref="H363:J363"/>
    <mergeCell ref="A364:C364"/>
    <mergeCell ref="H364:J364"/>
    <mergeCell ref="A365:C365"/>
    <mergeCell ref="H365:J365"/>
    <mergeCell ref="A366:C366"/>
    <mergeCell ref="H366:J366"/>
    <mergeCell ref="A367:C367"/>
    <mergeCell ref="H367:J367"/>
    <mergeCell ref="A368:C368"/>
    <mergeCell ref="H368:J368"/>
    <mergeCell ref="A369:C369"/>
    <mergeCell ref="H369:J369"/>
    <mergeCell ref="A370:C370"/>
    <mergeCell ref="H370:J370"/>
    <mergeCell ref="A371:C371"/>
    <mergeCell ref="H371:J371"/>
    <mergeCell ref="A372:M372"/>
    <mergeCell ref="A373:C373"/>
    <mergeCell ref="H373:J373"/>
    <mergeCell ref="A374:C374"/>
    <mergeCell ref="H374:J374"/>
    <mergeCell ref="A375:C375"/>
    <mergeCell ref="H375:J375"/>
    <mergeCell ref="A376:C376"/>
    <mergeCell ref="H376:J376"/>
    <mergeCell ref="A377:C377"/>
    <mergeCell ref="H377:J377"/>
    <mergeCell ref="A378:C378"/>
    <mergeCell ref="H378:J378"/>
    <mergeCell ref="A379:C379"/>
    <mergeCell ref="H379:J379"/>
    <mergeCell ref="A380:C380"/>
    <mergeCell ref="H380:J380"/>
    <mergeCell ref="A381:C381"/>
    <mergeCell ref="H381:J381"/>
    <mergeCell ref="A382:C382"/>
    <mergeCell ref="H382:J382"/>
    <mergeCell ref="A383:C383"/>
    <mergeCell ref="H383:J383"/>
    <mergeCell ref="A384:C384"/>
    <mergeCell ref="H384:J384"/>
    <mergeCell ref="A385:C385"/>
    <mergeCell ref="H385:J385"/>
    <mergeCell ref="A386:C386"/>
    <mergeCell ref="H386:J386"/>
    <mergeCell ref="A387:C387"/>
    <mergeCell ref="H387:J387"/>
    <mergeCell ref="A388:C388"/>
    <mergeCell ref="H388:J388"/>
    <mergeCell ref="A389:C389"/>
    <mergeCell ref="H389:J389"/>
    <mergeCell ref="A390:C390"/>
    <mergeCell ref="H390:J390"/>
    <mergeCell ref="A391:C391"/>
    <mergeCell ref="H391:J391"/>
    <mergeCell ref="A392:C392"/>
    <mergeCell ref="H392:J392"/>
    <mergeCell ref="A393:C393"/>
    <mergeCell ref="H393:J393"/>
    <mergeCell ref="A394:C394"/>
    <mergeCell ref="H394:J394"/>
    <mergeCell ref="A395:C395"/>
    <mergeCell ref="H395:J395"/>
    <mergeCell ref="A396:C396"/>
    <mergeCell ref="H396:J396"/>
    <mergeCell ref="A397:C397"/>
    <mergeCell ref="H397:J397"/>
    <mergeCell ref="A398:C398"/>
    <mergeCell ref="H398:J398"/>
    <mergeCell ref="A399:C399"/>
    <mergeCell ref="H399:J399"/>
    <mergeCell ref="A400:C400"/>
    <mergeCell ref="H400:J400"/>
    <mergeCell ref="A401:C401"/>
    <mergeCell ref="H401:J401"/>
    <mergeCell ref="A402:C402"/>
    <mergeCell ref="H402:J402"/>
    <mergeCell ref="A403:C403"/>
    <mergeCell ref="H403:J403"/>
    <mergeCell ref="A404:C404"/>
    <mergeCell ref="H404:J404"/>
    <mergeCell ref="A405:C405"/>
    <mergeCell ref="H405:J405"/>
    <mergeCell ref="A406:C406"/>
    <mergeCell ref="H406:J406"/>
    <mergeCell ref="A407:C407"/>
    <mergeCell ref="H407:J407"/>
    <mergeCell ref="A408:C408"/>
    <mergeCell ref="H408:J408"/>
    <mergeCell ref="A409:M409"/>
    <mergeCell ref="A410:C410"/>
    <mergeCell ref="H410:J410"/>
    <mergeCell ref="A411:C411"/>
    <mergeCell ref="H411:J411"/>
    <mergeCell ref="A412:C412"/>
    <mergeCell ref="H412:J412"/>
    <mergeCell ref="A413:C413"/>
    <mergeCell ref="H413:J413"/>
    <mergeCell ref="A414:C414"/>
    <mergeCell ref="H414:J414"/>
    <mergeCell ref="A415:C415"/>
    <mergeCell ref="H415:J415"/>
    <mergeCell ref="A416:C416"/>
    <mergeCell ref="H416:J416"/>
    <mergeCell ref="A417:C417"/>
    <mergeCell ref="H417:J417"/>
    <mergeCell ref="A418:C418"/>
    <mergeCell ref="D418:E418"/>
    <mergeCell ref="H418:J418"/>
    <mergeCell ref="K418:L418"/>
    <mergeCell ref="A419:C419"/>
    <mergeCell ref="H419:J419"/>
    <mergeCell ref="A420:C420"/>
    <mergeCell ref="H420:J420"/>
    <mergeCell ref="A421:C421"/>
    <mergeCell ref="H421:J421"/>
    <mergeCell ref="A422:C422"/>
    <mergeCell ref="H422:J422"/>
    <mergeCell ref="A423:C423"/>
    <mergeCell ref="H423:J423"/>
    <mergeCell ref="A424:C424"/>
    <mergeCell ref="H424:J424"/>
    <mergeCell ref="A425:C425"/>
    <mergeCell ref="H425:J425"/>
    <mergeCell ref="A426:C426"/>
    <mergeCell ref="H426:J426"/>
    <mergeCell ref="A427:C427"/>
    <mergeCell ref="D427:E427"/>
    <mergeCell ref="H427:J427"/>
    <mergeCell ref="K427:L427"/>
    <mergeCell ref="A428:C428"/>
    <mergeCell ref="H428:J428"/>
    <mergeCell ref="A429:C429"/>
    <mergeCell ref="H429:J429"/>
    <mergeCell ref="A430:C430"/>
    <mergeCell ref="H430:J430"/>
    <mergeCell ref="A431:C431"/>
    <mergeCell ref="H431:J431"/>
    <mergeCell ref="A432:C432"/>
    <mergeCell ref="H432:J432"/>
    <mergeCell ref="A433:C433"/>
    <mergeCell ref="H433:J433"/>
    <mergeCell ref="A434:C434"/>
    <mergeCell ref="H434:J434"/>
    <mergeCell ref="A435:C435"/>
    <mergeCell ref="H435:J435"/>
    <mergeCell ref="A436:C436"/>
    <mergeCell ref="D436:E436"/>
    <mergeCell ref="H436:J436"/>
    <mergeCell ref="K436:L436"/>
    <mergeCell ref="A437:C437"/>
    <mergeCell ref="H437:J437"/>
    <mergeCell ref="A438:C438"/>
    <mergeCell ref="H438:J438"/>
    <mergeCell ref="A439:C439"/>
    <mergeCell ref="H439:J439"/>
    <mergeCell ref="A440:C440"/>
    <mergeCell ref="H440:J440"/>
    <mergeCell ref="A441:C441"/>
    <mergeCell ref="H441:J441"/>
    <mergeCell ref="A442:C442"/>
    <mergeCell ref="H442:J442"/>
    <mergeCell ref="A443:C443"/>
    <mergeCell ref="H443:J443"/>
    <mergeCell ref="A444:C444"/>
    <mergeCell ref="H444:J444"/>
    <mergeCell ref="A445:C445"/>
    <mergeCell ref="D445:E445"/>
    <mergeCell ref="H445:J445"/>
    <mergeCell ref="K445:L445"/>
    <mergeCell ref="A446:M446"/>
    <mergeCell ref="A447:C447"/>
    <mergeCell ref="H447:J447"/>
    <mergeCell ref="A448:C448"/>
    <mergeCell ref="H448:J448"/>
    <mergeCell ref="A449:C449"/>
    <mergeCell ref="H449:J449"/>
    <mergeCell ref="A450:C450"/>
    <mergeCell ref="H450:J450"/>
    <mergeCell ref="A451:C451"/>
    <mergeCell ref="H451:J451"/>
    <mergeCell ref="A452:C452"/>
    <mergeCell ref="H452:J452"/>
    <mergeCell ref="A453:C453"/>
    <mergeCell ref="H453:J453"/>
    <mergeCell ref="A454:C454"/>
    <mergeCell ref="H454:J454"/>
    <mergeCell ref="A455:C455"/>
    <mergeCell ref="D455:E455"/>
    <mergeCell ref="H455:J455"/>
    <mergeCell ref="K455:L455"/>
    <mergeCell ref="A456:C456"/>
    <mergeCell ref="H456:J456"/>
    <mergeCell ref="A457:C457"/>
    <mergeCell ref="H457:J457"/>
    <mergeCell ref="A458:C458"/>
    <mergeCell ref="H458:J458"/>
    <mergeCell ref="A459:C459"/>
    <mergeCell ref="H459:J459"/>
    <mergeCell ref="A460:C460"/>
    <mergeCell ref="H460:J460"/>
    <mergeCell ref="A461:C461"/>
    <mergeCell ref="H461:J461"/>
    <mergeCell ref="A462:C462"/>
    <mergeCell ref="H462:J462"/>
    <mergeCell ref="A463:C463"/>
    <mergeCell ref="H463:J463"/>
    <mergeCell ref="A464:C464"/>
    <mergeCell ref="D464:E464"/>
    <mergeCell ref="H464:J464"/>
    <mergeCell ref="K464:L464"/>
    <mergeCell ref="A465:C465"/>
    <mergeCell ref="H465:J465"/>
    <mergeCell ref="A466:C466"/>
    <mergeCell ref="H466:J466"/>
    <mergeCell ref="A467:C467"/>
    <mergeCell ref="H467:J467"/>
    <mergeCell ref="A468:C468"/>
    <mergeCell ref="H468:J468"/>
    <mergeCell ref="A469:C469"/>
    <mergeCell ref="H469:J469"/>
    <mergeCell ref="A470:C470"/>
    <mergeCell ref="H470:J470"/>
    <mergeCell ref="A471:C471"/>
    <mergeCell ref="H471:J471"/>
    <mergeCell ref="A472:C472"/>
    <mergeCell ref="H472:J472"/>
    <mergeCell ref="A473:C473"/>
    <mergeCell ref="D473:E473"/>
    <mergeCell ref="H473:J473"/>
    <mergeCell ref="K473:L473"/>
    <mergeCell ref="A474:C474"/>
    <mergeCell ref="H474:J474"/>
    <mergeCell ref="A475:C475"/>
    <mergeCell ref="H475:J475"/>
    <mergeCell ref="A476:C476"/>
    <mergeCell ref="H476:J476"/>
    <mergeCell ref="A477:C477"/>
    <mergeCell ref="H477:J477"/>
    <mergeCell ref="A478:C478"/>
    <mergeCell ref="H478:J478"/>
    <mergeCell ref="A479:C479"/>
    <mergeCell ref="H479:J479"/>
    <mergeCell ref="A480:C480"/>
    <mergeCell ref="H480:J480"/>
    <mergeCell ref="A481:C481"/>
    <mergeCell ref="H481:J481"/>
    <mergeCell ref="A482:C482"/>
    <mergeCell ref="D482:E482"/>
    <mergeCell ref="H482:J482"/>
    <mergeCell ref="K482:L482"/>
    <mergeCell ref="A483:M483"/>
    <mergeCell ref="A484:C484"/>
    <mergeCell ref="H484:J484"/>
    <mergeCell ref="A485:C485"/>
    <mergeCell ref="H485:J485"/>
    <mergeCell ref="A486:C486"/>
    <mergeCell ref="H486:J486"/>
    <mergeCell ref="A487:C487"/>
    <mergeCell ref="H487:J487"/>
    <mergeCell ref="A488:C488"/>
    <mergeCell ref="H488:J488"/>
    <mergeCell ref="A489:C489"/>
    <mergeCell ref="H489:J489"/>
    <mergeCell ref="A490:C490"/>
    <mergeCell ref="H490:J490"/>
    <mergeCell ref="A491:C491"/>
    <mergeCell ref="H491:J491"/>
    <mergeCell ref="A492:C492"/>
    <mergeCell ref="D492:E492"/>
    <mergeCell ref="H492:J492"/>
    <mergeCell ref="K492:L492"/>
    <mergeCell ref="A493:C493"/>
    <mergeCell ref="H493:J493"/>
    <mergeCell ref="A494:C494"/>
    <mergeCell ref="H494:J494"/>
    <mergeCell ref="A495:C495"/>
    <mergeCell ref="H495:J495"/>
    <mergeCell ref="A496:C496"/>
    <mergeCell ref="H496:J496"/>
    <mergeCell ref="A497:C497"/>
    <mergeCell ref="H497:J497"/>
    <mergeCell ref="A498:C498"/>
    <mergeCell ref="H498:J498"/>
    <mergeCell ref="A499:C499"/>
    <mergeCell ref="H499:J499"/>
    <mergeCell ref="A500:C500"/>
    <mergeCell ref="H500:J500"/>
    <mergeCell ref="A501:C501"/>
    <mergeCell ref="D501:E501"/>
    <mergeCell ref="H501:J501"/>
    <mergeCell ref="K501:L501"/>
    <mergeCell ref="A502:C502"/>
    <mergeCell ref="H502:J502"/>
    <mergeCell ref="A503:C503"/>
    <mergeCell ref="H503:J503"/>
    <mergeCell ref="A504:C504"/>
    <mergeCell ref="H504:J504"/>
    <mergeCell ref="A505:C505"/>
    <mergeCell ref="H505:J505"/>
    <mergeCell ref="A506:C506"/>
    <mergeCell ref="H506:J506"/>
    <mergeCell ref="A507:C507"/>
    <mergeCell ref="H507:J507"/>
    <mergeCell ref="A508:C508"/>
    <mergeCell ref="H508:J508"/>
    <mergeCell ref="A509:C509"/>
    <mergeCell ref="H509:J509"/>
    <mergeCell ref="A510:C510"/>
    <mergeCell ref="D510:E510"/>
    <mergeCell ref="H510:J510"/>
    <mergeCell ref="K510:L510"/>
    <mergeCell ref="A511:C511"/>
    <mergeCell ref="H511:J511"/>
    <mergeCell ref="A512:C512"/>
    <mergeCell ref="H512:J512"/>
    <mergeCell ref="A513:C513"/>
    <mergeCell ref="H513:J513"/>
    <mergeCell ref="A514:C514"/>
    <mergeCell ref="H514:J514"/>
    <mergeCell ref="A515:C515"/>
    <mergeCell ref="H515:J515"/>
    <mergeCell ref="A516:C516"/>
    <mergeCell ref="H516:J516"/>
    <mergeCell ref="A517:C517"/>
    <mergeCell ref="H517:J517"/>
    <mergeCell ref="A518:C518"/>
    <mergeCell ref="H518:J518"/>
    <mergeCell ref="A519:C519"/>
    <mergeCell ref="D519:E519"/>
    <mergeCell ref="H519:J519"/>
    <mergeCell ref="K519:L519"/>
    <mergeCell ref="A520:M520"/>
    <mergeCell ref="A521:C521"/>
    <mergeCell ref="H521:J521"/>
    <mergeCell ref="A522:C522"/>
    <mergeCell ref="H522:J522"/>
    <mergeCell ref="A523:C523"/>
    <mergeCell ref="H523:J523"/>
    <mergeCell ref="A524:C524"/>
    <mergeCell ref="H524:J524"/>
    <mergeCell ref="A525:C525"/>
    <mergeCell ref="H525:J525"/>
    <mergeCell ref="A526:C526"/>
    <mergeCell ref="H526:J526"/>
    <mergeCell ref="A527:C527"/>
    <mergeCell ref="H527:J527"/>
    <mergeCell ref="A528:C528"/>
    <mergeCell ref="H528:J528"/>
    <mergeCell ref="A529:C529"/>
    <mergeCell ref="D529:E529"/>
    <mergeCell ref="H529:J529"/>
    <mergeCell ref="K529:L529"/>
    <mergeCell ref="A530:C530"/>
    <mergeCell ref="H530:J530"/>
    <mergeCell ref="A531:C531"/>
    <mergeCell ref="H531:J531"/>
    <mergeCell ref="A532:C532"/>
    <mergeCell ref="H532:J532"/>
    <mergeCell ref="A533:C533"/>
    <mergeCell ref="H533:J533"/>
    <mergeCell ref="A534:C534"/>
    <mergeCell ref="H534:J534"/>
    <mergeCell ref="A535:C535"/>
    <mergeCell ref="H535:J535"/>
    <mergeCell ref="A536:C536"/>
    <mergeCell ref="H536:J536"/>
    <mergeCell ref="A537:C537"/>
    <mergeCell ref="H537:J537"/>
    <mergeCell ref="A538:C538"/>
    <mergeCell ref="D538:E538"/>
    <mergeCell ref="H538:J538"/>
    <mergeCell ref="K538:L538"/>
    <mergeCell ref="A539:C539"/>
    <mergeCell ref="H539:J539"/>
    <mergeCell ref="A540:C540"/>
    <mergeCell ref="H540:J540"/>
    <mergeCell ref="A541:C541"/>
    <mergeCell ref="H541:J541"/>
    <mergeCell ref="A542:C542"/>
    <mergeCell ref="H542:J542"/>
    <mergeCell ref="A543:C543"/>
    <mergeCell ref="H543:J543"/>
    <mergeCell ref="A544:C544"/>
    <mergeCell ref="H544:J544"/>
    <mergeCell ref="A545:C545"/>
    <mergeCell ref="H545:J545"/>
    <mergeCell ref="A546:C546"/>
    <mergeCell ref="H546:J546"/>
    <mergeCell ref="A547:C547"/>
    <mergeCell ref="D547:E547"/>
    <mergeCell ref="H547:J547"/>
    <mergeCell ref="K547:L547"/>
    <mergeCell ref="A548:C548"/>
    <mergeCell ref="H548:J548"/>
    <mergeCell ref="A549:C549"/>
    <mergeCell ref="H549:J549"/>
    <mergeCell ref="A550:C550"/>
    <mergeCell ref="H550:J550"/>
    <mergeCell ref="A551:C551"/>
    <mergeCell ref="H551:J551"/>
    <mergeCell ref="A552:C552"/>
    <mergeCell ref="H552:J552"/>
    <mergeCell ref="A553:C553"/>
    <mergeCell ref="H553:J553"/>
    <mergeCell ref="A554:C554"/>
    <mergeCell ref="H554:J554"/>
    <mergeCell ref="A555:C555"/>
    <mergeCell ref="H555:J555"/>
    <mergeCell ref="A556:C556"/>
    <mergeCell ref="D556:E556"/>
    <mergeCell ref="H556:J556"/>
    <mergeCell ref="K556:L556"/>
    <mergeCell ref="A557:M557"/>
    <mergeCell ref="A558:C558"/>
    <mergeCell ref="H558:J558"/>
    <mergeCell ref="A559:C559"/>
    <mergeCell ref="H559:J559"/>
    <mergeCell ref="A560:C560"/>
    <mergeCell ref="H560:J560"/>
    <mergeCell ref="A561:C561"/>
    <mergeCell ref="H561:J561"/>
    <mergeCell ref="A562:C562"/>
    <mergeCell ref="H562:J562"/>
    <mergeCell ref="A563:C563"/>
    <mergeCell ref="H563:J563"/>
    <mergeCell ref="A564:C564"/>
    <mergeCell ref="H564:J564"/>
    <mergeCell ref="A565:C565"/>
    <mergeCell ref="H565:J565"/>
    <mergeCell ref="A566:C566"/>
    <mergeCell ref="D566:E566"/>
    <mergeCell ref="H566:J566"/>
    <mergeCell ref="K566:L566"/>
    <mergeCell ref="A567:C567"/>
    <mergeCell ref="H567:J567"/>
    <mergeCell ref="A568:C568"/>
    <mergeCell ref="H568:J568"/>
    <mergeCell ref="A569:C569"/>
    <mergeCell ref="H569:J569"/>
    <mergeCell ref="A570:C570"/>
    <mergeCell ref="H570:J570"/>
    <mergeCell ref="A571:C571"/>
    <mergeCell ref="H571:J571"/>
    <mergeCell ref="A572:C572"/>
    <mergeCell ref="H572:J572"/>
    <mergeCell ref="A573:C573"/>
    <mergeCell ref="H573:J573"/>
    <mergeCell ref="A574:C574"/>
    <mergeCell ref="H574:J574"/>
    <mergeCell ref="A575:C575"/>
    <mergeCell ref="D575:E575"/>
    <mergeCell ref="H575:J575"/>
    <mergeCell ref="K575:L575"/>
    <mergeCell ref="A576:C576"/>
    <mergeCell ref="H576:J576"/>
    <mergeCell ref="A577:C577"/>
    <mergeCell ref="H577:J577"/>
    <mergeCell ref="A578:C578"/>
    <mergeCell ref="H578:J578"/>
    <mergeCell ref="A579:C579"/>
    <mergeCell ref="H579:J579"/>
    <mergeCell ref="A580:C580"/>
    <mergeCell ref="H580:J580"/>
    <mergeCell ref="A581:C581"/>
    <mergeCell ref="H581:J581"/>
    <mergeCell ref="A582:C582"/>
    <mergeCell ref="H582:J582"/>
    <mergeCell ref="A583:C583"/>
    <mergeCell ref="H583:J583"/>
    <mergeCell ref="A584:C584"/>
    <mergeCell ref="D584:E584"/>
    <mergeCell ref="H584:J584"/>
    <mergeCell ref="K584:L584"/>
    <mergeCell ref="A585:C585"/>
    <mergeCell ref="H585:J585"/>
    <mergeCell ref="A586:C586"/>
    <mergeCell ref="H586:J586"/>
    <mergeCell ref="A587:C587"/>
    <mergeCell ref="H587:J587"/>
    <mergeCell ref="A588:C588"/>
    <mergeCell ref="H588:J588"/>
    <mergeCell ref="A589:C589"/>
    <mergeCell ref="H589:J589"/>
    <mergeCell ref="A590:C590"/>
    <mergeCell ref="H590:J590"/>
    <mergeCell ref="A591:C591"/>
    <mergeCell ref="H591:J591"/>
    <mergeCell ref="A592:C592"/>
    <mergeCell ref="H592:J592"/>
    <mergeCell ref="A593:C593"/>
    <mergeCell ref="D593:E593"/>
    <mergeCell ref="H593:J593"/>
    <mergeCell ref="K593:L593"/>
    <mergeCell ref="A594:M594"/>
    <mergeCell ref="A595:C595"/>
    <mergeCell ref="H595:J595"/>
    <mergeCell ref="A596:C596"/>
    <mergeCell ref="H596:J596"/>
    <mergeCell ref="A597:C597"/>
    <mergeCell ref="H597:J597"/>
    <mergeCell ref="A598:C598"/>
    <mergeCell ref="H598:J598"/>
    <mergeCell ref="A599:C599"/>
    <mergeCell ref="H599:J599"/>
    <mergeCell ref="A600:C600"/>
    <mergeCell ref="H600:J600"/>
    <mergeCell ref="A601:C601"/>
    <mergeCell ref="H601:J601"/>
    <mergeCell ref="A602:C602"/>
    <mergeCell ref="H602:J602"/>
    <mergeCell ref="A603:C603"/>
    <mergeCell ref="D603:E603"/>
    <mergeCell ref="H603:J603"/>
    <mergeCell ref="K603:L603"/>
    <mergeCell ref="A604:C604"/>
    <mergeCell ref="H604:J604"/>
    <mergeCell ref="A605:C605"/>
    <mergeCell ref="H605:J605"/>
    <mergeCell ref="A606:C606"/>
    <mergeCell ref="H606:J606"/>
    <mergeCell ref="A607:C607"/>
    <mergeCell ref="H607:J607"/>
    <mergeCell ref="A608:C608"/>
    <mergeCell ref="H608:J608"/>
    <mergeCell ref="A609:C609"/>
    <mergeCell ref="H609:J609"/>
    <mergeCell ref="A610:C610"/>
    <mergeCell ref="H610:J610"/>
    <mergeCell ref="A611:C611"/>
    <mergeCell ref="H611:J611"/>
    <mergeCell ref="A612:C612"/>
    <mergeCell ref="D612:E612"/>
    <mergeCell ref="H612:J612"/>
    <mergeCell ref="K612:L612"/>
    <mergeCell ref="A613:C613"/>
    <mergeCell ref="H613:J613"/>
    <mergeCell ref="A614:C614"/>
    <mergeCell ref="H614:J614"/>
    <mergeCell ref="A615:C615"/>
    <mergeCell ref="H615:J615"/>
    <mergeCell ref="A616:C616"/>
    <mergeCell ref="H616:J616"/>
    <mergeCell ref="A617:C617"/>
    <mergeCell ref="H617:J617"/>
    <mergeCell ref="A618:C618"/>
    <mergeCell ref="H618:J618"/>
    <mergeCell ref="A619:C619"/>
    <mergeCell ref="H619:J619"/>
    <mergeCell ref="A620:C620"/>
    <mergeCell ref="H620:J620"/>
    <mergeCell ref="A621:C621"/>
    <mergeCell ref="D621:E621"/>
    <mergeCell ref="H621:J621"/>
    <mergeCell ref="K621:L621"/>
    <mergeCell ref="A622:C622"/>
    <mergeCell ref="H622:J622"/>
    <mergeCell ref="A623:C623"/>
    <mergeCell ref="H623:J623"/>
    <mergeCell ref="A624:C624"/>
    <mergeCell ref="H624:J624"/>
    <mergeCell ref="A625:C625"/>
    <mergeCell ref="H625:J625"/>
    <mergeCell ref="A626:C626"/>
    <mergeCell ref="H626:J626"/>
    <mergeCell ref="A627:C627"/>
    <mergeCell ref="H627:J627"/>
    <mergeCell ref="A628:C628"/>
    <mergeCell ref="H628:J628"/>
    <mergeCell ref="A629:C629"/>
    <mergeCell ref="H629:J629"/>
    <mergeCell ref="A630:C630"/>
    <mergeCell ref="D630:E630"/>
    <mergeCell ref="H630:J630"/>
    <mergeCell ref="K630:L630"/>
  </mergeCells>
  <dataValidations count="14">
    <dataValidation allowBlank="true" operator="between" showDropDown="false" showErrorMessage="false" showInputMessage="false" sqref="H23:H28 A106:A111 H134:H139 H180:H185 A217:A222 H245:H250 H264:H269 A328:A333 H347:H352 A393:A398 A430:A435 H467:H472 H513:H518 A550:A555 A560:A565 H624:H629" type="list">
      <formula1>Source!$V$62:$V$72</formula1>
      <formula2>0</formula2>
    </dataValidation>
    <dataValidation allowBlank="true" operator="between" showDropDown="false" showErrorMessage="false" showInputMessage="false" sqref="E153:E158 L153:L158 E162:E167 L162:L167 E171:E176 L171:L176 E199:E204 L199:L204 E208:E213 L208:L213 E217:E222 L217:L222 E227:E232 L227:L232 E236:E241 L236:L241 E245:E250 L245:L250 E254:E259 L254:L259 E264:E269 L264:L269 E273:E278 L273:L278 E291:E296 L291:L296 E301:E306 L301:L306 E310:E315 L310:L315 E319:E324 L319:L324 E328:E333 L328:L333 E338:E343 L338:L343 E347:E352 L347:L352 E356:E361 L356:L361 E365:E370 L365:L370 E375:E380 L375:L380 E384:E389 L384:L389 E393:E398 L393:L398 E402:E407 L402:L407" type="list">
      <formula1>"0,1"</formula1>
      <formula2>0</formula2>
    </dataValidation>
    <dataValidation allowBlank="true" operator="between" showDropDown="false" showErrorMessage="false" showInputMessage="false" sqref="H14:H19 H69:H74 H88:H93 A143:A148 A153:A158 H217:H222 A236:A241 A291:A296 A310:A315 A365:A370 H375:H380 H439:H444 H458:H463 A513:A518 H532:H537 H587:H592 A597:A602" type="list">
      <formula1>Source!$V$7:$V$17</formula1>
      <formula2>0</formula2>
    </dataValidation>
    <dataValidation allowBlank="true" operator="between" showDropDown="false" showErrorMessage="true" showInputMessage="false" sqref="D153:D158 K153:K158 D162:D167 K162:K167 D171:D176 K171:K176 D199:D204 K199:K204 D208:D213 K208:K213 D217:D222 K217:K222 D227:D232 K227:K232 D236:D241 K236:K241 D245:D250 K245:K250 D254:D259 K254:K259 D264:D269 K264:K269 D273:D278 K273:K278 D291:D296 K291:K296 D301:D306 K301:K306 D310:D315 K310:K315 D319:D324 K319:K324 D328:D333 K328:K333 D338:D343 K338:K343 D347:D352 K347:K352 D356:D361 K356:K361 D365:D370 K365:K370 D375:D380 K375:K380 D384:D389 K384:K389 D393:D398 K393:K398 D402:D407 K402:K407 D411:E417 K411:L417 D420:E426 K420:L426 D429:E435 K429:L435 D438:E444 K438:L444 D448:E454 K448:L454 D457:E463 K457:L463 D466:E472 K466:L472 D475:E481 K475:L481 D485:E491 K485:L491 D494:E500 K494:L500 D503:E509 K503:L509 D512:E518 K512:L518 D522:E528 K522:L528 D531:E537 K531:L537 D540:E546 K540:L546 D549:E555 K549:L555 D559:E565 K559:L565 D568:E574 K568:L574 D577:E583 K577:L583 D586:E592 K586:L592 D596:E602 K596:L602 D605:E611 K605:L611 D614:E620 K614:L620 D623:E629 K623:L629" type="list">
      <formula1>"0,1,2,3,4,5,6"</formula1>
      <formula2>0</formula2>
    </dataValidation>
    <dataValidation allowBlank="true" operator="between" showDropDown="false" showErrorMessage="false" showInputMessage="false" sqref="A23:A28 H97:H102 H125:H130 H171:H176 A208:A213 A245:A250 H291:H296 A319:A324 H338:H343 H402:H407 A421:A426 A467:A472 H504:H509 A541:A546 A587:A592 H615:H620" type="list">
      <formula1>Source!$V$51:$V$61</formula1>
      <formula2>0</formula2>
    </dataValidation>
    <dataValidation allowBlank="true" operator="between" showDropDown="false" showErrorMessage="false" showInputMessage="false" sqref="A42:A47 H42:H47 A51:A56 H51:H56 A60:A65 H60:H65" type="list">
      <formula1>Pokedex!$B$2:$B$610</formula1>
      <formula2>0</formula2>
    </dataValidation>
    <dataValidation allowBlank="true" operator="between" showDropDown="false" showErrorMessage="true" showInputMessage="false" sqref="A159 H159 A177 H177 A214 H214 A223 H223 A242 H242 A251 H251 A260 H260 A297 H297 A316 H316 A325 H325 A334 H334 A344 H344 A353 H353 A362 H362 A371 H371 A381 H381 A390 H390 A408 H408 A418 H418 A427 H427 A436 H436 A445 H445 A455 H455 A464 H464 A473 H473 A482 H482 A492 H492 A501 H501 A510 H510 A519 H519 A529 H529 A538 H538 A547 H547 A556 H556 A566 H566 A575 H575 A584 H584 A593 H593 A603 H603 A612 H612 A621 H621 A630 H630" type="list">
      <formula1>"WIN,LOSE,DNP"</formula1>
      <formula2>0</formula2>
    </dataValidation>
    <dataValidation allowBlank="true" operator="between" showDropDown="false" showErrorMessage="false" showInputMessage="false" sqref="A168 H168 A205 H205 A233 H233 A270 H270 A279 H279 A307 H307 A399 H399" type="list">
      <formula1>"WIN,LOSE"</formula1>
      <formula2>0</formula2>
    </dataValidation>
    <dataValidation allowBlank="true" operator="between" showDropDown="false" showErrorMessage="false" showInputMessage="false" sqref="H32:H37 A69:A74 H106:H111 H116:H121 A171:A176 A199:A204 A254:A259 H282:H287 H328:H333 H365:H370 A402:A407 A412:A417 H476:H481 H495:H500 H550:H555 A578:A583 A615:A620" type="list">
      <formula1>Source!$V$84:$V$94</formula1>
      <formula2>0</formula2>
    </dataValidation>
    <dataValidation allowBlank="true" operator="between" showDropDown="false" showErrorMessage="false" showInputMessage="false" sqref="A32:A37 A97:A102 H143:H148 A180:A185 H190:H195 H254:H259 H273:H278 H319:H324 H356:H361 H393:H398 A439:A444 A476:A481 H486:H491 H541:H546 A569:A574 A624:A629" type="list">
      <formula1>Source!$V$73:$V$83</formula1>
      <formula2>0</formula2>
    </dataValidation>
    <dataValidation allowBlank="true" operator="between" showDropDown="false" showErrorMessage="false" showInputMessage="false" sqref="H5:H10 A88:A93 A134:A139 H162:H167 H208:H213 A227:A232 A282:A287 H310:H315 A356:A361 A384:A389 H430:H435 H449:H454 A504:A509 A532:A537 H578:H583 H606:H611" type="list">
      <formula1>Source!$V$29:$V$39</formula1>
      <formula2>0</formula2>
    </dataValidation>
    <dataValidation allowBlank="true" operator="between" showDropDown="false" showErrorMessage="false" showInputMessage="false" sqref="A5:A10 A79:A84 A116:A121 H153:H158 A190:A195 H227:H232 A264:A269 H301:H306 A338:A343 A375:A380 H412:H417 A449:A454 A486:A491 A523:A528 H560:H565 H597:H602" type="list">
      <formula1>Source!$V$40:$V$50</formula1>
      <formula2>0</formula2>
    </dataValidation>
    <dataValidation allowBlank="true" operator="between" showDropDown="false" showErrorMessage="false" showInputMessage="false" sqref="A14:A19 H79:H84 A125:A130 A162:A167 H199:H204 H236:H241 A273:A278 A301:A306 A347:A352 H384:H389 H421:H426 A458:A463 A495:A500 H523:H528 H569:H574 A606:A611" type="list">
      <formula1>Source!$V$18:$V$28</formula1>
      <formula2>0</formula2>
    </dataValidation>
    <dataValidation allowBlank="true" operator="between" showDropDown="false" showErrorMessage="false" showInputMessage="false" sqref="D152:E152 K152:L152 D161:E161 K161:L161 D170:E170 K170:L170 D198:E198 K198:L198 D207:E207 K207:L207 D216:E216 K216:L216 D226:E226 K226:L226 D235:E235 K235:L235 D244:E244 K244:L244 D253:E253 K253:L253 D263:E263 K263:L263 D272:E272 K272:L272 D290:E290 K290:L290 D300:E300 K300:L300 D309:E309 K309:L309 D318:E318 K318:L318 D327:E327 K327:L327 D337:E337 K337:L337 D346:E346 K346:L346 D355:E355 K355:L355 D364:E364 K364:L364 D374:E374 K374:L374 D383:E383 K383:L383 D392:E392 K392:L392 D401:E401 K401:L401" type="list">
      <formula1>"0,1,2,3,4,5,6"</formula1>
      <formula2>0</formula2>
    </dataValidation>
  </dataValidations>
  <printOptions headings="false" gridLines="false" gridLinesSet="true" horizontalCentered="false" verticalCentered="false"/>
  <pageMargins left="0.747916666666667" right="0.747916666666667" top="0.984027777777778" bottom="0.984027777777778" header="0.511805555555555" footer="0.511805555555555"/>
  <pageSetup paperSize="1" scale="100" firstPageNumber="0" fitToWidth="1" fitToHeight="1" pageOrder="downThenOver" orientation="portrait" usePrinterDefaults="false" blackAndWhite="false" draft="false" cellComments="none" useFirstPageNumber="false" horizontalDpi="300" verticalDpi="300" copies="1"/>
  <headerFooter differentFirst="false" differentOddEven="false">
    <oddHeader/>
    <oddFooter/>
  </headerFooter>
</worksheet>
</file>

<file path=xl/worksheets/sheet10.xml><?xml version="1.0" encoding="utf-8"?>
<worksheet xmlns="http://schemas.openxmlformats.org/spreadsheetml/2006/main" xmlns:r="http://schemas.openxmlformats.org/officeDocument/2006/relationships">
  <sheetPr filterMode="false">
    <pageSetUpPr fitToPage="false"/>
  </sheetPr>
  <dimension ref="A1:M226"/>
  <sheetViews>
    <sheetView windowProtection="false"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A1" activeCellId="0" sqref="A1"/>
    </sheetView>
  </sheetViews>
  <sheetFormatPr defaultRowHeight="15.75"/>
  <cols>
    <col collapsed="false" hidden="false" max="12" min="1" style="0" width="7.1530612244898"/>
    <col collapsed="false" hidden="true" max="13" min="13" style="0" width="0"/>
    <col collapsed="false" hidden="false" max="1025" min="14" style="0" width="14.1734693877551"/>
  </cols>
  <sheetData>
    <row r="1" customFormat="false" ht="15.75" hidden="false" customHeight="false" outlineLevel="0" collapsed="false">
      <c r="A1" s="692" t="s">
        <v>2021</v>
      </c>
      <c r="B1" s="692"/>
      <c r="C1" s="692"/>
      <c r="D1" s="692"/>
      <c r="E1" s="692"/>
      <c r="F1" s="692"/>
      <c r="G1" s="692"/>
      <c r="H1" s="692"/>
      <c r="I1" s="692"/>
      <c r="J1" s="692"/>
      <c r="K1" s="692"/>
      <c r="L1" s="692"/>
      <c r="M1" s="693" t="s">
        <v>703</v>
      </c>
    </row>
    <row r="2" customFormat="false" ht="15.75" hidden="false" customHeight="false" outlineLevel="0" collapsed="false">
      <c r="A2" s="279" t="s">
        <v>190</v>
      </c>
      <c r="B2" s="280" t="s">
        <v>175</v>
      </c>
      <c r="C2" s="280" t="s">
        <v>176</v>
      </c>
      <c r="D2" s="280"/>
      <c r="E2" s="280"/>
      <c r="F2" s="694" t="s">
        <v>5</v>
      </c>
      <c r="G2" s="695" t="s">
        <v>6</v>
      </c>
      <c r="H2" s="283" t="s">
        <v>170</v>
      </c>
      <c r="I2" s="696" t="s">
        <v>191</v>
      </c>
      <c r="J2" s="284" t="s">
        <v>7</v>
      </c>
      <c r="K2" s="285" t="s">
        <v>192</v>
      </c>
      <c r="L2" s="697" t="s">
        <v>190</v>
      </c>
      <c r="M2" s="198" t="str">
        <f aca="false">BBG!$L$1</f>
        <v>BBG</v>
      </c>
    </row>
    <row r="3" customFormat="false" ht="15.75" hidden="false" customHeight="false" outlineLevel="0" collapsed="false">
      <c r="A3" s="698" t="n">
        <v>1</v>
      </c>
      <c r="B3" s="699" t="str">
        <f aca="false">IFERROR(__xludf.dummyfunction("if(isna(SORT(FILTER(Pokedex!A2:I610,Pokedex!H2:H610&gt;0),FILTER(Pokedex!E2:E610,Pokedex!H2:H610&gt;0),FALSE,FILTER(Pokedex!G2:G610,Pokedex!H2:H610&gt;0),FALSE,FILTER(Pokedex!H2:H610,Pokedex!H2:H610&gt;0),TRUE,FILTER(Pokedex!I2:I610,Pokedex!H2:H610&gt;0),FALSE,FILTER(Po"&amp;"kedex!F2:F610,Pokedex!H2:H610&gt;0),TRUE,FILTER(Pokedex!B2:B610,Pokedex!H2:H610&gt;0),TRUE)),""NO GAMES PLAYED"",SORT(FILTER(Pokedex!A2:I610,Pokedex!H2:H610&gt;0),FILTER(Pokedex!E2:E610,Pokedex!H2:H610&gt;0),FALSE,FILTER(Pokedex!G2:G610,Pokedex!H2:H610&gt;0),FALSE,FILTE"&amp;"R(Pokedex!H2:H610,Pokedex!H2:H610&gt;0),TRUE,FILTER(Pokedex!I2:I610,Pokedex!H2:H610&gt;0),FALSE,FILTER(Pokedex!F2:F610,Pokedex!H2:H610&gt;0),TRUE,FILTER(Pokedex!B2:B610,Pokedex!H2:H610&gt;0),TRUE))"),"KKS")</f>
        <v>KKS</v>
      </c>
      <c r="C3" s="700" t="s">
        <v>88</v>
      </c>
      <c r="D3" s="700"/>
      <c r="E3" s="700"/>
      <c r="F3" s="701" t="n">
        <v>13</v>
      </c>
      <c r="G3" s="702" t="n">
        <v>5</v>
      </c>
      <c r="H3" s="703" t="n">
        <v>8</v>
      </c>
      <c r="I3" s="704" t="n">
        <v>8</v>
      </c>
      <c r="J3" s="705" t="n">
        <v>7</v>
      </c>
      <c r="K3" s="705" t="n">
        <f aca="false" t="array" ref="K3:K3">IF(ISNA(INDEX(Pokedex!K$2:K$610,MATCH($C3,Pokedex!$B$2:$B$610,0))),"",INDEX(Pokedex!K$2:K$610,MATCH($C3,Pokedex!$B$2:$B$610,0)))</f>
        <v>27</v>
      </c>
      <c r="L3" s="706" t="n">
        <v>1</v>
      </c>
      <c r="M3" s="198" t="str">
        <f aca="false">SEA!$L$1</f>
        <v>SEA</v>
      </c>
    </row>
    <row r="4" customFormat="false" ht="15.75" hidden="false" customHeight="false" outlineLevel="0" collapsed="false">
      <c r="A4" s="707" t="n">
        <f aca="false">A3+1</f>
        <v>2</v>
      </c>
      <c r="B4" s="708" t="s">
        <v>705</v>
      </c>
      <c r="C4" s="709" t="s">
        <v>94</v>
      </c>
      <c r="D4" s="709"/>
      <c r="E4" s="709"/>
      <c r="F4" s="710" t="n">
        <v>12</v>
      </c>
      <c r="G4" s="711" t="n">
        <v>4</v>
      </c>
      <c r="H4" s="712" t="n">
        <v>8</v>
      </c>
      <c r="I4" s="713" t="n">
        <v>7</v>
      </c>
      <c r="J4" s="714" t="n">
        <v>4</v>
      </c>
      <c r="K4" s="714" t="n">
        <f aca="false" t="array" ref="K4:K4">IF(ISNA(INDEX(Pokedex!K$2:K$610,MATCH($C4,Pokedex!$B$2:$B$610,0))),"",INDEX(Pokedex!K$2:K$610,MATCH($C4,Pokedex!$B$2:$B$610,0)))</f>
        <v>48</v>
      </c>
      <c r="L4" s="715" t="n">
        <f aca="false">L3+1</f>
        <v>2</v>
      </c>
      <c r="M4" s="198" t="str">
        <f aca="false">JVJ!$L$1</f>
        <v>JVJ</v>
      </c>
    </row>
    <row r="5" customFormat="false" ht="15.75" hidden="false" customHeight="false" outlineLevel="0" collapsed="false">
      <c r="A5" s="716" t="n">
        <f aca="false">A4+1</f>
        <v>3</v>
      </c>
      <c r="B5" s="717" t="s">
        <v>714</v>
      </c>
      <c r="C5" s="718" t="s">
        <v>89</v>
      </c>
      <c r="D5" s="718"/>
      <c r="E5" s="718"/>
      <c r="F5" s="719" t="n">
        <v>10</v>
      </c>
      <c r="G5" s="720" t="n">
        <v>2</v>
      </c>
      <c r="H5" s="721" t="n">
        <v>8</v>
      </c>
      <c r="I5" s="722" t="n">
        <v>6</v>
      </c>
      <c r="J5" s="723" t="n">
        <v>4</v>
      </c>
      <c r="K5" s="723" t="n">
        <f aca="false" t="array" ref="K5:K5">IF(ISNA(INDEX(Pokedex!K$2:K$610,MATCH($C5,Pokedex!$B$2:$B$610,0))),"",INDEX(Pokedex!K$2:K$610,MATCH($C5,Pokedex!$B$2:$B$610,0)))</f>
        <v>49</v>
      </c>
      <c r="L5" s="724" t="n">
        <f aca="false">L4+1</f>
        <v>3</v>
      </c>
      <c r="M5" s="198" t="str">
        <f aca="false">KKS!$L$1</f>
        <v>KKS</v>
      </c>
    </row>
    <row r="6" customFormat="false" ht="15.75" hidden="false" customHeight="false" outlineLevel="0" collapsed="false">
      <c r="A6" s="24" t="n">
        <f aca="false">A5+1</f>
        <v>4</v>
      </c>
      <c r="B6" s="725" t="s">
        <v>711</v>
      </c>
      <c r="C6" s="313" t="s">
        <v>23</v>
      </c>
      <c r="D6" s="313"/>
      <c r="E6" s="313"/>
      <c r="F6" s="312" t="n">
        <v>8</v>
      </c>
      <c r="G6" s="726" t="n">
        <v>3</v>
      </c>
      <c r="H6" s="314" t="n">
        <v>5</v>
      </c>
      <c r="I6" s="51" t="n">
        <v>7</v>
      </c>
      <c r="J6" s="727" t="n">
        <v>5</v>
      </c>
      <c r="K6" s="727" t="n">
        <f aca="false" t="array" ref="K6:K6">IF(ISNA(INDEX(Pokedex!K$2:K$610,MATCH($C6,Pokedex!$B$2:$B$610,0))),"",INDEX(Pokedex!K$2:K$610,MATCH($C6,Pokedex!$B$2:$B$610,0)))</f>
        <v>23</v>
      </c>
      <c r="L6" s="48" t="n">
        <f aca="false">L5+1</f>
        <v>4</v>
      </c>
      <c r="M6" s="204" t="str">
        <f aca="false">LVC!$L$1</f>
        <v>LVC</v>
      </c>
    </row>
    <row r="7" customFormat="false" ht="15.75" hidden="false" customHeight="false" outlineLevel="0" collapsed="false">
      <c r="A7" s="24" t="n">
        <f aca="false">A6+1</f>
        <v>5</v>
      </c>
      <c r="B7" s="725" t="s">
        <v>711</v>
      </c>
      <c r="C7" s="313" t="s">
        <v>85</v>
      </c>
      <c r="D7" s="313"/>
      <c r="E7" s="313"/>
      <c r="F7" s="312" t="n">
        <v>8</v>
      </c>
      <c r="G7" s="726" t="n">
        <v>6</v>
      </c>
      <c r="H7" s="314" t="n">
        <v>2</v>
      </c>
      <c r="I7" s="51" t="n">
        <v>11</v>
      </c>
      <c r="J7" s="727" t="n">
        <v>9</v>
      </c>
      <c r="K7" s="727" t="n">
        <f aca="false" t="array" ref="K7:K7">IF(ISNA(INDEX(Pokedex!K$2:K$610,MATCH($C7,Pokedex!$B$2:$B$610,0))),"",INDEX(Pokedex!K$2:K$610,MATCH($C7,Pokedex!$B$2:$B$610,0)))</f>
        <v>9</v>
      </c>
      <c r="L7" s="48" t="n">
        <f aca="false">L6+1</f>
        <v>5</v>
      </c>
      <c r="M7" s="204" t="str">
        <f aca="false">BTB!$L$1</f>
        <v>BTB</v>
      </c>
    </row>
    <row r="8" customFormat="false" ht="15.75" hidden="false" customHeight="false" outlineLevel="0" collapsed="false">
      <c r="A8" s="24" t="n">
        <f aca="false">A7+1</f>
        <v>6</v>
      </c>
      <c r="B8" s="725" t="s">
        <v>718</v>
      </c>
      <c r="C8" s="313" t="s">
        <v>58</v>
      </c>
      <c r="D8" s="313"/>
      <c r="E8" s="313"/>
      <c r="F8" s="312" t="n">
        <v>8</v>
      </c>
      <c r="G8" s="726" t="n">
        <v>7</v>
      </c>
      <c r="H8" s="314" t="n">
        <v>1</v>
      </c>
      <c r="I8" s="51" t="n">
        <v>7</v>
      </c>
      <c r="J8" s="727" t="n">
        <v>4</v>
      </c>
      <c r="K8" s="727" t="n">
        <f aca="false" t="array" ref="K8:K8">IF(ISNA(INDEX(Pokedex!K$2:K$610,MATCH($C8,Pokedex!$B$2:$B$610,0))),"",INDEX(Pokedex!K$2:K$610,MATCH($C8,Pokedex!$B$2:$B$610,0)))</f>
        <v>4</v>
      </c>
      <c r="L8" s="48" t="n">
        <f aca="false">L7+1</f>
        <v>6</v>
      </c>
      <c r="M8" s="204" t="str">
        <f aca="false">SGP!$L$1</f>
        <v>SGP</v>
      </c>
    </row>
    <row r="9" customFormat="false" ht="15.75" hidden="false" customHeight="false" outlineLevel="0" collapsed="false">
      <c r="A9" s="24" t="n">
        <f aca="false">A8+1</f>
        <v>7</v>
      </c>
      <c r="B9" s="725" t="s">
        <v>255</v>
      </c>
      <c r="C9" s="313" t="s">
        <v>14</v>
      </c>
      <c r="D9" s="313"/>
      <c r="E9" s="313"/>
      <c r="F9" s="312" t="n">
        <v>7</v>
      </c>
      <c r="G9" s="726" t="n">
        <v>2</v>
      </c>
      <c r="H9" s="314" t="n">
        <v>5</v>
      </c>
      <c r="I9" s="51" t="n">
        <v>5</v>
      </c>
      <c r="J9" s="727" t="n">
        <v>4</v>
      </c>
      <c r="K9" s="727" t="n">
        <f aca="false" t="array" ref="K9:K9">IF(ISNA(INDEX(Pokedex!K$2:K$610,MATCH($C9,Pokedex!$B$2:$B$610,0))),"",INDEX(Pokedex!K$2:K$610,MATCH($C9,Pokedex!$B$2:$B$610,0)))</f>
        <v>13</v>
      </c>
      <c r="L9" s="48" t="n">
        <f aca="false">L8+1</f>
        <v>7</v>
      </c>
      <c r="M9" s="384" t="str">
        <f aca="false">FTT!$L$1</f>
        <v>FTT</v>
      </c>
    </row>
    <row r="10" customFormat="false" ht="15.75" hidden="false" customHeight="false" outlineLevel="0" collapsed="false">
      <c r="A10" s="24" t="n">
        <f aca="false">A9+1</f>
        <v>8</v>
      </c>
      <c r="B10" s="725" t="s">
        <v>705</v>
      </c>
      <c r="C10" s="313" t="s">
        <v>32</v>
      </c>
      <c r="D10" s="313"/>
      <c r="E10" s="313"/>
      <c r="F10" s="312" t="n">
        <v>7</v>
      </c>
      <c r="G10" s="726" t="n">
        <v>2</v>
      </c>
      <c r="H10" s="314" t="n">
        <v>5</v>
      </c>
      <c r="I10" s="51" t="n">
        <v>6</v>
      </c>
      <c r="J10" s="727" t="n">
        <v>4</v>
      </c>
      <c r="K10" s="727" t="n">
        <f aca="false" t="array" ref="K10:K10">IF(ISNA(INDEX(Pokedex!K$2:K$610,MATCH($C10,Pokedex!$B$2:$B$610,0))),"",INDEX(Pokedex!K$2:K$610,MATCH($C10,Pokedex!$B$2:$B$610,0)))</f>
        <v>44</v>
      </c>
      <c r="L10" s="48" t="n">
        <f aca="false">L9+1</f>
        <v>8</v>
      </c>
      <c r="M10" s="93"/>
    </row>
    <row r="11" customFormat="false" ht="15.75" hidden="false" customHeight="false" outlineLevel="0" collapsed="false">
      <c r="A11" s="24" t="n">
        <f aca="false">A10+1</f>
        <v>9</v>
      </c>
      <c r="B11" s="725" t="s">
        <v>725</v>
      </c>
      <c r="C11" s="313" t="s">
        <v>74</v>
      </c>
      <c r="D11" s="313"/>
      <c r="E11" s="313"/>
      <c r="F11" s="312" t="n">
        <v>7</v>
      </c>
      <c r="G11" s="726" t="n">
        <v>5</v>
      </c>
      <c r="H11" s="314" t="n">
        <v>2</v>
      </c>
      <c r="I11" s="51" t="n">
        <v>6</v>
      </c>
      <c r="J11" s="727" t="n">
        <v>1</v>
      </c>
      <c r="K11" s="727" t="n">
        <f aca="false" t="array" ref="K11:K11">IF(ISNA(INDEX(Pokedex!K$2:K$610,MATCH($C11,Pokedex!$B$2:$B$610,0))),"",INDEX(Pokedex!K$2:K$610,MATCH($C11,Pokedex!$B$2:$B$610,0)))</f>
        <v>79</v>
      </c>
      <c r="L11" s="48" t="n">
        <f aca="false">L10+1</f>
        <v>9</v>
      </c>
      <c r="M11" s="93" t="s">
        <v>3</v>
      </c>
    </row>
    <row r="12" customFormat="false" ht="15.75" hidden="false" customHeight="false" outlineLevel="0" collapsed="false">
      <c r="A12" s="728" t="n">
        <f aca="false">A11+1</f>
        <v>10</v>
      </c>
      <c r="B12" s="729" t="s">
        <v>718</v>
      </c>
      <c r="C12" s="730" t="s">
        <v>69</v>
      </c>
      <c r="D12" s="730"/>
      <c r="E12" s="730"/>
      <c r="F12" s="731" t="n">
        <v>7</v>
      </c>
      <c r="G12" s="732" t="n">
        <v>6</v>
      </c>
      <c r="H12" s="733" t="n">
        <v>1</v>
      </c>
      <c r="I12" s="734" t="n">
        <v>7</v>
      </c>
      <c r="J12" s="734" t="n">
        <v>4</v>
      </c>
      <c r="K12" s="735" t="n">
        <f aca="false" t="array" ref="K12:K12">IF(ISNA(INDEX(Pokedex!K$2:K$610,MATCH($C12,Pokedex!$B$2:$B$610,0))),"",INDEX(Pokedex!K$2:K$610,MATCH($C12,Pokedex!$B$2:$B$610,0)))</f>
        <v>53</v>
      </c>
      <c r="L12" s="736" t="n">
        <f aca="false">L11+1</f>
        <v>10</v>
      </c>
      <c r="M12" s="93" t="s">
        <v>83</v>
      </c>
    </row>
    <row r="13" customFormat="false" ht="15.75" hidden="false" customHeight="false" outlineLevel="0" collapsed="false">
      <c r="A13" s="24" t="n">
        <f aca="false">A12+1</f>
        <v>11</v>
      </c>
      <c r="B13" s="737" t="s">
        <v>713</v>
      </c>
      <c r="C13" s="313" t="s">
        <v>99</v>
      </c>
      <c r="D13" s="313"/>
      <c r="E13" s="313"/>
      <c r="F13" s="312" t="n">
        <v>6</v>
      </c>
      <c r="G13" s="726" t="n">
        <v>2</v>
      </c>
      <c r="H13" s="314" t="n">
        <v>4</v>
      </c>
      <c r="I13" s="51" t="n">
        <v>4</v>
      </c>
      <c r="J13" s="727" t="n">
        <v>2</v>
      </c>
      <c r="K13" s="727" t="str">
        <f aca="false" t="array" ref="K13:K13">IF(ISNA(INDEX(Pokedex!K$2:K$610,MATCH($C13,Pokedex!$B$2:$B$610,0))),"",INDEX(Pokedex!K$2:K$610,MATCH($C13,Pokedex!$B$2:$B$610,0)))</f>
        <v>FA</v>
      </c>
      <c r="L13" s="48" t="n">
        <f aca="false">L12+1</f>
        <v>11</v>
      </c>
      <c r="M13" s="93" t="s">
        <v>102</v>
      </c>
    </row>
    <row r="14" customFormat="false" ht="15.75" hidden="false" customHeight="false" outlineLevel="0" collapsed="false">
      <c r="A14" s="24" t="n">
        <f aca="false">A13+1</f>
        <v>12</v>
      </c>
      <c r="B14" s="737" t="s">
        <v>714</v>
      </c>
      <c r="C14" s="313" t="s">
        <v>90</v>
      </c>
      <c r="D14" s="313"/>
      <c r="E14" s="313"/>
      <c r="F14" s="312" t="n">
        <v>6</v>
      </c>
      <c r="G14" s="726" t="n">
        <v>3</v>
      </c>
      <c r="H14" s="314" t="n">
        <v>3</v>
      </c>
      <c r="I14" s="51" t="n">
        <v>4</v>
      </c>
      <c r="J14" s="727" t="n">
        <v>3</v>
      </c>
      <c r="K14" s="727" t="n">
        <f aca="false" t="array" ref="K14:K14">IF(ISNA(INDEX(Pokedex!K$2:K$610,MATCH($C14,Pokedex!$B$2:$B$610,0))),"",INDEX(Pokedex!K$2:K$610,MATCH($C14,Pokedex!$B$2:$B$610,0)))</f>
        <v>64</v>
      </c>
      <c r="L14" s="48" t="n">
        <f aca="false">L13+1</f>
        <v>12</v>
      </c>
      <c r="M14" s="93" t="s">
        <v>109</v>
      </c>
    </row>
    <row r="15" customFormat="false" ht="15.75" hidden="false" customHeight="false" outlineLevel="0" collapsed="false">
      <c r="A15" s="24" t="n">
        <f aca="false">A14+1</f>
        <v>13</v>
      </c>
      <c r="B15" s="737" t="s">
        <v>711</v>
      </c>
      <c r="C15" s="313" t="s">
        <v>103</v>
      </c>
      <c r="D15" s="313"/>
      <c r="E15" s="313"/>
      <c r="F15" s="312" t="n">
        <v>6</v>
      </c>
      <c r="G15" s="726" t="n">
        <v>4</v>
      </c>
      <c r="H15" s="314" t="n">
        <v>2</v>
      </c>
      <c r="I15" s="51" t="n">
        <v>6</v>
      </c>
      <c r="J15" s="727" t="n">
        <v>5</v>
      </c>
      <c r="K15" s="727" t="n">
        <f aca="false" t="array" ref="K15:K15">IF(ISNA(INDEX(Pokedex!K$2:K$610,MATCH($C15,Pokedex!$B$2:$B$610,0))),"",INDEX(Pokedex!K$2:K$610,MATCH($C15,Pokedex!$B$2:$B$610,0)))</f>
        <v>62</v>
      </c>
      <c r="L15" s="48" t="n">
        <f aca="false">L14+1</f>
        <v>13</v>
      </c>
      <c r="M15" s="93" t="s">
        <v>112</v>
      </c>
    </row>
    <row r="16" customFormat="false" ht="15.75" hidden="false" customHeight="false" outlineLevel="0" collapsed="false">
      <c r="A16" s="24" t="n">
        <f aca="false">A15+1</f>
        <v>14</v>
      </c>
      <c r="B16" s="737" t="s">
        <v>714</v>
      </c>
      <c r="C16" s="313" t="s">
        <v>49</v>
      </c>
      <c r="D16" s="313"/>
      <c r="E16" s="313"/>
      <c r="F16" s="312" t="n">
        <v>6</v>
      </c>
      <c r="G16" s="726" t="n">
        <v>4</v>
      </c>
      <c r="H16" s="314" t="n">
        <v>2</v>
      </c>
      <c r="I16" s="51" t="n">
        <v>7</v>
      </c>
      <c r="J16" s="727" t="n">
        <v>6</v>
      </c>
      <c r="K16" s="727" t="n">
        <f aca="false" t="array" ref="K16:K16">IF(ISNA(INDEX(Pokedex!K$2:K$610,MATCH($C16,Pokedex!$B$2:$B$610,0))),"",INDEX(Pokedex!K$2:K$610,MATCH($C16,Pokedex!$B$2:$B$610,0)))</f>
        <v>63</v>
      </c>
      <c r="L16" s="48" t="n">
        <f aca="false">L15+1</f>
        <v>14</v>
      </c>
      <c r="M16" s="44" t="s">
        <v>115</v>
      </c>
    </row>
    <row r="17" customFormat="false" ht="15.75" hidden="false" customHeight="false" outlineLevel="0" collapsed="false">
      <c r="A17" s="24" t="n">
        <f aca="false">A16+1</f>
        <v>15</v>
      </c>
      <c r="B17" s="737" t="s">
        <v>714</v>
      </c>
      <c r="C17" s="313" t="s">
        <v>52</v>
      </c>
      <c r="D17" s="313"/>
      <c r="E17" s="313"/>
      <c r="F17" s="312" t="n">
        <v>6</v>
      </c>
      <c r="G17" s="726" t="n">
        <v>5</v>
      </c>
      <c r="H17" s="314" t="n">
        <v>1</v>
      </c>
      <c r="I17" s="51" t="n">
        <v>7</v>
      </c>
      <c r="J17" s="727" t="n">
        <v>4</v>
      </c>
      <c r="K17" s="727" t="n">
        <f aca="false" t="array" ref="K17:K17">IF(ISNA(INDEX(Pokedex!K$2:K$610,MATCH($C17,Pokedex!$B$2:$B$610,0))),"",INDEX(Pokedex!K$2:K$610,MATCH($C17,Pokedex!$B$2:$B$610,0)))</f>
        <v>8</v>
      </c>
      <c r="L17" s="48" t="n">
        <f aca="false">L16+1</f>
        <v>15</v>
      </c>
      <c r="M17" s="44" t="s">
        <v>117</v>
      </c>
    </row>
    <row r="18" customFormat="false" ht="15.75" hidden="false" customHeight="false" outlineLevel="0" collapsed="false">
      <c r="A18" s="24" t="n">
        <f aca="false">A17+1</f>
        <v>16</v>
      </c>
      <c r="B18" s="737" t="s">
        <v>711</v>
      </c>
      <c r="C18" s="313" t="s">
        <v>19</v>
      </c>
      <c r="D18" s="313"/>
      <c r="E18" s="313"/>
      <c r="F18" s="312" t="n">
        <v>6</v>
      </c>
      <c r="G18" s="726" t="n">
        <v>5</v>
      </c>
      <c r="H18" s="314" t="n">
        <v>1</v>
      </c>
      <c r="I18" s="51" t="n">
        <v>9</v>
      </c>
      <c r="J18" s="727" t="n">
        <v>8</v>
      </c>
      <c r="K18" s="727" t="n">
        <f aca="false" t="array" ref="K18:K18">IF(ISNA(INDEX(Pokedex!K$2:K$610,MATCH($C18,Pokedex!$B$2:$B$610,0))),"",INDEX(Pokedex!K$2:K$610,MATCH($C18,Pokedex!$B$2:$B$610,0)))</f>
        <v>34</v>
      </c>
      <c r="L18" s="48" t="n">
        <f aca="false">L17+1</f>
        <v>16</v>
      </c>
      <c r="M18" s="44" t="s">
        <v>121</v>
      </c>
    </row>
    <row r="19" customFormat="false" ht="15.75" hidden="false" customHeight="false" outlineLevel="0" collapsed="false">
      <c r="A19" s="24" t="n">
        <f aca="false">A18+1</f>
        <v>17</v>
      </c>
      <c r="B19" s="737" t="s">
        <v>706</v>
      </c>
      <c r="C19" s="313" t="s">
        <v>60</v>
      </c>
      <c r="D19" s="313"/>
      <c r="E19" s="313"/>
      <c r="F19" s="312" t="n">
        <v>5</v>
      </c>
      <c r="G19" s="726" t="n">
        <v>2</v>
      </c>
      <c r="H19" s="314" t="n">
        <v>3</v>
      </c>
      <c r="I19" s="51" t="n">
        <v>4</v>
      </c>
      <c r="J19" s="727" t="n">
        <v>2</v>
      </c>
      <c r="K19" s="727" t="n">
        <f aca="false" t="array" ref="K19:K19">IF(ISNA(INDEX(Pokedex!K$2:K$610,MATCH($C19,Pokedex!$B$2:$B$610,0))),"",INDEX(Pokedex!K$2:K$610,MATCH($C19,Pokedex!$B$2:$B$610,0)))</f>
        <v>14</v>
      </c>
      <c r="L19" s="48" t="n">
        <f aca="false">L18+1</f>
        <v>17</v>
      </c>
      <c r="M19" s="44" t="s">
        <v>123</v>
      </c>
    </row>
    <row r="20" customFormat="false" ht="15.75" hidden="false" customHeight="false" outlineLevel="0" collapsed="false">
      <c r="A20" s="24" t="n">
        <f aca="false">A19+1</f>
        <v>18</v>
      </c>
      <c r="B20" s="737" t="s">
        <v>713</v>
      </c>
      <c r="C20" s="313" t="s">
        <v>38</v>
      </c>
      <c r="D20" s="313"/>
      <c r="E20" s="313"/>
      <c r="F20" s="312" t="n">
        <v>5</v>
      </c>
      <c r="G20" s="726" t="n">
        <v>3</v>
      </c>
      <c r="H20" s="314" t="n">
        <v>2</v>
      </c>
      <c r="I20" s="51" t="n">
        <v>4</v>
      </c>
      <c r="J20" s="727" t="n">
        <v>2</v>
      </c>
      <c r="K20" s="727" t="n">
        <f aca="false" t="array" ref="K20:K20">IF(ISNA(INDEX(Pokedex!K$2:K$610,MATCH($C20,Pokedex!$B$2:$B$610,0))),"",INDEX(Pokedex!K$2:K$610,MATCH($C20,Pokedex!$B$2:$B$610,0)))</f>
        <v>54</v>
      </c>
      <c r="L20" s="48" t="n">
        <f aca="false">L19+1</f>
        <v>18</v>
      </c>
      <c r="M20" s="44" t="s">
        <v>35</v>
      </c>
    </row>
    <row r="21" customFormat="false" ht="15.75" hidden="false" customHeight="false" outlineLevel="0" collapsed="false">
      <c r="A21" s="24" t="n">
        <f aca="false">A20+1</f>
        <v>19</v>
      </c>
      <c r="B21" s="737" t="s">
        <v>705</v>
      </c>
      <c r="C21" s="313" t="s">
        <v>106</v>
      </c>
      <c r="D21" s="313"/>
      <c r="E21" s="313"/>
      <c r="F21" s="312" t="n">
        <v>5</v>
      </c>
      <c r="G21" s="726" t="n">
        <v>3</v>
      </c>
      <c r="H21" s="314" t="n">
        <v>2</v>
      </c>
      <c r="I21" s="51" t="n">
        <v>4</v>
      </c>
      <c r="J21" s="727" t="n">
        <v>2</v>
      </c>
      <c r="K21" s="727" t="n">
        <f aca="false" t="array" ref="K21:K21">IF(ISNA(INDEX(Pokedex!K$2:K$610,MATCH($C21,Pokedex!$B$2:$B$610,0))),"",INDEX(Pokedex!K$2:K$610,MATCH($C21,Pokedex!$B$2:$B$610,0)))</f>
        <v>55</v>
      </c>
      <c r="L21" s="48" t="n">
        <f aca="false">L20+1</f>
        <v>19</v>
      </c>
      <c r="M21" s="44" t="s">
        <v>36</v>
      </c>
    </row>
    <row r="22" customFormat="false" ht="15.75" hidden="false" customHeight="false" outlineLevel="0" collapsed="false">
      <c r="A22" s="24" t="n">
        <f aca="false">A21+1</f>
        <v>20</v>
      </c>
      <c r="B22" s="737" t="s">
        <v>714</v>
      </c>
      <c r="C22" s="313" t="s">
        <v>91</v>
      </c>
      <c r="D22" s="313"/>
      <c r="E22" s="313"/>
      <c r="F22" s="312" t="n">
        <v>5</v>
      </c>
      <c r="G22" s="726" t="n">
        <v>3</v>
      </c>
      <c r="H22" s="314" t="n">
        <v>2</v>
      </c>
      <c r="I22" s="51" t="n">
        <v>6</v>
      </c>
      <c r="J22" s="727" t="n">
        <v>5</v>
      </c>
      <c r="K22" s="727" t="str">
        <f aca="false" t="array" ref="K22:K22">IF(ISNA(INDEX(Pokedex!K$2:K$610,MATCH($C22,Pokedex!$B$2:$B$610,0))),"",INDEX(Pokedex!K$2:K$610,MATCH($C22,Pokedex!$B$2:$B$610,0)))</f>
        <v>FA</v>
      </c>
      <c r="L22" s="48" t="n">
        <f aca="false">L21+1</f>
        <v>20</v>
      </c>
      <c r="M22" s="44" t="s">
        <v>39</v>
      </c>
    </row>
    <row r="23" customFormat="false" ht="15.75" hidden="false" customHeight="false" outlineLevel="0" collapsed="false">
      <c r="A23" s="24" t="n">
        <f aca="false">A22+1</f>
        <v>21</v>
      </c>
      <c r="B23" s="737" t="s">
        <v>705</v>
      </c>
      <c r="C23" s="313" t="s">
        <v>28</v>
      </c>
      <c r="D23" s="313"/>
      <c r="E23" s="313"/>
      <c r="F23" s="312" t="n">
        <v>5</v>
      </c>
      <c r="G23" s="726" t="n">
        <v>3</v>
      </c>
      <c r="H23" s="314" t="n">
        <v>2</v>
      </c>
      <c r="I23" s="51" t="n">
        <v>7</v>
      </c>
      <c r="J23" s="727" t="n">
        <v>4</v>
      </c>
      <c r="K23" s="727" t="n">
        <f aca="false" t="array" ref="K23:K23">IF(ISNA(INDEX(Pokedex!K$2:K$610,MATCH($C23,Pokedex!$B$2:$B$610,0))),"",INDEX(Pokedex!K$2:K$610,MATCH($C23,Pokedex!$B$2:$B$610,0)))</f>
        <v>72</v>
      </c>
      <c r="L23" s="48" t="n">
        <f aca="false">L22+1</f>
        <v>21</v>
      </c>
      <c r="M23" s="44"/>
    </row>
    <row r="24" customFormat="false" ht="15.75" hidden="false" customHeight="false" outlineLevel="0" collapsed="false">
      <c r="A24" s="24" t="n">
        <f aca="false">A23+1</f>
        <v>22</v>
      </c>
      <c r="B24" s="737" t="s">
        <v>718</v>
      </c>
      <c r="C24" s="313" t="s">
        <v>61</v>
      </c>
      <c r="D24" s="313"/>
      <c r="E24" s="313"/>
      <c r="F24" s="312" t="n">
        <v>5</v>
      </c>
      <c r="G24" s="726" t="n">
        <v>5</v>
      </c>
      <c r="H24" s="314" t="n">
        <v>0</v>
      </c>
      <c r="I24" s="51" t="n">
        <v>7</v>
      </c>
      <c r="J24" s="727" t="n">
        <v>4</v>
      </c>
      <c r="K24" s="727" t="n">
        <f aca="false" t="array" ref="K24:K24">IF(ISNA(INDEX(Pokedex!K$2:K$610,MATCH($C24,Pokedex!$B$2:$B$610,0))),"",INDEX(Pokedex!K$2:K$610,MATCH($C24,Pokedex!$B$2:$B$610,0)))</f>
        <v>18</v>
      </c>
      <c r="L24" s="48" t="n">
        <f aca="false">L23+1</f>
        <v>22</v>
      </c>
      <c r="M24" s="400"/>
    </row>
    <row r="25" customFormat="false" ht="15.75" hidden="false" customHeight="false" outlineLevel="0" collapsed="false">
      <c r="A25" s="24" t="n">
        <f aca="false">A24+1</f>
        <v>23</v>
      </c>
      <c r="B25" s="737" t="s">
        <v>714</v>
      </c>
      <c r="C25" s="313" t="s">
        <v>119</v>
      </c>
      <c r="D25" s="313"/>
      <c r="E25" s="313"/>
      <c r="F25" s="312" t="n">
        <v>4</v>
      </c>
      <c r="G25" s="726" t="n">
        <v>2</v>
      </c>
      <c r="H25" s="314" t="n">
        <v>2</v>
      </c>
      <c r="I25" s="51" t="n">
        <v>2</v>
      </c>
      <c r="J25" s="727" t="n">
        <v>1</v>
      </c>
      <c r="K25" s="727" t="str">
        <f aca="false" t="array" ref="K25:K25">IF(ISNA(INDEX(Pokedex!K$2:K$610,MATCH($C25,Pokedex!$B$2:$B$610,0))),"",INDEX(Pokedex!K$2:K$610,MATCH($C25,Pokedex!$B$2:$B$610,0)))</f>
        <v>FA</v>
      </c>
      <c r="L25" s="48" t="n">
        <f aca="false">L24+1</f>
        <v>23</v>
      </c>
      <c r="M25" s="400"/>
    </row>
    <row r="26" customFormat="false" ht="15.75" hidden="false" customHeight="false" outlineLevel="0" collapsed="false">
      <c r="A26" s="24" t="n">
        <f aca="false">A25+1</f>
        <v>24</v>
      </c>
      <c r="B26" s="737" t="s">
        <v>711</v>
      </c>
      <c r="C26" s="313" t="s">
        <v>124</v>
      </c>
      <c r="D26" s="313"/>
      <c r="E26" s="313"/>
      <c r="F26" s="312" t="n">
        <v>4</v>
      </c>
      <c r="G26" s="726" t="n">
        <v>3</v>
      </c>
      <c r="H26" s="314" t="n">
        <v>1</v>
      </c>
      <c r="I26" s="51" t="n">
        <v>4</v>
      </c>
      <c r="J26" s="727" t="n">
        <v>3</v>
      </c>
      <c r="K26" s="727" t="str">
        <f aca="false" t="array" ref="K26:K26">IF(ISNA(INDEX(Pokedex!K$2:K$610,MATCH($C26,Pokedex!$B$2:$B$610,0))),"",INDEX(Pokedex!K$2:K$610,MATCH($C26,Pokedex!$B$2:$B$610,0)))</f>
        <v>FA</v>
      </c>
      <c r="L26" s="48" t="n">
        <f aca="false">L25+1</f>
        <v>24</v>
      </c>
      <c r="M26" s="400"/>
    </row>
    <row r="27" customFormat="false" ht="15.75" hidden="false" customHeight="false" outlineLevel="0" collapsed="false">
      <c r="A27" s="24" t="n">
        <f aca="false">A26+1</f>
        <v>25</v>
      </c>
      <c r="B27" s="737" t="s">
        <v>715</v>
      </c>
      <c r="C27" s="313" t="s">
        <v>16</v>
      </c>
      <c r="D27" s="313"/>
      <c r="E27" s="313"/>
      <c r="F27" s="312" t="n">
        <v>4</v>
      </c>
      <c r="G27" s="726" t="n">
        <v>3</v>
      </c>
      <c r="H27" s="314" t="n">
        <v>1</v>
      </c>
      <c r="I27" s="51" t="n">
        <v>5</v>
      </c>
      <c r="J27" s="727" t="n">
        <v>3</v>
      </c>
      <c r="K27" s="727" t="n">
        <f aca="false" t="array" ref="K27:K27">IF(ISNA(INDEX(Pokedex!K$2:K$610,MATCH($C27,Pokedex!$B$2:$B$610,0))),"",INDEX(Pokedex!K$2:K$610,MATCH($C27,Pokedex!$B$2:$B$610,0)))</f>
        <v>20</v>
      </c>
      <c r="L27" s="48" t="n">
        <f aca="false">L26+1</f>
        <v>25</v>
      </c>
      <c r="M27" s="400"/>
    </row>
    <row r="28" customFormat="false" ht="15.75" hidden="false" customHeight="false" outlineLevel="0" collapsed="false">
      <c r="A28" s="24" t="n">
        <f aca="false">A27+1</f>
        <v>26</v>
      </c>
      <c r="B28" s="737" t="s">
        <v>718</v>
      </c>
      <c r="C28" s="313" t="s">
        <v>67</v>
      </c>
      <c r="D28" s="313"/>
      <c r="E28" s="313"/>
      <c r="F28" s="312" t="n">
        <v>4</v>
      </c>
      <c r="G28" s="726" t="n">
        <v>3</v>
      </c>
      <c r="H28" s="314" t="n">
        <v>1</v>
      </c>
      <c r="I28" s="51" t="n">
        <v>7</v>
      </c>
      <c r="J28" s="727" t="n">
        <v>4</v>
      </c>
      <c r="K28" s="727" t="n">
        <f aca="false" t="array" ref="K28:K28">IF(ISNA(INDEX(Pokedex!K$2:K$610,MATCH($C28,Pokedex!$B$2:$B$610,0))),"",INDEX(Pokedex!K$2:K$610,MATCH($C28,Pokedex!$B$2:$B$610,0)))</f>
        <v>11</v>
      </c>
      <c r="L28" s="48" t="n">
        <f aca="false">L27+1</f>
        <v>26</v>
      </c>
      <c r="M28" s="400"/>
    </row>
    <row r="29" customFormat="false" ht="15.75" hidden="false" customHeight="false" outlineLevel="0" collapsed="false">
      <c r="A29" s="24" t="n">
        <f aca="false">A28+1</f>
        <v>27</v>
      </c>
      <c r="B29" s="737" t="s">
        <v>705</v>
      </c>
      <c r="C29" s="313" t="s">
        <v>95</v>
      </c>
      <c r="D29" s="313"/>
      <c r="E29" s="313"/>
      <c r="F29" s="312" t="n">
        <v>4</v>
      </c>
      <c r="G29" s="726" t="n">
        <v>3</v>
      </c>
      <c r="H29" s="314" t="n">
        <v>1</v>
      </c>
      <c r="I29" s="51" t="n">
        <v>7</v>
      </c>
      <c r="J29" s="727" t="n">
        <v>4</v>
      </c>
      <c r="K29" s="727" t="n">
        <f aca="false" t="array" ref="K29:K29">IF(ISNA(INDEX(Pokedex!K$2:K$610,MATCH($C29,Pokedex!$B$2:$B$610,0))),"",INDEX(Pokedex!K$2:K$610,MATCH($C29,Pokedex!$B$2:$B$610,0)))</f>
        <v>2</v>
      </c>
      <c r="L29" s="48" t="n">
        <f aca="false">L28+1</f>
        <v>27</v>
      </c>
      <c r="M29" s="400"/>
    </row>
    <row r="30" customFormat="false" ht="15.75" hidden="false" customHeight="false" outlineLevel="0" collapsed="false">
      <c r="A30" s="24" t="n">
        <f aca="false">A29+1</f>
        <v>28</v>
      </c>
      <c r="B30" s="737" t="s">
        <v>711</v>
      </c>
      <c r="C30" s="313" t="s">
        <v>84</v>
      </c>
      <c r="D30" s="313"/>
      <c r="E30" s="313"/>
      <c r="F30" s="312" t="n">
        <v>4</v>
      </c>
      <c r="G30" s="726" t="n">
        <v>4</v>
      </c>
      <c r="H30" s="314" t="n">
        <v>0</v>
      </c>
      <c r="I30" s="51" t="n">
        <v>4</v>
      </c>
      <c r="J30" s="727" t="n">
        <v>3</v>
      </c>
      <c r="K30" s="727" t="n">
        <f aca="false" t="array" ref="K30:K30">IF(ISNA(INDEX(Pokedex!K$2:K$610,MATCH($C30,Pokedex!$B$2:$B$610,0))),"",INDEX(Pokedex!K$2:K$610,MATCH($C30,Pokedex!$B$2:$B$610,0)))</f>
        <v>41</v>
      </c>
      <c r="L30" s="48" t="n">
        <f aca="false">L29+1</f>
        <v>28</v>
      </c>
      <c r="M30" s="400"/>
    </row>
    <row r="31" customFormat="false" ht="15.75" hidden="false" customHeight="false" outlineLevel="0" collapsed="false">
      <c r="A31" s="24" t="n">
        <f aca="false">A30+1</f>
        <v>29</v>
      </c>
      <c r="B31" s="737" t="s">
        <v>706</v>
      </c>
      <c r="C31" s="313" t="s">
        <v>66</v>
      </c>
      <c r="D31" s="313"/>
      <c r="E31" s="313"/>
      <c r="F31" s="312" t="n">
        <v>4</v>
      </c>
      <c r="G31" s="726" t="n">
        <v>4</v>
      </c>
      <c r="H31" s="314" t="n">
        <v>0</v>
      </c>
      <c r="I31" s="51" t="n">
        <v>4</v>
      </c>
      <c r="J31" s="727" t="n">
        <v>2</v>
      </c>
      <c r="K31" s="727" t="n">
        <f aca="false" t="array" ref="K31:K31">IF(ISNA(INDEX(Pokedex!K$2:K$610,MATCH($C31,Pokedex!$B$2:$B$610,0))),"",INDEX(Pokedex!K$2:K$610,MATCH($C31,Pokedex!$B$2:$B$610,0)))</f>
        <v>42</v>
      </c>
      <c r="L31" s="48" t="n">
        <f aca="false">L30+1</f>
        <v>29</v>
      </c>
    </row>
    <row r="32" customFormat="false" ht="15.75" hidden="false" customHeight="false" outlineLevel="0" collapsed="false">
      <c r="A32" s="24" t="n">
        <f aca="false">A31+1</f>
        <v>30</v>
      </c>
      <c r="B32" s="737" t="s">
        <v>714</v>
      </c>
      <c r="C32" s="313" t="s">
        <v>46</v>
      </c>
      <c r="D32" s="313"/>
      <c r="E32" s="313"/>
      <c r="F32" s="312" t="n">
        <v>4</v>
      </c>
      <c r="G32" s="726" t="n">
        <v>4</v>
      </c>
      <c r="H32" s="314" t="n">
        <v>0</v>
      </c>
      <c r="I32" s="51" t="n">
        <v>7</v>
      </c>
      <c r="J32" s="727" t="n">
        <v>5</v>
      </c>
      <c r="K32" s="727" t="n">
        <f aca="false" t="array" ref="K32:K32">IF(ISNA(INDEX(Pokedex!K$2:K$610,MATCH($C32,Pokedex!$B$2:$B$610,0))),"",INDEX(Pokedex!K$2:K$610,MATCH($C32,Pokedex!$B$2:$B$610,0)))</f>
        <v>7</v>
      </c>
      <c r="L32" s="48" t="n">
        <f aca="false">L31+1</f>
        <v>30</v>
      </c>
    </row>
    <row r="33" customFormat="false" ht="15.75" hidden="false" customHeight="false" outlineLevel="0" collapsed="false">
      <c r="A33" s="24" t="n">
        <f aca="false">A32+1</f>
        <v>31</v>
      </c>
      <c r="B33" s="737" t="s">
        <v>718</v>
      </c>
      <c r="C33" s="313" t="s">
        <v>63</v>
      </c>
      <c r="D33" s="313"/>
      <c r="E33" s="313"/>
      <c r="F33" s="312" t="n">
        <v>4</v>
      </c>
      <c r="G33" s="726" t="n">
        <v>4</v>
      </c>
      <c r="H33" s="314" t="n">
        <v>0</v>
      </c>
      <c r="I33" s="51" t="n">
        <v>7</v>
      </c>
      <c r="J33" s="727" t="n">
        <v>4</v>
      </c>
      <c r="K33" s="727" t="n">
        <f aca="false" t="array" ref="K33:K33">IF(ISNA(INDEX(Pokedex!K$2:K$610,MATCH($C33,Pokedex!$B$2:$B$610,0))),"",INDEX(Pokedex!K$2:K$610,MATCH($C33,Pokedex!$B$2:$B$610,0)))</f>
        <v>60</v>
      </c>
      <c r="L33" s="48" t="n">
        <f aca="false">L32+1</f>
        <v>31</v>
      </c>
      <c r="M33" s="400"/>
    </row>
    <row r="34" customFormat="false" ht="15.75" hidden="false" customHeight="false" outlineLevel="0" collapsed="false">
      <c r="A34" s="24" t="n">
        <f aca="false">A33+1</f>
        <v>32</v>
      </c>
      <c r="B34" s="737" t="s">
        <v>718</v>
      </c>
      <c r="C34" s="313" t="s">
        <v>65</v>
      </c>
      <c r="D34" s="313"/>
      <c r="E34" s="313"/>
      <c r="F34" s="312" t="n">
        <v>4</v>
      </c>
      <c r="G34" s="726" t="n">
        <v>5</v>
      </c>
      <c r="H34" s="314" t="n">
        <v>-1</v>
      </c>
      <c r="I34" s="51" t="n">
        <v>7</v>
      </c>
      <c r="J34" s="727" t="n">
        <v>4</v>
      </c>
      <c r="K34" s="727" t="n">
        <f aca="false" t="array" ref="K34:K34">IF(ISNA(INDEX(Pokedex!K$2:K$610,MATCH($C34,Pokedex!$B$2:$B$610,0))),"",INDEX(Pokedex!K$2:K$610,MATCH($C34,Pokedex!$B$2:$B$610,0)))</f>
        <v>32</v>
      </c>
      <c r="L34" s="48" t="n">
        <f aca="false">L33+1</f>
        <v>32</v>
      </c>
      <c r="M34" s="400"/>
    </row>
    <row r="35" customFormat="false" ht="15.75" hidden="false" customHeight="false" outlineLevel="0" collapsed="false">
      <c r="A35" s="24" t="n">
        <f aca="false">A34+1</f>
        <v>33</v>
      </c>
      <c r="B35" s="737" t="s">
        <v>715</v>
      </c>
      <c r="C35" s="313" t="s">
        <v>75</v>
      </c>
      <c r="D35" s="313"/>
      <c r="E35" s="313"/>
      <c r="F35" s="312" t="n">
        <v>4</v>
      </c>
      <c r="G35" s="726" t="n">
        <v>6</v>
      </c>
      <c r="H35" s="314" t="n">
        <v>-2</v>
      </c>
      <c r="I35" s="51" t="n">
        <v>6</v>
      </c>
      <c r="J35" s="727" t="n">
        <v>0</v>
      </c>
      <c r="K35" s="727" t="n">
        <f aca="false" t="array" ref="K35:K35">IF(ISNA(INDEX(Pokedex!K$2:K$610,MATCH($C35,Pokedex!$B$2:$B$610,0))),"",INDEX(Pokedex!K$2:K$610,MATCH($C35,Pokedex!$B$2:$B$610,0)))</f>
        <v>10</v>
      </c>
      <c r="L35" s="48" t="n">
        <f aca="false">L34+1</f>
        <v>33</v>
      </c>
      <c r="M35" s="400"/>
    </row>
    <row r="36" customFormat="false" ht="15.75" hidden="false" customHeight="false" outlineLevel="0" collapsed="false">
      <c r="A36" s="24" t="n">
        <f aca="false">A35+1</f>
        <v>34</v>
      </c>
      <c r="B36" s="737" t="s">
        <v>715</v>
      </c>
      <c r="C36" s="313" t="s">
        <v>114</v>
      </c>
      <c r="D36" s="313"/>
      <c r="E36" s="313"/>
      <c r="F36" s="312" t="n">
        <v>3</v>
      </c>
      <c r="G36" s="726" t="n">
        <v>3</v>
      </c>
      <c r="H36" s="314" t="n">
        <v>0</v>
      </c>
      <c r="I36" s="51" t="n">
        <v>3</v>
      </c>
      <c r="J36" s="727" t="n">
        <v>0</v>
      </c>
      <c r="K36" s="727" t="n">
        <f aca="false" t="array" ref="K36:K36">IF(ISNA(INDEX(Pokedex!K$2:K$610,MATCH($C36,Pokedex!$B$2:$B$610,0))),"",INDEX(Pokedex!K$2:K$610,MATCH($C36,Pokedex!$B$2:$B$610,0)))</f>
        <v>52</v>
      </c>
      <c r="L36" s="48" t="n">
        <f aca="false">L35+1</f>
        <v>34</v>
      </c>
      <c r="M36" s="400"/>
    </row>
    <row r="37" customFormat="false" ht="15.75" hidden="false" customHeight="false" outlineLevel="0" collapsed="false">
      <c r="A37" s="24" t="n">
        <f aca="false">A36+1</f>
        <v>35</v>
      </c>
      <c r="B37" s="737" t="s">
        <v>714</v>
      </c>
      <c r="C37" s="313" t="s">
        <v>92</v>
      </c>
      <c r="D37" s="313"/>
      <c r="E37" s="313"/>
      <c r="F37" s="312" t="n">
        <v>3</v>
      </c>
      <c r="G37" s="726" t="n">
        <v>3</v>
      </c>
      <c r="H37" s="314" t="n">
        <v>0</v>
      </c>
      <c r="I37" s="51" t="n">
        <v>4</v>
      </c>
      <c r="J37" s="727" t="n">
        <v>3</v>
      </c>
      <c r="K37" s="727" t="n">
        <f aca="false" t="array" ref="K37:K37">IF(ISNA(INDEX(Pokedex!K$2:K$610,MATCH($C37,Pokedex!$B$2:$B$610,0))),"",INDEX(Pokedex!K$2:K$610,MATCH($C37,Pokedex!$B$2:$B$610,0)))</f>
        <v>50</v>
      </c>
      <c r="L37" s="48" t="n">
        <f aca="false">L36+1</f>
        <v>35</v>
      </c>
      <c r="M37" s="400"/>
    </row>
    <row r="38" customFormat="false" ht="15.75" hidden="false" customHeight="false" outlineLevel="0" collapsed="false">
      <c r="A38" s="24" t="n">
        <f aca="false">A37+1</f>
        <v>36</v>
      </c>
      <c r="B38" s="737" t="s">
        <v>706</v>
      </c>
      <c r="C38" s="313" t="s">
        <v>64</v>
      </c>
      <c r="D38" s="313"/>
      <c r="E38" s="313"/>
      <c r="F38" s="312" t="n">
        <v>3</v>
      </c>
      <c r="G38" s="726" t="n">
        <v>3</v>
      </c>
      <c r="H38" s="314" t="n">
        <v>0</v>
      </c>
      <c r="I38" s="51" t="n">
        <v>4</v>
      </c>
      <c r="J38" s="727" t="n">
        <v>2</v>
      </c>
      <c r="K38" s="727" t="n">
        <f aca="false" t="array" ref="K38:K38">IF(ISNA(INDEX(Pokedex!K$2:K$610,MATCH($C38,Pokedex!$B$2:$B$610,0))),"",INDEX(Pokedex!K$2:K$610,MATCH($C38,Pokedex!$B$2:$B$610,0)))</f>
        <v>57</v>
      </c>
      <c r="L38" s="48" t="n">
        <f aca="false">L37+1</f>
        <v>36</v>
      </c>
      <c r="M38" s="400"/>
    </row>
    <row r="39" customFormat="false" ht="15.75" hidden="false" customHeight="false" outlineLevel="0" collapsed="false">
      <c r="A39" s="24" t="n">
        <f aca="false">A38+1</f>
        <v>37</v>
      </c>
      <c r="B39" s="737" t="s">
        <v>713</v>
      </c>
      <c r="C39" s="313" t="s">
        <v>47</v>
      </c>
      <c r="D39" s="313"/>
      <c r="E39" s="313"/>
      <c r="F39" s="312" t="n">
        <v>3</v>
      </c>
      <c r="G39" s="726" t="n">
        <v>3</v>
      </c>
      <c r="H39" s="314" t="n">
        <v>0</v>
      </c>
      <c r="I39" s="51" t="n">
        <v>4</v>
      </c>
      <c r="J39" s="727" t="n">
        <v>2</v>
      </c>
      <c r="K39" s="727" t="n">
        <f aca="false" t="array" ref="K39:K39">IF(ISNA(INDEX(Pokedex!K$2:K$610,MATCH($C39,Pokedex!$B$2:$B$610,0))),"",INDEX(Pokedex!K$2:K$610,MATCH($C39,Pokedex!$B$2:$B$610,0)))</f>
        <v>26</v>
      </c>
      <c r="L39" s="48" t="n">
        <f aca="false">L38+1</f>
        <v>37</v>
      </c>
      <c r="M39" s="400"/>
    </row>
    <row r="40" customFormat="false" ht="15.75" hidden="false" customHeight="false" outlineLevel="0" collapsed="false">
      <c r="A40" s="24" t="n">
        <f aca="false">A39+1</f>
        <v>38</v>
      </c>
      <c r="B40" s="737" t="s">
        <v>714</v>
      </c>
      <c r="C40" s="313" t="s">
        <v>40</v>
      </c>
      <c r="D40" s="313"/>
      <c r="E40" s="313"/>
      <c r="F40" s="312" t="n">
        <v>3</v>
      </c>
      <c r="G40" s="726" t="n">
        <v>3</v>
      </c>
      <c r="H40" s="314" t="n">
        <v>0</v>
      </c>
      <c r="I40" s="51" t="n">
        <v>7</v>
      </c>
      <c r="J40" s="727" t="n">
        <v>5</v>
      </c>
      <c r="K40" s="727" t="n">
        <f aca="false" t="array" ref="K40:K40">IF(ISNA(INDEX(Pokedex!K$2:K$610,MATCH($C40,Pokedex!$B$2:$B$610,0))),"",INDEX(Pokedex!K$2:K$610,MATCH($C40,Pokedex!$B$2:$B$610,0)))</f>
        <v>35</v>
      </c>
      <c r="L40" s="48" t="n">
        <f aca="false">L39+1</f>
        <v>38</v>
      </c>
      <c r="M40" s="400"/>
    </row>
    <row r="41" customFormat="false" ht="15.75" hidden="false" customHeight="false" outlineLevel="0" collapsed="false">
      <c r="A41" s="24" t="n">
        <f aca="false">A40+1</f>
        <v>39</v>
      </c>
      <c r="B41" s="737" t="s">
        <v>715</v>
      </c>
      <c r="C41" s="313" t="s">
        <v>107</v>
      </c>
      <c r="D41" s="313"/>
      <c r="E41" s="313"/>
      <c r="F41" s="312" t="n">
        <v>3</v>
      </c>
      <c r="G41" s="726" t="n">
        <v>4</v>
      </c>
      <c r="H41" s="314" t="n">
        <v>-1</v>
      </c>
      <c r="I41" s="51" t="n">
        <v>4</v>
      </c>
      <c r="J41" s="727" t="n">
        <v>0</v>
      </c>
      <c r="K41" s="727" t="n">
        <f aca="false" t="array" ref="K41:K41">IF(ISNA(INDEX(Pokedex!K$2:K$610,MATCH($C41,Pokedex!$B$2:$B$610,0))),"",INDEX(Pokedex!K$2:K$610,MATCH($C41,Pokedex!$B$2:$B$610,0)))</f>
        <v>66</v>
      </c>
      <c r="L41" s="48" t="n">
        <f aca="false">L40+1</f>
        <v>39</v>
      </c>
      <c r="M41" s="400"/>
    </row>
    <row r="42" customFormat="false" ht="15.75" hidden="false" customHeight="false" outlineLevel="0" collapsed="false">
      <c r="A42" s="24" t="n">
        <f aca="false">A41+1</f>
        <v>40</v>
      </c>
      <c r="B42" s="737" t="s">
        <v>725</v>
      </c>
      <c r="C42" s="313" t="s">
        <v>80</v>
      </c>
      <c r="D42" s="313"/>
      <c r="E42" s="313"/>
      <c r="F42" s="312" t="n">
        <v>3</v>
      </c>
      <c r="G42" s="726" t="n">
        <v>4</v>
      </c>
      <c r="H42" s="314" t="n">
        <v>-1</v>
      </c>
      <c r="I42" s="51" t="n">
        <v>5</v>
      </c>
      <c r="J42" s="727" t="n">
        <v>1</v>
      </c>
      <c r="K42" s="727" t="n">
        <f aca="false" t="array" ref="K42:K42">IF(ISNA(INDEX(Pokedex!K$2:K$610,MATCH($C42,Pokedex!$B$2:$B$610,0))),"",INDEX(Pokedex!K$2:K$610,MATCH($C42,Pokedex!$B$2:$B$610,0)))</f>
        <v>88</v>
      </c>
      <c r="L42" s="48" t="n">
        <f aca="false">L41+1</f>
        <v>40</v>
      </c>
      <c r="M42" s="400"/>
    </row>
    <row r="43" customFormat="false" ht="15.75" hidden="false" customHeight="false" outlineLevel="0" collapsed="false">
      <c r="A43" s="24" t="n">
        <f aca="false">A42+1</f>
        <v>41</v>
      </c>
      <c r="B43" s="737" t="s">
        <v>705</v>
      </c>
      <c r="C43" s="313" t="s">
        <v>20</v>
      </c>
      <c r="D43" s="313"/>
      <c r="E43" s="313"/>
      <c r="F43" s="312" t="n">
        <v>2</v>
      </c>
      <c r="G43" s="726" t="n">
        <v>1</v>
      </c>
      <c r="H43" s="314" t="n">
        <v>1</v>
      </c>
      <c r="I43" s="51" t="n">
        <v>4</v>
      </c>
      <c r="J43" s="727" t="n">
        <v>3</v>
      </c>
      <c r="K43" s="727" t="n">
        <f aca="false" t="array" ref="K43:K43">IF(ISNA(INDEX(Pokedex!K$2:K$610,MATCH($C43,Pokedex!$B$2:$B$610,0))),"",INDEX(Pokedex!K$2:K$610,MATCH($C43,Pokedex!$B$2:$B$610,0)))</f>
        <v>16</v>
      </c>
      <c r="L43" s="48" t="n">
        <f aca="false">L42+1</f>
        <v>41</v>
      </c>
      <c r="M43" s="400"/>
    </row>
    <row r="44" customFormat="false" ht="15.75" hidden="false" customHeight="false" outlineLevel="0" collapsed="false">
      <c r="A44" s="24" t="n">
        <f aca="false">A43+1</f>
        <v>42</v>
      </c>
      <c r="B44" s="737" t="s">
        <v>714</v>
      </c>
      <c r="C44" s="313" t="s">
        <v>113</v>
      </c>
      <c r="D44" s="313"/>
      <c r="E44" s="313"/>
      <c r="F44" s="312" t="n">
        <v>2</v>
      </c>
      <c r="G44" s="726" t="n">
        <v>2</v>
      </c>
      <c r="H44" s="314" t="n">
        <v>0</v>
      </c>
      <c r="I44" s="51" t="n">
        <v>2</v>
      </c>
      <c r="J44" s="727" t="n">
        <v>0</v>
      </c>
      <c r="K44" s="727" t="n">
        <f aca="false" t="array" ref="K44:K44">IF(ISNA(INDEX(Pokedex!K$2:K$610,MATCH($C44,Pokedex!$B$2:$B$610,0))),"",INDEX(Pokedex!K$2:K$610,MATCH($C44,Pokedex!$B$2:$B$610,0)))</f>
        <v>36</v>
      </c>
      <c r="L44" s="48" t="n">
        <f aca="false">L43+1</f>
        <v>42</v>
      </c>
      <c r="M44" s="400"/>
    </row>
    <row r="45" customFormat="false" ht="15.75" hidden="false" customHeight="false" outlineLevel="0" collapsed="false">
      <c r="A45" s="24" t="n">
        <f aca="false">A44+1</f>
        <v>43</v>
      </c>
      <c r="B45" s="737" t="s">
        <v>706</v>
      </c>
      <c r="C45" s="313" t="s">
        <v>68</v>
      </c>
      <c r="D45" s="313"/>
      <c r="E45" s="313"/>
      <c r="F45" s="312" t="n">
        <v>2</v>
      </c>
      <c r="G45" s="726" t="n">
        <v>2</v>
      </c>
      <c r="H45" s="314" t="n">
        <v>0</v>
      </c>
      <c r="I45" s="51" t="n">
        <v>3</v>
      </c>
      <c r="J45" s="727" t="n">
        <v>2</v>
      </c>
      <c r="K45" s="727" t="n">
        <f aca="false" t="array" ref="K45:K45">IF(ISNA(INDEX(Pokedex!K$2:K$610,MATCH($C45,Pokedex!$B$2:$B$610,0))),"",INDEX(Pokedex!K$2:K$610,MATCH($C45,Pokedex!$B$2:$B$610,0)))</f>
        <v>56</v>
      </c>
      <c r="L45" s="48" t="n">
        <f aca="false">L44+1</f>
        <v>43</v>
      </c>
      <c r="M45" s="400"/>
    </row>
    <row r="46" customFormat="false" ht="15.75" hidden="false" customHeight="false" outlineLevel="0" collapsed="false">
      <c r="A46" s="24" t="n">
        <f aca="false">A45+1</f>
        <v>44</v>
      </c>
      <c r="B46" s="737" t="s">
        <v>713</v>
      </c>
      <c r="C46" s="313" t="s">
        <v>41</v>
      </c>
      <c r="D46" s="313"/>
      <c r="E46" s="313"/>
      <c r="F46" s="312" t="n">
        <v>2</v>
      </c>
      <c r="G46" s="726" t="n">
        <v>2</v>
      </c>
      <c r="H46" s="314" t="n">
        <v>0</v>
      </c>
      <c r="I46" s="51" t="n">
        <v>3</v>
      </c>
      <c r="J46" s="727" t="n">
        <v>1</v>
      </c>
      <c r="K46" s="727" t="n">
        <f aca="false" t="array" ref="K46:K46">IF(ISNA(INDEX(Pokedex!K$2:K$610,MATCH($C46,Pokedex!$B$2:$B$610,0))),"",INDEX(Pokedex!K$2:K$610,MATCH($C46,Pokedex!$B$2:$B$610,0)))</f>
        <v>40</v>
      </c>
      <c r="L46" s="48" t="n">
        <f aca="false">L45+1</f>
        <v>44</v>
      </c>
      <c r="M46" s="400"/>
    </row>
    <row r="47" customFormat="false" ht="15.75" hidden="false" customHeight="false" outlineLevel="0" collapsed="false">
      <c r="A47" s="24" t="n">
        <f aca="false">A46+1</f>
        <v>45</v>
      </c>
      <c r="B47" s="737" t="s">
        <v>706</v>
      </c>
      <c r="C47" s="313" t="s">
        <v>57</v>
      </c>
      <c r="D47" s="313"/>
      <c r="E47" s="313"/>
      <c r="F47" s="312" t="n">
        <v>2</v>
      </c>
      <c r="G47" s="726" t="n">
        <v>3</v>
      </c>
      <c r="H47" s="314" t="n">
        <v>-1</v>
      </c>
      <c r="I47" s="51" t="n">
        <v>4</v>
      </c>
      <c r="J47" s="727" t="n">
        <v>2</v>
      </c>
      <c r="K47" s="727" t="n">
        <f aca="false" t="array" ref="K47:K47">IF(ISNA(INDEX(Pokedex!K$2:K$610,MATCH($C47,Pokedex!$B$2:$B$610,0))),"",INDEX(Pokedex!K$2:K$610,MATCH($C47,Pokedex!$B$2:$B$610,0)))</f>
        <v>1</v>
      </c>
      <c r="L47" s="48" t="n">
        <f aca="false">L46+1</f>
        <v>45</v>
      </c>
      <c r="M47" s="400"/>
    </row>
    <row r="48" customFormat="false" ht="15.75" hidden="false" customHeight="false" outlineLevel="0" collapsed="false">
      <c r="A48" s="24" t="n">
        <f aca="false">A47+1</f>
        <v>46</v>
      </c>
      <c r="B48" s="737" t="s">
        <v>715</v>
      </c>
      <c r="C48" s="313" t="s">
        <v>73</v>
      </c>
      <c r="D48" s="313"/>
      <c r="E48" s="313"/>
      <c r="F48" s="312" t="n">
        <v>2</v>
      </c>
      <c r="G48" s="726" t="n">
        <v>4</v>
      </c>
      <c r="H48" s="314" t="n">
        <v>-2</v>
      </c>
      <c r="I48" s="51" t="n">
        <v>4</v>
      </c>
      <c r="J48" s="727" t="n">
        <v>0</v>
      </c>
      <c r="K48" s="727" t="n">
        <f aca="false" t="array" ref="K48:K48">IF(ISNA(INDEX(Pokedex!K$2:K$610,MATCH($C48,Pokedex!$B$2:$B$610,0))),"",INDEX(Pokedex!K$2:K$610,MATCH($C48,Pokedex!$B$2:$B$610,0)))</f>
        <v>19</v>
      </c>
      <c r="L48" s="48" t="n">
        <f aca="false">L47+1</f>
        <v>46</v>
      </c>
      <c r="M48" s="400"/>
    </row>
    <row r="49" customFormat="false" ht="15.75" hidden="false" customHeight="false" outlineLevel="0" collapsed="false">
      <c r="A49" s="24" t="n">
        <f aca="false">A48+1</f>
        <v>47</v>
      </c>
      <c r="B49" s="737" t="s">
        <v>711</v>
      </c>
      <c r="C49" s="313" t="s">
        <v>87</v>
      </c>
      <c r="D49" s="313"/>
      <c r="E49" s="313"/>
      <c r="F49" s="312" t="n">
        <v>2</v>
      </c>
      <c r="G49" s="726" t="n">
        <v>4</v>
      </c>
      <c r="H49" s="314" t="n">
        <v>-2</v>
      </c>
      <c r="I49" s="51" t="n">
        <v>5</v>
      </c>
      <c r="J49" s="727" t="n">
        <v>5</v>
      </c>
      <c r="K49" s="727" t="str">
        <f aca="false" t="array" ref="K49:K49">IF(ISNA(INDEX(Pokedex!K$2:K$610,MATCH($C49,Pokedex!$B$2:$B$610,0))),"",INDEX(Pokedex!K$2:K$610,MATCH($C49,Pokedex!$B$2:$B$610,0)))</f>
        <v>FA</v>
      </c>
      <c r="L49" s="48" t="n">
        <f aca="false">L48+1</f>
        <v>47</v>
      </c>
    </row>
    <row r="50" customFormat="false" ht="15.75" hidden="false" customHeight="false" outlineLevel="0" collapsed="false">
      <c r="A50" s="24" t="n">
        <f aca="false">A49+1</f>
        <v>48</v>
      </c>
      <c r="B50" s="737" t="s">
        <v>713</v>
      </c>
      <c r="C50" s="313" t="s">
        <v>53</v>
      </c>
      <c r="D50" s="313"/>
      <c r="E50" s="313"/>
      <c r="F50" s="312" t="n">
        <v>2</v>
      </c>
      <c r="G50" s="726" t="n">
        <v>4</v>
      </c>
      <c r="H50" s="314" t="n">
        <v>-2</v>
      </c>
      <c r="I50" s="51" t="n">
        <v>5</v>
      </c>
      <c r="J50" s="727" t="n">
        <v>2</v>
      </c>
      <c r="K50" s="727" t="n">
        <f aca="false" t="array" ref="K50:K50">IF(ISNA(INDEX(Pokedex!K$2:K$610,MATCH($C50,Pokedex!$B$2:$B$610,0))),"",INDEX(Pokedex!K$2:K$610,MATCH($C50,Pokedex!$B$2:$B$610,0)))</f>
        <v>3</v>
      </c>
      <c r="L50" s="48" t="n">
        <f aca="false">L49+1</f>
        <v>48</v>
      </c>
      <c r="M50" s="400"/>
    </row>
    <row r="51" customFormat="false" ht="15.75" hidden="false" customHeight="false" outlineLevel="0" collapsed="false">
      <c r="A51" s="24" t="n">
        <f aca="false">A50+1</f>
        <v>49</v>
      </c>
      <c r="B51" s="737" t="s">
        <v>714</v>
      </c>
      <c r="C51" s="313" t="s">
        <v>43</v>
      </c>
      <c r="D51" s="313"/>
      <c r="E51" s="313"/>
      <c r="F51" s="312" t="n">
        <v>2</v>
      </c>
      <c r="G51" s="726" t="n">
        <v>5</v>
      </c>
      <c r="H51" s="314" t="n">
        <v>-3</v>
      </c>
      <c r="I51" s="51" t="n">
        <v>6</v>
      </c>
      <c r="J51" s="727" t="n">
        <v>4</v>
      </c>
      <c r="K51" s="727" t="n">
        <f aca="false" t="array" ref="K51:K51">IF(ISNA(INDEX(Pokedex!K$2:K$610,MATCH($C51,Pokedex!$B$2:$B$610,0))),"",INDEX(Pokedex!K$2:K$610,MATCH($C51,Pokedex!$B$2:$B$610,0)))</f>
        <v>21</v>
      </c>
      <c r="L51" s="48" t="n">
        <f aca="false">L50+1</f>
        <v>49</v>
      </c>
      <c r="M51" s="400"/>
    </row>
    <row r="52" customFormat="false" ht="15.75" hidden="false" customHeight="false" outlineLevel="0" collapsed="false">
      <c r="A52" s="24" t="n">
        <f aca="false">A51+1</f>
        <v>50</v>
      </c>
      <c r="B52" s="737" t="s">
        <v>715</v>
      </c>
      <c r="C52" s="313" t="s">
        <v>93</v>
      </c>
      <c r="D52" s="313"/>
      <c r="E52" s="313"/>
      <c r="F52" s="312" t="n">
        <v>2</v>
      </c>
      <c r="G52" s="726" t="n">
        <v>8</v>
      </c>
      <c r="H52" s="314" t="n">
        <v>-6</v>
      </c>
      <c r="I52" s="51" t="n">
        <v>8</v>
      </c>
      <c r="J52" s="727" t="n">
        <v>0</v>
      </c>
      <c r="K52" s="727" t="str">
        <f aca="false" t="array" ref="K52:K52">IF(ISNA(INDEX(Pokedex!K$2:K$610,MATCH($C52,Pokedex!$B$2:$B$610,0))),"",INDEX(Pokedex!K$2:K$610,MATCH($C52,Pokedex!$B$2:$B$610,0)))</f>
        <v>FA</v>
      </c>
      <c r="L52" s="48" t="n">
        <f aca="false">L51+1</f>
        <v>50</v>
      </c>
      <c r="M52" s="400"/>
    </row>
    <row r="53" customFormat="false" ht="15.75" hidden="false" customHeight="false" outlineLevel="0" collapsed="false">
      <c r="A53" s="24" t="n">
        <f aca="false">A52+1</f>
        <v>51</v>
      </c>
      <c r="B53" s="737" t="s">
        <v>711</v>
      </c>
      <c r="C53" s="313" t="s">
        <v>122</v>
      </c>
      <c r="D53" s="313"/>
      <c r="E53" s="313"/>
      <c r="F53" s="312" t="n">
        <v>1</v>
      </c>
      <c r="G53" s="726" t="n">
        <v>1</v>
      </c>
      <c r="H53" s="314" t="n">
        <v>0</v>
      </c>
      <c r="I53" s="51" t="n">
        <v>1</v>
      </c>
      <c r="J53" s="727" t="n">
        <v>1</v>
      </c>
      <c r="K53" s="727" t="str">
        <f aca="false" t="array" ref="K53:K53">IF(ISNA(INDEX(Pokedex!K$2:K$610,MATCH($C53,Pokedex!$B$2:$B$610,0))),"",INDEX(Pokedex!K$2:K$610,MATCH($C53,Pokedex!$B$2:$B$610,0)))</f>
        <v>FA</v>
      </c>
      <c r="L53" s="48" t="n">
        <f aca="false">L52+1</f>
        <v>51</v>
      </c>
      <c r="M53" s="400"/>
    </row>
    <row r="54" customFormat="false" ht="15.75" hidden="false" customHeight="false" outlineLevel="0" collapsed="false">
      <c r="A54" s="24" t="n">
        <f aca="false">A53+1</f>
        <v>52</v>
      </c>
      <c r="B54" s="737" t="s">
        <v>705</v>
      </c>
      <c r="C54" s="313" t="s">
        <v>24</v>
      </c>
      <c r="D54" s="313"/>
      <c r="E54" s="313"/>
      <c r="F54" s="312" t="n">
        <v>1</v>
      </c>
      <c r="G54" s="726" t="n">
        <v>1</v>
      </c>
      <c r="H54" s="314" t="n">
        <v>0</v>
      </c>
      <c r="I54" s="51" t="n">
        <v>2</v>
      </c>
      <c r="J54" s="727" t="n">
        <v>2</v>
      </c>
      <c r="K54" s="727" t="n">
        <f aca="false" t="array" ref="K54:K54">IF(ISNA(INDEX(Pokedex!K$2:K$610,MATCH($C54,Pokedex!$B$2:$B$610,0))),"",INDEX(Pokedex!K$2:K$610,MATCH($C54,Pokedex!$B$2:$B$610,0)))</f>
        <v>69</v>
      </c>
      <c r="L54" s="48" t="n">
        <f aca="false">L53+1</f>
        <v>52</v>
      </c>
      <c r="M54" s="400"/>
    </row>
    <row r="55" customFormat="false" ht="15.75" hidden="false" customHeight="false" outlineLevel="0" collapsed="false">
      <c r="A55" s="24" t="n">
        <f aca="false">A54+1</f>
        <v>53</v>
      </c>
      <c r="B55" s="737" t="s">
        <v>255</v>
      </c>
      <c r="C55" s="313" t="s">
        <v>116</v>
      </c>
      <c r="D55" s="313"/>
      <c r="E55" s="313"/>
      <c r="F55" s="312" t="n">
        <v>1</v>
      </c>
      <c r="G55" s="726" t="n">
        <v>1</v>
      </c>
      <c r="H55" s="314" t="n">
        <v>0</v>
      </c>
      <c r="I55" s="51" t="n">
        <v>2</v>
      </c>
      <c r="J55" s="727" t="n">
        <v>2</v>
      </c>
      <c r="K55" s="727" t="n">
        <f aca="false" t="array" ref="K55:K55">IF(ISNA(INDEX(Pokedex!K$2:K$610,MATCH($C55,Pokedex!$B$2:$B$610,0))),"",INDEX(Pokedex!K$2:K$610,MATCH($C55,Pokedex!$B$2:$B$610,0)))</f>
        <v>22</v>
      </c>
      <c r="L55" s="48" t="n">
        <f aca="false">L54+1</f>
        <v>53</v>
      </c>
      <c r="M55" s="400"/>
    </row>
    <row r="56" customFormat="false" ht="15.75" hidden="false" customHeight="false" outlineLevel="0" collapsed="false">
      <c r="A56" s="24" t="n">
        <f aca="false">A55+1</f>
        <v>54</v>
      </c>
      <c r="B56" s="737" t="s">
        <v>711</v>
      </c>
      <c r="C56" s="313" t="s">
        <v>118</v>
      </c>
      <c r="D56" s="313"/>
      <c r="E56" s="313"/>
      <c r="F56" s="312" t="n">
        <v>1</v>
      </c>
      <c r="G56" s="726" t="n">
        <v>2</v>
      </c>
      <c r="H56" s="314" t="n">
        <v>-1</v>
      </c>
      <c r="I56" s="51" t="n">
        <v>2</v>
      </c>
      <c r="J56" s="727" t="n">
        <v>2</v>
      </c>
      <c r="K56" s="727" t="n">
        <f aca="false" t="array" ref="K56:K56">IF(ISNA(INDEX(Pokedex!K$2:K$610,MATCH($C56,Pokedex!$B$2:$B$610,0))),"",INDEX(Pokedex!K$2:K$610,MATCH($C56,Pokedex!$B$2:$B$610,0)))</f>
        <v>37</v>
      </c>
      <c r="L56" s="48" t="n">
        <f aca="false">L55+1</f>
        <v>54</v>
      </c>
      <c r="M56" s="400"/>
    </row>
    <row r="57" customFormat="false" ht="15.75" hidden="false" customHeight="false" outlineLevel="0" collapsed="false">
      <c r="A57" s="24" t="n">
        <f aca="false">A56+1</f>
        <v>55</v>
      </c>
      <c r="B57" s="737" t="s">
        <v>713</v>
      </c>
      <c r="C57" s="313" t="s">
        <v>50</v>
      </c>
      <c r="D57" s="313"/>
      <c r="E57" s="313"/>
      <c r="F57" s="312" t="n">
        <v>1</v>
      </c>
      <c r="G57" s="726" t="n">
        <v>2</v>
      </c>
      <c r="H57" s="314" t="n">
        <v>-1</v>
      </c>
      <c r="I57" s="51" t="n">
        <v>2</v>
      </c>
      <c r="J57" s="727" t="n">
        <v>0</v>
      </c>
      <c r="K57" s="727" t="n">
        <f aca="false" t="array" ref="K57:K57">IF(ISNA(INDEX(Pokedex!K$2:K$610,MATCH($C57,Pokedex!$B$2:$B$610,0))),"",INDEX(Pokedex!K$2:K$610,MATCH($C57,Pokedex!$B$2:$B$610,0)))</f>
        <v>59</v>
      </c>
      <c r="L57" s="48" t="n">
        <f aca="false">L56+1</f>
        <v>55</v>
      </c>
      <c r="M57" s="400"/>
    </row>
    <row r="58" customFormat="false" ht="15.75" hidden="false" customHeight="false" outlineLevel="0" collapsed="false">
      <c r="A58" s="24" t="n">
        <f aca="false">A57+1</f>
        <v>56</v>
      </c>
      <c r="B58" s="737" t="s">
        <v>725</v>
      </c>
      <c r="C58" s="313" t="s">
        <v>110</v>
      </c>
      <c r="D58" s="313"/>
      <c r="E58" s="313"/>
      <c r="F58" s="312" t="n">
        <v>1</v>
      </c>
      <c r="G58" s="726" t="n">
        <v>3</v>
      </c>
      <c r="H58" s="314" t="n">
        <v>-2</v>
      </c>
      <c r="I58" s="51" t="n">
        <v>3</v>
      </c>
      <c r="J58" s="727" t="n">
        <v>0</v>
      </c>
      <c r="K58" s="727" t="n">
        <f aca="false" t="array" ref="K58:K58">IF(ISNA(INDEX(Pokedex!K$2:K$610,MATCH($C58,Pokedex!$B$2:$B$610,0))),"",INDEX(Pokedex!K$2:K$610,MATCH($C58,Pokedex!$B$2:$B$610,0)))</f>
        <v>81</v>
      </c>
      <c r="L58" s="48" t="n">
        <f aca="false">L57+1</f>
        <v>56</v>
      </c>
      <c r="M58" s="400"/>
    </row>
    <row r="59" customFormat="false" ht="15.75" hidden="false" customHeight="false" outlineLevel="0" collapsed="false">
      <c r="A59" s="24" t="n">
        <f aca="false">A58+1</f>
        <v>57</v>
      </c>
      <c r="B59" s="737" t="s">
        <v>715</v>
      </c>
      <c r="C59" s="313" t="s">
        <v>71</v>
      </c>
      <c r="D59" s="313"/>
      <c r="E59" s="313"/>
      <c r="F59" s="312" t="n">
        <v>1</v>
      </c>
      <c r="G59" s="726" t="n">
        <v>3</v>
      </c>
      <c r="H59" s="314" t="n">
        <v>-2</v>
      </c>
      <c r="I59" s="51" t="n">
        <v>3</v>
      </c>
      <c r="J59" s="727" t="n">
        <v>0</v>
      </c>
      <c r="K59" s="727" t="n">
        <f aca="false" t="array" ref="K59:K59">IF(ISNA(INDEX(Pokedex!K$2:K$610,MATCH($C59,Pokedex!$B$2:$B$610,0))),"",INDEX(Pokedex!K$2:K$610,MATCH($C59,Pokedex!$B$2:$B$610,0)))</f>
        <v>5</v>
      </c>
      <c r="L59" s="48" t="n">
        <f aca="false">L58+1</f>
        <v>57</v>
      </c>
      <c r="M59" s="400"/>
    </row>
    <row r="60" customFormat="false" ht="15.75" hidden="false" customHeight="false" outlineLevel="0" collapsed="false">
      <c r="A60" s="24" t="n">
        <f aca="false">A59+1</f>
        <v>58</v>
      </c>
      <c r="B60" s="737" t="s">
        <v>255</v>
      </c>
      <c r="C60" s="313" t="s">
        <v>96</v>
      </c>
      <c r="D60" s="313"/>
      <c r="E60" s="313"/>
      <c r="F60" s="312" t="n">
        <v>1</v>
      </c>
      <c r="G60" s="726" t="n">
        <v>4</v>
      </c>
      <c r="H60" s="314" t="n">
        <v>-3</v>
      </c>
      <c r="I60" s="51" t="n">
        <v>4</v>
      </c>
      <c r="J60" s="727" t="n">
        <v>0</v>
      </c>
      <c r="K60" s="727" t="n">
        <f aca="false" t="array" ref="K60:K60">IF(ISNA(INDEX(Pokedex!K$2:K$610,MATCH($C60,Pokedex!$B$2:$B$610,0))),"",INDEX(Pokedex!K$2:K$610,MATCH($C60,Pokedex!$B$2:$B$610,0)))</f>
        <v>75</v>
      </c>
      <c r="L60" s="48" t="n">
        <f aca="false">L59+1</f>
        <v>58</v>
      </c>
      <c r="M60" s="400"/>
    </row>
    <row r="61" customFormat="false" ht="15.75" hidden="false" customHeight="false" outlineLevel="0" collapsed="false">
      <c r="A61" s="24" t="n">
        <f aca="false">A60+1</f>
        <v>59</v>
      </c>
      <c r="B61" s="737" t="s">
        <v>255</v>
      </c>
      <c r="C61" s="313" t="s">
        <v>77</v>
      </c>
      <c r="D61" s="313"/>
      <c r="E61" s="313"/>
      <c r="F61" s="312" t="n">
        <v>1</v>
      </c>
      <c r="G61" s="726" t="n">
        <v>4</v>
      </c>
      <c r="H61" s="314" t="n">
        <v>-3</v>
      </c>
      <c r="I61" s="51" t="n">
        <v>4</v>
      </c>
      <c r="J61" s="727" t="n">
        <v>0</v>
      </c>
      <c r="K61" s="727" t="n">
        <f aca="false" t="array" ref="K61:K61">IF(ISNA(INDEX(Pokedex!K$2:K$610,MATCH($C61,Pokedex!$B$2:$B$610,0))),"",INDEX(Pokedex!K$2:K$610,MATCH($C61,Pokedex!$B$2:$B$610,0)))</f>
        <v>61</v>
      </c>
      <c r="L61" s="48" t="n">
        <f aca="false">L60+1</f>
        <v>59</v>
      </c>
      <c r="M61" s="400"/>
    </row>
    <row r="62" customFormat="false" ht="15.75" hidden="false" customHeight="false" outlineLevel="0" collapsed="false">
      <c r="A62" s="24" t="n">
        <f aca="false">A61+1</f>
        <v>60</v>
      </c>
      <c r="B62" s="737" t="s">
        <v>725</v>
      </c>
      <c r="C62" s="313" t="s">
        <v>76</v>
      </c>
      <c r="D62" s="313"/>
      <c r="E62" s="313"/>
      <c r="F62" s="312" t="n">
        <v>1</v>
      </c>
      <c r="G62" s="726" t="n">
        <v>6</v>
      </c>
      <c r="H62" s="314" t="n">
        <v>-5</v>
      </c>
      <c r="I62" s="51" t="n">
        <v>6</v>
      </c>
      <c r="J62" s="727" t="n">
        <v>1</v>
      </c>
      <c r="K62" s="727" t="n">
        <f aca="false" t="array" ref="K62:K62">IF(ISNA(INDEX(Pokedex!K$2:K$610,MATCH($C62,Pokedex!$B$2:$B$610,0))),"",INDEX(Pokedex!K$2:K$610,MATCH($C62,Pokedex!$B$2:$B$610,0)))</f>
        <v>80</v>
      </c>
      <c r="L62" s="48" t="n">
        <f aca="false">L61+1</f>
        <v>60</v>
      </c>
      <c r="M62" s="400"/>
    </row>
    <row r="63" customFormat="false" ht="15.75" hidden="false" customHeight="false" outlineLevel="0" collapsed="false">
      <c r="A63" s="24" t="n">
        <f aca="false">A62+1</f>
        <v>61</v>
      </c>
      <c r="B63" s="737" t="s">
        <v>715</v>
      </c>
      <c r="C63" s="313" t="s">
        <v>97</v>
      </c>
      <c r="D63" s="313"/>
      <c r="E63" s="313"/>
      <c r="F63" s="312" t="n">
        <v>1</v>
      </c>
      <c r="G63" s="726" t="n">
        <v>7</v>
      </c>
      <c r="H63" s="314" t="n">
        <v>-6</v>
      </c>
      <c r="I63" s="51" t="n">
        <v>7</v>
      </c>
      <c r="J63" s="727" t="n">
        <v>0</v>
      </c>
      <c r="K63" s="727" t="n">
        <f aca="false" t="array" ref="K63:K63">IF(ISNA(INDEX(Pokedex!K$2:K$610,MATCH($C63,Pokedex!$B$2:$B$610,0))),"",INDEX(Pokedex!K$2:K$610,MATCH($C63,Pokedex!$B$2:$B$610,0)))</f>
        <v>24</v>
      </c>
      <c r="L63" s="48" t="n">
        <f aca="false">L62+1</f>
        <v>61</v>
      </c>
      <c r="M63" s="400"/>
    </row>
    <row r="64" customFormat="false" ht="15.75" hidden="false" customHeight="false" outlineLevel="0" collapsed="false">
      <c r="A64" s="24" t="n">
        <f aca="false">A63+1</f>
        <v>62</v>
      </c>
      <c r="B64" s="737" t="s">
        <v>715</v>
      </c>
      <c r="C64" s="313" t="s">
        <v>81</v>
      </c>
      <c r="D64" s="313"/>
      <c r="E64" s="313"/>
      <c r="F64" s="312" t="n">
        <v>1</v>
      </c>
      <c r="G64" s="726" t="n">
        <v>8</v>
      </c>
      <c r="H64" s="314" t="n">
        <v>-7</v>
      </c>
      <c r="I64" s="51" t="n">
        <v>8</v>
      </c>
      <c r="J64" s="727" t="n">
        <v>0</v>
      </c>
      <c r="K64" s="727" t="n">
        <f aca="false" t="array" ref="K64:K64">IF(ISNA(INDEX(Pokedex!K$2:K$610,MATCH($C64,Pokedex!$B$2:$B$610,0))),"",INDEX(Pokedex!K$2:K$610,MATCH($C64,Pokedex!$B$2:$B$610,0)))</f>
        <v>38</v>
      </c>
      <c r="L64" s="48" t="n">
        <f aca="false">L63+1</f>
        <v>62</v>
      </c>
      <c r="M64" s="400"/>
    </row>
    <row r="65" customFormat="false" ht="15.75" hidden="false" customHeight="false" outlineLevel="0" collapsed="false">
      <c r="A65" s="24" t="n">
        <f aca="false">A64+1</f>
        <v>63</v>
      </c>
      <c r="B65" s="737" t="s">
        <v>713</v>
      </c>
      <c r="C65" s="313" t="s">
        <v>44</v>
      </c>
      <c r="D65" s="313"/>
      <c r="E65" s="313"/>
      <c r="F65" s="312" t="n">
        <v>0</v>
      </c>
      <c r="G65" s="726" t="n">
        <v>1</v>
      </c>
      <c r="H65" s="314" t="n">
        <v>-1</v>
      </c>
      <c r="I65" s="51" t="n">
        <v>1</v>
      </c>
      <c r="J65" s="727" t="n">
        <v>0</v>
      </c>
      <c r="K65" s="727" t="n">
        <f aca="false" t="array" ref="K65:K65">IF(ISNA(INDEX(Pokedex!K$2:K$610,MATCH($C65,Pokedex!$B$2:$B$610,0))),"",INDEX(Pokedex!K$2:K$610,MATCH($C65,Pokedex!$B$2:$B$610,0)))</f>
        <v>68</v>
      </c>
      <c r="L65" s="48" t="n">
        <f aca="false">L64+1</f>
        <v>63</v>
      </c>
      <c r="M65" s="400"/>
    </row>
    <row r="66" customFormat="false" ht="15.75" hidden="false" customHeight="false" outlineLevel="0" collapsed="false">
      <c r="A66" s="24" t="n">
        <f aca="false">A65+1</f>
        <v>64</v>
      </c>
      <c r="B66" s="737" t="s">
        <v>255</v>
      </c>
      <c r="C66" s="313" t="s">
        <v>31</v>
      </c>
      <c r="D66" s="313"/>
      <c r="E66" s="313"/>
      <c r="F66" s="312" t="n">
        <v>0</v>
      </c>
      <c r="G66" s="726" t="n">
        <v>1</v>
      </c>
      <c r="H66" s="314" t="n">
        <v>-1</v>
      </c>
      <c r="I66" s="51" t="n">
        <v>1</v>
      </c>
      <c r="J66" s="727" t="n">
        <v>0</v>
      </c>
      <c r="K66" s="727" t="n">
        <f aca="false" t="array" ref="K66:K66">IF(ISNA(INDEX(Pokedex!K$2:K$610,MATCH($C66,Pokedex!$B$2:$B$610,0))),"",INDEX(Pokedex!K$2:K$610,MATCH($C66,Pokedex!$B$2:$B$610,0)))</f>
        <v>65</v>
      </c>
      <c r="L66" s="48" t="n">
        <f aca="false">L65+1</f>
        <v>64</v>
      </c>
      <c r="M66" s="400"/>
    </row>
    <row r="67" customFormat="false" ht="15.75" hidden="false" customHeight="false" outlineLevel="0" collapsed="false">
      <c r="A67" s="24" t="n">
        <f aca="false">A66+1</f>
        <v>65</v>
      </c>
      <c r="B67" s="737" t="s">
        <v>713</v>
      </c>
      <c r="C67" s="313" t="s">
        <v>120</v>
      </c>
      <c r="D67" s="313"/>
      <c r="E67" s="313"/>
      <c r="F67" s="312" t="n">
        <v>0</v>
      </c>
      <c r="G67" s="726" t="n">
        <v>1</v>
      </c>
      <c r="H67" s="314" t="n">
        <v>-1</v>
      </c>
      <c r="I67" s="51" t="n">
        <v>1</v>
      </c>
      <c r="J67" s="727" t="n">
        <v>0</v>
      </c>
      <c r="K67" s="727" t="n">
        <f aca="false" t="array" ref="K67:K67">IF(ISNA(INDEX(Pokedex!K$2:K$610,MATCH($C67,Pokedex!$B$2:$B$610,0))),"",INDEX(Pokedex!K$2:K$610,MATCH($C67,Pokedex!$B$2:$B$610,0)))</f>
        <v>17</v>
      </c>
      <c r="L67" s="48" t="n">
        <f aca="false">L66+1</f>
        <v>65</v>
      </c>
      <c r="M67" s="400"/>
    </row>
    <row r="68" customFormat="false" ht="15.75" hidden="false" customHeight="false" outlineLevel="0" collapsed="false">
      <c r="A68" s="24" t="n">
        <f aca="false">A67+1</f>
        <v>66</v>
      </c>
      <c r="B68" s="737" t="s">
        <v>706</v>
      </c>
      <c r="C68" s="313" t="s">
        <v>86</v>
      </c>
      <c r="D68" s="313"/>
      <c r="E68" s="313"/>
      <c r="F68" s="312" t="n">
        <v>0</v>
      </c>
      <c r="G68" s="726" t="n">
        <v>1</v>
      </c>
      <c r="H68" s="314" t="n">
        <v>-1</v>
      </c>
      <c r="I68" s="51" t="n">
        <v>1</v>
      </c>
      <c r="J68" s="727" t="n">
        <v>0</v>
      </c>
      <c r="K68" s="727" t="n">
        <f aca="false" t="array" ref="K68:K68">IF(ISNA(INDEX(Pokedex!K$2:K$610,MATCH($C68,Pokedex!$B$2:$B$610,0))),"",INDEX(Pokedex!K$2:K$610,MATCH($C68,Pokedex!$B$2:$B$610,0)))</f>
        <v>70</v>
      </c>
      <c r="L68" s="48" t="n">
        <f aca="false">L67+1</f>
        <v>66</v>
      </c>
      <c r="M68" s="400"/>
    </row>
    <row r="69" customFormat="false" ht="15.75" hidden="false" customHeight="false" outlineLevel="0" collapsed="false">
      <c r="A69" s="24" t="n">
        <f aca="false">A68+1</f>
        <v>67</v>
      </c>
      <c r="B69" s="737" t="s">
        <v>715</v>
      </c>
      <c r="C69" s="313" t="s">
        <v>79</v>
      </c>
      <c r="D69" s="313"/>
      <c r="E69" s="313"/>
      <c r="F69" s="312" t="n">
        <v>0</v>
      </c>
      <c r="G69" s="726" t="n">
        <v>1</v>
      </c>
      <c r="H69" s="314" t="n">
        <v>-1</v>
      </c>
      <c r="I69" s="51" t="n">
        <v>1</v>
      </c>
      <c r="J69" s="727" t="n">
        <v>0</v>
      </c>
      <c r="K69" s="727" t="n">
        <f aca="false" t="array" ref="K69:K69">IF(ISNA(INDEX(Pokedex!K$2:K$610,MATCH($C69,Pokedex!$B$2:$B$610,0))),"",INDEX(Pokedex!K$2:K$610,MATCH($C69,Pokedex!$B$2:$B$610,0)))</f>
        <v>47</v>
      </c>
      <c r="L69" s="48" t="n">
        <f aca="false">L68+1</f>
        <v>67</v>
      </c>
      <c r="M69" s="400"/>
    </row>
    <row r="70" customFormat="false" ht="15.75" hidden="false" customHeight="false" outlineLevel="0" collapsed="false">
      <c r="A70" s="24" t="n">
        <f aca="false">A69+1</f>
        <v>68</v>
      </c>
      <c r="B70" s="737" t="s">
        <v>715</v>
      </c>
      <c r="C70" s="313" t="s">
        <v>126</v>
      </c>
      <c r="D70" s="313"/>
      <c r="E70" s="313"/>
      <c r="F70" s="312" t="n">
        <v>0</v>
      </c>
      <c r="G70" s="726" t="n">
        <v>1</v>
      </c>
      <c r="H70" s="314" t="n">
        <v>-1</v>
      </c>
      <c r="I70" s="51" t="n">
        <v>1</v>
      </c>
      <c r="J70" s="727" t="n">
        <v>0</v>
      </c>
      <c r="K70" s="727" t="str">
        <f aca="false" t="array" ref="K70:K70">IF(ISNA(INDEX(Pokedex!K$2:K$610,MATCH($C70,Pokedex!$B$2:$B$610,0))),"",INDEX(Pokedex!K$2:K$610,MATCH($C70,Pokedex!$B$2:$B$610,0)))</f>
        <v>FA</v>
      </c>
      <c r="L70" s="48" t="n">
        <f aca="false">L69+1</f>
        <v>68</v>
      </c>
      <c r="M70" s="400"/>
    </row>
    <row r="71" customFormat="false" ht="15.75" hidden="false" customHeight="false" outlineLevel="0" collapsed="false">
      <c r="A71" s="24" t="n">
        <f aca="false">A70+1</f>
        <v>69</v>
      </c>
      <c r="B71" s="737" t="s">
        <v>705</v>
      </c>
      <c r="C71" s="313" t="s">
        <v>125</v>
      </c>
      <c r="D71" s="313"/>
      <c r="E71" s="313"/>
      <c r="F71" s="312" t="n">
        <v>0</v>
      </c>
      <c r="G71" s="726" t="n">
        <v>1</v>
      </c>
      <c r="H71" s="314" t="n">
        <v>-1</v>
      </c>
      <c r="I71" s="51" t="n">
        <v>1</v>
      </c>
      <c r="J71" s="727" t="n">
        <v>0</v>
      </c>
      <c r="K71" s="727" t="str">
        <f aca="false" t="array" ref="K71:K71">IF(ISNA(INDEX(Pokedex!K$2:K$610,MATCH($C71,Pokedex!$B$2:$B$610,0))),"",INDEX(Pokedex!K$2:K$610,MATCH($C71,Pokedex!$B$2:$B$610,0)))</f>
        <v>FA</v>
      </c>
      <c r="L71" s="48" t="n">
        <f aca="false">L70+1</f>
        <v>69</v>
      </c>
    </row>
    <row r="72" customFormat="false" ht="15.75" hidden="false" customHeight="false" outlineLevel="0" collapsed="false">
      <c r="A72" s="24" t="n">
        <f aca="false">A71+1</f>
        <v>70</v>
      </c>
      <c r="B72" s="737" t="s">
        <v>255</v>
      </c>
      <c r="C72" s="313" t="s">
        <v>27</v>
      </c>
      <c r="D72" s="313"/>
      <c r="E72" s="313"/>
      <c r="F72" s="312" t="n">
        <v>0</v>
      </c>
      <c r="G72" s="726" t="n">
        <v>1</v>
      </c>
      <c r="H72" s="314" t="n">
        <v>-1</v>
      </c>
      <c r="I72" s="51" t="n">
        <v>1</v>
      </c>
      <c r="J72" s="727" t="n">
        <v>0</v>
      </c>
      <c r="K72" s="727" t="n">
        <f aca="false" t="array" ref="K72:K72">IF(ISNA(INDEX(Pokedex!K$2:K$610,MATCH($C72,Pokedex!$B$2:$B$610,0))),"",INDEX(Pokedex!K$2:K$610,MATCH($C72,Pokedex!$B$2:$B$610,0)))</f>
        <v>6</v>
      </c>
      <c r="L72" s="48" t="n">
        <f aca="false">L71+1</f>
        <v>70</v>
      </c>
    </row>
    <row r="73" customFormat="false" ht="15.75" hidden="false" customHeight="false" outlineLevel="0" collapsed="false">
      <c r="A73" s="24" t="n">
        <f aca="false">A72+1</f>
        <v>71</v>
      </c>
      <c r="B73" s="737" t="s">
        <v>705</v>
      </c>
      <c r="C73" s="313" t="s">
        <v>105</v>
      </c>
      <c r="D73" s="313"/>
      <c r="E73" s="313"/>
      <c r="F73" s="312" t="n">
        <v>0</v>
      </c>
      <c r="G73" s="726" t="n">
        <v>1</v>
      </c>
      <c r="H73" s="314" t="n">
        <v>-1</v>
      </c>
      <c r="I73" s="51" t="n">
        <v>2</v>
      </c>
      <c r="J73" s="727" t="n">
        <v>2</v>
      </c>
      <c r="K73" s="727" t="n">
        <f aca="false" t="array" ref="K73:K73">IF(ISNA(INDEX(Pokedex!K$2:K$610,MATCH($C73,Pokedex!$B$2:$B$610,0))),"",INDEX(Pokedex!K$2:K$610,MATCH($C73,Pokedex!$B$2:$B$610,0)))</f>
        <v>58</v>
      </c>
      <c r="L73" s="48" t="n">
        <f aca="false">L72+1</f>
        <v>71</v>
      </c>
      <c r="M73" s="400"/>
    </row>
    <row r="74" customFormat="false" ht="15.75" hidden="false" customHeight="false" outlineLevel="0" collapsed="false">
      <c r="A74" s="24" t="n">
        <f aca="false">A73+1</f>
        <v>72</v>
      </c>
      <c r="B74" s="737" t="s">
        <v>713</v>
      </c>
      <c r="C74" s="313" t="s">
        <v>101</v>
      </c>
      <c r="D74" s="313"/>
      <c r="E74" s="313"/>
      <c r="F74" s="312" t="n">
        <v>0</v>
      </c>
      <c r="G74" s="726" t="n">
        <v>1</v>
      </c>
      <c r="H74" s="314" t="n">
        <v>-1</v>
      </c>
      <c r="I74" s="51" t="n">
        <v>2</v>
      </c>
      <c r="J74" s="727" t="n">
        <v>1</v>
      </c>
      <c r="K74" s="727" t="n">
        <f aca="false" t="array" ref="K74:K74">IF(ISNA(INDEX(Pokedex!K$2:K$610,MATCH($C74,Pokedex!$B$2:$B$610,0))),"",INDEX(Pokedex!K$2:K$610,MATCH($C74,Pokedex!$B$2:$B$610,0)))</f>
        <v>45</v>
      </c>
      <c r="L74" s="48" t="n">
        <f aca="false">L73+1</f>
        <v>72</v>
      </c>
      <c r="M74" s="400"/>
    </row>
    <row r="75" customFormat="false" ht="15.75" hidden="false" customHeight="false" outlineLevel="0" collapsed="false">
      <c r="A75" s="24" t="n">
        <f aca="false">A74+1</f>
        <v>73</v>
      </c>
      <c r="B75" s="737" t="s">
        <v>725</v>
      </c>
      <c r="C75" s="313" t="s">
        <v>72</v>
      </c>
      <c r="D75" s="313"/>
      <c r="E75" s="313"/>
      <c r="F75" s="312" t="n">
        <v>0</v>
      </c>
      <c r="G75" s="726" t="n">
        <v>1</v>
      </c>
      <c r="H75" s="314" t="n">
        <v>-1</v>
      </c>
      <c r="I75" s="51" t="n">
        <v>2</v>
      </c>
      <c r="J75" s="727" t="n">
        <v>1</v>
      </c>
      <c r="K75" s="727" t="n">
        <f aca="false" t="array" ref="K75:K75">IF(ISNA(INDEX(Pokedex!K$2:K$610,MATCH($C75,Pokedex!$B$2:$B$610,0))),"",INDEX(Pokedex!K$2:K$610,MATCH($C75,Pokedex!$B$2:$B$610,0)))</f>
        <v>78</v>
      </c>
      <c r="L75" s="48" t="n">
        <f aca="false">L74+1</f>
        <v>73</v>
      </c>
      <c r="M75" s="400"/>
    </row>
    <row r="76" customFormat="false" ht="15.75" hidden="false" customHeight="false" outlineLevel="0" collapsed="false">
      <c r="A76" s="24" t="n">
        <f aca="false">A75+1</f>
        <v>74</v>
      </c>
      <c r="B76" s="737" t="s">
        <v>711</v>
      </c>
      <c r="C76" s="313" t="s">
        <v>111</v>
      </c>
      <c r="D76" s="313"/>
      <c r="E76" s="313"/>
      <c r="F76" s="312" t="n">
        <v>0</v>
      </c>
      <c r="G76" s="726" t="n">
        <v>2</v>
      </c>
      <c r="H76" s="314" t="n">
        <v>-2</v>
      </c>
      <c r="I76" s="51" t="n">
        <v>3</v>
      </c>
      <c r="J76" s="727" t="n">
        <v>3</v>
      </c>
      <c r="K76" s="727" t="n">
        <f aca="false" t="array" ref="K76:K76">IF(ISNA(INDEX(Pokedex!K$2:K$610,MATCH($C76,Pokedex!$B$2:$B$610,0))),"",INDEX(Pokedex!K$2:K$610,MATCH($C76,Pokedex!$B$2:$B$610,0)))</f>
        <v>76</v>
      </c>
      <c r="L76" s="48" t="n">
        <f aca="false">L75+1</f>
        <v>74</v>
      </c>
      <c r="M76" s="400"/>
    </row>
    <row r="77" customFormat="false" ht="15.75" hidden="false" customHeight="false" outlineLevel="0" collapsed="false">
      <c r="A77" s="24" t="n">
        <f aca="false">A76+1</f>
        <v>75</v>
      </c>
      <c r="B77" s="737" t="s">
        <v>255</v>
      </c>
      <c r="C77" s="313" t="s">
        <v>98</v>
      </c>
      <c r="D77" s="313"/>
      <c r="E77" s="313"/>
      <c r="F77" s="312" t="n">
        <v>0</v>
      </c>
      <c r="G77" s="726" t="n">
        <v>2</v>
      </c>
      <c r="H77" s="314" t="n">
        <v>-2</v>
      </c>
      <c r="I77" s="51" t="n">
        <v>3</v>
      </c>
      <c r="J77" s="727" t="n">
        <v>1</v>
      </c>
      <c r="K77" s="727" t="str">
        <f aca="false" t="array" ref="K77:K77">IF(ISNA(INDEX(Pokedex!K$2:K$610,MATCH($C77,Pokedex!$B$2:$B$610,0))),"",INDEX(Pokedex!K$2:K$610,MATCH($C77,Pokedex!$B$2:$B$610,0)))</f>
        <v>FA</v>
      </c>
      <c r="L77" s="48" t="n">
        <f aca="false">L76+1</f>
        <v>75</v>
      </c>
      <c r="M77" s="400"/>
    </row>
    <row r="78" customFormat="false" ht="15.75" hidden="false" customHeight="false" outlineLevel="0" collapsed="false">
      <c r="A78" s="24" t="n">
        <f aca="false">A77+1</f>
        <v>76</v>
      </c>
      <c r="B78" s="737" t="s">
        <v>713</v>
      </c>
      <c r="C78" s="313" t="s">
        <v>100</v>
      </c>
      <c r="D78" s="313"/>
      <c r="E78" s="313"/>
      <c r="F78" s="312" t="n">
        <v>0</v>
      </c>
      <c r="G78" s="726" t="n">
        <v>2</v>
      </c>
      <c r="H78" s="314" t="n">
        <v>-2</v>
      </c>
      <c r="I78" s="51" t="n">
        <v>4</v>
      </c>
      <c r="J78" s="727" t="n">
        <v>2</v>
      </c>
      <c r="K78" s="727" t="n">
        <f aca="false" t="array" ref="K78:K78">IF(ISNA(INDEX(Pokedex!K$2:K$610,MATCH($C78,Pokedex!$B$2:$B$610,0))),"",INDEX(Pokedex!K$2:K$610,MATCH($C78,Pokedex!$B$2:$B$610,0)))</f>
        <v>12</v>
      </c>
      <c r="L78" s="48" t="n">
        <f aca="false">L77+1</f>
        <v>76</v>
      </c>
      <c r="M78" s="400"/>
    </row>
    <row r="79" customFormat="false" ht="15.75" hidden="false" customHeight="false" outlineLevel="0" collapsed="false">
      <c r="A79" s="24" t="n">
        <f aca="false">A78+1</f>
        <v>77</v>
      </c>
      <c r="B79" s="737" t="s">
        <v>725</v>
      </c>
      <c r="C79" s="313" t="s">
        <v>108</v>
      </c>
      <c r="D79" s="313"/>
      <c r="E79" s="313"/>
      <c r="F79" s="312" t="n">
        <v>0</v>
      </c>
      <c r="G79" s="726" t="n">
        <v>3</v>
      </c>
      <c r="H79" s="314" t="n">
        <v>-3</v>
      </c>
      <c r="I79" s="51" t="n">
        <v>3</v>
      </c>
      <c r="J79" s="727" t="n">
        <v>0</v>
      </c>
      <c r="K79" s="727" t="n">
        <f aca="false" t="array" ref="K79:K79">IF(ISNA(INDEX(Pokedex!K$2:K$610,MATCH($C79,Pokedex!$B$2:$B$610,0))),"",INDEX(Pokedex!K$2:K$610,MATCH($C79,Pokedex!$B$2:$B$610,0)))</f>
        <v>84</v>
      </c>
      <c r="L79" s="48" t="n">
        <f aca="false">L78+1</f>
        <v>77</v>
      </c>
      <c r="M79" s="400"/>
    </row>
    <row r="80" customFormat="false" ht="15.75" hidden="false" customHeight="false" outlineLevel="0" collapsed="false">
      <c r="A80" s="24" t="n">
        <f aca="false">A79+1</f>
        <v>78</v>
      </c>
      <c r="B80" s="737" t="s">
        <v>706</v>
      </c>
      <c r="C80" s="313" t="s">
        <v>62</v>
      </c>
      <c r="D80" s="313"/>
      <c r="E80" s="313"/>
      <c r="F80" s="312" t="n">
        <v>0</v>
      </c>
      <c r="G80" s="726" t="n">
        <v>4</v>
      </c>
      <c r="H80" s="314" t="n">
        <v>-4</v>
      </c>
      <c r="I80" s="51" t="n">
        <v>4</v>
      </c>
      <c r="J80" s="727" t="n">
        <v>2</v>
      </c>
      <c r="K80" s="727" t="n">
        <f aca="false" t="array" ref="K80:K80">IF(ISNA(INDEX(Pokedex!K$2:K$610,MATCH($C80,Pokedex!$B$2:$B$610,0))),"",INDEX(Pokedex!K$2:K$610,MATCH($C80,Pokedex!$B$2:$B$610,0)))</f>
        <v>43</v>
      </c>
      <c r="L80" s="48" t="n">
        <f aca="false">L79+1</f>
        <v>78</v>
      </c>
      <c r="M80" s="400"/>
    </row>
    <row r="81" customFormat="false" ht="15.75" hidden="false" customHeight="false" outlineLevel="0" collapsed="false">
      <c r="A81" s="24" t="n">
        <f aca="false">A80+1</f>
        <v>79</v>
      </c>
      <c r="B81" s="737" t="s">
        <v>725</v>
      </c>
      <c r="C81" s="313" t="s">
        <v>82</v>
      </c>
      <c r="D81" s="313"/>
      <c r="E81" s="313"/>
      <c r="F81" s="312" t="n">
        <v>0</v>
      </c>
      <c r="G81" s="726" t="n">
        <v>4</v>
      </c>
      <c r="H81" s="314" t="n">
        <v>-4</v>
      </c>
      <c r="I81" s="51" t="n">
        <v>5</v>
      </c>
      <c r="J81" s="727" t="n">
        <v>1</v>
      </c>
      <c r="K81" s="727" t="n">
        <f aca="false" t="array" ref="K81:K81">IF(ISNA(INDEX(Pokedex!K$2:K$610,MATCH($C81,Pokedex!$B$2:$B$610,0))),"",INDEX(Pokedex!K$2:K$610,MATCH($C81,Pokedex!$B$2:$B$610,0)))</f>
        <v>82</v>
      </c>
      <c r="L81" s="48" t="n">
        <f aca="false">L80+1</f>
        <v>79</v>
      </c>
      <c r="M81" s="400"/>
    </row>
    <row r="82" customFormat="false" ht="15.75" hidden="false" customHeight="false" outlineLevel="0" collapsed="false">
      <c r="A82" s="24" t="n">
        <f aca="false">A81+1</f>
        <v>80</v>
      </c>
      <c r="B82" s="737" t="s">
        <v>725</v>
      </c>
      <c r="C82" s="313" t="s">
        <v>78</v>
      </c>
      <c r="D82" s="313"/>
      <c r="E82" s="313"/>
      <c r="F82" s="312" t="n">
        <v>0</v>
      </c>
      <c r="G82" s="726" t="n">
        <v>5</v>
      </c>
      <c r="H82" s="314" t="n">
        <v>-5</v>
      </c>
      <c r="I82" s="51" t="n">
        <v>6</v>
      </c>
      <c r="J82" s="727" t="n">
        <v>1</v>
      </c>
      <c r="K82" s="727" t="n">
        <f aca="false" t="array" ref="K82:K82">IF(ISNA(INDEX(Pokedex!K$2:K$610,MATCH($C82,Pokedex!$B$2:$B$610,0))),"",INDEX(Pokedex!K$2:K$610,MATCH($C82,Pokedex!$B$2:$B$610,0)))</f>
        <v>85</v>
      </c>
      <c r="L82" s="48" t="n">
        <f aca="false">L81+1</f>
        <v>80</v>
      </c>
      <c r="M82" s="400"/>
    </row>
    <row r="83" customFormat="false" ht="15.75" hidden="false" customHeight="false" outlineLevel="0" collapsed="false">
      <c r="A83" s="24" t="n">
        <f aca="false">A82+1</f>
        <v>81</v>
      </c>
      <c r="B83" s="737"/>
      <c r="C83" s="313"/>
      <c r="D83" s="313"/>
      <c r="E83" s="313"/>
      <c r="F83" s="312"/>
      <c r="G83" s="726"/>
      <c r="H83" s="314"/>
      <c r="I83" s="51"/>
      <c r="J83" s="727"/>
      <c r="K83" s="727" t="str">
        <f aca="false" t="array" ref="K83:K83">IF(ISNA(INDEX(Pokedex!K$2:K$610,MATCH($C83,Pokedex!$B$2:$B$610,0))),"",INDEX(Pokedex!K$2:K$610,MATCH($C83,Pokedex!$B$2:$B$610,0)))</f>
        <v/>
      </c>
      <c r="L83" s="48" t="n">
        <f aca="false">L82+1</f>
        <v>81</v>
      </c>
      <c r="M83" s="400"/>
    </row>
    <row r="84" customFormat="false" ht="15.75" hidden="false" customHeight="false" outlineLevel="0" collapsed="false">
      <c r="A84" s="24" t="n">
        <f aca="false">A83+1</f>
        <v>82</v>
      </c>
      <c r="B84" s="737"/>
      <c r="C84" s="313"/>
      <c r="D84" s="313"/>
      <c r="E84" s="313"/>
      <c r="F84" s="312"/>
      <c r="G84" s="726"/>
      <c r="H84" s="314"/>
      <c r="I84" s="51"/>
      <c r="J84" s="727"/>
      <c r="K84" s="727" t="str">
        <f aca="false" t="array" ref="K84:K84">IF(ISNA(INDEX(Pokedex!K$2:K$610,MATCH($C84,Pokedex!$B$2:$B$610,0))),"",INDEX(Pokedex!K$2:K$610,MATCH($C84,Pokedex!$B$2:$B$610,0)))</f>
        <v/>
      </c>
      <c r="L84" s="48" t="n">
        <f aca="false">L83+1</f>
        <v>82</v>
      </c>
      <c r="M84" s="400"/>
    </row>
    <row r="85" customFormat="false" ht="15.75" hidden="false" customHeight="false" outlineLevel="0" collapsed="false">
      <c r="A85" s="24" t="n">
        <f aca="false">A84+1</f>
        <v>83</v>
      </c>
      <c r="B85" s="737"/>
      <c r="C85" s="313"/>
      <c r="D85" s="313"/>
      <c r="E85" s="313"/>
      <c r="F85" s="312"/>
      <c r="G85" s="726"/>
      <c r="H85" s="314"/>
      <c r="I85" s="51"/>
      <c r="J85" s="727"/>
      <c r="K85" s="727" t="str">
        <f aca="false" t="array" ref="K85:K85">IF(ISNA(INDEX(Pokedex!K$2:K$610,MATCH($C85,Pokedex!$B$2:$B$610,0))),"",INDEX(Pokedex!K$2:K$610,MATCH($C85,Pokedex!$B$2:$B$610,0)))</f>
        <v/>
      </c>
      <c r="L85" s="48" t="n">
        <f aca="false">L84+1</f>
        <v>83</v>
      </c>
      <c r="M85" s="400"/>
    </row>
    <row r="86" customFormat="false" ht="15.75" hidden="false" customHeight="false" outlineLevel="0" collapsed="false">
      <c r="A86" s="24" t="n">
        <f aca="false">A85+1</f>
        <v>84</v>
      </c>
      <c r="B86" s="737"/>
      <c r="C86" s="313"/>
      <c r="D86" s="313"/>
      <c r="E86" s="313"/>
      <c r="F86" s="312"/>
      <c r="G86" s="726"/>
      <c r="H86" s="314"/>
      <c r="I86" s="51"/>
      <c r="J86" s="727"/>
      <c r="K86" s="727" t="str">
        <f aca="false" t="array" ref="K86:K86">IF(ISNA(INDEX(Pokedex!K$2:K$610,MATCH($C86,Pokedex!$B$2:$B$610,0))),"",INDEX(Pokedex!K$2:K$610,MATCH($C86,Pokedex!$B$2:$B$610,0)))</f>
        <v/>
      </c>
      <c r="L86" s="48" t="n">
        <f aca="false">L85+1</f>
        <v>84</v>
      </c>
      <c r="M86" s="400"/>
    </row>
    <row r="87" customFormat="false" ht="15.75" hidden="false" customHeight="false" outlineLevel="0" collapsed="false">
      <c r="A87" s="24" t="n">
        <f aca="false">A86+1</f>
        <v>85</v>
      </c>
      <c r="B87" s="737"/>
      <c r="C87" s="313"/>
      <c r="D87" s="313"/>
      <c r="E87" s="313"/>
      <c r="F87" s="312"/>
      <c r="G87" s="726"/>
      <c r="H87" s="314"/>
      <c r="I87" s="51"/>
      <c r="J87" s="727"/>
      <c r="K87" s="727" t="str">
        <f aca="false" t="array" ref="K87:K87">IF(ISNA(INDEX(Pokedex!K$2:K$610,MATCH($C87,Pokedex!$B$2:$B$610,0))),"",INDEX(Pokedex!K$2:K$610,MATCH($C87,Pokedex!$B$2:$B$610,0)))</f>
        <v/>
      </c>
      <c r="L87" s="48" t="n">
        <f aca="false">L86+1</f>
        <v>85</v>
      </c>
      <c r="M87" s="400"/>
    </row>
    <row r="88" customFormat="false" ht="15.75" hidden="false" customHeight="false" outlineLevel="0" collapsed="false">
      <c r="A88" s="24" t="n">
        <f aca="false">A87+1</f>
        <v>86</v>
      </c>
      <c r="B88" s="737"/>
      <c r="C88" s="313"/>
      <c r="D88" s="313"/>
      <c r="E88" s="313"/>
      <c r="F88" s="312"/>
      <c r="G88" s="726"/>
      <c r="H88" s="314"/>
      <c r="I88" s="51"/>
      <c r="J88" s="727"/>
      <c r="K88" s="727" t="str">
        <f aca="false" t="array" ref="K88:K88">IF(ISNA(INDEX(Pokedex!K$2:K$610,MATCH($C88,Pokedex!$B$2:$B$610,0))),"",INDEX(Pokedex!K$2:K$610,MATCH($C88,Pokedex!$B$2:$B$610,0)))</f>
        <v/>
      </c>
      <c r="L88" s="48" t="n">
        <f aca="false">L87+1</f>
        <v>86</v>
      </c>
      <c r="M88" s="400"/>
    </row>
    <row r="89" customFormat="false" ht="15.75" hidden="false" customHeight="false" outlineLevel="0" collapsed="false">
      <c r="A89" s="24" t="n">
        <f aca="false">A88+1</f>
        <v>87</v>
      </c>
      <c r="B89" s="737"/>
      <c r="C89" s="313"/>
      <c r="D89" s="313"/>
      <c r="E89" s="313"/>
      <c r="F89" s="312"/>
      <c r="G89" s="726"/>
      <c r="H89" s="314"/>
      <c r="I89" s="51"/>
      <c r="J89" s="727"/>
      <c r="K89" s="727" t="str">
        <f aca="false" t="array" ref="K89:K89">IF(ISNA(INDEX(Pokedex!K$2:K$610,MATCH($C89,Pokedex!$B$2:$B$610,0))),"",INDEX(Pokedex!K$2:K$610,MATCH($C89,Pokedex!$B$2:$B$610,0)))</f>
        <v/>
      </c>
      <c r="L89" s="48" t="n">
        <f aca="false">L88+1</f>
        <v>87</v>
      </c>
    </row>
    <row r="90" customFormat="false" ht="15.75" hidden="false" customHeight="false" outlineLevel="0" collapsed="false">
      <c r="A90" s="24" t="n">
        <f aca="false">A89+1</f>
        <v>88</v>
      </c>
      <c r="B90" s="737"/>
      <c r="C90" s="313"/>
      <c r="D90" s="313"/>
      <c r="E90" s="313"/>
      <c r="F90" s="312"/>
      <c r="G90" s="726"/>
      <c r="H90" s="314"/>
      <c r="I90" s="51"/>
      <c r="J90" s="727"/>
      <c r="K90" s="727" t="str">
        <f aca="false" t="array" ref="K90:K90">IF(ISNA(INDEX(Pokedex!K$2:K$610,MATCH($C90,Pokedex!$B$2:$B$610,0))),"",INDEX(Pokedex!K$2:K$610,MATCH($C90,Pokedex!$B$2:$B$610,0)))</f>
        <v/>
      </c>
      <c r="L90" s="48" t="n">
        <f aca="false">L89+1</f>
        <v>88</v>
      </c>
      <c r="M90" s="400"/>
    </row>
    <row r="91" customFormat="false" ht="15.75" hidden="false" customHeight="false" outlineLevel="0" collapsed="false">
      <c r="A91" s="24" t="n">
        <f aca="false">A90+1</f>
        <v>89</v>
      </c>
      <c r="B91" s="737"/>
      <c r="C91" s="313"/>
      <c r="D91" s="313"/>
      <c r="E91" s="313"/>
      <c r="F91" s="312"/>
      <c r="G91" s="726"/>
      <c r="H91" s="314"/>
      <c r="I91" s="51"/>
      <c r="J91" s="727"/>
      <c r="K91" s="727" t="str">
        <f aca="false" t="array" ref="K91:K91">IF(ISNA(INDEX(Pokedex!K$2:K$610,MATCH($C91,Pokedex!$B$2:$B$610,0))),"",INDEX(Pokedex!K$2:K$610,MATCH($C91,Pokedex!$B$2:$B$610,0)))</f>
        <v/>
      </c>
      <c r="L91" s="48" t="n">
        <f aca="false">L90+1</f>
        <v>89</v>
      </c>
      <c r="M91" s="400"/>
    </row>
    <row r="92" customFormat="false" ht="15.75" hidden="false" customHeight="false" outlineLevel="0" collapsed="false">
      <c r="A92" s="24" t="n">
        <f aca="false">A91+1</f>
        <v>90</v>
      </c>
      <c r="B92" s="737"/>
      <c r="C92" s="313"/>
      <c r="D92" s="313"/>
      <c r="E92" s="313"/>
      <c r="F92" s="312"/>
      <c r="G92" s="726"/>
      <c r="H92" s="314"/>
      <c r="I92" s="51"/>
      <c r="J92" s="727"/>
      <c r="K92" s="727" t="str">
        <f aca="false" t="array" ref="K92:K92">IF(ISNA(INDEX(Pokedex!K$2:K$610,MATCH($C92,Pokedex!$B$2:$B$610,0))),"",INDEX(Pokedex!K$2:K$610,MATCH($C92,Pokedex!$B$2:$B$610,0)))</f>
        <v/>
      </c>
      <c r="L92" s="48" t="n">
        <f aca="false">L91+1</f>
        <v>90</v>
      </c>
      <c r="M92" s="400"/>
    </row>
    <row r="93" customFormat="false" ht="15.75" hidden="false" customHeight="false" outlineLevel="0" collapsed="false">
      <c r="A93" s="24" t="n">
        <f aca="false">A92+1</f>
        <v>91</v>
      </c>
      <c r="B93" s="737"/>
      <c r="C93" s="313"/>
      <c r="D93" s="313"/>
      <c r="E93" s="313"/>
      <c r="F93" s="312"/>
      <c r="G93" s="726"/>
      <c r="H93" s="314"/>
      <c r="I93" s="51"/>
      <c r="J93" s="727"/>
      <c r="K93" s="727" t="str">
        <f aca="false" t="array" ref="K93:K93">IF(ISNA(INDEX(Pokedex!K$2:K$610,MATCH($C93,Pokedex!$B$2:$B$610,0))),"",INDEX(Pokedex!K$2:K$610,MATCH($C93,Pokedex!$B$2:$B$610,0)))</f>
        <v/>
      </c>
      <c r="L93" s="48" t="n">
        <f aca="false">L92+1</f>
        <v>91</v>
      </c>
      <c r="M93" s="400"/>
    </row>
    <row r="94" customFormat="false" ht="15.75" hidden="false" customHeight="false" outlineLevel="0" collapsed="false">
      <c r="A94" s="24" t="n">
        <f aca="false">A93+1</f>
        <v>92</v>
      </c>
      <c r="B94" s="737"/>
      <c r="C94" s="313"/>
      <c r="D94" s="313"/>
      <c r="E94" s="313"/>
      <c r="F94" s="312"/>
      <c r="G94" s="726"/>
      <c r="H94" s="314"/>
      <c r="I94" s="51"/>
      <c r="J94" s="727"/>
      <c r="K94" s="727" t="str">
        <f aca="false" t="array" ref="K94:K94">IF(ISNA(INDEX(Pokedex!K$2:K$610,MATCH($C94,Pokedex!$B$2:$B$610,0))),"",INDEX(Pokedex!K$2:K$610,MATCH($C94,Pokedex!$B$2:$B$610,0)))</f>
        <v/>
      </c>
      <c r="L94" s="48" t="n">
        <f aca="false">L93+1</f>
        <v>92</v>
      </c>
      <c r="M94" s="400"/>
    </row>
    <row r="95" customFormat="false" ht="15.75" hidden="false" customHeight="false" outlineLevel="0" collapsed="false">
      <c r="A95" s="24" t="n">
        <f aca="false">A94+1</f>
        <v>93</v>
      </c>
      <c r="B95" s="737"/>
      <c r="C95" s="313"/>
      <c r="D95" s="313"/>
      <c r="E95" s="313"/>
      <c r="F95" s="312"/>
      <c r="G95" s="726"/>
      <c r="H95" s="314"/>
      <c r="I95" s="51"/>
      <c r="J95" s="727"/>
      <c r="K95" s="727" t="str">
        <f aca="false" t="array" ref="K95:K95">IF(ISNA(INDEX(Pokedex!K$2:K$610,MATCH($C95,Pokedex!$B$2:$B$610,0))),"",INDEX(Pokedex!K$2:K$610,MATCH($C95,Pokedex!$B$2:$B$610,0)))</f>
        <v/>
      </c>
      <c r="L95" s="48" t="n">
        <f aca="false">L94+1</f>
        <v>93</v>
      </c>
      <c r="M95" s="400"/>
    </row>
    <row r="96" customFormat="false" ht="15.75" hidden="false" customHeight="false" outlineLevel="0" collapsed="false">
      <c r="A96" s="24" t="n">
        <f aca="false">A95+1</f>
        <v>94</v>
      </c>
      <c r="B96" s="737"/>
      <c r="C96" s="313"/>
      <c r="D96" s="313"/>
      <c r="E96" s="313"/>
      <c r="F96" s="312"/>
      <c r="G96" s="726"/>
      <c r="H96" s="314"/>
      <c r="I96" s="51"/>
      <c r="J96" s="727"/>
      <c r="K96" s="727" t="str">
        <f aca="false" t="array" ref="K96:K96">IF(ISNA(INDEX(Pokedex!K$2:K$610,MATCH($C96,Pokedex!$B$2:$B$610,0))),"",INDEX(Pokedex!K$2:K$610,MATCH($C96,Pokedex!$B$2:$B$610,0)))</f>
        <v/>
      </c>
      <c r="L96" s="48" t="n">
        <f aca="false">L95+1</f>
        <v>94</v>
      </c>
      <c r="M96" s="400"/>
    </row>
    <row r="97" customFormat="false" ht="15.75" hidden="false" customHeight="false" outlineLevel="0" collapsed="false">
      <c r="A97" s="24" t="n">
        <f aca="false">A96+1</f>
        <v>95</v>
      </c>
      <c r="B97" s="737"/>
      <c r="C97" s="313"/>
      <c r="D97" s="313"/>
      <c r="E97" s="313"/>
      <c r="F97" s="312"/>
      <c r="G97" s="726"/>
      <c r="H97" s="314"/>
      <c r="I97" s="51"/>
      <c r="J97" s="727"/>
      <c r="K97" s="727" t="str">
        <f aca="false" t="array" ref="K97:K97">IF(ISNA(INDEX(Pokedex!K$2:K$610,MATCH($C97,Pokedex!$B$2:$B$610,0))),"",INDEX(Pokedex!K$2:K$610,MATCH($C97,Pokedex!$B$2:$B$610,0)))</f>
        <v/>
      </c>
      <c r="L97" s="48" t="n">
        <f aca="false">L96+1</f>
        <v>95</v>
      </c>
      <c r="M97" s="400"/>
    </row>
    <row r="98" customFormat="false" ht="15.75" hidden="false" customHeight="false" outlineLevel="0" collapsed="false">
      <c r="A98" s="24" t="n">
        <f aca="false">A97+1</f>
        <v>96</v>
      </c>
      <c r="B98" s="737"/>
      <c r="C98" s="313"/>
      <c r="D98" s="313"/>
      <c r="E98" s="313"/>
      <c r="F98" s="312"/>
      <c r="G98" s="726"/>
      <c r="H98" s="314"/>
      <c r="I98" s="51"/>
      <c r="J98" s="727"/>
      <c r="K98" s="727" t="str">
        <f aca="false" t="array" ref="K98:K98">IF(ISNA(INDEX(Pokedex!K$2:K$610,MATCH($C98,Pokedex!$B$2:$B$610,0))),"",INDEX(Pokedex!K$2:K$610,MATCH($C98,Pokedex!$B$2:$B$610,0)))</f>
        <v/>
      </c>
      <c r="L98" s="48" t="n">
        <f aca="false">L97+1</f>
        <v>96</v>
      </c>
      <c r="M98" s="400"/>
    </row>
    <row r="99" customFormat="false" ht="15.75" hidden="false" customHeight="false" outlineLevel="0" collapsed="false">
      <c r="A99" s="24" t="n">
        <f aca="false">A98+1</f>
        <v>97</v>
      </c>
      <c r="B99" s="737"/>
      <c r="C99" s="313"/>
      <c r="D99" s="313"/>
      <c r="E99" s="313"/>
      <c r="F99" s="312"/>
      <c r="G99" s="726"/>
      <c r="H99" s="314"/>
      <c r="I99" s="51"/>
      <c r="J99" s="727"/>
      <c r="K99" s="727" t="str">
        <f aca="false" t="array" ref="K99:K99">IF(ISNA(INDEX(Pokedex!K$2:K$610,MATCH($C99,Pokedex!$B$2:$B$610,0))),"",INDEX(Pokedex!K$2:K$610,MATCH($C99,Pokedex!$B$2:$B$610,0)))</f>
        <v/>
      </c>
      <c r="L99" s="48" t="n">
        <f aca="false">L98+1</f>
        <v>97</v>
      </c>
      <c r="M99" s="400"/>
    </row>
    <row r="100" customFormat="false" ht="15.75" hidden="false" customHeight="false" outlineLevel="0" collapsed="false">
      <c r="A100" s="24" t="n">
        <f aca="false">A99+1</f>
        <v>98</v>
      </c>
      <c r="B100" s="737"/>
      <c r="C100" s="313"/>
      <c r="D100" s="313"/>
      <c r="E100" s="313"/>
      <c r="F100" s="312"/>
      <c r="G100" s="726"/>
      <c r="H100" s="314"/>
      <c r="I100" s="51"/>
      <c r="J100" s="727"/>
      <c r="K100" s="727" t="str">
        <f aca="false" t="array" ref="K100:K100">IF(ISNA(INDEX(Pokedex!K$2:K$610,MATCH($C100,Pokedex!$B$2:$B$610,0))),"",INDEX(Pokedex!K$2:K$610,MATCH($C100,Pokedex!$B$2:$B$610,0)))</f>
        <v/>
      </c>
      <c r="L100" s="48" t="n">
        <f aca="false">L99+1</f>
        <v>98</v>
      </c>
      <c r="M100" s="400"/>
    </row>
    <row r="101" customFormat="false" ht="15.75" hidden="false" customHeight="false" outlineLevel="0" collapsed="false">
      <c r="A101" s="24" t="n">
        <f aca="false">A100+1</f>
        <v>99</v>
      </c>
      <c r="B101" s="737"/>
      <c r="C101" s="313"/>
      <c r="D101" s="313"/>
      <c r="E101" s="313"/>
      <c r="F101" s="312"/>
      <c r="G101" s="726"/>
      <c r="H101" s="314"/>
      <c r="I101" s="51"/>
      <c r="J101" s="727"/>
      <c r="K101" s="727" t="str">
        <f aca="false" t="array" ref="K101:K101">IF(ISNA(INDEX(Pokedex!K$2:K$610,MATCH($C101,Pokedex!$B$2:$B$610,0))),"",INDEX(Pokedex!K$2:K$610,MATCH($C101,Pokedex!$B$2:$B$610,0)))</f>
        <v/>
      </c>
      <c r="L101" s="48" t="n">
        <f aca="false">L100+1</f>
        <v>99</v>
      </c>
      <c r="M101" s="400"/>
    </row>
    <row r="102" customFormat="false" ht="15.75" hidden="false" customHeight="false" outlineLevel="0" collapsed="false">
      <c r="A102" s="24" t="n">
        <f aca="false">A101+1</f>
        <v>100</v>
      </c>
      <c r="B102" s="737"/>
      <c r="C102" s="313"/>
      <c r="D102" s="313"/>
      <c r="E102" s="313"/>
      <c r="F102" s="312"/>
      <c r="G102" s="726"/>
      <c r="H102" s="314"/>
      <c r="I102" s="51"/>
      <c r="J102" s="727"/>
      <c r="K102" s="727" t="str">
        <f aca="false" t="array" ref="K102:K102">IF(ISNA(INDEX(Pokedex!K$2:K$610,MATCH($C102,Pokedex!$B$2:$B$610,0))),"",INDEX(Pokedex!K$2:K$610,MATCH($C102,Pokedex!$B$2:$B$610,0)))</f>
        <v/>
      </c>
      <c r="L102" s="48" t="n">
        <f aca="false">L101+1</f>
        <v>100</v>
      </c>
      <c r="M102" s="400"/>
    </row>
    <row r="103" customFormat="false" ht="15.75" hidden="false" customHeight="false" outlineLevel="0" collapsed="false">
      <c r="A103" s="24" t="n">
        <f aca="false">A102+1</f>
        <v>101</v>
      </c>
      <c r="B103" s="737"/>
      <c r="C103" s="313"/>
      <c r="D103" s="313"/>
      <c r="E103" s="313"/>
      <c r="F103" s="312"/>
      <c r="G103" s="726"/>
      <c r="H103" s="314"/>
      <c r="I103" s="51"/>
      <c r="J103" s="727"/>
      <c r="K103" s="727" t="str">
        <f aca="false" t="array" ref="K103:K103">IF(ISNA(INDEX(Pokedex!K$2:K$610,MATCH($C103,Pokedex!$B$2:$B$610,0))),"",INDEX(Pokedex!K$2:K$610,MATCH($C103,Pokedex!$B$2:$B$610,0)))</f>
        <v/>
      </c>
      <c r="L103" s="48" t="n">
        <f aca="false">L102+1</f>
        <v>101</v>
      </c>
      <c r="M103" s="400"/>
    </row>
    <row r="104" customFormat="false" ht="15.75" hidden="false" customHeight="false" outlineLevel="0" collapsed="false">
      <c r="A104" s="24" t="n">
        <f aca="false">A103+1</f>
        <v>102</v>
      </c>
      <c r="B104" s="737"/>
      <c r="C104" s="313"/>
      <c r="D104" s="313"/>
      <c r="E104" s="313"/>
      <c r="F104" s="312"/>
      <c r="G104" s="726"/>
      <c r="H104" s="314"/>
      <c r="I104" s="51"/>
      <c r="J104" s="727"/>
      <c r="K104" s="727" t="str">
        <f aca="false" t="array" ref="K104:K104">IF(ISNA(INDEX(Pokedex!K$2:K$610,MATCH($C104,Pokedex!$B$2:$B$610,0))),"",INDEX(Pokedex!K$2:K$610,MATCH($C104,Pokedex!$B$2:$B$610,0)))</f>
        <v/>
      </c>
      <c r="L104" s="48" t="n">
        <f aca="false">L103+1</f>
        <v>102</v>
      </c>
      <c r="M104" s="400"/>
    </row>
    <row r="105" customFormat="false" ht="15.75" hidden="false" customHeight="false" outlineLevel="0" collapsed="false">
      <c r="A105" s="24" t="n">
        <f aca="false">A104+1</f>
        <v>103</v>
      </c>
      <c r="B105" s="737"/>
      <c r="C105" s="313"/>
      <c r="D105" s="313"/>
      <c r="E105" s="313"/>
      <c r="F105" s="312"/>
      <c r="G105" s="726"/>
      <c r="H105" s="314"/>
      <c r="I105" s="51"/>
      <c r="J105" s="727"/>
      <c r="K105" s="727" t="str">
        <f aca="false" t="array" ref="K105:K105">IF(ISNA(INDEX(Pokedex!K$2:K$610,MATCH($C105,Pokedex!$B$2:$B$610,0))),"",INDEX(Pokedex!K$2:K$610,MATCH($C105,Pokedex!$B$2:$B$610,0)))</f>
        <v/>
      </c>
      <c r="L105" s="48" t="n">
        <f aca="false">L104+1</f>
        <v>103</v>
      </c>
      <c r="M105" s="400"/>
    </row>
    <row r="106" customFormat="false" ht="15.75" hidden="false" customHeight="false" outlineLevel="0" collapsed="false">
      <c r="A106" s="24" t="n">
        <f aca="false">A105+1</f>
        <v>104</v>
      </c>
      <c r="B106" s="737"/>
      <c r="C106" s="313"/>
      <c r="D106" s="313"/>
      <c r="E106" s="313"/>
      <c r="F106" s="312"/>
      <c r="G106" s="726"/>
      <c r="H106" s="314"/>
      <c r="I106" s="51"/>
      <c r="J106" s="727"/>
      <c r="K106" s="727" t="str">
        <f aca="false" t="array" ref="K106:K106">IF(ISNA(INDEX(Pokedex!K$2:K$610,MATCH($C106,Pokedex!$B$2:$B$610,0))),"",INDEX(Pokedex!K$2:K$610,MATCH($C106,Pokedex!$B$2:$B$610,0)))</f>
        <v/>
      </c>
      <c r="L106" s="48" t="n">
        <f aca="false">L105+1</f>
        <v>104</v>
      </c>
      <c r="M106" s="400"/>
    </row>
    <row r="107" customFormat="false" ht="15.75" hidden="false" customHeight="false" outlineLevel="0" collapsed="false">
      <c r="A107" s="24" t="n">
        <f aca="false">A106+1</f>
        <v>105</v>
      </c>
      <c r="B107" s="737"/>
      <c r="C107" s="313"/>
      <c r="D107" s="313"/>
      <c r="E107" s="313"/>
      <c r="F107" s="312"/>
      <c r="G107" s="726"/>
      <c r="H107" s="314"/>
      <c r="I107" s="51"/>
      <c r="J107" s="727"/>
      <c r="K107" s="727" t="str">
        <f aca="false" t="array" ref="K107:K107">IF(ISNA(INDEX(Pokedex!K$2:K$610,MATCH($C107,Pokedex!$B$2:$B$610,0))),"",INDEX(Pokedex!K$2:K$610,MATCH($C107,Pokedex!$B$2:$B$610,0)))</f>
        <v/>
      </c>
      <c r="L107" s="48" t="n">
        <f aca="false">L106+1</f>
        <v>105</v>
      </c>
      <c r="M107" s="400"/>
    </row>
    <row r="108" customFormat="false" ht="15.75" hidden="false" customHeight="false" outlineLevel="0" collapsed="false">
      <c r="A108" s="24" t="n">
        <f aca="false">A107+1</f>
        <v>106</v>
      </c>
      <c r="B108" s="737"/>
      <c r="C108" s="313"/>
      <c r="D108" s="313"/>
      <c r="E108" s="313"/>
      <c r="F108" s="312"/>
      <c r="G108" s="726"/>
      <c r="H108" s="314"/>
      <c r="I108" s="51"/>
      <c r="J108" s="727"/>
      <c r="K108" s="727" t="str">
        <f aca="false" t="array" ref="K108:K108">IF(ISNA(INDEX(Pokedex!K$2:K$610,MATCH($C108,Pokedex!$B$2:$B$610,0))),"",INDEX(Pokedex!K$2:K$610,MATCH($C108,Pokedex!$B$2:$B$610,0)))</f>
        <v/>
      </c>
      <c r="L108" s="48" t="n">
        <f aca="false">L107+1</f>
        <v>106</v>
      </c>
      <c r="M108" s="400"/>
    </row>
    <row r="109" customFormat="false" ht="15.75" hidden="false" customHeight="false" outlineLevel="0" collapsed="false">
      <c r="A109" s="24" t="n">
        <f aca="false">A108+1</f>
        <v>107</v>
      </c>
      <c r="B109" s="737"/>
      <c r="C109" s="313"/>
      <c r="D109" s="313"/>
      <c r="E109" s="313"/>
      <c r="F109" s="312"/>
      <c r="G109" s="726"/>
      <c r="H109" s="314"/>
      <c r="I109" s="51"/>
      <c r="J109" s="727"/>
      <c r="K109" s="727" t="str">
        <f aca="false" t="array" ref="K109:K109">IF(ISNA(INDEX(Pokedex!K$2:K$610,MATCH($C109,Pokedex!$B$2:$B$610,0))),"",INDEX(Pokedex!K$2:K$610,MATCH($C109,Pokedex!$B$2:$B$610,0)))</f>
        <v/>
      </c>
      <c r="L109" s="48" t="n">
        <f aca="false">L108+1</f>
        <v>107</v>
      </c>
      <c r="M109" s="400"/>
    </row>
    <row r="110" customFormat="false" ht="15.75" hidden="false" customHeight="false" outlineLevel="0" collapsed="false">
      <c r="A110" s="24" t="n">
        <f aca="false">A109+1</f>
        <v>108</v>
      </c>
      <c r="B110" s="737"/>
      <c r="C110" s="313"/>
      <c r="D110" s="313"/>
      <c r="E110" s="313"/>
      <c r="F110" s="312"/>
      <c r="G110" s="726"/>
      <c r="H110" s="314"/>
      <c r="I110" s="51"/>
      <c r="J110" s="727"/>
      <c r="K110" s="727" t="str">
        <f aca="false" t="array" ref="K110:K110">IF(ISNA(INDEX(Pokedex!K$2:K$610,MATCH($C110,Pokedex!$B$2:$B$610,0))),"",INDEX(Pokedex!K$2:K$610,MATCH($C110,Pokedex!$B$2:$B$610,0)))</f>
        <v/>
      </c>
      <c r="L110" s="48" t="n">
        <f aca="false">L109+1</f>
        <v>108</v>
      </c>
      <c r="M110" s="400"/>
    </row>
    <row r="111" customFormat="false" ht="15.75" hidden="false" customHeight="false" outlineLevel="0" collapsed="false">
      <c r="A111" s="24" t="n">
        <f aca="false">A110+1</f>
        <v>109</v>
      </c>
      <c r="B111" s="737"/>
      <c r="C111" s="313"/>
      <c r="D111" s="313"/>
      <c r="E111" s="313"/>
      <c r="F111" s="312"/>
      <c r="G111" s="726"/>
      <c r="H111" s="314"/>
      <c r="I111" s="51"/>
      <c r="J111" s="727"/>
      <c r="K111" s="727" t="str">
        <f aca="false" t="array" ref="K111:K111">IF(ISNA(INDEX(Pokedex!K$2:K$610,MATCH($C111,Pokedex!$B$2:$B$610,0))),"",INDEX(Pokedex!K$2:K$610,MATCH($C111,Pokedex!$B$2:$B$610,0)))</f>
        <v/>
      </c>
      <c r="L111" s="48" t="n">
        <f aca="false">L110+1</f>
        <v>109</v>
      </c>
    </row>
    <row r="112" customFormat="false" ht="15.75" hidden="false" customHeight="false" outlineLevel="0" collapsed="false">
      <c r="A112" s="24" t="n">
        <f aca="false">A111+1</f>
        <v>110</v>
      </c>
      <c r="B112" s="737"/>
      <c r="C112" s="313"/>
      <c r="D112" s="313"/>
      <c r="E112" s="313"/>
      <c r="F112" s="312"/>
      <c r="G112" s="726"/>
      <c r="H112" s="314"/>
      <c r="I112" s="51"/>
      <c r="J112" s="727"/>
      <c r="K112" s="727" t="str">
        <f aca="false" t="array" ref="K112:K112">IF(ISNA(INDEX(Pokedex!K$2:K$610,MATCH($C112,Pokedex!$B$2:$B$610,0))),"",INDEX(Pokedex!K$2:K$610,MATCH($C112,Pokedex!$B$2:$B$610,0)))</f>
        <v/>
      </c>
      <c r="L112" s="48" t="n">
        <f aca="false">L111+1</f>
        <v>110</v>
      </c>
    </row>
    <row r="113" customFormat="false" ht="15.75" hidden="false" customHeight="false" outlineLevel="0" collapsed="false">
      <c r="A113" s="24" t="n">
        <f aca="false">A112+1</f>
        <v>111</v>
      </c>
      <c r="B113" s="737"/>
      <c r="C113" s="313"/>
      <c r="D113" s="313"/>
      <c r="E113" s="313"/>
      <c r="F113" s="312"/>
      <c r="G113" s="726"/>
      <c r="H113" s="314"/>
      <c r="I113" s="51"/>
      <c r="J113" s="727"/>
      <c r="K113" s="727" t="str">
        <f aca="false" t="array" ref="K113:K113">IF(ISNA(INDEX(Pokedex!K$2:K$610,MATCH($C113,Pokedex!$B$2:$B$610,0))),"",INDEX(Pokedex!K$2:K$610,MATCH($C113,Pokedex!$B$2:$B$610,0)))</f>
        <v/>
      </c>
      <c r="L113" s="48" t="n">
        <f aca="false">L112+1</f>
        <v>111</v>
      </c>
      <c r="M113" s="400"/>
    </row>
    <row r="114" customFormat="false" ht="15.75" hidden="false" customHeight="false" outlineLevel="0" collapsed="false">
      <c r="A114" s="24" t="n">
        <f aca="false">A113+1</f>
        <v>112</v>
      </c>
      <c r="B114" s="737"/>
      <c r="C114" s="313"/>
      <c r="D114" s="313"/>
      <c r="E114" s="313"/>
      <c r="F114" s="312"/>
      <c r="G114" s="726"/>
      <c r="H114" s="314"/>
      <c r="I114" s="51"/>
      <c r="J114" s="727"/>
      <c r="K114" s="727" t="str">
        <f aca="false" t="array" ref="K114:K114">IF(ISNA(INDEX(Pokedex!K$2:K$610,MATCH($C114,Pokedex!$B$2:$B$610,0))),"",INDEX(Pokedex!K$2:K$610,MATCH($C114,Pokedex!$B$2:$B$610,0)))</f>
        <v/>
      </c>
      <c r="L114" s="48" t="n">
        <f aca="false">L113+1</f>
        <v>112</v>
      </c>
      <c r="M114" s="400"/>
    </row>
    <row r="115" customFormat="false" ht="15.75" hidden="false" customHeight="false" outlineLevel="0" collapsed="false">
      <c r="A115" s="24" t="n">
        <f aca="false">A114+1</f>
        <v>113</v>
      </c>
      <c r="B115" s="737"/>
      <c r="C115" s="313"/>
      <c r="D115" s="313"/>
      <c r="E115" s="313"/>
      <c r="F115" s="312"/>
      <c r="G115" s="726"/>
      <c r="H115" s="314"/>
      <c r="I115" s="51"/>
      <c r="J115" s="727"/>
      <c r="K115" s="727" t="str">
        <f aca="false" t="array" ref="K115:K115">IF(ISNA(INDEX(Pokedex!K$2:K$610,MATCH($C115,Pokedex!$B$2:$B$610,0))),"",INDEX(Pokedex!K$2:K$610,MATCH($C115,Pokedex!$B$2:$B$610,0)))</f>
        <v/>
      </c>
      <c r="L115" s="48" t="n">
        <f aca="false">L114+1</f>
        <v>113</v>
      </c>
      <c r="M115" s="400"/>
    </row>
    <row r="116" customFormat="false" ht="15.75" hidden="false" customHeight="false" outlineLevel="0" collapsed="false">
      <c r="A116" s="24" t="n">
        <f aca="false">A115+1</f>
        <v>114</v>
      </c>
      <c r="B116" s="737"/>
      <c r="C116" s="313"/>
      <c r="D116" s="313"/>
      <c r="E116" s="313"/>
      <c r="F116" s="312"/>
      <c r="G116" s="726"/>
      <c r="H116" s="314"/>
      <c r="I116" s="51"/>
      <c r="J116" s="727"/>
      <c r="K116" s="727" t="str">
        <f aca="false" t="array" ref="K116:K116">IF(ISNA(INDEX(Pokedex!K$2:K$610,MATCH($C116,Pokedex!$B$2:$B$610,0))),"",INDEX(Pokedex!K$2:K$610,MATCH($C116,Pokedex!$B$2:$B$610,0)))</f>
        <v/>
      </c>
      <c r="L116" s="48" t="n">
        <f aca="false">L115+1</f>
        <v>114</v>
      </c>
      <c r="M116" s="400"/>
    </row>
    <row r="117" customFormat="false" ht="15.75" hidden="false" customHeight="false" outlineLevel="0" collapsed="false">
      <c r="A117" s="24" t="n">
        <f aca="false">A116+1</f>
        <v>115</v>
      </c>
      <c r="B117" s="737"/>
      <c r="C117" s="313"/>
      <c r="D117" s="313"/>
      <c r="E117" s="313"/>
      <c r="F117" s="312"/>
      <c r="G117" s="726"/>
      <c r="H117" s="314"/>
      <c r="I117" s="51"/>
      <c r="J117" s="727"/>
      <c r="K117" s="727" t="str">
        <f aca="false" t="array" ref="K117:K117">IF(ISNA(INDEX(Pokedex!K$2:K$610,MATCH($C117,Pokedex!$B$2:$B$610,0))),"",INDEX(Pokedex!K$2:K$610,MATCH($C117,Pokedex!$B$2:$B$610,0)))</f>
        <v/>
      </c>
      <c r="L117" s="48" t="n">
        <f aca="false">L116+1</f>
        <v>115</v>
      </c>
      <c r="M117" s="400"/>
    </row>
    <row r="118" customFormat="false" ht="15.75" hidden="false" customHeight="false" outlineLevel="0" collapsed="false">
      <c r="A118" s="24" t="n">
        <f aca="false">A117+1</f>
        <v>116</v>
      </c>
      <c r="B118" s="737"/>
      <c r="C118" s="313"/>
      <c r="D118" s="313"/>
      <c r="E118" s="313"/>
      <c r="F118" s="312"/>
      <c r="G118" s="726"/>
      <c r="H118" s="314"/>
      <c r="I118" s="51"/>
      <c r="J118" s="727"/>
      <c r="K118" s="727" t="str">
        <f aca="false" t="array" ref="K118:K118">IF(ISNA(INDEX(Pokedex!K$2:K$610,MATCH($C118,Pokedex!$B$2:$B$610,0))),"",INDEX(Pokedex!K$2:K$610,MATCH($C118,Pokedex!$B$2:$B$610,0)))</f>
        <v/>
      </c>
      <c r="L118" s="48" t="n">
        <f aca="false">L117+1</f>
        <v>116</v>
      </c>
      <c r="M118" s="400"/>
    </row>
    <row r="119" customFormat="false" ht="15.75" hidden="false" customHeight="false" outlineLevel="0" collapsed="false">
      <c r="A119" s="24" t="n">
        <f aca="false">A118+1</f>
        <v>117</v>
      </c>
      <c r="B119" s="737"/>
      <c r="C119" s="313"/>
      <c r="D119" s="313"/>
      <c r="E119" s="313"/>
      <c r="F119" s="312"/>
      <c r="G119" s="726"/>
      <c r="H119" s="314"/>
      <c r="I119" s="51"/>
      <c r="J119" s="727"/>
      <c r="K119" s="727" t="str">
        <f aca="false" t="array" ref="K119:K119">IF(ISNA(INDEX(Pokedex!K$2:K$610,MATCH($C119,Pokedex!$B$2:$B$610,0))),"",INDEX(Pokedex!K$2:K$610,MATCH($C119,Pokedex!$B$2:$B$610,0)))</f>
        <v/>
      </c>
      <c r="L119" s="48" t="n">
        <f aca="false">L118+1</f>
        <v>117</v>
      </c>
      <c r="M119" s="400"/>
    </row>
    <row r="120" customFormat="false" ht="15.75" hidden="false" customHeight="false" outlineLevel="0" collapsed="false">
      <c r="A120" s="24" t="n">
        <f aca="false">A119+1</f>
        <v>118</v>
      </c>
      <c r="B120" s="737"/>
      <c r="C120" s="313"/>
      <c r="D120" s="313"/>
      <c r="E120" s="313"/>
      <c r="F120" s="312"/>
      <c r="G120" s="726"/>
      <c r="H120" s="314"/>
      <c r="I120" s="51"/>
      <c r="J120" s="727"/>
      <c r="K120" s="727" t="str">
        <f aca="false" t="array" ref="K120:K120">IF(ISNA(INDEX(Pokedex!K$2:K$610,MATCH($C120,Pokedex!$B$2:$B$610,0))),"",INDEX(Pokedex!K$2:K$610,MATCH($C120,Pokedex!$B$2:$B$610,0)))</f>
        <v/>
      </c>
      <c r="L120" s="48" t="n">
        <f aca="false">L119+1</f>
        <v>118</v>
      </c>
      <c r="M120" s="400"/>
    </row>
    <row r="121" customFormat="false" ht="15.75" hidden="false" customHeight="false" outlineLevel="0" collapsed="false">
      <c r="A121" s="24" t="n">
        <f aca="false">A120+1</f>
        <v>119</v>
      </c>
      <c r="B121" s="737"/>
      <c r="C121" s="313"/>
      <c r="D121" s="313"/>
      <c r="E121" s="313"/>
      <c r="F121" s="312"/>
      <c r="G121" s="726"/>
      <c r="H121" s="314"/>
      <c r="I121" s="51"/>
      <c r="J121" s="727"/>
      <c r="K121" s="727" t="str">
        <f aca="false" t="array" ref="K121:K121">IF(ISNA(INDEX(Pokedex!K$2:K$610,MATCH($C121,Pokedex!$B$2:$B$610,0))),"",INDEX(Pokedex!K$2:K$610,MATCH($C121,Pokedex!$B$2:$B$610,0)))</f>
        <v/>
      </c>
      <c r="L121" s="48" t="n">
        <f aca="false">L120+1</f>
        <v>119</v>
      </c>
      <c r="M121" s="400"/>
    </row>
    <row r="122" customFormat="false" ht="15.75" hidden="false" customHeight="false" outlineLevel="0" collapsed="false">
      <c r="A122" s="24" t="n">
        <f aca="false">A121+1</f>
        <v>120</v>
      </c>
      <c r="B122" s="737"/>
      <c r="C122" s="313"/>
      <c r="D122" s="313"/>
      <c r="E122" s="313"/>
      <c r="F122" s="312"/>
      <c r="G122" s="726"/>
      <c r="H122" s="314"/>
      <c r="I122" s="51"/>
      <c r="J122" s="727"/>
      <c r="K122" s="727" t="str">
        <f aca="false" t="array" ref="K122:K122">IF(ISNA(INDEX(Pokedex!K$2:K$610,MATCH($C122,Pokedex!$B$2:$B$610,0))),"",INDEX(Pokedex!K$2:K$610,MATCH($C122,Pokedex!$B$2:$B$610,0)))</f>
        <v/>
      </c>
      <c r="L122" s="48" t="n">
        <f aca="false">L121+1</f>
        <v>120</v>
      </c>
      <c r="M122" s="400"/>
    </row>
    <row r="123" customFormat="false" ht="15.75" hidden="false" customHeight="false" outlineLevel="0" collapsed="false">
      <c r="A123" s="24" t="n">
        <f aca="false">A122+1</f>
        <v>121</v>
      </c>
      <c r="B123" s="737"/>
      <c r="C123" s="313"/>
      <c r="D123" s="313"/>
      <c r="E123" s="313"/>
      <c r="F123" s="312"/>
      <c r="G123" s="726"/>
      <c r="H123" s="314"/>
      <c r="I123" s="51"/>
      <c r="J123" s="727"/>
      <c r="K123" s="727" t="str">
        <f aca="false" t="array" ref="K123:K123">IF(ISNA(INDEX(Pokedex!K$2:K$610,MATCH($C123,Pokedex!$B$2:$B$610,0))),"",INDEX(Pokedex!K$2:K$610,MATCH($C123,Pokedex!$B$2:$B$610,0)))</f>
        <v/>
      </c>
      <c r="L123" s="48" t="n">
        <f aca="false">L122+1</f>
        <v>121</v>
      </c>
      <c r="M123" s="400"/>
    </row>
    <row r="124" customFormat="false" ht="15.75" hidden="false" customHeight="false" outlineLevel="0" collapsed="false">
      <c r="A124" s="24" t="n">
        <f aca="false">A123+1</f>
        <v>122</v>
      </c>
      <c r="B124" s="737"/>
      <c r="C124" s="313"/>
      <c r="D124" s="313"/>
      <c r="E124" s="313"/>
      <c r="F124" s="312"/>
      <c r="G124" s="726"/>
      <c r="H124" s="314"/>
      <c r="I124" s="51"/>
      <c r="J124" s="727"/>
      <c r="K124" s="727" t="str">
        <f aca="false" t="array" ref="K124:K124">IF(ISNA(INDEX(Pokedex!K$2:K$610,MATCH($C124,Pokedex!$B$2:$B$610,0))),"",INDEX(Pokedex!K$2:K$610,MATCH($C124,Pokedex!$B$2:$B$610,0)))</f>
        <v/>
      </c>
      <c r="L124" s="48" t="n">
        <f aca="false">L123+1</f>
        <v>122</v>
      </c>
      <c r="M124" s="400"/>
    </row>
    <row r="125" customFormat="false" ht="15.75" hidden="false" customHeight="false" outlineLevel="0" collapsed="false">
      <c r="A125" s="24" t="n">
        <f aca="false">A124+1</f>
        <v>123</v>
      </c>
      <c r="B125" s="737"/>
      <c r="C125" s="313"/>
      <c r="D125" s="313"/>
      <c r="E125" s="313"/>
      <c r="F125" s="312"/>
      <c r="G125" s="726"/>
      <c r="H125" s="314"/>
      <c r="I125" s="51"/>
      <c r="J125" s="727"/>
      <c r="K125" s="727" t="str">
        <f aca="false" t="array" ref="K125:K125">IF(ISNA(INDEX(Pokedex!K$2:K$610,MATCH($C125,Pokedex!$B$2:$B$610,0))),"",INDEX(Pokedex!K$2:K$610,MATCH($C125,Pokedex!$B$2:$B$610,0)))</f>
        <v/>
      </c>
      <c r="L125" s="48" t="n">
        <f aca="false">L124+1</f>
        <v>123</v>
      </c>
      <c r="M125" s="400"/>
    </row>
    <row r="126" customFormat="false" ht="15.75" hidden="false" customHeight="false" outlineLevel="0" collapsed="false">
      <c r="A126" s="24" t="n">
        <f aca="false">A125+1</f>
        <v>124</v>
      </c>
      <c r="B126" s="737"/>
      <c r="C126" s="313"/>
      <c r="D126" s="313"/>
      <c r="E126" s="313"/>
      <c r="F126" s="312"/>
      <c r="G126" s="726"/>
      <c r="H126" s="314"/>
      <c r="I126" s="51"/>
      <c r="J126" s="727"/>
      <c r="K126" s="727" t="str">
        <f aca="false" t="array" ref="K126:K126">IF(ISNA(INDEX(Pokedex!K$2:K$610,MATCH($C126,Pokedex!$B$2:$B$610,0))),"",INDEX(Pokedex!K$2:K$610,MATCH($C126,Pokedex!$B$2:$B$610,0)))</f>
        <v/>
      </c>
      <c r="L126" s="48" t="n">
        <f aca="false">L125+1</f>
        <v>124</v>
      </c>
      <c r="M126" s="400"/>
    </row>
    <row r="127" customFormat="false" ht="15.75" hidden="false" customHeight="false" outlineLevel="0" collapsed="false">
      <c r="A127" s="24" t="n">
        <f aca="false">A126+1</f>
        <v>125</v>
      </c>
      <c r="B127" s="737"/>
      <c r="C127" s="313"/>
      <c r="D127" s="313"/>
      <c r="E127" s="313"/>
      <c r="F127" s="312"/>
      <c r="G127" s="726"/>
      <c r="H127" s="314"/>
      <c r="I127" s="51"/>
      <c r="J127" s="727"/>
      <c r="K127" s="727" t="str">
        <f aca="false" t="array" ref="K127:K127">IF(ISNA(INDEX(Pokedex!K$2:K$610,MATCH($C127,Pokedex!$B$2:$B$610,0))),"",INDEX(Pokedex!K$2:K$610,MATCH($C127,Pokedex!$B$2:$B$610,0)))</f>
        <v/>
      </c>
      <c r="L127" s="48" t="n">
        <f aca="false">L126+1</f>
        <v>125</v>
      </c>
      <c r="M127" s="400"/>
    </row>
    <row r="128" customFormat="false" ht="15.75" hidden="false" customHeight="false" outlineLevel="0" collapsed="false">
      <c r="A128" s="24" t="n">
        <f aca="false">A127+1</f>
        <v>126</v>
      </c>
      <c r="B128" s="737"/>
      <c r="C128" s="313"/>
      <c r="D128" s="313"/>
      <c r="E128" s="313"/>
      <c r="F128" s="312"/>
      <c r="G128" s="726"/>
      <c r="H128" s="314"/>
      <c r="I128" s="51"/>
      <c r="J128" s="727"/>
      <c r="K128" s="727" t="str">
        <f aca="false" t="array" ref="K128:K128">IF(ISNA(INDEX(Pokedex!K$2:K$610,MATCH($C128,Pokedex!$B$2:$B$610,0))),"",INDEX(Pokedex!K$2:K$610,MATCH($C128,Pokedex!$B$2:$B$610,0)))</f>
        <v/>
      </c>
      <c r="L128" s="48" t="n">
        <f aca="false">L127+1</f>
        <v>126</v>
      </c>
      <c r="M128" s="400"/>
    </row>
    <row r="129" customFormat="false" ht="15.75" hidden="false" customHeight="false" outlineLevel="0" collapsed="false">
      <c r="A129" s="24" t="n">
        <f aca="false">A128+1</f>
        <v>127</v>
      </c>
      <c r="B129" s="737"/>
      <c r="C129" s="313"/>
      <c r="D129" s="313"/>
      <c r="E129" s="313"/>
      <c r="F129" s="312"/>
      <c r="G129" s="726"/>
      <c r="H129" s="314"/>
      <c r="I129" s="51"/>
      <c r="J129" s="727"/>
      <c r="K129" s="727" t="str">
        <f aca="false" t="array" ref="K129:K129">IF(ISNA(INDEX(Pokedex!K$2:K$610,MATCH($C129,Pokedex!$B$2:$B$610,0))),"",INDEX(Pokedex!K$2:K$610,MATCH($C129,Pokedex!$B$2:$B$610,0)))</f>
        <v/>
      </c>
      <c r="L129" s="48" t="n">
        <f aca="false">L128+1</f>
        <v>127</v>
      </c>
    </row>
    <row r="130" customFormat="false" ht="15.75" hidden="false" customHeight="false" outlineLevel="0" collapsed="false">
      <c r="A130" s="24" t="n">
        <f aca="false">A129+1</f>
        <v>128</v>
      </c>
      <c r="B130" s="737"/>
      <c r="C130" s="313"/>
      <c r="D130" s="313"/>
      <c r="E130" s="313"/>
      <c r="F130" s="312"/>
      <c r="G130" s="726"/>
      <c r="H130" s="314"/>
      <c r="I130" s="51"/>
      <c r="J130" s="727"/>
      <c r="K130" s="727" t="str">
        <f aca="false" t="array" ref="K130:K130">IF(ISNA(INDEX(Pokedex!K$2:K$610,MATCH($C130,Pokedex!$B$2:$B$610,0))),"",INDEX(Pokedex!K$2:K$610,MATCH($C130,Pokedex!$B$2:$B$610,0)))</f>
        <v/>
      </c>
      <c r="L130" s="48" t="n">
        <f aca="false">L129+1</f>
        <v>128</v>
      </c>
      <c r="M130" s="400"/>
    </row>
    <row r="131" customFormat="false" ht="15.75" hidden="false" customHeight="false" outlineLevel="0" collapsed="false">
      <c r="A131" s="24" t="n">
        <f aca="false">A130+1</f>
        <v>129</v>
      </c>
      <c r="B131" s="737"/>
      <c r="C131" s="313"/>
      <c r="D131" s="313"/>
      <c r="E131" s="313"/>
      <c r="F131" s="312"/>
      <c r="G131" s="726"/>
      <c r="H131" s="314"/>
      <c r="I131" s="51"/>
      <c r="J131" s="727"/>
      <c r="K131" s="727" t="str">
        <f aca="false" t="array" ref="K131:K131">IF(ISNA(INDEX(Pokedex!K$2:K$610,MATCH($C131,Pokedex!$B$2:$B$610,0))),"",INDEX(Pokedex!K$2:K$610,MATCH($C131,Pokedex!$B$2:$B$610,0)))</f>
        <v/>
      </c>
      <c r="L131" s="48" t="n">
        <f aca="false">L130+1</f>
        <v>129</v>
      </c>
      <c r="M131" s="400"/>
    </row>
    <row r="132" customFormat="false" ht="15.75" hidden="false" customHeight="false" outlineLevel="0" collapsed="false">
      <c r="A132" s="24" t="n">
        <f aca="false">A131+1</f>
        <v>130</v>
      </c>
      <c r="B132" s="737"/>
      <c r="C132" s="313"/>
      <c r="D132" s="313"/>
      <c r="E132" s="313"/>
      <c r="F132" s="312"/>
      <c r="G132" s="726"/>
      <c r="H132" s="314"/>
      <c r="I132" s="51"/>
      <c r="J132" s="727"/>
      <c r="K132" s="727" t="str">
        <f aca="false" t="array" ref="K132:K132">IF(ISNA(INDEX(Pokedex!K$2:K$610,MATCH($C132,Pokedex!$B$2:$B$610,0))),"",INDEX(Pokedex!K$2:K$610,MATCH($C132,Pokedex!$B$2:$B$610,0)))</f>
        <v/>
      </c>
      <c r="L132" s="48" t="n">
        <f aca="false">L131+1</f>
        <v>130</v>
      </c>
      <c r="M132" s="400"/>
    </row>
    <row r="133" customFormat="false" ht="15.75" hidden="false" customHeight="false" outlineLevel="0" collapsed="false">
      <c r="A133" s="24" t="n">
        <f aca="false">A132+1</f>
        <v>131</v>
      </c>
      <c r="B133" s="737"/>
      <c r="C133" s="313"/>
      <c r="D133" s="313"/>
      <c r="E133" s="313"/>
      <c r="F133" s="312"/>
      <c r="G133" s="726"/>
      <c r="H133" s="314"/>
      <c r="I133" s="51"/>
      <c r="J133" s="727"/>
      <c r="K133" s="727" t="str">
        <f aca="false" t="array" ref="K133:K133">IF(ISNA(INDEX(Pokedex!K$2:K$610,MATCH($C133,Pokedex!$B$2:$B$610,0))),"",INDEX(Pokedex!K$2:K$610,MATCH($C133,Pokedex!$B$2:$B$610,0)))</f>
        <v/>
      </c>
      <c r="L133" s="48" t="n">
        <f aca="false">L132+1</f>
        <v>131</v>
      </c>
      <c r="M133" s="400"/>
    </row>
    <row r="134" customFormat="false" ht="15.75" hidden="false" customHeight="false" outlineLevel="0" collapsed="false">
      <c r="A134" s="24" t="n">
        <f aca="false">A133+1</f>
        <v>132</v>
      </c>
      <c r="B134" s="737"/>
      <c r="C134" s="313"/>
      <c r="D134" s="313"/>
      <c r="E134" s="313"/>
      <c r="F134" s="312"/>
      <c r="G134" s="726"/>
      <c r="H134" s="314"/>
      <c r="I134" s="51"/>
      <c r="J134" s="727"/>
      <c r="K134" s="727" t="str">
        <f aca="false" t="array" ref="K134:K134">IF(ISNA(INDEX(Pokedex!K$2:K$610,MATCH($C134,Pokedex!$B$2:$B$610,0))),"",INDEX(Pokedex!K$2:K$610,MATCH($C134,Pokedex!$B$2:$B$610,0)))</f>
        <v/>
      </c>
      <c r="L134" s="48" t="n">
        <f aca="false">L133+1</f>
        <v>132</v>
      </c>
      <c r="M134" s="400"/>
    </row>
    <row r="135" customFormat="false" ht="15.75" hidden="false" customHeight="false" outlineLevel="0" collapsed="false">
      <c r="A135" s="24" t="n">
        <f aca="false">A134+1</f>
        <v>133</v>
      </c>
      <c r="B135" s="737"/>
      <c r="C135" s="313"/>
      <c r="D135" s="313"/>
      <c r="E135" s="313"/>
      <c r="F135" s="312"/>
      <c r="G135" s="726"/>
      <c r="H135" s="314"/>
      <c r="I135" s="51"/>
      <c r="J135" s="727"/>
      <c r="K135" s="727" t="str">
        <f aca="false" t="array" ref="K135:K135">IF(ISNA(INDEX(Pokedex!K$2:K$610,MATCH($C135,Pokedex!$B$2:$B$610,0))),"",INDEX(Pokedex!K$2:K$610,MATCH($C135,Pokedex!$B$2:$B$610,0)))</f>
        <v/>
      </c>
      <c r="L135" s="48" t="n">
        <f aca="false">L134+1</f>
        <v>133</v>
      </c>
      <c r="M135" s="400"/>
    </row>
    <row r="136" customFormat="false" ht="15.75" hidden="false" customHeight="false" outlineLevel="0" collapsed="false">
      <c r="A136" s="24" t="n">
        <f aca="false">A135+1</f>
        <v>134</v>
      </c>
      <c r="B136" s="737"/>
      <c r="C136" s="313"/>
      <c r="D136" s="313"/>
      <c r="E136" s="313"/>
      <c r="F136" s="312"/>
      <c r="G136" s="726"/>
      <c r="H136" s="314"/>
      <c r="I136" s="51"/>
      <c r="J136" s="727"/>
      <c r="K136" s="727" t="str">
        <f aca="false" t="array" ref="K136:K136">IF(ISNA(INDEX(Pokedex!K$2:K$610,MATCH($C136,Pokedex!$B$2:$B$610,0))),"",INDEX(Pokedex!K$2:K$610,MATCH($C136,Pokedex!$B$2:$B$610,0)))</f>
        <v/>
      </c>
      <c r="L136" s="48" t="n">
        <f aca="false">L135+1</f>
        <v>134</v>
      </c>
      <c r="M136" s="400"/>
    </row>
    <row r="137" customFormat="false" ht="15.75" hidden="false" customHeight="false" outlineLevel="0" collapsed="false">
      <c r="A137" s="24" t="n">
        <f aca="false">A136+1</f>
        <v>135</v>
      </c>
      <c r="B137" s="737"/>
      <c r="C137" s="737"/>
      <c r="D137" s="737"/>
      <c r="E137" s="737"/>
      <c r="F137" s="312"/>
      <c r="G137" s="726"/>
      <c r="H137" s="314"/>
      <c r="I137" s="51"/>
      <c r="J137" s="727"/>
      <c r="K137" s="727" t="str">
        <f aca="false" t="array" ref="K137:K137">IF(ISNA(INDEX(Pokedex!K$2:K$610,MATCH($C137,Pokedex!$B$2:$B$610,0))),"",INDEX(Pokedex!K$2:K$610,MATCH($C137,Pokedex!$B$2:$B$610,0)))</f>
        <v/>
      </c>
      <c r="L137" s="48" t="n">
        <f aca="false">L136+1</f>
        <v>135</v>
      </c>
      <c r="M137" s="400"/>
    </row>
    <row r="138" customFormat="false" ht="15.75" hidden="false" customHeight="false" outlineLevel="0" collapsed="false">
      <c r="A138" s="24" t="n">
        <f aca="false">A137+1</f>
        <v>136</v>
      </c>
      <c r="B138" s="737"/>
      <c r="C138" s="737"/>
      <c r="D138" s="737"/>
      <c r="E138" s="737"/>
      <c r="F138" s="312"/>
      <c r="G138" s="726"/>
      <c r="H138" s="314"/>
      <c r="I138" s="51"/>
      <c r="J138" s="727"/>
      <c r="K138" s="727" t="str">
        <f aca="false" t="array" ref="K138:K138">IF(ISNA(INDEX(Pokedex!K$2:K$610,MATCH($C138,Pokedex!$B$2:$B$610,0))),"",INDEX(Pokedex!K$2:K$610,MATCH($C138,Pokedex!$B$2:$B$610,0)))</f>
        <v/>
      </c>
      <c r="L138" s="48" t="n">
        <f aca="false">L137+1</f>
        <v>136</v>
      </c>
      <c r="M138" s="400"/>
    </row>
    <row r="139" customFormat="false" ht="15.75" hidden="false" customHeight="false" outlineLevel="0" collapsed="false">
      <c r="A139" s="24" t="n">
        <f aca="false">A138+1</f>
        <v>137</v>
      </c>
      <c r="B139" s="737"/>
      <c r="C139" s="737"/>
      <c r="D139" s="737"/>
      <c r="E139" s="737"/>
      <c r="F139" s="312"/>
      <c r="G139" s="726"/>
      <c r="H139" s="314"/>
      <c r="I139" s="51"/>
      <c r="J139" s="727"/>
      <c r="K139" s="727" t="str">
        <f aca="false" t="array" ref="K139:K139">IF(ISNA(INDEX(Pokedex!K$2:K$610,MATCH($C139,Pokedex!$B$2:$B$610,0))),"",INDEX(Pokedex!K$2:K$610,MATCH($C139,Pokedex!$B$2:$B$610,0)))</f>
        <v/>
      </c>
      <c r="L139" s="48" t="n">
        <f aca="false">L138+1</f>
        <v>137</v>
      </c>
      <c r="M139" s="400"/>
    </row>
    <row r="140" customFormat="false" ht="15.75" hidden="false" customHeight="false" outlineLevel="0" collapsed="false">
      <c r="A140" s="24" t="n">
        <f aca="false">A139+1</f>
        <v>138</v>
      </c>
      <c r="B140" s="737"/>
      <c r="C140" s="737"/>
      <c r="D140" s="737"/>
      <c r="E140" s="737"/>
      <c r="F140" s="312"/>
      <c r="G140" s="726"/>
      <c r="H140" s="314"/>
      <c r="I140" s="51"/>
      <c r="J140" s="727"/>
      <c r="K140" s="727" t="str">
        <f aca="false" t="array" ref="K140:K140">IF(ISNA(INDEX(Pokedex!K$2:K$610,MATCH($C140,Pokedex!$B$2:$B$610,0))),"",INDEX(Pokedex!K$2:K$610,MATCH($C140,Pokedex!$B$2:$B$610,0)))</f>
        <v/>
      </c>
      <c r="L140" s="48" t="n">
        <f aca="false">L139+1</f>
        <v>138</v>
      </c>
      <c r="M140" s="400"/>
    </row>
    <row r="141" customFormat="false" ht="15.75" hidden="false" customHeight="false" outlineLevel="0" collapsed="false">
      <c r="A141" s="24" t="n">
        <f aca="false">A140+1</f>
        <v>139</v>
      </c>
      <c r="B141" s="737"/>
      <c r="C141" s="737"/>
      <c r="D141" s="737"/>
      <c r="E141" s="737"/>
      <c r="F141" s="312"/>
      <c r="G141" s="726"/>
      <c r="H141" s="314"/>
      <c r="I141" s="51"/>
      <c r="J141" s="727"/>
      <c r="K141" s="727" t="str">
        <f aca="false" t="array" ref="K141:K141">IF(ISNA(INDEX(Pokedex!K$2:K$610,MATCH($C141,Pokedex!$B$2:$B$610,0))),"",INDEX(Pokedex!K$2:K$610,MATCH($C141,Pokedex!$B$2:$B$610,0)))</f>
        <v/>
      </c>
      <c r="L141" s="48" t="n">
        <f aca="false">L140+1</f>
        <v>139</v>
      </c>
      <c r="M141" s="400"/>
    </row>
    <row r="142" customFormat="false" ht="15.75" hidden="false" customHeight="false" outlineLevel="0" collapsed="false">
      <c r="A142" s="24" t="n">
        <f aca="false">A141+1</f>
        <v>140</v>
      </c>
      <c r="B142" s="737"/>
      <c r="C142" s="737"/>
      <c r="D142" s="737"/>
      <c r="E142" s="737"/>
      <c r="F142" s="312"/>
      <c r="G142" s="726"/>
      <c r="H142" s="314"/>
      <c r="I142" s="51"/>
      <c r="J142" s="727"/>
      <c r="K142" s="727" t="str">
        <f aca="false" t="array" ref="K142:K142">IF(ISNA(INDEX(Pokedex!K$2:K$610,MATCH($C142,Pokedex!$B$2:$B$610,0))),"",INDEX(Pokedex!K$2:K$610,MATCH($C142,Pokedex!$B$2:$B$610,0)))</f>
        <v/>
      </c>
      <c r="L142" s="48" t="n">
        <f aca="false">L141+1</f>
        <v>140</v>
      </c>
      <c r="M142" s="400"/>
    </row>
    <row r="143" customFormat="false" ht="15.75" hidden="false" customHeight="false" outlineLevel="0" collapsed="false">
      <c r="A143" s="24" t="n">
        <f aca="false">A142+1</f>
        <v>141</v>
      </c>
      <c r="B143" s="737"/>
      <c r="C143" s="737"/>
      <c r="D143" s="737"/>
      <c r="E143" s="737"/>
      <c r="F143" s="312"/>
      <c r="G143" s="726"/>
      <c r="H143" s="314"/>
      <c r="I143" s="51"/>
      <c r="J143" s="727"/>
      <c r="K143" s="727" t="str">
        <f aca="false" t="array" ref="K143:K143">IF(ISNA(INDEX(Pokedex!K$2:K$610,MATCH($C143,Pokedex!$B$2:$B$610,0))),"",INDEX(Pokedex!K$2:K$610,MATCH($C143,Pokedex!$B$2:$B$610,0)))</f>
        <v/>
      </c>
      <c r="L143" s="48" t="n">
        <f aca="false">L142+1</f>
        <v>141</v>
      </c>
      <c r="M143" s="400"/>
    </row>
    <row r="144" customFormat="false" ht="15.75" hidden="false" customHeight="false" outlineLevel="0" collapsed="false">
      <c r="A144" s="24" t="n">
        <f aca="false">A143+1</f>
        <v>142</v>
      </c>
      <c r="B144" s="737"/>
      <c r="C144" s="737"/>
      <c r="D144" s="737"/>
      <c r="E144" s="737"/>
      <c r="F144" s="312"/>
      <c r="G144" s="726"/>
      <c r="H144" s="314"/>
      <c r="I144" s="51"/>
      <c r="J144" s="727"/>
      <c r="K144" s="727" t="str">
        <f aca="false" t="array" ref="K144:K144">IF(ISNA(INDEX(Pokedex!K$2:K$610,MATCH($C144,Pokedex!$B$2:$B$610,0))),"",INDEX(Pokedex!K$2:K$610,MATCH($C144,Pokedex!$B$2:$B$610,0)))</f>
        <v/>
      </c>
      <c r="L144" s="48" t="n">
        <f aca="false">L143+1</f>
        <v>142</v>
      </c>
      <c r="M144" s="400"/>
    </row>
    <row r="145" customFormat="false" ht="15.75" hidden="false" customHeight="false" outlineLevel="0" collapsed="false">
      <c r="A145" s="24" t="n">
        <f aca="false">A144+1</f>
        <v>143</v>
      </c>
      <c r="B145" s="737"/>
      <c r="C145" s="737"/>
      <c r="D145" s="737"/>
      <c r="E145" s="737"/>
      <c r="F145" s="312"/>
      <c r="G145" s="726"/>
      <c r="H145" s="314"/>
      <c r="I145" s="51"/>
      <c r="J145" s="727"/>
      <c r="K145" s="727" t="str">
        <f aca="false" t="array" ref="K145:K145">IF(ISNA(INDEX(Pokedex!K$2:K$610,MATCH($C145,Pokedex!$B$2:$B$610,0))),"",INDEX(Pokedex!K$2:K$610,MATCH($C145,Pokedex!$B$2:$B$610,0)))</f>
        <v/>
      </c>
      <c r="L145" s="48" t="n">
        <f aca="false">L144+1</f>
        <v>143</v>
      </c>
      <c r="M145" s="400"/>
    </row>
    <row r="146" customFormat="false" ht="15.75" hidden="false" customHeight="false" outlineLevel="0" collapsed="false">
      <c r="A146" s="24" t="n">
        <f aca="false">A145+1</f>
        <v>144</v>
      </c>
      <c r="B146" s="737"/>
      <c r="C146" s="737"/>
      <c r="D146" s="737"/>
      <c r="E146" s="737"/>
      <c r="F146" s="312"/>
      <c r="G146" s="726"/>
      <c r="H146" s="314"/>
      <c r="I146" s="51"/>
      <c r="J146" s="727"/>
      <c r="K146" s="727" t="str">
        <f aca="false" t="array" ref="K146:K146">IF(ISNA(INDEX(Pokedex!K$2:K$610,MATCH($C146,Pokedex!$B$2:$B$610,0))),"",INDEX(Pokedex!K$2:K$610,MATCH($C146,Pokedex!$B$2:$B$610,0)))</f>
        <v/>
      </c>
      <c r="L146" s="48" t="n">
        <f aca="false">L145+1</f>
        <v>144</v>
      </c>
      <c r="M146" s="400"/>
    </row>
    <row r="147" customFormat="false" ht="15.75" hidden="false" customHeight="false" outlineLevel="0" collapsed="false">
      <c r="A147" s="24" t="n">
        <f aca="false">A146+1</f>
        <v>145</v>
      </c>
      <c r="B147" s="737"/>
      <c r="C147" s="737"/>
      <c r="D147" s="737"/>
      <c r="E147" s="737"/>
      <c r="F147" s="312"/>
      <c r="G147" s="726"/>
      <c r="H147" s="314"/>
      <c r="I147" s="51"/>
      <c r="J147" s="727"/>
      <c r="K147" s="727" t="str">
        <f aca="false" t="array" ref="K147:K147">IF(ISNA(INDEX(Pokedex!K$2:K$610,MATCH($C147,Pokedex!$B$2:$B$610,0))),"",INDEX(Pokedex!K$2:K$610,MATCH($C147,Pokedex!$B$2:$B$610,0)))</f>
        <v/>
      </c>
      <c r="L147" s="48" t="n">
        <f aca="false">L146+1</f>
        <v>145</v>
      </c>
      <c r="M147" s="400"/>
    </row>
    <row r="148" customFormat="false" ht="15.75" hidden="false" customHeight="false" outlineLevel="0" collapsed="false">
      <c r="A148" s="24" t="n">
        <f aca="false">A147+1</f>
        <v>146</v>
      </c>
      <c r="B148" s="737"/>
      <c r="C148" s="737"/>
      <c r="D148" s="737"/>
      <c r="E148" s="737"/>
      <c r="F148" s="312"/>
      <c r="G148" s="726"/>
      <c r="H148" s="314"/>
      <c r="I148" s="51"/>
      <c r="J148" s="727"/>
      <c r="K148" s="727" t="str">
        <f aca="false" t="array" ref="K148:K148">IF(ISNA(INDEX(Pokedex!K$2:K$610,MATCH($C148,Pokedex!$B$2:$B$610,0))),"",INDEX(Pokedex!K$2:K$610,MATCH($C148,Pokedex!$B$2:$B$610,0)))</f>
        <v/>
      </c>
      <c r="L148" s="48" t="n">
        <f aca="false">L147+1</f>
        <v>146</v>
      </c>
      <c r="M148" s="400"/>
    </row>
    <row r="149" customFormat="false" ht="15.75" hidden="false" customHeight="false" outlineLevel="0" collapsed="false">
      <c r="A149" s="24" t="n">
        <f aca="false">A148+1</f>
        <v>147</v>
      </c>
      <c r="B149" s="737"/>
      <c r="C149" s="737"/>
      <c r="D149" s="737"/>
      <c r="E149" s="737"/>
      <c r="F149" s="312"/>
      <c r="G149" s="726"/>
      <c r="H149" s="314"/>
      <c r="I149" s="51"/>
      <c r="J149" s="727"/>
      <c r="K149" s="727" t="str">
        <f aca="false" t="array" ref="K149:K149">IF(ISNA(INDEX(Pokedex!K$2:K$610,MATCH($C149,Pokedex!$B$2:$B$610,0))),"",INDEX(Pokedex!K$2:K$610,MATCH($C149,Pokedex!$B$2:$B$610,0)))</f>
        <v/>
      </c>
      <c r="L149" s="48" t="n">
        <f aca="false">L148+1</f>
        <v>147</v>
      </c>
      <c r="M149" s="400"/>
    </row>
    <row r="150" customFormat="false" ht="15.75" hidden="false" customHeight="false" outlineLevel="0" collapsed="false">
      <c r="A150" s="24" t="n">
        <f aca="false">A149+1</f>
        <v>148</v>
      </c>
      <c r="B150" s="737"/>
      <c r="C150" s="737"/>
      <c r="D150" s="737"/>
      <c r="E150" s="737"/>
      <c r="F150" s="312"/>
      <c r="G150" s="726"/>
      <c r="H150" s="314"/>
      <c r="I150" s="51"/>
      <c r="J150" s="727"/>
      <c r="K150" s="727" t="str">
        <f aca="false" t="array" ref="K150:K150">IF(ISNA(INDEX(Pokedex!K$2:K$610,MATCH($C150,Pokedex!$B$2:$B$610,0))),"",INDEX(Pokedex!K$2:K$610,MATCH($C150,Pokedex!$B$2:$B$610,0)))</f>
        <v/>
      </c>
      <c r="L150" s="48" t="n">
        <f aca="false">L149+1</f>
        <v>148</v>
      </c>
      <c r="M150" s="400"/>
    </row>
    <row r="151" customFormat="false" ht="15.75" hidden="false" customHeight="false" outlineLevel="0" collapsed="false">
      <c r="A151" s="24" t="n">
        <f aca="false">A150+1</f>
        <v>149</v>
      </c>
      <c r="B151" s="737"/>
      <c r="C151" s="737"/>
      <c r="D151" s="737"/>
      <c r="E151" s="737"/>
      <c r="F151" s="312"/>
      <c r="G151" s="726"/>
      <c r="H151" s="314"/>
      <c r="I151" s="51"/>
      <c r="J151" s="727"/>
      <c r="K151" s="727" t="str">
        <f aca="false" t="array" ref="K151:K151">IF(ISNA(INDEX(Pokedex!K$2:K$610,MATCH($C151,Pokedex!$B$2:$B$610,0))),"",INDEX(Pokedex!K$2:K$610,MATCH($C151,Pokedex!$B$2:$B$610,0)))</f>
        <v/>
      </c>
      <c r="L151" s="48" t="n">
        <f aca="false">L150+1</f>
        <v>149</v>
      </c>
    </row>
    <row r="152" customFormat="false" ht="15.75" hidden="false" customHeight="false" outlineLevel="0" collapsed="false">
      <c r="A152" s="24" t="n">
        <f aca="false">A151+1</f>
        <v>150</v>
      </c>
      <c r="B152" s="737"/>
      <c r="C152" s="737"/>
      <c r="D152" s="737"/>
      <c r="E152" s="737"/>
      <c r="F152" s="312"/>
      <c r="G152" s="726"/>
      <c r="H152" s="314"/>
      <c r="I152" s="51"/>
      <c r="J152" s="727"/>
      <c r="K152" s="727" t="str">
        <f aca="false" t="array" ref="K152:K152">IF(ISNA(INDEX(Pokedex!K$2:K$610,MATCH($C152,Pokedex!$B$2:$B$610,0))),"",INDEX(Pokedex!K$2:K$610,MATCH($C152,Pokedex!$B$2:$B$610,0)))</f>
        <v/>
      </c>
      <c r="L152" s="48" t="n">
        <f aca="false">L151+1</f>
        <v>150</v>
      </c>
    </row>
    <row r="153" customFormat="false" ht="15.75" hidden="false" customHeight="false" outlineLevel="0" collapsed="false">
      <c r="A153" s="24" t="n">
        <f aca="false">A152+1</f>
        <v>151</v>
      </c>
      <c r="B153" s="737"/>
      <c r="C153" s="737"/>
      <c r="D153" s="737"/>
      <c r="E153" s="737"/>
      <c r="F153" s="312"/>
      <c r="G153" s="726"/>
      <c r="H153" s="314"/>
      <c r="I153" s="51"/>
      <c r="J153" s="727"/>
      <c r="K153" s="727" t="str">
        <f aca="false" t="array" ref="K153:K153">IF(ISNA(INDEX(Pokedex!K$2:K$610,MATCH($C153,Pokedex!$B$2:$B$610,0))),"",INDEX(Pokedex!K$2:K$610,MATCH($C153,Pokedex!$B$2:$B$610,0)))</f>
        <v/>
      </c>
      <c r="L153" s="48" t="n">
        <f aca="false">L152+1</f>
        <v>151</v>
      </c>
      <c r="M153" s="400"/>
    </row>
    <row r="154" customFormat="false" ht="15.75" hidden="false" customHeight="false" outlineLevel="0" collapsed="false">
      <c r="A154" s="24" t="n">
        <f aca="false">A153+1</f>
        <v>152</v>
      </c>
      <c r="B154" s="737"/>
      <c r="C154" s="737"/>
      <c r="D154" s="737"/>
      <c r="E154" s="737"/>
      <c r="F154" s="312"/>
      <c r="G154" s="726"/>
      <c r="H154" s="314"/>
      <c r="I154" s="51"/>
      <c r="J154" s="727"/>
      <c r="K154" s="727" t="str">
        <f aca="false" t="array" ref="K154:K154">IF(ISNA(INDEX(Pokedex!K$2:K$610,MATCH($C154,Pokedex!$B$2:$B$610,0))),"",INDEX(Pokedex!K$2:K$610,MATCH($C154,Pokedex!$B$2:$B$610,0)))</f>
        <v/>
      </c>
      <c r="L154" s="48" t="n">
        <f aca="false">L153+1</f>
        <v>152</v>
      </c>
      <c r="M154" s="400"/>
    </row>
    <row r="155" customFormat="false" ht="15.75" hidden="false" customHeight="false" outlineLevel="0" collapsed="false">
      <c r="A155" s="24" t="n">
        <f aca="false">A154+1</f>
        <v>153</v>
      </c>
      <c r="B155" s="737"/>
      <c r="C155" s="737"/>
      <c r="D155" s="737"/>
      <c r="E155" s="737"/>
      <c r="F155" s="312"/>
      <c r="G155" s="726"/>
      <c r="H155" s="314"/>
      <c r="I155" s="51"/>
      <c r="J155" s="727"/>
      <c r="K155" s="727" t="str">
        <f aca="false" t="array" ref="K155:K155">IF(ISNA(INDEX(Pokedex!K$2:K$610,MATCH($C155,Pokedex!$B$2:$B$610,0))),"",INDEX(Pokedex!K$2:K$610,MATCH($C155,Pokedex!$B$2:$B$610,0)))</f>
        <v/>
      </c>
      <c r="L155" s="48" t="n">
        <f aca="false">L154+1</f>
        <v>153</v>
      </c>
      <c r="M155" s="400"/>
    </row>
    <row r="156" customFormat="false" ht="15.75" hidden="false" customHeight="false" outlineLevel="0" collapsed="false">
      <c r="A156" s="24" t="n">
        <f aca="false">A155+1</f>
        <v>154</v>
      </c>
      <c r="B156" s="737"/>
      <c r="C156" s="737"/>
      <c r="D156" s="737"/>
      <c r="E156" s="737"/>
      <c r="F156" s="312"/>
      <c r="G156" s="726"/>
      <c r="H156" s="314"/>
      <c r="I156" s="51"/>
      <c r="J156" s="727"/>
      <c r="K156" s="727" t="str">
        <f aca="false" t="array" ref="K156:K156">IF(ISNA(INDEX(Pokedex!K$2:K$610,MATCH($C156,Pokedex!$B$2:$B$610,0))),"",INDEX(Pokedex!K$2:K$610,MATCH($C156,Pokedex!$B$2:$B$610,0)))</f>
        <v/>
      </c>
      <c r="L156" s="48" t="n">
        <f aca="false">L155+1</f>
        <v>154</v>
      </c>
      <c r="M156" s="400"/>
    </row>
    <row r="157" customFormat="false" ht="15.75" hidden="false" customHeight="false" outlineLevel="0" collapsed="false">
      <c r="A157" s="24" t="n">
        <f aca="false">A156+1</f>
        <v>155</v>
      </c>
      <c r="B157" s="737"/>
      <c r="C157" s="737"/>
      <c r="D157" s="737"/>
      <c r="E157" s="737"/>
      <c r="F157" s="312"/>
      <c r="G157" s="726"/>
      <c r="H157" s="314"/>
      <c r="I157" s="51"/>
      <c r="J157" s="727"/>
      <c r="K157" s="727" t="str">
        <f aca="false" t="array" ref="K157:K157">IF(ISNA(INDEX(Pokedex!K$2:K$610,MATCH($C157,Pokedex!$B$2:$B$610,0))),"",INDEX(Pokedex!K$2:K$610,MATCH($C157,Pokedex!$B$2:$B$610,0)))</f>
        <v/>
      </c>
      <c r="L157" s="48" t="n">
        <f aca="false">L156+1</f>
        <v>155</v>
      </c>
      <c r="M157" s="400"/>
    </row>
    <row r="158" customFormat="false" ht="15.75" hidden="false" customHeight="false" outlineLevel="0" collapsed="false">
      <c r="A158" s="24" t="n">
        <f aca="false">A157+1</f>
        <v>156</v>
      </c>
      <c r="B158" s="737"/>
      <c r="C158" s="737"/>
      <c r="D158" s="737"/>
      <c r="E158" s="737"/>
      <c r="F158" s="312"/>
      <c r="G158" s="726"/>
      <c r="H158" s="314"/>
      <c r="I158" s="51"/>
      <c r="J158" s="727"/>
      <c r="K158" s="727" t="str">
        <f aca="false" t="array" ref="K158:K158">IF(ISNA(INDEX(Pokedex!K$2:K$610,MATCH($C158,Pokedex!$B$2:$B$610,0))),"",INDEX(Pokedex!K$2:K$610,MATCH($C158,Pokedex!$B$2:$B$610,0)))</f>
        <v/>
      </c>
      <c r="L158" s="48" t="n">
        <f aca="false">L157+1</f>
        <v>156</v>
      </c>
      <c r="M158" s="400"/>
    </row>
    <row r="159" customFormat="false" ht="15.75" hidden="false" customHeight="false" outlineLevel="0" collapsed="false">
      <c r="A159" s="24" t="n">
        <f aca="false">A158+1</f>
        <v>157</v>
      </c>
      <c r="B159" s="737"/>
      <c r="C159" s="737"/>
      <c r="D159" s="737"/>
      <c r="E159" s="737"/>
      <c r="F159" s="312"/>
      <c r="G159" s="726"/>
      <c r="H159" s="314"/>
      <c r="I159" s="51"/>
      <c r="J159" s="727"/>
      <c r="K159" s="727" t="str">
        <f aca="false" t="array" ref="K159:K159">IF(ISNA(INDEX(Pokedex!K$2:K$610,MATCH($C159,Pokedex!$B$2:$B$610,0))),"",INDEX(Pokedex!K$2:K$610,MATCH($C159,Pokedex!$B$2:$B$610,0)))</f>
        <v/>
      </c>
      <c r="L159" s="48" t="n">
        <f aca="false">L158+1</f>
        <v>157</v>
      </c>
      <c r="M159" s="400"/>
    </row>
    <row r="160" customFormat="false" ht="15.75" hidden="false" customHeight="false" outlineLevel="0" collapsed="false">
      <c r="A160" s="24" t="n">
        <f aca="false">A159+1</f>
        <v>158</v>
      </c>
      <c r="B160" s="737"/>
      <c r="C160" s="737"/>
      <c r="D160" s="737"/>
      <c r="E160" s="737"/>
      <c r="F160" s="312"/>
      <c r="G160" s="726"/>
      <c r="H160" s="314"/>
      <c r="I160" s="51"/>
      <c r="J160" s="727"/>
      <c r="K160" s="727" t="str">
        <f aca="false" t="array" ref="K160:K160">IF(ISNA(INDEX(Pokedex!K$2:K$610,MATCH($C160,Pokedex!$B$2:$B$610,0))),"",INDEX(Pokedex!K$2:K$610,MATCH($C160,Pokedex!$B$2:$B$610,0)))</f>
        <v/>
      </c>
      <c r="L160" s="48" t="n">
        <f aca="false">L159+1</f>
        <v>158</v>
      </c>
      <c r="M160" s="400"/>
    </row>
    <row r="161" customFormat="false" ht="15.75" hidden="false" customHeight="false" outlineLevel="0" collapsed="false">
      <c r="A161" s="24" t="n">
        <f aca="false">A160+1</f>
        <v>159</v>
      </c>
      <c r="B161" s="738"/>
      <c r="C161" s="738"/>
      <c r="D161" s="738"/>
      <c r="E161" s="738"/>
      <c r="F161" s="738"/>
      <c r="G161" s="739"/>
      <c r="H161" s="740"/>
      <c r="I161" s="245"/>
      <c r="J161" s="738"/>
      <c r="K161" s="727" t="str">
        <f aca="false" t="array" ref="K161:K161">IF(ISNA(INDEX(Pokedex!K$2:K$610,MATCH($C161,Pokedex!$B$2:$B$610,0))),"",INDEX(Pokedex!K$2:K$610,MATCH($C161,Pokedex!$B$2:$B$610,0)))</f>
        <v/>
      </c>
      <c r="L161" s="48" t="n">
        <f aca="false">L160+1</f>
        <v>159</v>
      </c>
      <c r="M161" s="400"/>
    </row>
    <row r="162" customFormat="false" ht="15.75" hidden="false" customHeight="false" outlineLevel="0" collapsed="false">
      <c r="A162" s="24" t="n">
        <f aca="false">A161+1</f>
        <v>160</v>
      </c>
      <c r="B162" s="738"/>
      <c r="C162" s="738"/>
      <c r="D162" s="738"/>
      <c r="E162" s="738"/>
      <c r="F162" s="738"/>
      <c r="G162" s="739"/>
      <c r="H162" s="740"/>
      <c r="I162" s="245"/>
      <c r="J162" s="738"/>
      <c r="K162" s="727" t="str">
        <f aca="false" t="array" ref="K162:K162">IF(ISNA(INDEX(Pokedex!K$2:K$610,MATCH($C162,Pokedex!$B$2:$B$610,0))),"",INDEX(Pokedex!K$2:K$610,MATCH($C162,Pokedex!$B$2:$B$610,0)))</f>
        <v/>
      </c>
      <c r="L162" s="48" t="n">
        <f aca="false">L161+1</f>
        <v>160</v>
      </c>
      <c r="M162" s="400"/>
    </row>
    <row r="163" customFormat="false" ht="15.75" hidden="false" customHeight="false" outlineLevel="0" collapsed="false">
      <c r="A163" s="24" t="n">
        <f aca="false">A162+1</f>
        <v>161</v>
      </c>
      <c r="B163" s="738"/>
      <c r="C163" s="738"/>
      <c r="D163" s="738"/>
      <c r="E163" s="738"/>
      <c r="F163" s="738"/>
      <c r="G163" s="739"/>
      <c r="H163" s="740"/>
      <c r="I163" s="245"/>
      <c r="J163" s="738"/>
      <c r="K163" s="727" t="str">
        <f aca="false" t="array" ref="K163:K163">IF(ISNA(INDEX(Pokedex!K$2:K$610,MATCH($C163,Pokedex!$B$2:$B$610,0))),"",INDEX(Pokedex!K$2:K$610,MATCH($C163,Pokedex!$B$2:$B$610,0)))</f>
        <v/>
      </c>
      <c r="L163" s="48" t="n">
        <f aca="false">L162+1</f>
        <v>161</v>
      </c>
      <c r="M163" s="400"/>
    </row>
    <row r="164" customFormat="false" ht="15.75" hidden="false" customHeight="false" outlineLevel="0" collapsed="false">
      <c r="A164" s="24" t="n">
        <f aca="false">A163+1</f>
        <v>162</v>
      </c>
      <c r="B164" s="738"/>
      <c r="C164" s="738"/>
      <c r="D164" s="738"/>
      <c r="E164" s="738"/>
      <c r="F164" s="738"/>
      <c r="G164" s="739"/>
      <c r="H164" s="740"/>
      <c r="I164" s="245"/>
      <c r="J164" s="738"/>
      <c r="K164" s="727" t="str">
        <f aca="false" t="array" ref="K164:K164">IF(ISNA(INDEX(Pokedex!K$2:K$610,MATCH($C164,Pokedex!$B$2:$B$610,0))),"",INDEX(Pokedex!K$2:K$610,MATCH($C164,Pokedex!$B$2:$B$610,0)))</f>
        <v/>
      </c>
      <c r="L164" s="48" t="n">
        <f aca="false">L163+1</f>
        <v>162</v>
      </c>
      <c r="M164" s="400"/>
    </row>
    <row r="165" customFormat="false" ht="15.75" hidden="false" customHeight="false" outlineLevel="0" collapsed="false">
      <c r="A165" s="24" t="n">
        <f aca="false">A164+1</f>
        <v>163</v>
      </c>
      <c r="B165" s="738"/>
      <c r="C165" s="738"/>
      <c r="D165" s="738"/>
      <c r="E165" s="738"/>
      <c r="F165" s="738"/>
      <c r="G165" s="739"/>
      <c r="H165" s="740"/>
      <c r="I165" s="245"/>
      <c r="J165" s="738"/>
      <c r="K165" s="727" t="str">
        <f aca="false" t="array" ref="K165:K165">IF(ISNA(INDEX(Pokedex!K$2:K$610,MATCH($C165,Pokedex!$B$2:$B$610,0))),"",INDEX(Pokedex!K$2:K$610,MATCH($C165,Pokedex!$B$2:$B$610,0)))</f>
        <v/>
      </c>
      <c r="L165" s="48" t="n">
        <f aca="false">L164+1</f>
        <v>163</v>
      </c>
      <c r="M165" s="400"/>
    </row>
    <row r="166" customFormat="false" ht="15.75" hidden="false" customHeight="false" outlineLevel="0" collapsed="false">
      <c r="A166" s="24" t="n">
        <f aca="false">A165+1</f>
        <v>164</v>
      </c>
      <c r="B166" s="738"/>
      <c r="C166" s="738"/>
      <c r="D166" s="738"/>
      <c r="E166" s="738"/>
      <c r="F166" s="738"/>
      <c r="G166" s="739"/>
      <c r="H166" s="740"/>
      <c r="I166" s="245"/>
      <c r="J166" s="738"/>
      <c r="K166" s="727" t="str">
        <f aca="false" t="array" ref="K166:K166">IF(ISNA(INDEX(Pokedex!K$2:K$610,MATCH($C166,Pokedex!$B$2:$B$610,0))),"",INDEX(Pokedex!K$2:K$610,MATCH($C166,Pokedex!$B$2:$B$610,0)))</f>
        <v/>
      </c>
      <c r="L166" s="48" t="n">
        <f aca="false">L165+1</f>
        <v>164</v>
      </c>
      <c r="M166" s="400"/>
    </row>
    <row r="167" customFormat="false" ht="15.75" hidden="false" customHeight="false" outlineLevel="0" collapsed="false">
      <c r="A167" s="24" t="n">
        <f aca="false">A166+1</f>
        <v>165</v>
      </c>
      <c r="B167" s="738"/>
      <c r="C167" s="738"/>
      <c r="D167" s="738"/>
      <c r="E167" s="738"/>
      <c r="F167" s="738"/>
      <c r="G167" s="739"/>
      <c r="H167" s="740"/>
      <c r="I167" s="245"/>
      <c r="J167" s="738"/>
      <c r="K167" s="727" t="str">
        <f aca="false" t="array" ref="K167:K167">IF(ISNA(INDEX(Pokedex!K$2:K$610,MATCH($C167,Pokedex!$B$2:$B$610,0))),"",INDEX(Pokedex!K$2:K$610,MATCH($C167,Pokedex!$B$2:$B$610,0)))</f>
        <v/>
      </c>
      <c r="L167" s="48" t="n">
        <f aca="false">L166+1</f>
        <v>165</v>
      </c>
      <c r="M167" s="400"/>
    </row>
    <row r="168" customFormat="false" ht="15.75" hidden="false" customHeight="false" outlineLevel="0" collapsed="false">
      <c r="A168" s="24" t="n">
        <f aca="false">A167+1</f>
        <v>166</v>
      </c>
      <c r="B168" s="738"/>
      <c r="C168" s="738"/>
      <c r="D168" s="738"/>
      <c r="E168" s="738"/>
      <c r="F168" s="738"/>
      <c r="G168" s="739"/>
      <c r="H168" s="740"/>
      <c r="I168" s="245"/>
      <c r="J168" s="738"/>
      <c r="K168" s="727" t="str">
        <f aca="false" t="array" ref="K168:K168">IF(ISNA(INDEX(Pokedex!K$2:K$610,MATCH($C168,Pokedex!$B$2:$B$610,0))),"",INDEX(Pokedex!K$2:K$610,MATCH($C168,Pokedex!$B$2:$B$610,0)))</f>
        <v/>
      </c>
      <c r="L168" s="48" t="n">
        <f aca="false">L167+1</f>
        <v>166</v>
      </c>
      <c r="M168" s="400"/>
    </row>
    <row r="169" customFormat="false" ht="15.75" hidden="false" customHeight="false" outlineLevel="0" collapsed="false">
      <c r="A169" s="24" t="n">
        <f aca="false">A168+1</f>
        <v>167</v>
      </c>
      <c r="B169" s="738"/>
      <c r="C169" s="738"/>
      <c r="D169" s="738"/>
      <c r="E169" s="738"/>
      <c r="F169" s="738"/>
      <c r="G169" s="739"/>
      <c r="H169" s="740"/>
      <c r="I169" s="245"/>
      <c r="J169" s="738"/>
      <c r="K169" s="727" t="str">
        <f aca="false" t="array" ref="K169:K169">IF(ISNA(INDEX(Pokedex!K$2:K$610,MATCH($C169,Pokedex!$B$2:$B$610,0))),"",INDEX(Pokedex!K$2:K$610,MATCH($C169,Pokedex!$B$2:$B$610,0)))</f>
        <v/>
      </c>
      <c r="L169" s="48" t="n">
        <f aca="false">L168+1</f>
        <v>167</v>
      </c>
    </row>
    <row r="170" customFormat="false" ht="15.75" hidden="false" customHeight="false" outlineLevel="0" collapsed="false">
      <c r="A170" s="24" t="n">
        <f aca="false">A169+1</f>
        <v>168</v>
      </c>
      <c r="B170" s="738"/>
      <c r="C170" s="738"/>
      <c r="D170" s="738"/>
      <c r="E170" s="738"/>
      <c r="F170" s="738"/>
      <c r="G170" s="739"/>
      <c r="H170" s="740"/>
      <c r="I170" s="245"/>
      <c r="J170" s="738"/>
      <c r="K170" s="727" t="str">
        <f aca="false" t="array" ref="K170:K170">IF(ISNA(INDEX(Pokedex!K$2:K$610,MATCH($C170,Pokedex!$B$2:$B$610,0))),"",INDEX(Pokedex!K$2:K$610,MATCH($C170,Pokedex!$B$2:$B$610,0)))</f>
        <v/>
      </c>
      <c r="L170" s="48" t="n">
        <f aca="false">L169+1</f>
        <v>168</v>
      </c>
      <c r="M170" s="400"/>
    </row>
    <row r="171" customFormat="false" ht="15.75" hidden="false" customHeight="false" outlineLevel="0" collapsed="false">
      <c r="A171" s="24" t="n">
        <f aca="false">A170+1</f>
        <v>169</v>
      </c>
      <c r="B171" s="738"/>
      <c r="C171" s="738"/>
      <c r="D171" s="738"/>
      <c r="E171" s="738"/>
      <c r="F171" s="738"/>
      <c r="G171" s="739"/>
      <c r="H171" s="740"/>
      <c r="I171" s="245"/>
      <c r="J171" s="738"/>
      <c r="K171" s="727" t="str">
        <f aca="false" t="array" ref="K171:K171">IF(ISNA(INDEX(Pokedex!K$2:K$610,MATCH($C171,Pokedex!$B$2:$B$610,0))),"",INDEX(Pokedex!K$2:K$610,MATCH($C171,Pokedex!$B$2:$B$610,0)))</f>
        <v/>
      </c>
      <c r="L171" s="48" t="n">
        <f aca="false">L170+1</f>
        <v>169</v>
      </c>
      <c r="M171" s="400"/>
    </row>
    <row r="172" customFormat="false" ht="15.75" hidden="false" customHeight="false" outlineLevel="0" collapsed="false">
      <c r="A172" s="24" t="n">
        <f aca="false">A171+1</f>
        <v>170</v>
      </c>
      <c r="B172" s="738"/>
      <c r="C172" s="738"/>
      <c r="D172" s="738"/>
      <c r="E172" s="738"/>
      <c r="F172" s="738"/>
      <c r="G172" s="739"/>
      <c r="H172" s="740"/>
      <c r="I172" s="245"/>
      <c r="J172" s="738"/>
      <c r="K172" s="727" t="str">
        <f aca="false" t="array" ref="K172:K172">IF(ISNA(INDEX(Pokedex!K$2:K$610,MATCH($C172,Pokedex!$B$2:$B$610,0))),"",INDEX(Pokedex!K$2:K$610,MATCH($C172,Pokedex!$B$2:$B$610,0)))</f>
        <v/>
      </c>
      <c r="L172" s="48" t="n">
        <f aca="false">L171+1</f>
        <v>170</v>
      </c>
      <c r="M172" s="400"/>
    </row>
    <row r="173" customFormat="false" ht="15.75" hidden="false" customHeight="false" outlineLevel="0" collapsed="false">
      <c r="A173" s="24" t="n">
        <f aca="false">A172+1</f>
        <v>171</v>
      </c>
      <c r="B173" s="738"/>
      <c r="C173" s="738"/>
      <c r="D173" s="738"/>
      <c r="E173" s="738"/>
      <c r="F173" s="738"/>
      <c r="G173" s="739"/>
      <c r="H173" s="740"/>
      <c r="I173" s="245"/>
      <c r="J173" s="738"/>
      <c r="K173" s="727" t="str">
        <f aca="false" t="array" ref="K173:K173">IF(ISNA(INDEX(Pokedex!K$2:K$610,MATCH($C173,Pokedex!$B$2:$B$610,0))),"",INDEX(Pokedex!K$2:K$610,MATCH($C173,Pokedex!$B$2:$B$610,0)))</f>
        <v/>
      </c>
      <c r="L173" s="48" t="n">
        <f aca="false">L172+1</f>
        <v>171</v>
      </c>
      <c r="M173" s="400"/>
    </row>
    <row r="174" customFormat="false" ht="15.75" hidden="false" customHeight="false" outlineLevel="0" collapsed="false">
      <c r="A174" s="24" t="n">
        <f aca="false">A173+1</f>
        <v>172</v>
      </c>
      <c r="B174" s="738"/>
      <c r="C174" s="738"/>
      <c r="D174" s="738"/>
      <c r="E174" s="738"/>
      <c r="F174" s="738"/>
      <c r="G174" s="739"/>
      <c r="H174" s="740"/>
      <c r="I174" s="245"/>
      <c r="J174" s="738"/>
      <c r="K174" s="727" t="str">
        <f aca="false" t="array" ref="K174:K174">IF(ISNA(INDEX(Pokedex!K$2:K$610,MATCH($C174,Pokedex!$B$2:$B$610,0))),"",INDEX(Pokedex!K$2:K$610,MATCH($C174,Pokedex!$B$2:$B$610,0)))</f>
        <v/>
      </c>
      <c r="L174" s="48" t="n">
        <f aca="false">L173+1</f>
        <v>172</v>
      </c>
      <c r="M174" s="400"/>
    </row>
    <row r="175" customFormat="false" ht="15.75" hidden="false" customHeight="false" outlineLevel="0" collapsed="false">
      <c r="A175" s="24" t="n">
        <f aca="false">A174+1</f>
        <v>173</v>
      </c>
      <c r="B175" s="738"/>
      <c r="C175" s="738"/>
      <c r="D175" s="738"/>
      <c r="E175" s="738"/>
      <c r="F175" s="738"/>
      <c r="G175" s="739"/>
      <c r="H175" s="740"/>
      <c r="I175" s="245"/>
      <c r="J175" s="738"/>
      <c r="K175" s="727" t="str">
        <f aca="false" t="array" ref="K175:K175">IF(ISNA(INDEX(Pokedex!K$2:K$610,MATCH($C175,Pokedex!$B$2:$B$610,0))),"",INDEX(Pokedex!K$2:K$610,MATCH($C175,Pokedex!$B$2:$B$610,0)))</f>
        <v/>
      </c>
      <c r="L175" s="48" t="n">
        <f aca="false">L174+1</f>
        <v>173</v>
      </c>
      <c r="M175" s="400"/>
    </row>
    <row r="176" customFormat="false" ht="15.75" hidden="false" customHeight="false" outlineLevel="0" collapsed="false">
      <c r="A176" s="24" t="n">
        <f aca="false">A175+1</f>
        <v>174</v>
      </c>
      <c r="B176" s="738"/>
      <c r="C176" s="738"/>
      <c r="D176" s="738"/>
      <c r="E176" s="738"/>
      <c r="F176" s="738"/>
      <c r="G176" s="739"/>
      <c r="H176" s="740"/>
      <c r="I176" s="245"/>
      <c r="J176" s="738"/>
      <c r="K176" s="727" t="str">
        <f aca="false" t="array" ref="K176:K176">IF(ISNA(INDEX(Pokedex!K$2:K$610,MATCH($C176,Pokedex!$B$2:$B$610,0))),"",INDEX(Pokedex!K$2:K$610,MATCH($C176,Pokedex!$B$2:$B$610,0)))</f>
        <v/>
      </c>
      <c r="L176" s="48" t="n">
        <f aca="false">L175+1</f>
        <v>174</v>
      </c>
      <c r="M176" s="400"/>
    </row>
    <row r="177" customFormat="false" ht="15.75" hidden="false" customHeight="false" outlineLevel="0" collapsed="false">
      <c r="A177" s="24" t="n">
        <f aca="false">A176+1</f>
        <v>175</v>
      </c>
      <c r="B177" s="738"/>
      <c r="C177" s="738"/>
      <c r="D177" s="738"/>
      <c r="E177" s="738"/>
      <c r="F177" s="738"/>
      <c r="G177" s="739"/>
      <c r="H177" s="740"/>
      <c r="I177" s="245"/>
      <c r="J177" s="738"/>
      <c r="K177" s="727" t="str">
        <f aca="false" t="array" ref="K177:K177">IF(ISNA(INDEX(Pokedex!K$2:K$610,MATCH($C177,Pokedex!$B$2:$B$610,0))),"",INDEX(Pokedex!K$2:K$610,MATCH($C177,Pokedex!$B$2:$B$610,0)))</f>
        <v/>
      </c>
      <c r="L177" s="48" t="n">
        <f aca="false">L176+1</f>
        <v>175</v>
      </c>
      <c r="M177" s="400"/>
    </row>
    <row r="178" customFormat="false" ht="15.75" hidden="false" customHeight="false" outlineLevel="0" collapsed="false">
      <c r="A178" s="24" t="n">
        <f aca="false">A177+1</f>
        <v>176</v>
      </c>
      <c r="B178" s="738"/>
      <c r="C178" s="738"/>
      <c r="D178" s="738"/>
      <c r="E178" s="738"/>
      <c r="F178" s="738"/>
      <c r="G178" s="739"/>
      <c r="H178" s="740"/>
      <c r="I178" s="245"/>
      <c r="J178" s="738"/>
      <c r="K178" s="727" t="str">
        <f aca="false" t="array" ref="K178:K178">IF(ISNA(INDEX(Pokedex!K$2:K$610,MATCH($C178,Pokedex!$B$2:$B$610,0))),"",INDEX(Pokedex!K$2:K$610,MATCH($C178,Pokedex!$B$2:$B$610,0)))</f>
        <v/>
      </c>
      <c r="L178" s="48" t="n">
        <f aca="false">L177+1</f>
        <v>176</v>
      </c>
      <c r="M178" s="400"/>
    </row>
    <row r="179" customFormat="false" ht="15.75" hidden="false" customHeight="false" outlineLevel="0" collapsed="false">
      <c r="A179" s="24" t="n">
        <f aca="false">A178+1</f>
        <v>177</v>
      </c>
      <c r="B179" s="738"/>
      <c r="C179" s="738"/>
      <c r="D179" s="738"/>
      <c r="E179" s="738"/>
      <c r="F179" s="738"/>
      <c r="G179" s="739"/>
      <c r="H179" s="740"/>
      <c r="I179" s="245"/>
      <c r="J179" s="738"/>
      <c r="K179" s="727" t="str">
        <f aca="false" t="array" ref="K179:K179">IF(ISNA(INDEX(Pokedex!K$2:K$610,MATCH($C179,Pokedex!$B$2:$B$610,0))),"",INDEX(Pokedex!K$2:K$610,MATCH($C179,Pokedex!$B$2:$B$610,0)))</f>
        <v/>
      </c>
      <c r="L179" s="48" t="n">
        <f aca="false">L178+1</f>
        <v>177</v>
      </c>
      <c r="M179" s="400"/>
    </row>
    <row r="180" customFormat="false" ht="15.75" hidden="false" customHeight="false" outlineLevel="0" collapsed="false">
      <c r="A180" s="24" t="n">
        <f aca="false">A179+1</f>
        <v>178</v>
      </c>
      <c r="B180" s="738"/>
      <c r="C180" s="738"/>
      <c r="D180" s="738"/>
      <c r="E180" s="738"/>
      <c r="F180" s="738"/>
      <c r="G180" s="739"/>
      <c r="H180" s="740"/>
      <c r="I180" s="245"/>
      <c r="J180" s="738"/>
      <c r="K180" s="727" t="str">
        <f aca="false" t="array" ref="K180:K180">IF(ISNA(INDEX(Pokedex!K$2:K$610,MATCH($C180,Pokedex!$B$2:$B$610,0))),"",INDEX(Pokedex!K$2:K$610,MATCH($C180,Pokedex!$B$2:$B$610,0)))</f>
        <v/>
      </c>
      <c r="L180" s="48" t="n">
        <f aca="false">L179+1</f>
        <v>178</v>
      </c>
      <c r="M180" s="400"/>
    </row>
    <row r="181" customFormat="false" ht="15.75" hidden="false" customHeight="false" outlineLevel="0" collapsed="false">
      <c r="A181" s="24" t="n">
        <f aca="false">A180+1</f>
        <v>179</v>
      </c>
      <c r="B181" s="738"/>
      <c r="C181" s="738"/>
      <c r="D181" s="738"/>
      <c r="E181" s="738"/>
      <c r="F181" s="738"/>
      <c r="G181" s="739"/>
      <c r="H181" s="740"/>
      <c r="I181" s="245"/>
      <c r="J181" s="738"/>
      <c r="K181" s="727" t="str">
        <f aca="false" t="array" ref="K181:K181">IF(ISNA(INDEX(Pokedex!K$2:K$610,MATCH($C181,Pokedex!$B$2:$B$610,0))),"",INDEX(Pokedex!K$2:K$610,MATCH($C181,Pokedex!$B$2:$B$610,0)))</f>
        <v/>
      </c>
      <c r="L181" s="48" t="n">
        <f aca="false">L180+1</f>
        <v>179</v>
      </c>
      <c r="M181" s="400"/>
    </row>
    <row r="182" customFormat="false" ht="15.75" hidden="false" customHeight="false" outlineLevel="0" collapsed="false">
      <c r="A182" s="24" t="n">
        <f aca="false">A181+1</f>
        <v>180</v>
      </c>
      <c r="B182" s="738"/>
      <c r="C182" s="738"/>
      <c r="D182" s="738"/>
      <c r="E182" s="738"/>
      <c r="F182" s="738"/>
      <c r="G182" s="739"/>
      <c r="H182" s="740"/>
      <c r="I182" s="245"/>
      <c r="J182" s="738"/>
      <c r="K182" s="727" t="str">
        <f aca="false" t="array" ref="K182:K182">IF(ISNA(INDEX(Pokedex!K$2:K$610,MATCH($C182,Pokedex!$B$2:$B$610,0))),"",INDEX(Pokedex!K$2:K$610,MATCH($C182,Pokedex!$B$2:$B$610,0)))</f>
        <v/>
      </c>
      <c r="L182" s="48" t="n">
        <f aca="false">L181+1</f>
        <v>180</v>
      </c>
      <c r="M182" s="400"/>
    </row>
    <row r="183" customFormat="false" ht="15.75" hidden="false" customHeight="false" outlineLevel="0" collapsed="false">
      <c r="A183" s="24" t="n">
        <f aca="false">A182+1</f>
        <v>181</v>
      </c>
      <c r="B183" s="738"/>
      <c r="C183" s="738"/>
      <c r="D183" s="738"/>
      <c r="E183" s="738"/>
      <c r="F183" s="738"/>
      <c r="G183" s="739"/>
      <c r="H183" s="740"/>
      <c r="I183" s="245"/>
      <c r="J183" s="738"/>
      <c r="K183" s="727" t="str">
        <f aca="false" t="array" ref="K183:K183">IF(ISNA(INDEX(Pokedex!K$2:K$610,MATCH($C183,Pokedex!$B$2:$B$610,0))),"",INDEX(Pokedex!K$2:K$610,MATCH($C183,Pokedex!$B$2:$B$610,0)))</f>
        <v/>
      </c>
      <c r="L183" s="48" t="n">
        <f aca="false">L182+1</f>
        <v>181</v>
      </c>
      <c r="M183" s="400"/>
    </row>
    <row r="184" customFormat="false" ht="15.75" hidden="false" customHeight="false" outlineLevel="0" collapsed="false">
      <c r="A184" s="24" t="n">
        <f aca="false">A183+1</f>
        <v>182</v>
      </c>
      <c r="B184" s="738"/>
      <c r="C184" s="738"/>
      <c r="D184" s="738"/>
      <c r="E184" s="738"/>
      <c r="F184" s="738"/>
      <c r="G184" s="739"/>
      <c r="H184" s="740"/>
      <c r="I184" s="245"/>
      <c r="J184" s="738"/>
      <c r="K184" s="727" t="str">
        <f aca="false" t="array" ref="K184:K184">IF(ISNA(INDEX(Pokedex!K$2:K$610,MATCH($C184,Pokedex!$B$2:$B$610,0))),"",INDEX(Pokedex!K$2:K$610,MATCH($C184,Pokedex!$B$2:$B$610,0)))</f>
        <v/>
      </c>
      <c r="L184" s="48" t="n">
        <f aca="false">L183+1</f>
        <v>182</v>
      </c>
      <c r="M184" s="400"/>
    </row>
    <row r="185" customFormat="false" ht="15.75" hidden="false" customHeight="false" outlineLevel="0" collapsed="false">
      <c r="A185" s="24" t="n">
        <f aca="false">A184+1</f>
        <v>183</v>
      </c>
      <c r="B185" s="738"/>
      <c r="C185" s="738"/>
      <c r="D185" s="738"/>
      <c r="E185" s="738"/>
      <c r="F185" s="738"/>
      <c r="G185" s="739"/>
      <c r="H185" s="740"/>
      <c r="I185" s="245"/>
      <c r="J185" s="738"/>
      <c r="K185" s="727" t="str">
        <f aca="false" t="array" ref="K185:K185">IF(ISNA(INDEX(Pokedex!K$2:K$610,MATCH($C185,Pokedex!$B$2:$B$610,0))),"",INDEX(Pokedex!K$2:K$610,MATCH($C185,Pokedex!$B$2:$B$610,0)))</f>
        <v/>
      </c>
      <c r="L185" s="48" t="n">
        <f aca="false">L184+1</f>
        <v>183</v>
      </c>
      <c r="M185" s="400"/>
    </row>
    <row r="186" customFormat="false" ht="15.75" hidden="false" customHeight="false" outlineLevel="0" collapsed="false">
      <c r="A186" s="24" t="n">
        <f aca="false">A185+1</f>
        <v>184</v>
      </c>
      <c r="B186" s="738"/>
      <c r="C186" s="738"/>
      <c r="D186" s="738"/>
      <c r="E186" s="738"/>
      <c r="F186" s="738"/>
      <c r="G186" s="739"/>
      <c r="H186" s="740"/>
      <c r="I186" s="245"/>
      <c r="J186" s="738"/>
      <c r="K186" s="727" t="str">
        <f aca="false" t="array" ref="K186:K186">IF(ISNA(INDEX(Pokedex!K$2:K$610,MATCH($C186,Pokedex!$B$2:$B$610,0))),"",INDEX(Pokedex!K$2:K$610,MATCH($C186,Pokedex!$B$2:$B$610,0)))</f>
        <v/>
      </c>
      <c r="L186" s="48" t="n">
        <f aca="false">L185+1</f>
        <v>184</v>
      </c>
      <c r="M186" s="400"/>
    </row>
    <row r="187" customFormat="false" ht="15.75" hidden="false" customHeight="false" outlineLevel="0" collapsed="false">
      <c r="A187" s="24" t="n">
        <f aca="false">A186+1</f>
        <v>185</v>
      </c>
      <c r="B187" s="738"/>
      <c r="C187" s="738"/>
      <c r="D187" s="738"/>
      <c r="E187" s="738"/>
      <c r="F187" s="738"/>
      <c r="G187" s="739"/>
      <c r="H187" s="740"/>
      <c r="I187" s="245"/>
      <c r="J187" s="738"/>
      <c r="K187" s="727" t="str">
        <f aca="false" t="array" ref="K187:K187">IF(ISNA(INDEX(Pokedex!K$2:K$610,MATCH($C187,Pokedex!$B$2:$B$610,0))),"",INDEX(Pokedex!K$2:K$610,MATCH($C187,Pokedex!$B$2:$B$610,0)))</f>
        <v/>
      </c>
      <c r="L187" s="48" t="n">
        <f aca="false">L186+1</f>
        <v>185</v>
      </c>
      <c r="M187" s="400"/>
    </row>
    <row r="188" customFormat="false" ht="15.75" hidden="false" customHeight="false" outlineLevel="0" collapsed="false">
      <c r="A188" s="24" t="n">
        <f aca="false">A187+1</f>
        <v>186</v>
      </c>
      <c r="B188" s="738"/>
      <c r="C188" s="738"/>
      <c r="D188" s="738"/>
      <c r="E188" s="738"/>
      <c r="F188" s="738"/>
      <c r="G188" s="739"/>
      <c r="H188" s="740"/>
      <c r="I188" s="245"/>
      <c r="J188" s="738"/>
      <c r="K188" s="727" t="str">
        <f aca="false" t="array" ref="K188:K188">IF(ISNA(INDEX(Pokedex!K$2:K$610,MATCH($C188,Pokedex!$B$2:$B$610,0))),"",INDEX(Pokedex!K$2:K$610,MATCH($C188,Pokedex!$B$2:$B$610,0)))</f>
        <v/>
      </c>
      <c r="L188" s="48" t="n">
        <f aca="false">L187+1</f>
        <v>186</v>
      </c>
      <c r="M188" s="400"/>
    </row>
    <row r="189" customFormat="false" ht="15.75" hidden="false" customHeight="false" outlineLevel="0" collapsed="false">
      <c r="A189" s="24" t="n">
        <f aca="false">A188+1</f>
        <v>187</v>
      </c>
      <c r="B189" s="738"/>
      <c r="C189" s="738"/>
      <c r="D189" s="738"/>
      <c r="E189" s="738"/>
      <c r="F189" s="738"/>
      <c r="G189" s="739"/>
      <c r="H189" s="740"/>
      <c r="I189" s="245"/>
      <c r="J189" s="738"/>
      <c r="K189" s="727" t="str">
        <f aca="false" t="array" ref="K189:K189">IF(ISNA(INDEX(Pokedex!K$2:K$610,MATCH($C189,Pokedex!$B$2:$B$610,0))),"",INDEX(Pokedex!K$2:K$610,MATCH($C189,Pokedex!$B$2:$B$610,0)))</f>
        <v/>
      </c>
      <c r="L189" s="48" t="n">
        <f aca="false">L188+1</f>
        <v>187</v>
      </c>
      <c r="M189" s="400"/>
    </row>
    <row r="190" customFormat="false" ht="15.75" hidden="false" customHeight="false" outlineLevel="0" collapsed="false">
      <c r="A190" s="24" t="n">
        <f aca="false">A189+1</f>
        <v>188</v>
      </c>
      <c r="B190" s="738"/>
      <c r="C190" s="738"/>
      <c r="D190" s="738"/>
      <c r="E190" s="738"/>
      <c r="F190" s="738"/>
      <c r="G190" s="739"/>
      <c r="H190" s="740"/>
      <c r="I190" s="245"/>
      <c r="J190" s="738"/>
      <c r="K190" s="727" t="str">
        <f aca="false" t="array" ref="K190:K190">IF(ISNA(INDEX(Pokedex!K$2:K$610,MATCH($C190,Pokedex!$B$2:$B$610,0))),"",INDEX(Pokedex!K$2:K$610,MATCH($C190,Pokedex!$B$2:$B$610,0)))</f>
        <v/>
      </c>
      <c r="L190" s="48" t="n">
        <f aca="false">L189+1</f>
        <v>188</v>
      </c>
      <c r="M190" s="400"/>
    </row>
    <row r="191" customFormat="false" ht="15.75" hidden="false" customHeight="false" outlineLevel="0" collapsed="false">
      <c r="A191" s="24" t="n">
        <f aca="false">A190+1</f>
        <v>189</v>
      </c>
      <c r="B191" s="738"/>
      <c r="C191" s="738"/>
      <c r="D191" s="738"/>
      <c r="E191" s="738"/>
      <c r="F191" s="738"/>
      <c r="G191" s="739"/>
      <c r="H191" s="740"/>
      <c r="I191" s="245"/>
      <c r="J191" s="738"/>
      <c r="K191" s="727" t="str">
        <f aca="false" t="array" ref="K191:K191">IF(ISNA(INDEX(Pokedex!K$2:K$610,MATCH($C191,Pokedex!$B$2:$B$610,0))),"",INDEX(Pokedex!K$2:K$610,MATCH($C191,Pokedex!$B$2:$B$610,0)))</f>
        <v/>
      </c>
      <c r="L191" s="48" t="n">
        <f aca="false">L190+1</f>
        <v>189</v>
      </c>
    </row>
    <row r="192" customFormat="false" ht="15.75" hidden="false" customHeight="false" outlineLevel="0" collapsed="false">
      <c r="A192" s="24" t="n">
        <f aca="false">A191+1</f>
        <v>190</v>
      </c>
      <c r="B192" s="738"/>
      <c r="C192" s="738"/>
      <c r="D192" s="738"/>
      <c r="E192" s="738"/>
      <c r="F192" s="738"/>
      <c r="G192" s="739"/>
      <c r="H192" s="740"/>
      <c r="I192" s="245"/>
      <c r="J192" s="738"/>
      <c r="K192" s="727" t="str">
        <f aca="false" t="array" ref="K192:K192">IF(ISNA(INDEX(Pokedex!K$2:K$610,MATCH($C192,Pokedex!$B$2:$B$610,0))),"",INDEX(Pokedex!K$2:K$610,MATCH($C192,Pokedex!$B$2:$B$610,0)))</f>
        <v/>
      </c>
      <c r="L192" s="48" t="n">
        <f aca="false">L191+1</f>
        <v>190</v>
      </c>
    </row>
    <row r="193" customFormat="false" ht="15.75" hidden="false" customHeight="false" outlineLevel="0" collapsed="false">
      <c r="A193" s="24" t="n">
        <f aca="false">A192+1</f>
        <v>191</v>
      </c>
      <c r="B193" s="738"/>
      <c r="C193" s="738"/>
      <c r="D193" s="738"/>
      <c r="E193" s="738"/>
      <c r="F193" s="738"/>
      <c r="G193" s="739"/>
      <c r="H193" s="740"/>
      <c r="I193" s="245"/>
      <c r="J193" s="738"/>
      <c r="K193" s="727" t="str">
        <f aca="false" t="array" ref="K193:K193">IF(ISNA(INDEX(Pokedex!K$2:K$610,MATCH($C193,Pokedex!$B$2:$B$610,0))),"",INDEX(Pokedex!K$2:K$610,MATCH($C193,Pokedex!$B$2:$B$610,0)))</f>
        <v/>
      </c>
      <c r="L193" s="48" t="n">
        <f aca="false">L192+1</f>
        <v>191</v>
      </c>
      <c r="M193" s="400"/>
    </row>
    <row r="194" customFormat="false" ht="15.75" hidden="false" customHeight="false" outlineLevel="0" collapsed="false">
      <c r="A194" s="24" t="n">
        <f aca="false">A193+1</f>
        <v>192</v>
      </c>
      <c r="B194" s="738"/>
      <c r="C194" s="738"/>
      <c r="D194" s="738"/>
      <c r="E194" s="738"/>
      <c r="F194" s="738"/>
      <c r="G194" s="739"/>
      <c r="H194" s="740"/>
      <c r="I194" s="245"/>
      <c r="J194" s="738"/>
      <c r="K194" s="727" t="str">
        <f aca="false" t="array" ref="K194:K194">IF(ISNA(INDEX(Pokedex!K$2:K$610,MATCH($C194,Pokedex!$B$2:$B$610,0))),"",INDEX(Pokedex!K$2:K$610,MATCH($C194,Pokedex!$B$2:$B$610,0)))</f>
        <v/>
      </c>
      <c r="L194" s="48" t="n">
        <f aca="false">L193+1</f>
        <v>192</v>
      </c>
      <c r="M194" s="400"/>
    </row>
    <row r="195" customFormat="false" ht="15.75" hidden="false" customHeight="false" outlineLevel="0" collapsed="false">
      <c r="A195" s="24" t="n">
        <f aca="false">A194+1</f>
        <v>193</v>
      </c>
      <c r="B195" s="738"/>
      <c r="C195" s="738"/>
      <c r="D195" s="738"/>
      <c r="E195" s="738"/>
      <c r="F195" s="738"/>
      <c r="G195" s="739"/>
      <c r="H195" s="740"/>
      <c r="I195" s="245"/>
      <c r="J195" s="738"/>
      <c r="K195" s="727" t="str">
        <f aca="false" t="array" ref="K195:K195">IF(ISNA(INDEX(Pokedex!K$2:K$610,MATCH($C195,Pokedex!$B$2:$B$610,0))),"",INDEX(Pokedex!K$2:K$610,MATCH($C195,Pokedex!$B$2:$B$610,0)))</f>
        <v/>
      </c>
      <c r="L195" s="48" t="n">
        <f aca="false">L194+1</f>
        <v>193</v>
      </c>
      <c r="M195" s="400"/>
    </row>
    <row r="196" customFormat="false" ht="15.75" hidden="false" customHeight="false" outlineLevel="0" collapsed="false">
      <c r="A196" s="24" t="n">
        <f aca="false">A195+1</f>
        <v>194</v>
      </c>
      <c r="B196" s="738"/>
      <c r="C196" s="738"/>
      <c r="D196" s="738"/>
      <c r="E196" s="738"/>
      <c r="F196" s="738"/>
      <c r="G196" s="739"/>
      <c r="H196" s="740"/>
      <c r="I196" s="245"/>
      <c r="J196" s="738"/>
      <c r="K196" s="727" t="str">
        <f aca="false" t="array" ref="K196:K196">IF(ISNA(INDEX(Pokedex!K$2:K$610,MATCH($C196,Pokedex!$B$2:$B$610,0))),"",INDEX(Pokedex!K$2:K$610,MATCH($C196,Pokedex!$B$2:$B$610,0)))</f>
        <v/>
      </c>
      <c r="L196" s="48" t="n">
        <f aca="false">L195+1</f>
        <v>194</v>
      </c>
      <c r="M196" s="400"/>
    </row>
    <row r="197" customFormat="false" ht="15.75" hidden="false" customHeight="false" outlineLevel="0" collapsed="false">
      <c r="A197" s="24" t="n">
        <f aca="false">A196+1</f>
        <v>195</v>
      </c>
      <c r="B197" s="738"/>
      <c r="C197" s="738"/>
      <c r="D197" s="738"/>
      <c r="E197" s="738"/>
      <c r="F197" s="738"/>
      <c r="G197" s="739"/>
      <c r="H197" s="740"/>
      <c r="I197" s="245"/>
      <c r="J197" s="738"/>
      <c r="K197" s="727" t="str">
        <f aca="false" t="array" ref="K197:K197">IF(ISNA(INDEX(Pokedex!K$2:K$610,MATCH($C197,Pokedex!$B$2:$B$610,0))),"",INDEX(Pokedex!K$2:K$610,MATCH($C197,Pokedex!$B$2:$B$610,0)))</f>
        <v/>
      </c>
      <c r="L197" s="48" t="n">
        <f aca="false">L196+1</f>
        <v>195</v>
      </c>
      <c r="M197" s="400"/>
    </row>
    <row r="198" customFormat="false" ht="15.75" hidden="false" customHeight="false" outlineLevel="0" collapsed="false">
      <c r="A198" s="24" t="n">
        <f aca="false">A197+1</f>
        <v>196</v>
      </c>
      <c r="B198" s="738"/>
      <c r="C198" s="738"/>
      <c r="D198" s="738"/>
      <c r="E198" s="738"/>
      <c r="F198" s="738"/>
      <c r="G198" s="739"/>
      <c r="H198" s="740"/>
      <c r="I198" s="245"/>
      <c r="J198" s="738"/>
      <c r="K198" s="727" t="str">
        <f aca="false" t="array" ref="K198:K198">IF(ISNA(INDEX(Pokedex!K$2:K$610,MATCH($C198,Pokedex!$B$2:$B$610,0))),"",INDEX(Pokedex!K$2:K$610,MATCH($C198,Pokedex!$B$2:$B$610,0)))</f>
        <v/>
      </c>
      <c r="L198" s="48" t="n">
        <f aca="false">L197+1</f>
        <v>196</v>
      </c>
      <c r="M198" s="400"/>
    </row>
    <row r="199" customFormat="false" ht="15.75" hidden="false" customHeight="false" outlineLevel="0" collapsed="false">
      <c r="A199" s="24" t="n">
        <f aca="false">A198+1</f>
        <v>197</v>
      </c>
      <c r="B199" s="738"/>
      <c r="C199" s="738"/>
      <c r="D199" s="738"/>
      <c r="E199" s="738"/>
      <c r="F199" s="738"/>
      <c r="G199" s="739"/>
      <c r="H199" s="740"/>
      <c r="I199" s="245"/>
      <c r="J199" s="738"/>
      <c r="K199" s="727" t="str">
        <f aca="false" t="array" ref="K199:K199">IF(ISNA(INDEX(Pokedex!K$2:K$610,MATCH($C199,Pokedex!$B$2:$B$610,0))),"",INDEX(Pokedex!K$2:K$610,MATCH($C199,Pokedex!$B$2:$B$610,0)))</f>
        <v/>
      </c>
      <c r="L199" s="48" t="n">
        <f aca="false">L198+1</f>
        <v>197</v>
      </c>
      <c r="M199" s="400"/>
    </row>
    <row r="200" customFormat="false" ht="15.75" hidden="false" customHeight="false" outlineLevel="0" collapsed="false">
      <c r="A200" s="24" t="n">
        <f aca="false">A199+1</f>
        <v>198</v>
      </c>
      <c r="B200" s="738"/>
      <c r="C200" s="738"/>
      <c r="D200" s="738"/>
      <c r="E200" s="738"/>
      <c r="F200" s="738"/>
      <c r="G200" s="739"/>
      <c r="H200" s="740"/>
      <c r="I200" s="245"/>
      <c r="J200" s="738"/>
      <c r="K200" s="727" t="str">
        <f aca="false" t="array" ref="K200:K200">IF(ISNA(INDEX(Pokedex!K$2:K$610,MATCH($C200,Pokedex!$B$2:$B$610,0))),"",INDEX(Pokedex!K$2:K$610,MATCH($C200,Pokedex!$B$2:$B$610,0)))</f>
        <v/>
      </c>
      <c r="L200" s="48" t="n">
        <f aca="false">L199+1</f>
        <v>198</v>
      </c>
      <c r="M200" s="400"/>
    </row>
    <row r="201" customFormat="false" ht="15.75" hidden="false" customHeight="false" outlineLevel="0" collapsed="false">
      <c r="A201" s="24" t="n">
        <f aca="false">A200+1</f>
        <v>199</v>
      </c>
      <c r="B201" s="738"/>
      <c r="C201" s="738"/>
      <c r="D201" s="738"/>
      <c r="E201" s="738"/>
      <c r="F201" s="738"/>
      <c r="G201" s="739"/>
      <c r="H201" s="740"/>
      <c r="I201" s="245"/>
      <c r="J201" s="738"/>
      <c r="K201" s="727" t="str">
        <f aca="false" t="array" ref="K201:K201">IF(ISNA(INDEX(Pokedex!K$2:K$610,MATCH($C201,Pokedex!$B$2:$B$610,0))),"",INDEX(Pokedex!K$2:K$610,MATCH($C201,Pokedex!$B$2:$B$610,0)))</f>
        <v/>
      </c>
      <c r="L201" s="48" t="n">
        <f aca="false">L200+1</f>
        <v>199</v>
      </c>
      <c r="M201" s="400"/>
    </row>
    <row r="202" customFormat="false" ht="15.75" hidden="false" customHeight="false" outlineLevel="0" collapsed="false">
      <c r="A202" s="24" t="n">
        <f aca="false">A201+1</f>
        <v>200</v>
      </c>
      <c r="B202" s="738"/>
      <c r="C202" s="738"/>
      <c r="D202" s="738"/>
      <c r="E202" s="738"/>
      <c r="F202" s="738"/>
      <c r="G202" s="739"/>
      <c r="H202" s="740"/>
      <c r="I202" s="245"/>
      <c r="J202" s="738"/>
      <c r="K202" s="727" t="str">
        <f aca="false" t="array" ref="K202:K202">IF(ISNA(INDEX(Pokedex!K$2:K$610,MATCH($C202,Pokedex!$B$2:$B$610,0))),"",INDEX(Pokedex!K$2:K$610,MATCH($C202,Pokedex!$B$2:$B$610,0)))</f>
        <v/>
      </c>
      <c r="L202" s="48" t="n">
        <f aca="false">L201+1</f>
        <v>200</v>
      </c>
      <c r="M202" s="400"/>
    </row>
    <row r="203" customFormat="false" ht="15.75" hidden="false" customHeight="false" outlineLevel="0" collapsed="false">
      <c r="A203" s="24" t="n">
        <f aca="false">A202+1</f>
        <v>201</v>
      </c>
      <c r="B203" s="738"/>
      <c r="C203" s="738"/>
      <c r="D203" s="738"/>
      <c r="E203" s="738"/>
      <c r="F203" s="738"/>
      <c r="G203" s="739"/>
      <c r="H203" s="740"/>
      <c r="I203" s="245"/>
      <c r="J203" s="738"/>
      <c r="K203" s="727" t="str">
        <f aca="false" t="array" ref="K203:K203">IF(ISNA(INDEX(Pokedex!K$2:K$610,MATCH($C203,Pokedex!$B$2:$B$610,0))),"",INDEX(Pokedex!K$2:K$610,MATCH($C203,Pokedex!$B$2:$B$610,0)))</f>
        <v/>
      </c>
      <c r="L203" s="48" t="n">
        <f aca="false">L202+1</f>
        <v>201</v>
      </c>
      <c r="M203" s="400"/>
    </row>
    <row r="204" customFormat="false" ht="15.75" hidden="false" customHeight="false" outlineLevel="0" collapsed="false">
      <c r="A204" s="24" t="n">
        <f aca="false">A203+1</f>
        <v>202</v>
      </c>
      <c r="B204" s="738"/>
      <c r="C204" s="738"/>
      <c r="D204" s="738"/>
      <c r="E204" s="738"/>
      <c r="F204" s="738"/>
      <c r="G204" s="739"/>
      <c r="H204" s="740"/>
      <c r="I204" s="245"/>
      <c r="J204" s="738"/>
      <c r="K204" s="727" t="str">
        <f aca="false" t="array" ref="K204:K204">IF(ISNA(INDEX(Pokedex!K$2:K$610,MATCH($C204,Pokedex!$B$2:$B$610,0))),"",INDEX(Pokedex!K$2:K$610,MATCH($C204,Pokedex!$B$2:$B$610,0)))</f>
        <v/>
      </c>
      <c r="L204" s="48" t="n">
        <f aca="false">L203+1</f>
        <v>202</v>
      </c>
      <c r="M204" s="400"/>
    </row>
    <row r="205" customFormat="false" ht="15.75" hidden="false" customHeight="false" outlineLevel="0" collapsed="false">
      <c r="A205" s="24" t="n">
        <f aca="false">A204+1</f>
        <v>203</v>
      </c>
      <c r="B205" s="738"/>
      <c r="C205" s="738"/>
      <c r="D205" s="738"/>
      <c r="E205" s="738"/>
      <c r="F205" s="738"/>
      <c r="G205" s="739"/>
      <c r="H205" s="740"/>
      <c r="I205" s="245"/>
      <c r="J205" s="738"/>
      <c r="K205" s="727" t="str">
        <f aca="false" t="array" ref="K205:K205">IF(ISNA(INDEX(Pokedex!K$2:K$610,MATCH($C205,Pokedex!$B$2:$B$610,0))),"",INDEX(Pokedex!K$2:K$610,MATCH($C205,Pokedex!$B$2:$B$610,0)))</f>
        <v/>
      </c>
      <c r="L205" s="48" t="n">
        <f aca="false">L204+1</f>
        <v>203</v>
      </c>
      <c r="M205" s="400"/>
    </row>
    <row r="206" customFormat="false" ht="15.75" hidden="false" customHeight="false" outlineLevel="0" collapsed="false">
      <c r="A206" s="24" t="n">
        <f aca="false">A205+1</f>
        <v>204</v>
      </c>
      <c r="B206" s="738"/>
      <c r="C206" s="738"/>
      <c r="D206" s="738"/>
      <c r="E206" s="738"/>
      <c r="F206" s="738"/>
      <c r="G206" s="739"/>
      <c r="H206" s="740"/>
      <c r="I206" s="245"/>
      <c r="J206" s="738"/>
      <c r="K206" s="727" t="str">
        <f aca="false" t="array" ref="K206:K206">IF(ISNA(INDEX(Pokedex!K$2:K$610,MATCH($C206,Pokedex!$B$2:$B$610,0))),"",INDEX(Pokedex!K$2:K$610,MATCH($C206,Pokedex!$B$2:$B$610,0)))</f>
        <v/>
      </c>
      <c r="L206" s="48" t="n">
        <f aca="false">L205+1</f>
        <v>204</v>
      </c>
      <c r="M206" s="400"/>
    </row>
    <row r="207" customFormat="false" ht="15.75" hidden="false" customHeight="false" outlineLevel="0" collapsed="false">
      <c r="A207" s="24" t="n">
        <f aca="false">A206+1</f>
        <v>205</v>
      </c>
      <c r="B207" s="738"/>
      <c r="C207" s="738"/>
      <c r="D207" s="738"/>
      <c r="E207" s="738"/>
      <c r="F207" s="738"/>
      <c r="G207" s="739"/>
      <c r="H207" s="740"/>
      <c r="I207" s="245"/>
      <c r="J207" s="738"/>
      <c r="K207" s="727" t="str">
        <f aca="false" t="array" ref="K207:K207">IF(ISNA(INDEX(Pokedex!K$2:K$610,MATCH($C207,Pokedex!$B$2:$B$610,0))),"",INDEX(Pokedex!K$2:K$610,MATCH($C207,Pokedex!$B$2:$B$610,0)))</f>
        <v/>
      </c>
      <c r="L207" s="48" t="n">
        <f aca="false">L206+1</f>
        <v>205</v>
      </c>
      <c r="M207" s="400"/>
    </row>
    <row r="208" customFormat="false" ht="15.75" hidden="false" customHeight="false" outlineLevel="0" collapsed="false">
      <c r="A208" s="24" t="n">
        <f aca="false">A207+1</f>
        <v>206</v>
      </c>
      <c r="B208" s="738"/>
      <c r="C208" s="738"/>
      <c r="D208" s="738"/>
      <c r="E208" s="738"/>
      <c r="F208" s="738"/>
      <c r="G208" s="739"/>
      <c r="H208" s="740"/>
      <c r="I208" s="245"/>
      <c r="J208" s="738"/>
      <c r="K208" s="727" t="str">
        <f aca="false" t="array" ref="K208:K208">IF(ISNA(INDEX(Pokedex!K$2:K$610,MATCH($C208,Pokedex!$B$2:$B$610,0))),"",INDEX(Pokedex!K$2:K$610,MATCH($C208,Pokedex!$B$2:$B$610,0)))</f>
        <v/>
      </c>
      <c r="L208" s="48" t="n">
        <f aca="false">L207+1</f>
        <v>206</v>
      </c>
      <c r="M208" s="400"/>
    </row>
    <row r="209" customFormat="false" ht="15.75" hidden="false" customHeight="false" outlineLevel="0" collapsed="false">
      <c r="A209" s="24" t="n">
        <f aca="false">A208+1</f>
        <v>207</v>
      </c>
      <c r="B209" s="738"/>
      <c r="C209" s="738"/>
      <c r="D209" s="738"/>
      <c r="E209" s="738"/>
      <c r="F209" s="738"/>
      <c r="G209" s="739"/>
      <c r="H209" s="740"/>
      <c r="I209" s="245"/>
      <c r="J209" s="738"/>
      <c r="K209" s="727" t="str">
        <f aca="false" t="array" ref="K209:K209">IF(ISNA(INDEX(Pokedex!K$2:K$610,MATCH($C209,Pokedex!$B$2:$B$610,0))),"",INDEX(Pokedex!K$2:K$610,MATCH($C209,Pokedex!$B$2:$B$610,0)))</f>
        <v/>
      </c>
      <c r="L209" s="48" t="n">
        <f aca="false">L208+1</f>
        <v>207</v>
      </c>
    </row>
    <row r="210" customFormat="false" ht="15.75" hidden="false" customHeight="false" outlineLevel="0" collapsed="false">
      <c r="A210" s="24" t="n">
        <f aca="false">A209+1</f>
        <v>208</v>
      </c>
      <c r="B210" s="738"/>
      <c r="C210" s="738"/>
      <c r="D210" s="738"/>
      <c r="E210" s="738"/>
      <c r="F210" s="738"/>
      <c r="G210" s="739"/>
      <c r="H210" s="740"/>
      <c r="I210" s="245"/>
      <c r="J210" s="738"/>
      <c r="K210" s="727" t="str">
        <f aca="false" t="array" ref="K210:K210">IF(ISNA(INDEX(Pokedex!K$2:K$610,MATCH($C210,Pokedex!$B$2:$B$610,0))),"",INDEX(Pokedex!K$2:K$610,MATCH($C210,Pokedex!$B$2:$B$610,0)))</f>
        <v/>
      </c>
      <c r="L210" s="48" t="n">
        <f aca="false">L209+1</f>
        <v>208</v>
      </c>
      <c r="M210" s="400"/>
    </row>
    <row r="211" customFormat="false" ht="15.75" hidden="false" customHeight="false" outlineLevel="0" collapsed="false">
      <c r="A211" s="24" t="n">
        <f aca="false">A210+1</f>
        <v>209</v>
      </c>
      <c r="B211" s="738"/>
      <c r="C211" s="738"/>
      <c r="D211" s="738"/>
      <c r="E211" s="738"/>
      <c r="F211" s="738"/>
      <c r="G211" s="739"/>
      <c r="H211" s="740"/>
      <c r="I211" s="245"/>
      <c r="J211" s="738"/>
      <c r="K211" s="727" t="str">
        <f aca="false" t="array" ref="K211:K211">IF(ISNA(INDEX(Pokedex!K$2:K$610,MATCH($C211,Pokedex!$B$2:$B$610,0))),"",INDEX(Pokedex!K$2:K$610,MATCH($C211,Pokedex!$B$2:$B$610,0)))</f>
        <v/>
      </c>
      <c r="L211" s="48" t="n">
        <f aca="false">L210+1</f>
        <v>209</v>
      </c>
      <c r="M211" s="400"/>
    </row>
    <row r="212" customFormat="false" ht="15.75" hidden="false" customHeight="false" outlineLevel="0" collapsed="false">
      <c r="A212" s="24" t="n">
        <f aca="false">A211+1</f>
        <v>210</v>
      </c>
      <c r="B212" s="738"/>
      <c r="C212" s="738"/>
      <c r="D212" s="738"/>
      <c r="E212" s="738"/>
      <c r="F212" s="738"/>
      <c r="G212" s="739"/>
      <c r="H212" s="740"/>
      <c r="I212" s="245"/>
      <c r="J212" s="738"/>
      <c r="K212" s="727" t="str">
        <f aca="false" t="array" ref="K212:K212">IF(ISNA(INDEX(Pokedex!K$2:K$610,MATCH($C212,Pokedex!$B$2:$B$610,0))),"",INDEX(Pokedex!K$2:K$610,MATCH($C212,Pokedex!$B$2:$B$610,0)))</f>
        <v/>
      </c>
      <c r="L212" s="48" t="n">
        <f aca="false">L211+1</f>
        <v>210</v>
      </c>
      <c r="M212" s="400"/>
    </row>
    <row r="213" customFormat="false" ht="15.75" hidden="false" customHeight="false" outlineLevel="0" collapsed="false">
      <c r="A213" s="24" t="n">
        <f aca="false">A212+1</f>
        <v>211</v>
      </c>
      <c r="B213" s="738"/>
      <c r="C213" s="738"/>
      <c r="D213" s="738"/>
      <c r="E213" s="738"/>
      <c r="F213" s="738"/>
      <c r="G213" s="739"/>
      <c r="H213" s="740"/>
      <c r="I213" s="245"/>
      <c r="J213" s="738"/>
      <c r="K213" s="727" t="str">
        <f aca="false" t="array" ref="K213:K213">IF(ISNA(INDEX(Pokedex!K$2:K$610,MATCH($C213,Pokedex!$B$2:$B$610,0))),"",INDEX(Pokedex!K$2:K$610,MATCH($C213,Pokedex!$B$2:$B$610,0)))</f>
        <v/>
      </c>
      <c r="L213" s="48" t="n">
        <f aca="false">L212+1</f>
        <v>211</v>
      </c>
      <c r="M213" s="400"/>
    </row>
    <row r="214" customFormat="false" ht="15.75" hidden="false" customHeight="false" outlineLevel="0" collapsed="false">
      <c r="A214" s="24" t="n">
        <f aca="false">A213+1</f>
        <v>212</v>
      </c>
      <c r="B214" s="738"/>
      <c r="C214" s="738"/>
      <c r="D214" s="738"/>
      <c r="E214" s="738"/>
      <c r="F214" s="738"/>
      <c r="G214" s="739"/>
      <c r="H214" s="740"/>
      <c r="I214" s="245"/>
      <c r="J214" s="738"/>
      <c r="K214" s="727" t="str">
        <f aca="false" t="array" ref="K214:K214">IF(ISNA(INDEX(Pokedex!K$2:K$610,MATCH($C214,Pokedex!$B$2:$B$610,0))),"",INDEX(Pokedex!K$2:K$610,MATCH($C214,Pokedex!$B$2:$B$610,0)))</f>
        <v/>
      </c>
      <c r="L214" s="48" t="n">
        <f aca="false">L213+1</f>
        <v>212</v>
      </c>
      <c r="M214" s="400"/>
    </row>
    <row r="215" customFormat="false" ht="15.75" hidden="false" customHeight="false" outlineLevel="0" collapsed="false">
      <c r="A215" s="24" t="n">
        <f aca="false">A214+1</f>
        <v>213</v>
      </c>
      <c r="B215" s="738"/>
      <c r="C215" s="738"/>
      <c r="D215" s="738"/>
      <c r="E215" s="738"/>
      <c r="F215" s="738"/>
      <c r="G215" s="739"/>
      <c r="H215" s="740"/>
      <c r="I215" s="245"/>
      <c r="J215" s="738"/>
      <c r="K215" s="727" t="str">
        <f aca="false" t="array" ref="K215:K215">IF(ISNA(INDEX(Pokedex!K$2:K$610,MATCH($C215,Pokedex!$B$2:$B$610,0))),"",INDEX(Pokedex!K$2:K$610,MATCH($C215,Pokedex!$B$2:$B$610,0)))</f>
        <v/>
      </c>
      <c r="L215" s="48" t="n">
        <f aca="false">L214+1</f>
        <v>213</v>
      </c>
      <c r="M215" s="400"/>
    </row>
    <row r="216" customFormat="false" ht="15.75" hidden="false" customHeight="false" outlineLevel="0" collapsed="false">
      <c r="A216" s="24" t="n">
        <f aca="false">A215+1</f>
        <v>214</v>
      </c>
      <c r="B216" s="738"/>
      <c r="C216" s="738"/>
      <c r="D216" s="738"/>
      <c r="E216" s="738"/>
      <c r="F216" s="738"/>
      <c r="G216" s="739"/>
      <c r="H216" s="740"/>
      <c r="I216" s="245"/>
      <c r="J216" s="738"/>
      <c r="K216" s="727" t="str">
        <f aca="false" t="array" ref="K216:K216">IF(ISNA(INDEX(Pokedex!K$2:K$610,MATCH($C216,Pokedex!$B$2:$B$610,0))),"",INDEX(Pokedex!K$2:K$610,MATCH($C216,Pokedex!$B$2:$B$610,0)))</f>
        <v/>
      </c>
      <c r="L216" s="48" t="n">
        <f aca="false">L215+1</f>
        <v>214</v>
      </c>
      <c r="M216" s="400"/>
    </row>
    <row r="217" customFormat="false" ht="15.75" hidden="false" customHeight="false" outlineLevel="0" collapsed="false">
      <c r="A217" s="24" t="n">
        <f aca="false">A216+1</f>
        <v>215</v>
      </c>
      <c r="B217" s="738"/>
      <c r="C217" s="738"/>
      <c r="D217" s="738"/>
      <c r="E217" s="738"/>
      <c r="F217" s="738"/>
      <c r="G217" s="739"/>
      <c r="H217" s="740"/>
      <c r="I217" s="245"/>
      <c r="J217" s="738"/>
      <c r="K217" s="727" t="str">
        <f aca="false" t="array" ref="K217:K217">IF(ISNA(INDEX(Pokedex!K$2:K$610,MATCH($C217,Pokedex!$B$2:$B$610,0))),"",INDEX(Pokedex!K$2:K$610,MATCH($C217,Pokedex!$B$2:$B$610,0)))</f>
        <v/>
      </c>
      <c r="L217" s="48" t="n">
        <f aca="false">L216+1</f>
        <v>215</v>
      </c>
      <c r="M217" s="400"/>
    </row>
    <row r="218" customFormat="false" ht="15.75" hidden="false" customHeight="false" outlineLevel="0" collapsed="false">
      <c r="A218" s="24" t="n">
        <f aca="false">A217+1</f>
        <v>216</v>
      </c>
      <c r="B218" s="738"/>
      <c r="C218" s="738"/>
      <c r="D218" s="738"/>
      <c r="E218" s="738"/>
      <c r="F218" s="738"/>
      <c r="G218" s="739"/>
      <c r="H218" s="740"/>
      <c r="I218" s="245"/>
      <c r="J218" s="738"/>
      <c r="K218" s="727" t="str">
        <f aca="false" t="array" ref="K218:K218">IF(ISNA(INDEX(Pokedex!K$2:K$610,MATCH($C218,Pokedex!$B$2:$B$610,0))),"",INDEX(Pokedex!K$2:K$610,MATCH($C218,Pokedex!$B$2:$B$610,0)))</f>
        <v/>
      </c>
      <c r="L218" s="48" t="n">
        <f aca="false">L217+1</f>
        <v>216</v>
      </c>
      <c r="M218" s="400"/>
    </row>
    <row r="219" customFormat="false" ht="15.75" hidden="false" customHeight="false" outlineLevel="0" collapsed="false">
      <c r="A219" s="24" t="n">
        <f aca="false">A218+1</f>
        <v>217</v>
      </c>
      <c r="B219" s="738"/>
      <c r="C219" s="738"/>
      <c r="D219" s="738"/>
      <c r="E219" s="738"/>
      <c r="F219" s="738"/>
      <c r="G219" s="739"/>
      <c r="H219" s="740"/>
      <c r="I219" s="245"/>
      <c r="J219" s="738"/>
      <c r="K219" s="727" t="str">
        <f aca="false" t="array" ref="K219:K219">IF(ISNA(INDEX(Pokedex!K$2:K$610,MATCH($C219,Pokedex!$B$2:$B$610,0))),"",INDEX(Pokedex!K$2:K$610,MATCH($C219,Pokedex!$B$2:$B$610,0)))</f>
        <v/>
      </c>
      <c r="L219" s="48" t="n">
        <f aca="false">L218+1</f>
        <v>217</v>
      </c>
      <c r="M219" s="400"/>
    </row>
    <row r="220" customFormat="false" ht="15.75" hidden="false" customHeight="false" outlineLevel="0" collapsed="false">
      <c r="A220" s="24" t="n">
        <f aca="false">A219+1</f>
        <v>218</v>
      </c>
      <c r="B220" s="738"/>
      <c r="C220" s="738"/>
      <c r="D220" s="738"/>
      <c r="E220" s="738"/>
      <c r="F220" s="738"/>
      <c r="G220" s="739"/>
      <c r="H220" s="740"/>
      <c r="I220" s="245"/>
      <c r="J220" s="738"/>
      <c r="K220" s="727" t="str">
        <f aca="false" t="array" ref="K220:K220">IF(ISNA(INDEX(Pokedex!K$2:K$610,MATCH($C220,Pokedex!$B$2:$B$610,0))),"",INDEX(Pokedex!K$2:K$610,MATCH($C220,Pokedex!$B$2:$B$610,0)))</f>
        <v/>
      </c>
      <c r="L220" s="48" t="n">
        <f aca="false">L219+1</f>
        <v>218</v>
      </c>
      <c r="M220" s="400"/>
    </row>
    <row r="221" customFormat="false" ht="15.75" hidden="false" customHeight="false" outlineLevel="0" collapsed="false">
      <c r="A221" s="24" t="n">
        <f aca="false">A220+1</f>
        <v>219</v>
      </c>
      <c r="B221" s="738"/>
      <c r="C221" s="738"/>
      <c r="D221" s="738"/>
      <c r="E221" s="738"/>
      <c r="F221" s="738"/>
      <c r="G221" s="739"/>
      <c r="H221" s="740"/>
      <c r="I221" s="245"/>
      <c r="J221" s="738"/>
      <c r="K221" s="727" t="str">
        <f aca="false" t="array" ref="K221:K221">IF(ISNA(INDEX(Pokedex!K$2:K$610,MATCH($C221,Pokedex!$B$2:$B$610,0))),"",INDEX(Pokedex!K$2:K$610,MATCH($C221,Pokedex!$B$2:$B$610,0)))</f>
        <v/>
      </c>
      <c r="L221" s="48" t="n">
        <f aca="false">L220+1</f>
        <v>219</v>
      </c>
      <c r="M221" s="400"/>
    </row>
    <row r="222" customFormat="false" ht="15.75" hidden="false" customHeight="false" outlineLevel="0" collapsed="false">
      <c r="A222" s="24" t="n">
        <f aca="false">A221+1</f>
        <v>220</v>
      </c>
      <c r="B222" s="738"/>
      <c r="C222" s="738"/>
      <c r="D222" s="738"/>
      <c r="E222" s="738"/>
      <c r="F222" s="738"/>
      <c r="G222" s="739"/>
      <c r="H222" s="740"/>
      <c r="I222" s="245"/>
      <c r="J222" s="738"/>
      <c r="K222" s="727" t="str">
        <f aca="false" t="array" ref="K222:K222">IF(ISNA(INDEX(Pokedex!K$2:K$610,MATCH($C222,Pokedex!$B$2:$B$610,0))),"",INDEX(Pokedex!K$2:K$610,MATCH($C222,Pokedex!$B$2:$B$610,0)))</f>
        <v/>
      </c>
      <c r="L222" s="48" t="n">
        <f aca="false">L221+1</f>
        <v>220</v>
      </c>
      <c r="M222" s="44"/>
    </row>
    <row r="223" customFormat="false" ht="15.75" hidden="false" customHeight="false" outlineLevel="0" collapsed="false">
      <c r="A223" s="24" t="n">
        <f aca="false">A222+1</f>
        <v>221</v>
      </c>
      <c r="B223" s="738"/>
      <c r="C223" s="738"/>
      <c r="D223" s="738"/>
      <c r="E223" s="738"/>
      <c r="F223" s="738"/>
      <c r="G223" s="739"/>
      <c r="H223" s="740"/>
      <c r="I223" s="245"/>
      <c r="J223" s="738"/>
      <c r="K223" s="727" t="str">
        <f aca="false" t="array" ref="K223:K223">IF(ISNA(INDEX(Pokedex!K$2:K$610,MATCH($C223,Pokedex!$B$2:$B$610,0))),"",INDEX(Pokedex!K$2:K$610,MATCH($C223,Pokedex!$B$2:$B$610,0)))</f>
        <v/>
      </c>
      <c r="L223" s="48" t="n">
        <f aca="false">L222+1</f>
        <v>221</v>
      </c>
      <c r="M223" s="44"/>
    </row>
    <row r="224" customFormat="false" ht="15.75" hidden="false" customHeight="false" outlineLevel="0" collapsed="false">
      <c r="A224" s="24" t="n">
        <f aca="false">A223+1</f>
        <v>222</v>
      </c>
      <c r="B224" s="738"/>
      <c r="C224" s="738"/>
      <c r="D224" s="738"/>
      <c r="E224" s="738"/>
      <c r="F224" s="738"/>
      <c r="G224" s="739"/>
      <c r="H224" s="740"/>
      <c r="I224" s="245"/>
      <c r="J224" s="738"/>
      <c r="K224" s="727" t="str">
        <f aca="false" t="array" ref="K224:K224">IF(ISNA(INDEX(Pokedex!K$2:K$610,MATCH($C224,Pokedex!$B$2:$B$610,0))),"",INDEX(Pokedex!K$2:K$610,MATCH($C224,Pokedex!$B$2:$B$610,0)))</f>
        <v/>
      </c>
      <c r="L224" s="48" t="n">
        <f aca="false">L223+1</f>
        <v>222</v>
      </c>
      <c r="M224" s="44"/>
    </row>
    <row r="225" customFormat="false" ht="15.75" hidden="false" customHeight="false" outlineLevel="0" collapsed="false">
      <c r="A225" s="24" t="n">
        <f aca="false">A224+1</f>
        <v>223</v>
      </c>
      <c r="B225" s="738"/>
      <c r="C225" s="738"/>
      <c r="D225" s="738"/>
      <c r="E225" s="738"/>
      <c r="F225" s="738"/>
      <c r="G225" s="739"/>
      <c r="H225" s="740"/>
      <c r="I225" s="245"/>
      <c r="J225" s="738"/>
      <c r="K225" s="727" t="str">
        <f aca="false" t="array" ref="K225:K225">IF(ISNA(INDEX(Pokedex!K$2:K$610,MATCH($C225,Pokedex!$B$2:$B$610,0))),"",INDEX(Pokedex!K$2:K$610,MATCH($C225,Pokedex!$B$2:$B$610,0)))</f>
        <v/>
      </c>
      <c r="L225" s="48" t="n">
        <f aca="false">L224+1</f>
        <v>223</v>
      </c>
      <c r="M225" s="44"/>
    </row>
    <row r="226" customFormat="false" ht="15.75" hidden="false" customHeight="false" outlineLevel="0" collapsed="false">
      <c r="A226" s="43" t="n">
        <f aca="false">A225+1</f>
        <v>224</v>
      </c>
      <c r="B226" s="741"/>
      <c r="C226" s="741"/>
      <c r="D226" s="741"/>
      <c r="E226" s="741"/>
      <c r="F226" s="741"/>
      <c r="G226" s="742"/>
      <c r="H226" s="743"/>
      <c r="I226" s="7"/>
      <c r="J226" s="741"/>
      <c r="K226" s="744" t="str">
        <f aca="false" t="array" ref="K226:K226">IF(ISNA(INDEX(Pokedex!K$2:K$610,MATCH($C226,Pokedex!$B$2:$B$610,0))),"",INDEX(Pokedex!K$2:K$610,MATCH($C226,Pokedex!$B$2:$B$610,0)))</f>
        <v/>
      </c>
      <c r="L226" s="49" t="n">
        <f aca="false">L225+1</f>
        <v>224</v>
      </c>
      <c r="M226" s="44"/>
    </row>
  </sheetData>
  <mergeCells count="226">
    <mergeCell ref="A1:L1"/>
    <mergeCell ref="C2:E2"/>
    <mergeCell ref="C3:E3"/>
    <mergeCell ref="C4:E4"/>
    <mergeCell ref="C5:E5"/>
    <mergeCell ref="C6:E6"/>
    <mergeCell ref="C7:E7"/>
    <mergeCell ref="C8:E8"/>
    <mergeCell ref="C9:E9"/>
    <mergeCell ref="C10:E10"/>
    <mergeCell ref="C11:E11"/>
    <mergeCell ref="C12:E12"/>
    <mergeCell ref="C13:E13"/>
    <mergeCell ref="C14:E14"/>
    <mergeCell ref="C15:E15"/>
    <mergeCell ref="C16:E16"/>
    <mergeCell ref="C17:E17"/>
    <mergeCell ref="C18:E18"/>
    <mergeCell ref="C19:E19"/>
    <mergeCell ref="C20:E20"/>
    <mergeCell ref="C21:E21"/>
    <mergeCell ref="C22:E22"/>
    <mergeCell ref="C23:E23"/>
    <mergeCell ref="C24:E24"/>
    <mergeCell ref="C25:E25"/>
    <mergeCell ref="C26:E26"/>
    <mergeCell ref="C27:E27"/>
    <mergeCell ref="C28:E28"/>
    <mergeCell ref="C29:E29"/>
    <mergeCell ref="C30:E30"/>
    <mergeCell ref="C31:E31"/>
    <mergeCell ref="C32:E32"/>
    <mergeCell ref="C33:E33"/>
    <mergeCell ref="C34:E34"/>
    <mergeCell ref="C35:E35"/>
    <mergeCell ref="C36:E36"/>
    <mergeCell ref="C37:E37"/>
    <mergeCell ref="C38:E38"/>
    <mergeCell ref="C39:E39"/>
    <mergeCell ref="C40:E40"/>
    <mergeCell ref="C41:E41"/>
    <mergeCell ref="C42:E42"/>
    <mergeCell ref="C43:E43"/>
    <mergeCell ref="C44:E44"/>
    <mergeCell ref="C45:E45"/>
    <mergeCell ref="C46:E46"/>
    <mergeCell ref="C47:E47"/>
    <mergeCell ref="C48:E48"/>
    <mergeCell ref="C49:E49"/>
    <mergeCell ref="C50:E50"/>
    <mergeCell ref="C51:E51"/>
    <mergeCell ref="C52:E52"/>
    <mergeCell ref="C53:E53"/>
    <mergeCell ref="C54:E54"/>
    <mergeCell ref="C55:E55"/>
    <mergeCell ref="C56:E56"/>
    <mergeCell ref="C57:E57"/>
    <mergeCell ref="C58:E58"/>
    <mergeCell ref="C59:E59"/>
    <mergeCell ref="C60:E60"/>
    <mergeCell ref="C61:E61"/>
    <mergeCell ref="C62:E62"/>
    <mergeCell ref="C63:E63"/>
    <mergeCell ref="C64:E64"/>
    <mergeCell ref="C65:E65"/>
    <mergeCell ref="C66:E66"/>
    <mergeCell ref="C67:E67"/>
    <mergeCell ref="C68:E68"/>
    <mergeCell ref="C69:E69"/>
    <mergeCell ref="C70:E70"/>
    <mergeCell ref="C71:E71"/>
    <mergeCell ref="C72:E72"/>
    <mergeCell ref="C73:E73"/>
    <mergeCell ref="C74:E74"/>
    <mergeCell ref="C75:E75"/>
    <mergeCell ref="C76:E76"/>
    <mergeCell ref="C77:E77"/>
    <mergeCell ref="C78:E78"/>
    <mergeCell ref="C79:E79"/>
    <mergeCell ref="C80:E80"/>
    <mergeCell ref="C81:E81"/>
    <mergeCell ref="C82:E82"/>
    <mergeCell ref="C83:E83"/>
    <mergeCell ref="C84:E84"/>
    <mergeCell ref="C85:E85"/>
    <mergeCell ref="C86:E86"/>
    <mergeCell ref="C87:E87"/>
    <mergeCell ref="C88:E88"/>
    <mergeCell ref="C89:E89"/>
    <mergeCell ref="C90:E90"/>
    <mergeCell ref="C91:E91"/>
    <mergeCell ref="C92:E92"/>
    <mergeCell ref="C93:E93"/>
    <mergeCell ref="C94:E94"/>
    <mergeCell ref="C95:E95"/>
    <mergeCell ref="C96:E96"/>
    <mergeCell ref="C97:E97"/>
    <mergeCell ref="C98:E98"/>
    <mergeCell ref="C99:E99"/>
    <mergeCell ref="C100:E100"/>
    <mergeCell ref="C101:E101"/>
    <mergeCell ref="C102:E102"/>
    <mergeCell ref="C103:E103"/>
    <mergeCell ref="C104:E104"/>
    <mergeCell ref="C105:E105"/>
    <mergeCell ref="C106:E106"/>
    <mergeCell ref="C107:E107"/>
    <mergeCell ref="C108:E108"/>
    <mergeCell ref="C109:E109"/>
    <mergeCell ref="C110:E110"/>
    <mergeCell ref="C111:E111"/>
    <mergeCell ref="C112:E112"/>
    <mergeCell ref="C113:E113"/>
    <mergeCell ref="C114:E114"/>
    <mergeCell ref="C115:E115"/>
    <mergeCell ref="C116:E116"/>
    <mergeCell ref="C117:E117"/>
    <mergeCell ref="C118:E118"/>
    <mergeCell ref="C119:E119"/>
    <mergeCell ref="C120:E120"/>
    <mergeCell ref="C121:E121"/>
    <mergeCell ref="C122:E122"/>
    <mergeCell ref="C123:E123"/>
    <mergeCell ref="C124:E124"/>
    <mergeCell ref="C125:E125"/>
    <mergeCell ref="C126:E126"/>
    <mergeCell ref="C127:E127"/>
    <mergeCell ref="C128:E128"/>
    <mergeCell ref="C129:E129"/>
    <mergeCell ref="C130:E130"/>
    <mergeCell ref="C131:E131"/>
    <mergeCell ref="C132:E132"/>
    <mergeCell ref="C133:E133"/>
    <mergeCell ref="C134:E134"/>
    <mergeCell ref="C135:E135"/>
    <mergeCell ref="C136:E136"/>
    <mergeCell ref="C137:E137"/>
    <mergeCell ref="C138:E138"/>
    <mergeCell ref="C139:E139"/>
    <mergeCell ref="C140:E140"/>
    <mergeCell ref="C141:E141"/>
    <mergeCell ref="C142:E142"/>
    <mergeCell ref="C143:E143"/>
    <mergeCell ref="C144:E144"/>
    <mergeCell ref="C145:E145"/>
    <mergeCell ref="C146:E146"/>
    <mergeCell ref="C147:E147"/>
    <mergeCell ref="C148:E148"/>
    <mergeCell ref="C149:E149"/>
    <mergeCell ref="C150:E150"/>
    <mergeCell ref="C151:E151"/>
    <mergeCell ref="C152:E152"/>
    <mergeCell ref="C153:E153"/>
    <mergeCell ref="C154:E154"/>
    <mergeCell ref="C155:E155"/>
    <mergeCell ref="C156:E156"/>
    <mergeCell ref="C157:E157"/>
    <mergeCell ref="C158:E158"/>
    <mergeCell ref="C159:E159"/>
    <mergeCell ref="C160:E160"/>
    <mergeCell ref="C161:E161"/>
    <mergeCell ref="C162:E162"/>
    <mergeCell ref="C163:E163"/>
    <mergeCell ref="C164:E164"/>
    <mergeCell ref="C165:E165"/>
    <mergeCell ref="C166:E166"/>
    <mergeCell ref="C167:E167"/>
    <mergeCell ref="C168:E168"/>
    <mergeCell ref="C169:E169"/>
    <mergeCell ref="C170:E170"/>
    <mergeCell ref="C171:E171"/>
    <mergeCell ref="C172:E172"/>
    <mergeCell ref="C173:E173"/>
    <mergeCell ref="C174:E174"/>
    <mergeCell ref="C175:E175"/>
    <mergeCell ref="C176:E176"/>
    <mergeCell ref="C177:E177"/>
    <mergeCell ref="C178:E178"/>
    <mergeCell ref="C179:E179"/>
    <mergeCell ref="C180:E180"/>
    <mergeCell ref="C181:E181"/>
    <mergeCell ref="C182:E182"/>
    <mergeCell ref="C183:E183"/>
    <mergeCell ref="C184:E184"/>
    <mergeCell ref="C185:E185"/>
    <mergeCell ref="C186:E186"/>
    <mergeCell ref="C187:E187"/>
    <mergeCell ref="C188:E188"/>
    <mergeCell ref="C189:E189"/>
    <mergeCell ref="C190:E190"/>
    <mergeCell ref="C191:E191"/>
    <mergeCell ref="C192:E192"/>
    <mergeCell ref="C193:E193"/>
    <mergeCell ref="C194:E194"/>
    <mergeCell ref="C195:E195"/>
    <mergeCell ref="C196:E196"/>
    <mergeCell ref="C197:E197"/>
    <mergeCell ref="C198:E198"/>
    <mergeCell ref="C199:E199"/>
    <mergeCell ref="C200:E200"/>
    <mergeCell ref="C201:E201"/>
    <mergeCell ref="C202:E202"/>
    <mergeCell ref="C203:E203"/>
    <mergeCell ref="C204:E204"/>
    <mergeCell ref="C205:E205"/>
    <mergeCell ref="C206:E206"/>
    <mergeCell ref="C207:E207"/>
    <mergeCell ref="C208:E208"/>
    <mergeCell ref="C209:E209"/>
    <mergeCell ref="C210:E210"/>
    <mergeCell ref="C211:E211"/>
    <mergeCell ref="C212:E212"/>
    <mergeCell ref="C213:E213"/>
    <mergeCell ref="C214:E214"/>
    <mergeCell ref="C215:E215"/>
    <mergeCell ref="C216:E216"/>
    <mergeCell ref="C217:E217"/>
    <mergeCell ref="C218:E218"/>
    <mergeCell ref="C219:E219"/>
    <mergeCell ref="C220:E220"/>
    <mergeCell ref="C221:E221"/>
    <mergeCell ref="C222:E222"/>
    <mergeCell ref="C223:E223"/>
    <mergeCell ref="C224:E224"/>
    <mergeCell ref="C225:E225"/>
    <mergeCell ref="C226:E226"/>
  </mergeCells>
  <conditionalFormatting sqref="B3:K226">
    <cfRule type="expression" priority="2" aboveAverage="0" equalAverage="0" bottom="0" percent="0" rank="0" text="" dxfId="8">
      <formula>$B:$B=$M$2</formula>
    </cfRule>
  </conditionalFormatting>
  <conditionalFormatting sqref="B3:K226">
    <cfRule type="expression" priority="3" aboveAverage="0" equalAverage="0" bottom="0" percent="0" rank="0" text="" dxfId="8">
      <formula>$B:$B=$M$3</formula>
    </cfRule>
  </conditionalFormatting>
  <conditionalFormatting sqref="B3:K226">
    <cfRule type="expression" priority="4" aboveAverage="0" equalAverage="0" bottom="0" percent="0" rank="0" text="" dxfId="8">
      <formula>$B:$B=$M$4</formula>
    </cfRule>
  </conditionalFormatting>
  <conditionalFormatting sqref="B3:K226">
    <cfRule type="expression" priority="5" aboveAverage="0" equalAverage="0" bottom="0" percent="0" rank="0" text="" dxfId="8">
      <formula>$B:$B=$M$5</formula>
    </cfRule>
  </conditionalFormatting>
  <conditionalFormatting sqref="B3:K226">
    <cfRule type="expression" priority="6" aboveAverage="0" equalAverage="0" bottom="0" percent="0" rank="0" text="" dxfId="7">
      <formula>$B:$B=$M$6</formula>
    </cfRule>
  </conditionalFormatting>
  <conditionalFormatting sqref="B3:K226">
    <cfRule type="expression" priority="7" aboveAverage="0" equalAverage="0" bottom="0" percent="0" rank="0" text="" dxfId="7">
      <formula>$B:$B=$M$7</formula>
    </cfRule>
  </conditionalFormatting>
  <conditionalFormatting sqref="B3:K226">
    <cfRule type="expression" priority="8" aboveAverage="0" equalAverage="0" bottom="0" percent="0" rank="0" text="" dxfId="7">
      <formula>$B:$B=$M$8</formula>
    </cfRule>
  </conditionalFormatting>
  <conditionalFormatting sqref="B3:K226">
    <cfRule type="expression" priority="9" aboveAverage="0" equalAverage="0" bottom="0" percent="0" rank="0" text="" dxfId="3">
      <formula>$B:$B="FREE"</formula>
    </cfRule>
  </conditionalFormatting>
  <conditionalFormatting sqref="B3:K226">
    <cfRule type="expression" priority="10" aboveAverage="0" equalAverage="0" bottom="0" percent="0" rank="0" text="" dxfId="7">
      <formula>$B:$B=$M$9</formula>
    </cfRule>
  </conditionalFormatting>
  <printOptions headings="false" gridLines="false" gridLinesSet="true" horizontalCentered="false" verticalCentered="false"/>
  <pageMargins left="0.747916666666667" right="0.747916666666667" top="0.984027777777778" bottom="0.984027777777778" header="0.511805555555555" footer="0.511805555555555"/>
  <pageSetup paperSize="1" scale="100" firstPageNumber="0" fitToWidth="1" fitToHeight="1" pageOrder="downThenOver" orientation="portrait" usePrinterDefaults="false" blackAndWhite="false" draft="false" cellComments="none" useFirstPageNumber="false" horizontalDpi="300" verticalDpi="300" copies="1"/>
  <headerFooter differentFirst="false" differentOddEven="false">
    <oddHeader/>
    <oddFooter/>
  </headerFooter>
</worksheet>
</file>

<file path=xl/worksheets/sheet11.xml><?xml version="1.0" encoding="utf-8"?>
<worksheet xmlns="http://schemas.openxmlformats.org/spreadsheetml/2006/main" xmlns:r="http://schemas.openxmlformats.org/officeDocument/2006/relationships">
  <sheetPr filterMode="false">
    <pageSetUpPr fitToPage="false"/>
  </sheetPr>
  <dimension ref="A1:BY100"/>
  <sheetViews>
    <sheetView windowProtection="true" showFormulas="false" showGridLines="true" showRowColHeaders="true" showZeros="true" rightToLeft="false" tabSelected="false" showOutlineSymbols="true" defaultGridColor="true" view="normal" topLeftCell="A1" colorId="64" zoomScale="100" zoomScaleNormal="100" zoomScalePageLayoutView="100" workbookViewId="0">
      <pane xSplit="0" ySplit="2" topLeftCell="A3" activePane="bottomLeft" state="frozen"/>
      <selection pane="topLeft" activeCell="A1" activeCellId="0" sqref="A1"/>
      <selection pane="bottomLeft" activeCell="B4" activeCellId="0" sqref="B4"/>
    </sheetView>
  </sheetViews>
  <sheetFormatPr defaultRowHeight="15.75"/>
  <cols>
    <col collapsed="false" hidden="false" max="11" min="1" style="0" width="7.1530612244898"/>
    <col collapsed="false" hidden="false" max="12" min="12" style="0" width="0.811224489795918"/>
    <col collapsed="false" hidden="true" max="23" min="13" style="0" width="0"/>
    <col collapsed="false" hidden="false" max="40" min="24" style="0" width="7.1530612244898"/>
    <col collapsed="false" hidden="true" max="77" min="41" style="0" width="0"/>
    <col collapsed="false" hidden="false" max="1025" min="78" style="0" width="14.1734693877551"/>
  </cols>
  <sheetData>
    <row r="1" customFormat="false" ht="15.75" hidden="false" customHeight="false" outlineLevel="0" collapsed="false">
      <c r="A1" s="120" t="s">
        <v>2022</v>
      </c>
      <c r="B1" s="120"/>
      <c r="C1" s="120"/>
      <c r="D1" s="120"/>
      <c r="E1" s="120"/>
      <c r="F1" s="120"/>
      <c r="G1" s="120"/>
      <c r="H1" s="120"/>
      <c r="I1" s="120"/>
      <c r="J1" s="120"/>
      <c r="K1" s="120"/>
      <c r="L1" s="50"/>
      <c r="M1" s="745" t="s">
        <v>2023</v>
      </c>
      <c r="N1" s="745"/>
      <c r="O1" s="745"/>
      <c r="P1" s="745"/>
      <c r="Q1" s="745"/>
      <c r="R1" s="745"/>
      <c r="S1" s="745"/>
      <c r="T1" s="745"/>
      <c r="U1" s="745"/>
      <c r="V1" s="745"/>
      <c r="W1" s="44"/>
      <c r="X1" s="342" t="s">
        <v>2024</v>
      </c>
      <c r="Y1" s="342"/>
      <c r="Z1" s="342"/>
      <c r="AA1" s="342"/>
      <c r="AB1" s="342"/>
      <c r="AC1" s="342"/>
      <c r="AD1" s="342"/>
      <c r="AE1" s="342"/>
      <c r="AF1" s="342"/>
      <c r="AG1" s="342"/>
      <c r="AH1" s="342"/>
      <c r="AI1" s="342"/>
      <c r="AJ1" s="342"/>
      <c r="AK1" s="342"/>
      <c r="AL1" s="342"/>
      <c r="AM1" s="342"/>
      <c r="AN1" s="342"/>
      <c r="AO1" s="746"/>
      <c r="AP1" s="745" t="s">
        <v>2025</v>
      </c>
      <c r="AQ1" s="745"/>
      <c r="AR1" s="745"/>
      <c r="AS1" s="745"/>
      <c r="AT1" s="745"/>
      <c r="AU1" s="745"/>
      <c r="AV1" s="745"/>
      <c r="AW1" s="745"/>
      <c r="AX1" s="745"/>
      <c r="AY1" s="745"/>
      <c r="AZ1" s="745"/>
      <c r="BA1" s="745"/>
      <c r="BB1" s="745"/>
      <c r="BC1" s="745"/>
      <c r="BD1" s="745"/>
      <c r="BE1" s="745"/>
      <c r="BF1" s="746"/>
      <c r="BG1" s="745" t="s">
        <v>2026</v>
      </c>
      <c r="BH1" s="745"/>
      <c r="BI1" s="745"/>
      <c r="BJ1" s="745"/>
      <c r="BK1" s="745"/>
      <c r="BL1" s="745"/>
      <c r="BM1" s="745"/>
      <c r="BN1" s="745"/>
      <c r="BO1" s="745"/>
      <c r="BP1" s="745"/>
      <c r="BQ1" s="745"/>
      <c r="BR1" s="745"/>
      <c r="BS1" s="745"/>
      <c r="BT1" s="745"/>
      <c r="BU1" s="745"/>
      <c r="BV1" s="745"/>
      <c r="BW1" s="746"/>
      <c r="BX1" s="746"/>
      <c r="BY1" s="747" t="s">
        <v>703</v>
      </c>
    </row>
    <row r="2" customFormat="false" ht="15.75" hidden="false" customHeight="false" outlineLevel="0" collapsed="false">
      <c r="A2" s="279" t="s">
        <v>2027</v>
      </c>
      <c r="B2" s="279" t="s">
        <v>206</v>
      </c>
      <c r="C2" s="279"/>
      <c r="D2" s="748" t="s">
        <v>207</v>
      </c>
      <c r="E2" s="748"/>
      <c r="F2" s="748"/>
      <c r="G2" s="748" t="s">
        <v>208</v>
      </c>
      <c r="H2" s="748"/>
      <c r="I2" s="748"/>
      <c r="J2" s="749" t="s">
        <v>209</v>
      </c>
      <c r="K2" s="749"/>
      <c r="L2" s="50"/>
      <c r="M2" s="279" t="s">
        <v>206</v>
      </c>
      <c r="N2" s="279"/>
      <c r="O2" s="279" t="s">
        <v>207</v>
      </c>
      <c r="P2" s="279"/>
      <c r="Q2" s="279"/>
      <c r="R2" s="279" t="s">
        <v>208</v>
      </c>
      <c r="S2" s="279"/>
      <c r="T2" s="279"/>
      <c r="U2" s="337" t="s">
        <v>209</v>
      </c>
      <c r="V2" s="337"/>
      <c r="W2" s="44"/>
      <c r="X2" s="279" t="s">
        <v>2027</v>
      </c>
      <c r="Y2" s="279" t="s">
        <v>206</v>
      </c>
      <c r="Z2" s="279"/>
      <c r="AA2" s="750" t="s">
        <v>2028</v>
      </c>
      <c r="AB2" s="750"/>
      <c r="AC2" s="750"/>
      <c r="AD2" s="750" t="s">
        <v>211</v>
      </c>
      <c r="AE2" s="750"/>
      <c r="AF2" s="750" t="s">
        <v>212</v>
      </c>
      <c r="AG2" s="750"/>
      <c r="AH2" s="750"/>
      <c r="AI2" s="337" t="s">
        <v>209</v>
      </c>
      <c r="AJ2" s="337"/>
      <c r="AK2" s="751" t="s">
        <v>213</v>
      </c>
      <c r="AL2" s="751"/>
      <c r="AM2" s="751"/>
      <c r="AN2" s="751"/>
      <c r="AO2" s="752"/>
      <c r="AP2" s="279" t="s">
        <v>206</v>
      </c>
      <c r="AQ2" s="279"/>
      <c r="AR2" s="750" t="s">
        <v>2028</v>
      </c>
      <c r="AS2" s="750"/>
      <c r="AT2" s="750"/>
      <c r="AU2" s="750" t="s">
        <v>211</v>
      </c>
      <c r="AV2" s="750"/>
      <c r="AW2" s="750" t="s">
        <v>212</v>
      </c>
      <c r="AX2" s="750"/>
      <c r="AY2" s="750"/>
      <c r="AZ2" s="337" t="s">
        <v>209</v>
      </c>
      <c r="BA2" s="337"/>
      <c r="BB2" s="751" t="s">
        <v>213</v>
      </c>
      <c r="BC2" s="751"/>
      <c r="BD2" s="751"/>
      <c r="BE2" s="751"/>
      <c r="BF2" s="752"/>
      <c r="BG2" s="279" t="s">
        <v>206</v>
      </c>
      <c r="BH2" s="279"/>
      <c r="BI2" s="750" t="s">
        <v>2028</v>
      </c>
      <c r="BJ2" s="750"/>
      <c r="BK2" s="750"/>
      <c r="BL2" s="750" t="s">
        <v>211</v>
      </c>
      <c r="BM2" s="750"/>
      <c r="BN2" s="750" t="s">
        <v>212</v>
      </c>
      <c r="BO2" s="750"/>
      <c r="BP2" s="750"/>
      <c r="BQ2" s="337" t="s">
        <v>209</v>
      </c>
      <c r="BR2" s="337"/>
      <c r="BS2" s="751" t="s">
        <v>213</v>
      </c>
      <c r="BT2" s="751"/>
      <c r="BU2" s="751"/>
      <c r="BV2" s="751"/>
      <c r="BW2" s="752"/>
      <c r="BX2" s="752"/>
      <c r="BY2" s="323" t="str">
        <f aca="false">BBG!$L$1</f>
        <v>BBG</v>
      </c>
    </row>
    <row r="3" customFormat="false" ht="15.75" hidden="false" customHeight="false" outlineLevel="0" collapsed="false">
      <c r="A3" s="52" t="n">
        <v>1</v>
      </c>
      <c r="B3" s="339" t="s">
        <v>713</v>
      </c>
      <c r="C3" s="339"/>
      <c r="D3" s="339" t="s">
        <v>267</v>
      </c>
      <c r="E3" s="339"/>
      <c r="F3" s="339"/>
      <c r="G3" s="339" t="s">
        <v>495</v>
      </c>
      <c r="H3" s="339"/>
      <c r="I3" s="339"/>
      <c r="J3" s="320" t="s">
        <v>83</v>
      </c>
      <c r="K3" s="320"/>
      <c r="L3" s="50"/>
      <c r="M3" s="753" t="str">
        <f aca="false">IFERROR(__xludf.dummyfunction("if(isna(filter(sort($B$3:$K$100,$J$3:$J$100,FALSE,$A$3:$A$100,FALSE),not(isblank(sort($B$3:$B$100,$J$3:$J$100,FALSE,$A$3:$A$100,FALSE))))),""NONE"",filter(sort($B$3:$K$100,$J$3:$J$100,FALSE,$A$3:$A$100,FALSE),not(isblank(sort($B$3:$B$100,$J$3:$J$100,FALSE"&amp;",$A$3:$A$100,FALSE)))))"),"JVJ")</f>
        <v>JVJ</v>
      </c>
      <c r="N3" s="753"/>
      <c r="O3" s="753" t="s">
        <v>14</v>
      </c>
      <c r="P3" s="753"/>
      <c r="Q3" s="753"/>
      <c r="R3" s="753" t="s">
        <v>125</v>
      </c>
      <c r="S3" s="753"/>
      <c r="T3" s="753"/>
      <c r="U3" s="753" t="s">
        <v>2029</v>
      </c>
      <c r="V3" s="753"/>
      <c r="W3" s="44"/>
      <c r="X3" s="320" t="n">
        <v>1</v>
      </c>
      <c r="Y3" s="320" t="s">
        <v>705</v>
      </c>
      <c r="Z3" s="320"/>
      <c r="AA3" s="320" t="s">
        <v>94</v>
      </c>
      <c r="AB3" s="320"/>
      <c r="AC3" s="320"/>
      <c r="AD3" s="320" t="s">
        <v>711</v>
      </c>
      <c r="AE3" s="320"/>
      <c r="AF3" s="320" t="s">
        <v>88</v>
      </c>
      <c r="AG3" s="320"/>
      <c r="AH3" s="320"/>
      <c r="AI3" s="320" t="s">
        <v>83</v>
      </c>
      <c r="AJ3" s="320"/>
      <c r="AK3" s="479" t="s">
        <v>2030</v>
      </c>
      <c r="AL3" s="479"/>
      <c r="AM3" s="479"/>
      <c r="AN3" s="479"/>
      <c r="AO3" s="93"/>
      <c r="AP3" s="754" t="str">
        <f aca="false">IFERROR(__xludf.dummyfunction("if(isna(filter(sort($Y$3:$AN$100,$AI$3:$AI$100,FALSE,$X$3:$X$100,FALSE),not(isblank(sort($Y$3:$Y$100,$AI$3:$AI$100,FALSE,$X$3:$X$100,FALSE))))),""NONE"",filter(sort($Y$3:$AN$100,$AI$3:$AI$100,FALSE,$X$3:$X$100,FALSE),not(isblank(sort($Y$3:$Y$100,$AI$3:$AI"&amp;"$100,FALSE,$X$3:$X$100,FALSE)))))"),"SGP")</f>
        <v>SGP</v>
      </c>
      <c r="AQ3" s="754"/>
      <c r="AR3" s="754" t="s">
        <v>16</v>
      </c>
      <c r="AS3" s="754"/>
      <c r="AT3" s="754"/>
      <c r="AU3" s="754" t="s">
        <v>711</v>
      </c>
      <c r="AV3" s="754"/>
      <c r="AW3" s="754" t="s">
        <v>124</v>
      </c>
      <c r="AX3" s="754"/>
      <c r="AY3" s="754"/>
      <c r="AZ3" s="754" t="s">
        <v>2031</v>
      </c>
      <c r="BA3" s="754"/>
      <c r="BB3" s="755"/>
      <c r="BC3" s="755"/>
      <c r="BD3" s="755"/>
      <c r="BE3" s="755"/>
      <c r="BF3" s="93"/>
      <c r="BG3" s="754" t="str">
        <f aca="false" t="array" ref="BG3:BK100">TRANSPOSE(TRANSPOSE($AU$3:$AY$100))</f>
        <v>KKS</v>
      </c>
      <c r="BH3" s="754" t="n">
        <v>0</v>
      </c>
      <c r="BI3" s="754" t="str">
        <v>Sylveon</v>
      </c>
      <c r="BJ3" s="754" t="n">
        <v>0</v>
      </c>
      <c r="BK3" s="754" t="n">
        <v>0</v>
      </c>
      <c r="BL3" s="754" t="str">
        <f aca="false" t="array" ref="BL3:BP100">TRANSPOSE(TRANSPOSE($AP$3:$AT$100))</f>
        <v>SGP</v>
      </c>
      <c r="BM3" s="754" t="n">
        <v>0</v>
      </c>
      <c r="BN3" s="754" t="str">
        <v>Mamoswine</v>
      </c>
      <c r="BO3" s="754" t="n">
        <v>0</v>
      </c>
      <c r="BP3" s="754" t="n">
        <v>0</v>
      </c>
      <c r="BQ3" s="754" t="str">
        <f aca="false" t="array" ref="BQ3:BV14">TRANSPOSE(TRANSPOSE($AZ$3:$BE$14))</f>
        <v>Week11</v>
      </c>
      <c r="BR3" s="754" t="n">
        <v>0</v>
      </c>
      <c r="BS3" s="755" t="n">
        <v>0</v>
      </c>
      <c r="BT3" s="755" t="n">
        <v>0</v>
      </c>
      <c r="BU3" s="755" t="n">
        <v>0</v>
      </c>
      <c r="BV3" s="755" t="n">
        <v>0</v>
      </c>
      <c r="BW3" s="93"/>
      <c r="BX3" s="93"/>
      <c r="BY3" s="323" t="str">
        <f aca="false">SEA!$L$1</f>
        <v>SEA</v>
      </c>
    </row>
    <row r="4" customFormat="false" ht="15.75" hidden="false" customHeight="false" outlineLevel="0" collapsed="false">
      <c r="A4" s="52" t="n">
        <f aca="false">A3+1</f>
        <v>2</v>
      </c>
      <c r="B4" s="320" t="s">
        <v>711</v>
      </c>
      <c r="C4" s="320"/>
      <c r="D4" s="320" t="s">
        <v>27</v>
      </c>
      <c r="E4" s="320"/>
      <c r="F4" s="320"/>
      <c r="G4" s="320" t="s">
        <v>87</v>
      </c>
      <c r="H4" s="320"/>
      <c r="I4" s="320"/>
      <c r="J4" s="320" t="s">
        <v>83</v>
      </c>
      <c r="K4" s="320"/>
      <c r="L4" s="50"/>
      <c r="M4" s="756" t="s">
        <v>714</v>
      </c>
      <c r="N4" s="756"/>
      <c r="O4" s="756" t="s">
        <v>116</v>
      </c>
      <c r="P4" s="756"/>
      <c r="Q4" s="756"/>
      <c r="R4" s="756" t="s">
        <v>119</v>
      </c>
      <c r="S4" s="756"/>
      <c r="T4" s="756"/>
      <c r="U4" s="756" t="s">
        <v>2031</v>
      </c>
      <c r="V4" s="756"/>
      <c r="W4" s="44"/>
      <c r="X4" s="320" t="n">
        <f aca="false">X3+1</f>
        <v>2</v>
      </c>
      <c r="Y4" s="320" t="s">
        <v>705</v>
      </c>
      <c r="Z4" s="320"/>
      <c r="AA4" s="320" t="s">
        <v>98</v>
      </c>
      <c r="AB4" s="320"/>
      <c r="AC4" s="320"/>
      <c r="AD4" s="320" t="s">
        <v>711</v>
      </c>
      <c r="AE4" s="320"/>
      <c r="AF4" s="320" t="s">
        <v>84</v>
      </c>
      <c r="AG4" s="320"/>
      <c r="AH4" s="320"/>
      <c r="AI4" s="320" t="s">
        <v>83</v>
      </c>
      <c r="AJ4" s="320"/>
      <c r="AK4" s="479" t="s">
        <v>2030</v>
      </c>
      <c r="AL4" s="479"/>
      <c r="AM4" s="479"/>
      <c r="AN4" s="479"/>
      <c r="AO4" s="93"/>
      <c r="AP4" s="756" t="s">
        <v>705</v>
      </c>
      <c r="AQ4" s="756"/>
      <c r="AR4" s="756" t="s">
        <v>98</v>
      </c>
      <c r="AS4" s="756"/>
      <c r="AT4" s="756"/>
      <c r="AU4" s="756" t="s">
        <v>711</v>
      </c>
      <c r="AV4" s="756"/>
      <c r="AW4" s="756" t="s">
        <v>84</v>
      </c>
      <c r="AX4" s="756"/>
      <c r="AY4" s="756"/>
      <c r="AZ4" s="756" t="s">
        <v>83</v>
      </c>
      <c r="BA4" s="756"/>
      <c r="BB4" s="757" t="s">
        <v>2030</v>
      </c>
      <c r="BC4" s="757"/>
      <c r="BD4" s="757"/>
      <c r="BE4" s="757"/>
      <c r="BF4" s="93"/>
      <c r="BG4" s="756" t="str">
        <v>KKS</v>
      </c>
      <c r="BH4" s="756" t="n">
        <v>0</v>
      </c>
      <c r="BI4" s="756" t="str">
        <v>Marowak-Alola</v>
      </c>
      <c r="BJ4" s="756" t="n">
        <v>0</v>
      </c>
      <c r="BK4" s="756" t="n">
        <v>0</v>
      </c>
      <c r="BL4" s="756" t="str">
        <v>JVJ</v>
      </c>
      <c r="BM4" s="756" t="n">
        <v>0</v>
      </c>
      <c r="BN4" s="756" t="str">
        <v>Rotom-Heat</v>
      </c>
      <c r="BO4" s="756" t="n">
        <v>0</v>
      </c>
      <c r="BP4" s="756" t="n">
        <v>0</v>
      </c>
      <c r="BQ4" s="756" t="str">
        <v>Week 2</v>
      </c>
      <c r="BR4" s="756" t="n">
        <v>0</v>
      </c>
      <c r="BS4" s="757" t="str">
        <v>Two-Trade Deal</v>
      </c>
      <c r="BT4" s="757" t="n">
        <v>0</v>
      </c>
      <c r="BU4" s="757" t="n">
        <v>0</v>
      </c>
      <c r="BV4" s="757" t="n">
        <v>0</v>
      </c>
      <c r="BW4" s="93"/>
      <c r="BX4" s="93"/>
      <c r="BY4" s="323" t="str">
        <f aca="false">JVJ!$L$1</f>
        <v>JVJ</v>
      </c>
    </row>
    <row r="5" customFormat="false" ht="15.75" hidden="false" customHeight="false" outlineLevel="0" collapsed="false">
      <c r="A5" s="52" t="n">
        <f aca="false">A4+1</f>
        <v>3</v>
      </c>
      <c r="B5" s="320" t="s">
        <v>711</v>
      </c>
      <c r="C5" s="320"/>
      <c r="D5" s="320" t="s">
        <v>269</v>
      </c>
      <c r="E5" s="320"/>
      <c r="F5" s="320"/>
      <c r="G5" s="320" t="s">
        <v>98</v>
      </c>
      <c r="H5" s="320"/>
      <c r="I5" s="320"/>
      <c r="J5" s="320" t="s">
        <v>83</v>
      </c>
      <c r="K5" s="320"/>
      <c r="L5" s="50"/>
      <c r="M5" s="754" t="s">
        <v>705</v>
      </c>
      <c r="N5" s="754"/>
      <c r="O5" s="754" t="s">
        <v>98</v>
      </c>
      <c r="P5" s="754"/>
      <c r="Q5" s="754"/>
      <c r="R5" s="754" t="s">
        <v>258</v>
      </c>
      <c r="S5" s="754"/>
      <c r="T5" s="754"/>
      <c r="U5" s="754" t="s">
        <v>123</v>
      </c>
      <c r="V5" s="754"/>
      <c r="W5" s="44"/>
      <c r="X5" s="320" t="n">
        <f aca="false">X4+1</f>
        <v>3</v>
      </c>
      <c r="Y5" s="320" t="s">
        <v>715</v>
      </c>
      <c r="Z5" s="320"/>
      <c r="AA5" s="320" t="s">
        <v>16</v>
      </c>
      <c r="AB5" s="320"/>
      <c r="AC5" s="320"/>
      <c r="AD5" s="320" t="s">
        <v>711</v>
      </c>
      <c r="AE5" s="320"/>
      <c r="AF5" s="320" t="s">
        <v>124</v>
      </c>
      <c r="AG5" s="320"/>
      <c r="AH5" s="320"/>
      <c r="AI5" s="320" t="s">
        <v>2031</v>
      </c>
      <c r="AJ5" s="320"/>
      <c r="AK5" s="479"/>
      <c r="AL5" s="479"/>
      <c r="AM5" s="479"/>
      <c r="AN5" s="479"/>
      <c r="AO5" s="93"/>
      <c r="AP5" s="754" t="s">
        <v>705</v>
      </c>
      <c r="AQ5" s="754"/>
      <c r="AR5" s="754" t="s">
        <v>94</v>
      </c>
      <c r="AS5" s="754"/>
      <c r="AT5" s="754"/>
      <c r="AU5" s="754" t="s">
        <v>711</v>
      </c>
      <c r="AV5" s="754"/>
      <c r="AW5" s="754" t="s">
        <v>88</v>
      </c>
      <c r="AX5" s="754"/>
      <c r="AY5" s="754"/>
      <c r="AZ5" s="754" t="s">
        <v>83</v>
      </c>
      <c r="BA5" s="754"/>
      <c r="BB5" s="755" t="s">
        <v>2030</v>
      </c>
      <c r="BC5" s="755"/>
      <c r="BD5" s="755"/>
      <c r="BE5" s="755"/>
      <c r="BF5" s="93"/>
      <c r="BG5" s="754" t="str">
        <v>KKS</v>
      </c>
      <c r="BH5" s="754" t="n">
        <v>0</v>
      </c>
      <c r="BI5" s="754" t="str">
        <v>Excadrill</v>
      </c>
      <c r="BJ5" s="754" t="n">
        <v>0</v>
      </c>
      <c r="BK5" s="754" t="n">
        <v>0</v>
      </c>
      <c r="BL5" s="754" t="str">
        <v>JVJ</v>
      </c>
      <c r="BM5" s="754" t="n">
        <v>0</v>
      </c>
      <c r="BN5" s="754" t="str">
        <v>Metagross</v>
      </c>
      <c r="BO5" s="754" t="n">
        <v>0</v>
      </c>
      <c r="BP5" s="754" t="n">
        <v>0</v>
      </c>
      <c r="BQ5" s="754" t="str">
        <v>Week 2</v>
      </c>
      <c r="BR5" s="754" t="n">
        <v>0</v>
      </c>
      <c r="BS5" s="755" t="str">
        <v>Two-Trade Deal</v>
      </c>
      <c r="BT5" s="755" t="n">
        <v>0</v>
      </c>
      <c r="BU5" s="755" t="n">
        <v>0</v>
      </c>
      <c r="BV5" s="755" t="n">
        <v>0</v>
      </c>
      <c r="BW5" s="93"/>
      <c r="BX5" s="93"/>
      <c r="BY5" s="323" t="str">
        <f aca="false">KKS!$L$1</f>
        <v>KKS</v>
      </c>
    </row>
    <row r="6" customFormat="false" ht="15.75" hidden="false" customHeight="false" outlineLevel="0" collapsed="false">
      <c r="A6" s="52" t="n">
        <f aca="false">A5+1</f>
        <v>4</v>
      </c>
      <c r="B6" s="320" t="s">
        <v>714</v>
      </c>
      <c r="C6" s="320"/>
      <c r="D6" s="320" t="s">
        <v>270</v>
      </c>
      <c r="E6" s="320"/>
      <c r="F6" s="320"/>
      <c r="G6" s="320" t="s">
        <v>91</v>
      </c>
      <c r="H6" s="320"/>
      <c r="I6" s="320"/>
      <c r="J6" s="320" t="s">
        <v>83</v>
      </c>
      <c r="K6" s="320"/>
      <c r="L6" s="50"/>
      <c r="M6" s="756" t="s">
        <v>705</v>
      </c>
      <c r="N6" s="756"/>
      <c r="O6" s="756" t="s">
        <v>266</v>
      </c>
      <c r="P6" s="756"/>
      <c r="Q6" s="756"/>
      <c r="R6" s="756" t="s">
        <v>248</v>
      </c>
      <c r="S6" s="756"/>
      <c r="T6" s="756"/>
      <c r="U6" s="756" t="s">
        <v>123</v>
      </c>
      <c r="V6" s="756"/>
      <c r="W6" s="44"/>
      <c r="X6" s="320" t="n">
        <f aca="false">X5+1</f>
        <v>4</v>
      </c>
      <c r="Y6" s="320"/>
      <c r="Z6" s="320"/>
      <c r="AA6" s="320"/>
      <c r="AB6" s="320"/>
      <c r="AC6" s="320"/>
      <c r="AD6" s="320"/>
      <c r="AE6" s="320"/>
      <c r="AF6" s="320"/>
      <c r="AG6" s="320"/>
      <c r="AH6" s="320"/>
      <c r="AI6" s="320"/>
      <c r="AJ6" s="320"/>
      <c r="AK6" s="479"/>
      <c r="AL6" s="479"/>
      <c r="AM6" s="479"/>
      <c r="AN6" s="479"/>
      <c r="AO6" s="93"/>
      <c r="AP6" s="756"/>
      <c r="AQ6" s="756"/>
      <c r="AR6" s="756"/>
      <c r="AS6" s="756"/>
      <c r="AT6" s="756"/>
      <c r="AU6" s="756"/>
      <c r="AV6" s="756"/>
      <c r="AW6" s="756"/>
      <c r="AX6" s="756"/>
      <c r="AY6" s="756"/>
      <c r="AZ6" s="756"/>
      <c r="BA6" s="756"/>
      <c r="BB6" s="757"/>
      <c r="BC6" s="757"/>
      <c r="BD6" s="757"/>
      <c r="BE6" s="757"/>
      <c r="BF6" s="93"/>
      <c r="BG6" s="756" t="n">
        <v>0</v>
      </c>
      <c r="BH6" s="756" t="n">
        <v>0</v>
      </c>
      <c r="BI6" s="756" t="n">
        <v>0</v>
      </c>
      <c r="BJ6" s="756" t="n">
        <v>0</v>
      </c>
      <c r="BK6" s="756" t="n">
        <v>0</v>
      </c>
      <c r="BL6" s="756" t="n">
        <v>0</v>
      </c>
      <c r="BM6" s="756" t="n">
        <v>0</v>
      </c>
      <c r="BN6" s="756" t="n">
        <v>0</v>
      </c>
      <c r="BO6" s="756" t="n">
        <v>0</v>
      </c>
      <c r="BP6" s="756" t="n">
        <v>0</v>
      </c>
      <c r="BQ6" s="756" t="n">
        <v>0</v>
      </c>
      <c r="BR6" s="756" t="n">
        <v>0</v>
      </c>
      <c r="BS6" s="757" t="n">
        <v>0</v>
      </c>
      <c r="BT6" s="757" t="n">
        <v>0</v>
      </c>
      <c r="BU6" s="757" t="n">
        <v>0</v>
      </c>
      <c r="BV6" s="757" t="n">
        <v>0</v>
      </c>
      <c r="BW6" s="93"/>
      <c r="BX6" s="93"/>
      <c r="BY6" s="331" t="str">
        <f aca="false">LVC!$L$1</f>
        <v>LVC</v>
      </c>
    </row>
    <row r="7" customFormat="false" ht="15.75" hidden="false" customHeight="false" outlineLevel="0" collapsed="false">
      <c r="A7" s="52" t="n">
        <f aca="false">A6+1</f>
        <v>5</v>
      </c>
      <c r="B7" s="320" t="s">
        <v>713</v>
      </c>
      <c r="C7" s="320"/>
      <c r="D7" s="320" t="s">
        <v>495</v>
      </c>
      <c r="E7" s="320"/>
      <c r="F7" s="320"/>
      <c r="G7" s="320" t="s">
        <v>99</v>
      </c>
      <c r="H7" s="320"/>
      <c r="I7" s="320"/>
      <c r="J7" s="320" t="s">
        <v>83</v>
      </c>
      <c r="K7" s="320"/>
      <c r="L7" s="50"/>
      <c r="M7" s="754" t="s">
        <v>715</v>
      </c>
      <c r="N7" s="754"/>
      <c r="O7" s="754" t="s">
        <v>96</v>
      </c>
      <c r="P7" s="754"/>
      <c r="Q7" s="754"/>
      <c r="R7" s="754" t="s">
        <v>126</v>
      </c>
      <c r="S7" s="754"/>
      <c r="T7" s="754"/>
      <c r="U7" s="754" t="s">
        <v>121</v>
      </c>
      <c r="V7" s="754"/>
      <c r="W7" s="44"/>
      <c r="X7" s="320" t="n">
        <f aca="false">X6+1</f>
        <v>5</v>
      </c>
      <c r="Y7" s="320"/>
      <c r="Z7" s="320"/>
      <c r="AA7" s="320"/>
      <c r="AB7" s="320"/>
      <c r="AC7" s="320"/>
      <c r="AD7" s="320"/>
      <c r="AE7" s="320"/>
      <c r="AF7" s="320"/>
      <c r="AG7" s="320"/>
      <c r="AH7" s="320"/>
      <c r="AI7" s="320"/>
      <c r="AJ7" s="320"/>
      <c r="AK7" s="479"/>
      <c r="AL7" s="479"/>
      <c r="AM7" s="479"/>
      <c r="AN7" s="479"/>
      <c r="AO7" s="93"/>
      <c r="AP7" s="754"/>
      <c r="AQ7" s="754"/>
      <c r="AR7" s="754"/>
      <c r="AS7" s="754"/>
      <c r="AT7" s="754"/>
      <c r="AU7" s="754"/>
      <c r="AV7" s="754"/>
      <c r="AW7" s="754"/>
      <c r="AX7" s="754"/>
      <c r="AY7" s="754"/>
      <c r="AZ7" s="754"/>
      <c r="BA7" s="754"/>
      <c r="BB7" s="755"/>
      <c r="BC7" s="755"/>
      <c r="BD7" s="755"/>
      <c r="BE7" s="755"/>
      <c r="BF7" s="93"/>
      <c r="BG7" s="754" t="n">
        <v>0</v>
      </c>
      <c r="BH7" s="754" t="n">
        <v>0</v>
      </c>
      <c r="BI7" s="754" t="n">
        <v>0</v>
      </c>
      <c r="BJ7" s="754" t="n">
        <v>0</v>
      </c>
      <c r="BK7" s="754" t="n">
        <v>0</v>
      </c>
      <c r="BL7" s="754" t="n">
        <v>0</v>
      </c>
      <c r="BM7" s="754" t="n">
        <v>0</v>
      </c>
      <c r="BN7" s="754" t="n">
        <v>0</v>
      </c>
      <c r="BO7" s="754" t="n">
        <v>0</v>
      </c>
      <c r="BP7" s="754" t="n">
        <v>0</v>
      </c>
      <c r="BQ7" s="754" t="n">
        <v>0</v>
      </c>
      <c r="BR7" s="754" t="n">
        <v>0</v>
      </c>
      <c r="BS7" s="755" t="n">
        <v>0</v>
      </c>
      <c r="BT7" s="755" t="n">
        <v>0</v>
      </c>
      <c r="BU7" s="755" t="n">
        <v>0</v>
      </c>
      <c r="BV7" s="755" t="n">
        <v>0</v>
      </c>
      <c r="BW7" s="93"/>
      <c r="BX7" s="93"/>
      <c r="BY7" s="331" t="str">
        <f aca="false">BTB!$L$1</f>
        <v>BTB</v>
      </c>
    </row>
    <row r="8" customFormat="false" ht="15.75" hidden="false" customHeight="false" outlineLevel="0" collapsed="false">
      <c r="A8" s="52" t="n">
        <f aca="false">A7+1</f>
        <v>6</v>
      </c>
      <c r="B8" s="320" t="s">
        <v>715</v>
      </c>
      <c r="C8" s="320"/>
      <c r="D8" s="320" t="s">
        <v>268</v>
      </c>
      <c r="E8" s="320"/>
      <c r="F8" s="320"/>
      <c r="G8" s="320" t="s">
        <v>93</v>
      </c>
      <c r="H8" s="320"/>
      <c r="I8" s="320"/>
      <c r="J8" s="320" t="s">
        <v>83</v>
      </c>
      <c r="K8" s="320"/>
      <c r="L8" s="50"/>
      <c r="M8" s="756" t="s">
        <v>715</v>
      </c>
      <c r="N8" s="756"/>
      <c r="O8" s="756" t="s">
        <v>77</v>
      </c>
      <c r="P8" s="756"/>
      <c r="Q8" s="756"/>
      <c r="R8" s="756" t="s">
        <v>124</v>
      </c>
      <c r="S8" s="756"/>
      <c r="T8" s="756"/>
      <c r="U8" s="756" t="s">
        <v>121</v>
      </c>
      <c r="V8" s="756"/>
      <c r="W8" s="44"/>
      <c r="X8" s="320" t="n">
        <f aca="false">X7+1</f>
        <v>6</v>
      </c>
      <c r="Y8" s="320"/>
      <c r="Z8" s="320"/>
      <c r="AA8" s="320"/>
      <c r="AB8" s="320"/>
      <c r="AC8" s="320"/>
      <c r="AD8" s="320"/>
      <c r="AE8" s="320"/>
      <c r="AF8" s="320"/>
      <c r="AG8" s="320"/>
      <c r="AH8" s="320"/>
      <c r="AI8" s="320"/>
      <c r="AJ8" s="320"/>
      <c r="AK8" s="479"/>
      <c r="AL8" s="479"/>
      <c r="AM8" s="479"/>
      <c r="AN8" s="479"/>
      <c r="AO8" s="93"/>
      <c r="AP8" s="756"/>
      <c r="AQ8" s="756"/>
      <c r="AR8" s="756"/>
      <c r="AS8" s="756"/>
      <c r="AT8" s="756"/>
      <c r="AU8" s="756"/>
      <c r="AV8" s="756"/>
      <c r="AW8" s="756"/>
      <c r="AX8" s="756"/>
      <c r="AY8" s="756"/>
      <c r="AZ8" s="756"/>
      <c r="BA8" s="756"/>
      <c r="BB8" s="757"/>
      <c r="BC8" s="757"/>
      <c r="BD8" s="757"/>
      <c r="BE8" s="757"/>
      <c r="BF8" s="93"/>
      <c r="BG8" s="756" t="n">
        <v>0</v>
      </c>
      <c r="BH8" s="756" t="n">
        <v>0</v>
      </c>
      <c r="BI8" s="756" t="n">
        <v>0</v>
      </c>
      <c r="BJ8" s="756" t="n">
        <v>0</v>
      </c>
      <c r="BK8" s="756" t="n">
        <v>0</v>
      </c>
      <c r="BL8" s="756" t="n">
        <v>0</v>
      </c>
      <c r="BM8" s="756" t="n">
        <v>0</v>
      </c>
      <c r="BN8" s="756" t="n">
        <v>0</v>
      </c>
      <c r="BO8" s="756" t="n">
        <v>0</v>
      </c>
      <c r="BP8" s="756" t="n">
        <v>0</v>
      </c>
      <c r="BQ8" s="756" t="n">
        <v>0</v>
      </c>
      <c r="BR8" s="756" t="n">
        <v>0</v>
      </c>
      <c r="BS8" s="757" t="n">
        <v>0</v>
      </c>
      <c r="BT8" s="757" t="n">
        <v>0</v>
      </c>
      <c r="BU8" s="757" t="n">
        <v>0</v>
      </c>
      <c r="BV8" s="757" t="n">
        <v>0</v>
      </c>
      <c r="BW8" s="93"/>
      <c r="BX8" s="93"/>
      <c r="BY8" s="331" t="str">
        <f aca="false">SGP!$L$1</f>
        <v>SGP</v>
      </c>
    </row>
    <row r="9" customFormat="false" ht="15.75" hidden="false" customHeight="false" outlineLevel="0" collapsed="false">
      <c r="A9" s="52" t="n">
        <f aca="false">A8+1</f>
        <v>7</v>
      </c>
      <c r="B9" s="320" t="s">
        <v>711</v>
      </c>
      <c r="C9" s="320"/>
      <c r="D9" s="320" t="s">
        <v>31</v>
      </c>
      <c r="E9" s="320"/>
      <c r="F9" s="320"/>
      <c r="G9" s="320" t="s">
        <v>122</v>
      </c>
      <c r="H9" s="320"/>
      <c r="I9" s="320"/>
      <c r="J9" s="320" t="s">
        <v>102</v>
      </c>
      <c r="K9" s="320"/>
      <c r="L9" s="50"/>
      <c r="M9" s="754" t="s">
        <v>713</v>
      </c>
      <c r="N9" s="754"/>
      <c r="O9" s="754" t="s">
        <v>44</v>
      </c>
      <c r="P9" s="754"/>
      <c r="Q9" s="754"/>
      <c r="R9" s="754" t="s">
        <v>390</v>
      </c>
      <c r="S9" s="754"/>
      <c r="T9" s="754"/>
      <c r="U9" s="754" t="s">
        <v>115</v>
      </c>
      <c r="V9" s="754"/>
      <c r="W9" s="44"/>
      <c r="X9" s="320" t="n">
        <f aca="false">X8+1</f>
        <v>7</v>
      </c>
      <c r="Y9" s="320"/>
      <c r="Z9" s="320"/>
      <c r="AA9" s="320"/>
      <c r="AB9" s="320"/>
      <c r="AC9" s="320"/>
      <c r="AD9" s="320"/>
      <c r="AE9" s="320"/>
      <c r="AF9" s="320"/>
      <c r="AG9" s="320"/>
      <c r="AH9" s="320"/>
      <c r="AI9" s="320"/>
      <c r="AJ9" s="320"/>
      <c r="AK9" s="479"/>
      <c r="AL9" s="479"/>
      <c r="AM9" s="479"/>
      <c r="AN9" s="479"/>
      <c r="AO9" s="93"/>
      <c r="AP9" s="754"/>
      <c r="AQ9" s="754"/>
      <c r="AR9" s="754"/>
      <c r="AS9" s="754"/>
      <c r="AT9" s="754"/>
      <c r="AU9" s="754"/>
      <c r="AV9" s="754"/>
      <c r="AW9" s="754"/>
      <c r="AX9" s="754"/>
      <c r="AY9" s="754"/>
      <c r="AZ9" s="754"/>
      <c r="BA9" s="754"/>
      <c r="BB9" s="755"/>
      <c r="BC9" s="755"/>
      <c r="BD9" s="755"/>
      <c r="BE9" s="755"/>
      <c r="BF9" s="93"/>
      <c r="BG9" s="754" t="n">
        <v>0</v>
      </c>
      <c r="BH9" s="754" t="n">
        <v>0</v>
      </c>
      <c r="BI9" s="754" t="n">
        <v>0</v>
      </c>
      <c r="BJ9" s="754" t="n">
        <v>0</v>
      </c>
      <c r="BK9" s="754" t="n">
        <v>0</v>
      </c>
      <c r="BL9" s="754" t="n">
        <v>0</v>
      </c>
      <c r="BM9" s="754" t="n">
        <v>0</v>
      </c>
      <c r="BN9" s="754" t="n">
        <v>0</v>
      </c>
      <c r="BO9" s="754" t="n">
        <v>0</v>
      </c>
      <c r="BP9" s="754" t="n">
        <v>0</v>
      </c>
      <c r="BQ9" s="754" t="n">
        <v>0</v>
      </c>
      <c r="BR9" s="754" t="n">
        <v>0</v>
      </c>
      <c r="BS9" s="755" t="n">
        <v>0</v>
      </c>
      <c r="BT9" s="755" t="n">
        <v>0</v>
      </c>
      <c r="BU9" s="755" t="n">
        <v>0</v>
      </c>
      <c r="BV9" s="755" t="n">
        <v>0</v>
      </c>
      <c r="BW9" s="93"/>
      <c r="BX9" s="93"/>
      <c r="BY9" s="340" t="str">
        <f aca="false">FTT!$L$1</f>
        <v>FTT</v>
      </c>
    </row>
    <row r="10" customFormat="false" ht="15.75" hidden="false" customHeight="false" outlineLevel="0" collapsed="false">
      <c r="A10" s="52" t="n">
        <f aca="false">A9+1</f>
        <v>8</v>
      </c>
      <c r="B10" s="320" t="s">
        <v>713</v>
      </c>
      <c r="C10" s="320"/>
      <c r="D10" s="320" t="s">
        <v>44</v>
      </c>
      <c r="E10" s="320"/>
      <c r="F10" s="320"/>
      <c r="G10" s="320" t="s">
        <v>390</v>
      </c>
      <c r="H10" s="320"/>
      <c r="I10" s="320"/>
      <c r="J10" s="320" t="s">
        <v>115</v>
      </c>
      <c r="K10" s="320"/>
      <c r="L10" s="50"/>
      <c r="M10" s="756" t="s">
        <v>711</v>
      </c>
      <c r="N10" s="756"/>
      <c r="O10" s="756" t="s">
        <v>31</v>
      </c>
      <c r="P10" s="756"/>
      <c r="Q10" s="756"/>
      <c r="R10" s="756" t="s">
        <v>122</v>
      </c>
      <c r="S10" s="756"/>
      <c r="T10" s="756"/>
      <c r="U10" s="756" t="s">
        <v>102</v>
      </c>
      <c r="V10" s="756"/>
      <c r="W10" s="44"/>
      <c r="X10" s="320" t="n">
        <f aca="false">X9+1</f>
        <v>8</v>
      </c>
      <c r="Y10" s="320"/>
      <c r="Z10" s="320"/>
      <c r="AA10" s="320"/>
      <c r="AB10" s="320"/>
      <c r="AC10" s="320"/>
      <c r="AD10" s="320"/>
      <c r="AE10" s="320"/>
      <c r="AF10" s="320"/>
      <c r="AG10" s="320"/>
      <c r="AH10" s="320"/>
      <c r="AI10" s="320"/>
      <c r="AJ10" s="320"/>
      <c r="AK10" s="479"/>
      <c r="AL10" s="479"/>
      <c r="AM10" s="479"/>
      <c r="AN10" s="479"/>
      <c r="AO10" s="93"/>
      <c r="AP10" s="756"/>
      <c r="AQ10" s="756"/>
      <c r="AR10" s="756"/>
      <c r="AS10" s="756"/>
      <c r="AT10" s="756"/>
      <c r="AU10" s="756"/>
      <c r="AV10" s="756"/>
      <c r="AW10" s="756"/>
      <c r="AX10" s="756"/>
      <c r="AY10" s="756"/>
      <c r="AZ10" s="756"/>
      <c r="BA10" s="756"/>
      <c r="BB10" s="757"/>
      <c r="BC10" s="757"/>
      <c r="BD10" s="757"/>
      <c r="BE10" s="757"/>
      <c r="BF10" s="93"/>
      <c r="BG10" s="756" t="n">
        <v>0</v>
      </c>
      <c r="BH10" s="756" t="n">
        <v>0</v>
      </c>
      <c r="BI10" s="756" t="n">
        <v>0</v>
      </c>
      <c r="BJ10" s="756" t="n">
        <v>0</v>
      </c>
      <c r="BK10" s="756" t="n">
        <v>0</v>
      </c>
      <c r="BL10" s="756" t="n">
        <v>0</v>
      </c>
      <c r="BM10" s="756" t="n">
        <v>0</v>
      </c>
      <c r="BN10" s="756" t="n">
        <v>0</v>
      </c>
      <c r="BO10" s="756" t="n">
        <v>0</v>
      </c>
      <c r="BP10" s="756" t="n">
        <v>0</v>
      </c>
      <c r="BQ10" s="756" t="n">
        <v>0</v>
      </c>
      <c r="BR10" s="756" t="n">
        <v>0</v>
      </c>
      <c r="BS10" s="757" t="n">
        <v>0</v>
      </c>
      <c r="BT10" s="757" t="n">
        <v>0</v>
      </c>
      <c r="BU10" s="757" t="n">
        <v>0</v>
      </c>
      <c r="BV10" s="757" t="n">
        <v>0</v>
      </c>
      <c r="BW10" s="93"/>
      <c r="BX10" s="93"/>
      <c r="BY10" s="93"/>
    </row>
    <row r="11" customFormat="false" ht="15.75" hidden="false" customHeight="false" outlineLevel="0" collapsed="false">
      <c r="A11" s="52" t="n">
        <f aca="false">A10+1</f>
        <v>9</v>
      </c>
      <c r="B11" s="320" t="s">
        <v>715</v>
      </c>
      <c r="C11" s="320"/>
      <c r="D11" s="320" t="s">
        <v>77</v>
      </c>
      <c r="E11" s="320"/>
      <c r="F11" s="320"/>
      <c r="G11" s="320" t="s">
        <v>124</v>
      </c>
      <c r="H11" s="320"/>
      <c r="I11" s="320"/>
      <c r="J11" s="320" t="s">
        <v>121</v>
      </c>
      <c r="K11" s="320"/>
      <c r="L11" s="50"/>
      <c r="M11" s="754" t="s">
        <v>715</v>
      </c>
      <c r="N11" s="754"/>
      <c r="O11" s="754" t="s">
        <v>268</v>
      </c>
      <c r="P11" s="754"/>
      <c r="Q11" s="754"/>
      <c r="R11" s="754" t="s">
        <v>93</v>
      </c>
      <c r="S11" s="754"/>
      <c r="T11" s="754"/>
      <c r="U11" s="754" t="s">
        <v>83</v>
      </c>
      <c r="V11" s="754"/>
      <c r="W11" s="44"/>
      <c r="X11" s="320" t="n">
        <f aca="false">X10+1</f>
        <v>9</v>
      </c>
      <c r="Y11" s="320"/>
      <c r="Z11" s="320"/>
      <c r="AA11" s="320"/>
      <c r="AB11" s="320"/>
      <c r="AC11" s="320"/>
      <c r="AD11" s="320"/>
      <c r="AE11" s="320"/>
      <c r="AF11" s="320"/>
      <c r="AG11" s="320"/>
      <c r="AH11" s="320"/>
      <c r="AI11" s="320"/>
      <c r="AJ11" s="320"/>
      <c r="AK11" s="479"/>
      <c r="AL11" s="479"/>
      <c r="AM11" s="479"/>
      <c r="AN11" s="479"/>
      <c r="AO11" s="93"/>
      <c r="AP11" s="754"/>
      <c r="AQ11" s="754"/>
      <c r="AR11" s="754"/>
      <c r="AS11" s="754"/>
      <c r="AT11" s="754"/>
      <c r="AU11" s="754"/>
      <c r="AV11" s="754"/>
      <c r="AW11" s="754"/>
      <c r="AX11" s="754"/>
      <c r="AY11" s="754"/>
      <c r="AZ11" s="754"/>
      <c r="BA11" s="754"/>
      <c r="BB11" s="755"/>
      <c r="BC11" s="755"/>
      <c r="BD11" s="755"/>
      <c r="BE11" s="755"/>
      <c r="BF11" s="93"/>
      <c r="BG11" s="754" t="n">
        <v>0</v>
      </c>
      <c r="BH11" s="754" t="n">
        <v>0</v>
      </c>
      <c r="BI11" s="754" t="n">
        <v>0</v>
      </c>
      <c r="BJ11" s="754" t="n">
        <v>0</v>
      </c>
      <c r="BK11" s="754" t="n">
        <v>0</v>
      </c>
      <c r="BL11" s="754" t="n">
        <v>0</v>
      </c>
      <c r="BM11" s="754" t="n">
        <v>0</v>
      </c>
      <c r="BN11" s="754" t="n">
        <v>0</v>
      </c>
      <c r="BO11" s="754" t="n">
        <v>0</v>
      </c>
      <c r="BP11" s="754" t="n">
        <v>0</v>
      </c>
      <c r="BQ11" s="754" t="n">
        <v>0</v>
      </c>
      <c r="BR11" s="754" t="n">
        <v>0</v>
      </c>
      <c r="BS11" s="755" t="n">
        <v>0</v>
      </c>
      <c r="BT11" s="755" t="n">
        <v>0</v>
      </c>
      <c r="BU11" s="755" t="n">
        <v>0</v>
      </c>
      <c r="BV11" s="755" t="n">
        <v>0</v>
      </c>
      <c r="BW11" s="93"/>
      <c r="BX11" s="93"/>
      <c r="BY11" s="93" t="s">
        <v>3</v>
      </c>
    </row>
    <row r="12" customFormat="false" ht="15.75" hidden="false" customHeight="false" outlineLevel="0" collapsed="false">
      <c r="A12" s="52" t="n">
        <f aca="false">A11+1</f>
        <v>10</v>
      </c>
      <c r="B12" s="320" t="s">
        <v>715</v>
      </c>
      <c r="C12" s="320"/>
      <c r="D12" s="320" t="s">
        <v>96</v>
      </c>
      <c r="E12" s="320"/>
      <c r="F12" s="320"/>
      <c r="G12" s="320" t="s">
        <v>126</v>
      </c>
      <c r="H12" s="320"/>
      <c r="I12" s="320"/>
      <c r="J12" s="320" t="s">
        <v>121</v>
      </c>
      <c r="K12" s="320"/>
      <c r="L12" s="50"/>
      <c r="M12" s="756" t="s">
        <v>713</v>
      </c>
      <c r="N12" s="756"/>
      <c r="O12" s="756" t="s">
        <v>495</v>
      </c>
      <c r="P12" s="756"/>
      <c r="Q12" s="756"/>
      <c r="R12" s="756" t="s">
        <v>99</v>
      </c>
      <c r="S12" s="756"/>
      <c r="T12" s="756"/>
      <c r="U12" s="756" t="s">
        <v>83</v>
      </c>
      <c r="V12" s="756"/>
      <c r="W12" s="44"/>
      <c r="X12" s="320" t="n">
        <f aca="false">X11+1</f>
        <v>10</v>
      </c>
      <c r="Y12" s="320"/>
      <c r="Z12" s="320"/>
      <c r="AA12" s="320"/>
      <c r="AB12" s="320"/>
      <c r="AC12" s="320"/>
      <c r="AD12" s="320"/>
      <c r="AE12" s="320"/>
      <c r="AF12" s="320"/>
      <c r="AG12" s="320"/>
      <c r="AH12" s="320"/>
      <c r="AI12" s="320"/>
      <c r="AJ12" s="320"/>
      <c r="AK12" s="479"/>
      <c r="AL12" s="479"/>
      <c r="AM12" s="479"/>
      <c r="AN12" s="479"/>
      <c r="AO12" s="93"/>
      <c r="AP12" s="756"/>
      <c r="AQ12" s="756"/>
      <c r="AR12" s="756"/>
      <c r="AS12" s="756"/>
      <c r="AT12" s="756"/>
      <c r="AU12" s="756"/>
      <c r="AV12" s="756"/>
      <c r="AW12" s="756"/>
      <c r="AX12" s="756"/>
      <c r="AY12" s="756"/>
      <c r="AZ12" s="756"/>
      <c r="BA12" s="756"/>
      <c r="BB12" s="757"/>
      <c r="BC12" s="757"/>
      <c r="BD12" s="757"/>
      <c r="BE12" s="757"/>
      <c r="BF12" s="93"/>
      <c r="BG12" s="756" t="n">
        <v>0</v>
      </c>
      <c r="BH12" s="756" t="n">
        <v>0</v>
      </c>
      <c r="BI12" s="756" t="n">
        <v>0</v>
      </c>
      <c r="BJ12" s="756" t="n">
        <v>0</v>
      </c>
      <c r="BK12" s="756" t="n">
        <v>0</v>
      </c>
      <c r="BL12" s="756" t="n">
        <v>0</v>
      </c>
      <c r="BM12" s="756" t="n">
        <v>0</v>
      </c>
      <c r="BN12" s="756" t="n">
        <v>0</v>
      </c>
      <c r="BO12" s="756" t="n">
        <v>0</v>
      </c>
      <c r="BP12" s="756" t="n">
        <v>0</v>
      </c>
      <c r="BQ12" s="756" t="n">
        <v>0</v>
      </c>
      <c r="BR12" s="756" t="n">
        <v>0</v>
      </c>
      <c r="BS12" s="757" t="n">
        <v>0</v>
      </c>
      <c r="BT12" s="757" t="n">
        <v>0</v>
      </c>
      <c r="BU12" s="757" t="n">
        <v>0</v>
      </c>
      <c r="BV12" s="757" t="n">
        <v>0</v>
      </c>
      <c r="BW12" s="93"/>
      <c r="BX12" s="93"/>
      <c r="BY12" s="93" t="s">
        <v>83</v>
      </c>
    </row>
    <row r="13" customFormat="false" ht="15.75" hidden="false" customHeight="false" outlineLevel="0" collapsed="false">
      <c r="A13" s="52" t="n">
        <f aca="false">A12+1</f>
        <v>11</v>
      </c>
      <c r="B13" s="320" t="s">
        <v>705</v>
      </c>
      <c r="C13" s="320"/>
      <c r="D13" s="320" t="s">
        <v>266</v>
      </c>
      <c r="E13" s="320"/>
      <c r="F13" s="320"/>
      <c r="G13" s="320" t="s">
        <v>248</v>
      </c>
      <c r="H13" s="320"/>
      <c r="I13" s="320"/>
      <c r="J13" s="320" t="s">
        <v>123</v>
      </c>
      <c r="K13" s="320"/>
      <c r="L13" s="50"/>
      <c r="M13" s="754" t="s">
        <v>714</v>
      </c>
      <c r="N13" s="754"/>
      <c r="O13" s="754" t="s">
        <v>270</v>
      </c>
      <c r="P13" s="754"/>
      <c r="Q13" s="754"/>
      <c r="R13" s="754" t="s">
        <v>91</v>
      </c>
      <c r="S13" s="754"/>
      <c r="T13" s="754"/>
      <c r="U13" s="754" t="s">
        <v>83</v>
      </c>
      <c r="V13" s="754"/>
      <c r="W13" s="44"/>
      <c r="X13" s="320" t="n">
        <f aca="false">X12+1</f>
        <v>11</v>
      </c>
      <c r="Y13" s="320"/>
      <c r="Z13" s="320"/>
      <c r="AA13" s="320"/>
      <c r="AB13" s="320"/>
      <c r="AC13" s="320"/>
      <c r="AD13" s="320"/>
      <c r="AE13" s="320"/>
      <c r="AF13" s="320"/>
      <c r="AG13" s="320"/>
      <c r="AH13" s="320"/>
      <c r="AI13" s="320"/>
      <c r="AJ13" s="320"/>
      <c r="AK13" s="479"/>
      <c r="AL13" s="479"/>
      <c r="AM13" s="479"/>
      <c r="AN13" s="479"/>
      <c r="AO13" s="93"/>
      <c r="AP13" s="754"/>
      <c r="AQ13" s="754"/>
      <c r="AR13" s="754"/>
      <c r="AS13" s="754"/>
      <c r="AT13" s="754"/>
      <c r="AU13" s="754"/>
      <c r="AV13" s="754"/>
      <c r="AW13" s="754"/>
      <c r="AX13" s="754"/>
      <c r="AY13" s="754"/>
      <c r="AZ13" s="754"/>
      <c r="BA13" s="754"/>
      <c r="BB13" s="755"/>
      <c r="BC13" s="755"/>
      <c r="BD13" s="755"/>
      <c r="BE13" s="755"/>
      <c r="BF13" s="93"/>
      <c r="BG13" s="754" t="n">
        <v>0</v>
      </c>
      <c r="BH13" s="754" t="n">
        <v>0</v>
      </c>
      <c r="BI13" s="754" t="n">
        <v>0</v>
      </c>
      <c r="BJ13" s="754" t="n">
        <v>0</v>
      </c>
      <c r="BK13" s="754" t="n">
        <v>0</v>
      </c>
      <c r="BL13" s="754" t="n">
        <v>0</v>
      </c>
      <c r="BM13" s="754" t="n">
        <v>0</v>
      </c>
      <c r="BN13" s="754" t="n">
        <v>0</v>
      </c>
      <c r="BO13" s="754" t="n">
        <v>0</v>
      </c>
      <c r="BP13" s="754" t="n">
        <v>0</v>
      </c>
      <c r="BQ13" s="754" t="n">
        <v>0</v>
      </c>
      <c r="BR13" s="754" t="n">
        <v>0</v>
      </c>
      <c r="BS13" s="755" t="n">
        <v>0</v>
      </c>
      <c r="BT13" s="755" t="n">
        <v>0</v>
      </c>
      <c r="BU13" s="755" t="n">
        <v>0</v>
      </c>
      <c r="BV13" s="755" t="n">
        <v>0</v>
      </c>
      <c r="BW13" s="93"/>
      <c r="BX13" s="93"/>
      <c r="BY13" s="93" t="s">
        <v>102</v>
      </c>
    </row>
    <row r="14" customFormat="false" ht="15.75" hidden="false" customHeight="false" outlineLevel="0" collapsed="false">
      <c r="A14" s="52" t="n">
        <f aca="false">A13+1</f>
        <v>12</v>
      </c>
      <c r="B14" s="314" t="s">
        <v>705</v>
      </c>
      <c r="C14" s="314"/>
      <c r="D14" s="314" t="s">
        <v>98</v>
      </c>
      <c r="E14" s="314"/>
      <c r="F14" s="314"/>
      <c r="G14" s="314" t="s">
        <v>258</v>
      </c>
      <c r="H14" s="314"/>
      <c r="I14" s="314"/>
      <c r="J14" s="320" t="s">
        <v>123</v>
      </c>
      <c r="K14" s="320"/>
      <c r="L14" s="50"/>
      <c r="M14" s="758" t="s">
        <v>711</v>
      </c>
      <c r="N14" s="758"/>
      <c r="O14" s="758" t="s">
        <v>269</v>
      </c>
      <c r="P14" s="758"/>
      <c r="Q14" s="758"/>
      <c r="R14" s="758" t="s">
        <v>98</v>
      </c>
      <c r="S14" s="758"/>
      <c r="T14" s="758"/>
      <c r="U14" s="756" t="s">
        <v>83</v>
      </c>
      <c r="V14" s="756"/>
      <c r="W14" s="44"/>
      <c r="X14" s="320" t="n">
        <f aca="false">X13+1</f>
        <v>12</v>
      </c>
      <c r="Y14" s="320"/>
      <c r="Z14" s="320"/>
      <c r="AA14" s="320"/>
      <c r="AB14" s="320"/>
      <c r="AC14" s="320"/>
      <c r="AD14" s="320"/>
      <c r="AE14" s="320"/>
      <c r="AF14" s="320"/>
      <c r="AG14" s="320"/>
      <c r="AH14" s="320"/>
      <c r="AI14" s="320"/>
      <c r="AJ14" s="320"/>
      <c r="AK14" s="479"/>
      <c r="AL14" s="479"/>
      <c r="AM14" s="479"/>
      <c r="AN14" s="479"/>
      <c r="AO14" s="93"/>
      <c r="AP14" s="756"/>
      <c r="AQ14" s="756"/>
      <c r="AR14" s="756"/>
      <c r="AS14" s="756"/>
      <c r="AT14" s="756"/>
      <c r="AU14" s="756"/>
      <c r="AV14" s="756"/>
      <c r="AW14" s="756"/>
      <c r="AX14" s="756"/>
      <c r="AY14" s="756"/>
      <c r="AZ14" s="756"/>
      <c r="BA14" s="756"/>
      <c r="BB14" s="757"/>
      <c r="BC14" s="757"/>
      <c r="BD14" s="757"/>
      <c r="BE14" s="757"/>
      <c r="BF14" s="93"/>
      <c r="BG14" s="756" t="n">
        <v>0</v>
      </c>
      <c r="BH14" s="756" t="n">
        <v>0</v>
      </c>
      <c r="BI14" s="756" t="n">
        <v>0</v>
      </c>
      <c r="BJ14" s="756" t="n">
        <v>0</v>
      </c>
      <c r="BK14" s="756" t="n">
        <v>0</v>
      </c>
      <c r="BL14" s="756" t="n">
        <v>0</v>
      </c>
      <c r="BM14" s="756" t="n">
        <v>0</v>
      </c>
      <c r="BN14" s="756" t="n">
        <v>0</v>
      </c>
      <c r="BO14" s="756" t="n">
        <v>0</v>
      </c>
      <c r="BP14" s="756" t="n">
        <v>0</v>
      </c>
      <c r="BQ14" s="756" t="n">
        <v>0</v>
      </c>
      <c r="BR14" s="756" t="n">
        <v>0</v>
      </c>
      <c r="BS14" s="757" t="n">
        <v>0</v>
      </c>
      <c r="BT14" s="757" t="n">
        <v>0</v>
      </c>
      <c r="BU14" s="757" t="n">
        <v>0</v>
      </c>
      <c r="BV14" s="757" t="n">
        <v>0</v>
      </c>
      <c r="BW14" s="93"/>
      <c r="BX14" s="93"/>
      <c r="BY14" s="93" t="s">
        <v>109</v>
      </c>
    </row>
    <row r="15" customFormat="false" ht="15.75" hidden="false" customHeight="false" outlineLevel="0" collapsed="false">
      <c r="A15" s="52" t="n">
        <f aca="false">A14+1</f>
        <v>13</v>
      </c>
      <c r="B15" s="314" t="s">
        <v>714</v>
      </c>
      <c r="C15" s="314"/>
      <c r="D15" s="320" t="s">
        <v>116</v>
      </c>
      <c r="E15" s="320"/>
      <c r="F15" s="320"/>
      <c r="G15" s="320" t="s">
        <v>119</v>
      </c>
      <c r="H15" s="320"/>
      <c r="I15" s="320"/>
      <c r="J15" s="320" t="s">
        <v>2031</v>
      </c>
      <c r="K15" s="320"/>
      <c r="L15" s="50"/>
      <c r="M15" s="754" t="s">
        <v>711</v>
      </c>
      <c r="N15" s="754"/>
      <c r="O15" s="754" t="s">
        <v>27</v>
      </c>
      <c r="P15" s="754"/>
      <c r="Q15" s="754"/>
      <c r="R15" s="754" t="s">
        <v>87</v>
      </c>
      <c r="S15" s="754"/>
      <c r="T15" s="754"/>
      <c r="U15" s="754" t="s">
        <v>83</v>
      </c>
      <c r="V15" s="754"/>
      <c r="W15" s="44"/>
      <c r="X15" s="320" t="n">
        <f aca="false">X14+1</f>
        <v>13</v>
      </c>
      <c r="Y15" s="320"/>
      <c r="Z15" s="320"/>
      <c r="AA15" s="320"/>
      <c r="AB15" s="320"/>
      <c r="AC15" s="320"/>
      <c r="AD15" s="320"/>
      <c r="AE15" s="320"/>
      <c r="AF15" s="320"/>
      <c r="AG15" s="320"/>
      <c r="AH15" s="320"/>
      <c r="AI15" s="320"/>
      <c r="AJ15" s="320"/>
      <c r="AK15" s="479"/>
      <c r="AL15" s="479"/>
      <c r="AM15" s="479"/>
      <c r="AN15" s="479"/>
      <c r="AO15" s="93"/>
      <c r="AP15" s="754"/>
      <c r="AQ15" s="754"/>
      <c r="AR15" s="754"/>
      <c r="AS15" s="754"/>
      <c r="AT15" s="754"/>
      <c r="AU15" s="754"/>
      <c r="AV15" s="754"/>
      <c r="AW15" s="754"/>
      <c r="AX15" s="754"/>
      <c r="AY15" s="754"/>
      <c r="AZ15" s="754"/>
      <c r="BA15" s="754"/>
      <c r="BB15" s="755"/>
      <c r="BC15" s="755"/>
      <c r="BD15" s="755"/>
      <c r="BE15" s="755"/>
      <c r="BF15" s="93"/>
      <c r="BG15" s="754" t="n">
        <v>0</v>
      </c>
      <c r="BH15" s="754" t="n">
        <v>0</v>
      </c>
      <c r="BI15" s="754" t="n">
        <v>0</v>
      </c>
      <c r="BJ15" s="754" t="n">
        <v>0</v>
      </c>
      <c r="BK15" s="754" t="n">
        <v>0</v>
      </c>
      <c r="BL15" s="754" t="n">
        <v>0</v>
      </c>
      <c r="BM15" s="754" t="n">
        <v>0</v>
      </c>
      <c r="BN15" s="754" t="n">
        <v>0</v>
      </c>
      <c r="BO15" s="754" t="n">
        <v>0</v>
      </c>
      <c r="BP15" s="754" t="n">
        <v>0</v>
      </c>
      <c r="BQ15" s="754"/>
      <c r="BR15" s="754"/>
      <c r="BS15" s="755"/>
      <c r="BT15" s="755"/>
      <c r="BU15" s="755"/>
      <c r="BV15" s="755"/>
      <c r="BW15" s="93"/>
      <c r="BX15" s="93"/>
      <c r="BY15" s="93" t="s">
        <v>112</v>
      </c>
    </row>
    <row r="16" customFormat="false" ht="15.75" hidden="false" customHeight="false" outlineLevel="0" collapsed="false">
      <c r="A16" s="52" t="n">
        <f aca="false">A15+1</f>
        <v>14</v>
      </c>
      <c r="B16" s="314" t="s">
        <v>705</v>
      </c>
      <c r="C16" s="314"/>
      <c r="D16" s="320" t="s">
        <v>14</v>
      </c>
      <c r="E16" s="320"/>
      <c r="F16" s="320"/>
      <c r="G16" s="320" t="s">
        <v>125</v>
      </c>
      <c r="H16" s="320"/>
      <c r="I16" s="320"/>
      <c r="J16" s="320" t="s">
        <v>2029</v>
      </c>
      <c r="K16" s="320"/>
      <c r="L16" s="50"/>
      <c r="M16" s="758" t="s">
        <v>713</v>
      </c>
      <c r="N16" s="758"/>
      <c r="O16" s="758" t="s">
        <v>267</v>
      </c>
      <c r="P16" s="758"/>
      <c r="Q16" s="758"/>
      <c r="R16" s="758" t="s">
        <v>495</v>
      </c>
      <c r="S16" s="758"/>
      <c r="T16" s="758"/>
      <c r="U16" s="756" t="s">
        <v>83</v>
      </c>
      <c r="V16" s="756"/>
      <c r="W16" s="44"/>
      <c r="X16" s="320" t="n">
        <f aca="false">X15+1</f>
        <v>14</v>
      </c>
      <c r="Y16" s="320"/>
      <c r="Z16" s="320"/>
      <c r="AA16" s="320"/>
      <c r="AB16" s="320"/>
      <c r="AC16" s="320"/>
      <c r="AD16" s="320"/>
      <c r="AE16" s="320"/>
      <c r="AF16" s="320"/>
      <c r="AG16" s="320"/>
      <c r="AH16" s="320"/>
      <c r="AI16" s="320"/>
      <c r="AJ16" s="320"/>
      <c r="AK16" s="479"/>
      <c r="AL16" s="479"/>
      <c r="AM16" s="479"/>
      <c r="AN16" s="479"/>
      <c r="AO16" s="93"/>
      <c r="AP16" s="756"/>
      <c r="AQ16" s="756"/>
      <c r="AR16" s="756"/>
      <c r="AS16" s="756"/>
      <c r="AT16" s="756"/>
      <c r="AU16" s="756"/>
      <c r="AV16" s="756"/>
      <c r="AW16" s="756"/>
      <c r="AX16" s="756"/>
      <c r="AY16" s="756"/>
      <c r="AZ16" s="756"/>
      <c r="BA16" s="756"/>
      <c r="BB16" s="757"/>
      <c r="BC16" s="757"/>
      <c r="BD16" s="757"/>
      <c r="BE16" s="757"/>
      <c r="BF16" s="93"/>
      <c r="BG16" s="756" t="n">
        <v>0</v>
      </c>
      <c r="BH16" s="756" t="n">
        <v>0</v>
      </c>
      <c r="BI16" s="756" t="n">
        <v>0</v>
      </c>
      <c r="BJ16" s="756" t="n">
        <v>0</v>
      </c>
      <c r="BK16" s="756" t="n">
        <v>0</v>
      </c>
      <c r="BL16" s="756" t="n">
        <v>0</v>
      </c>
      <c r="BM16" s="756" t="n">
        <v>0</v>
      </c>
      <c r="BN16" s="756" t="n">
        <v>0</v>
      </c>
      <c r="BO16" s="756" t="n">
        <v>0</v>
      </c>
      <c r="BP16" s="756" t="n">
        <v>0</v>
      </c>
      <c r="BQ16" s="756"/>
      <c r="BR16" s="756"/>
      <c r="BS16" s="757"/>
      <c r="BT16" s="757"/>
      <c r="BU16" s="757"/>
      <c r="BV16" s="757"/>
      <c r="BW16" s="93"/>
      <c r="BX16" s="93"/>
      <c r="BY16" s="44" t="s">
        <v>115</v>
      </c>
    </row>
    <row r="17" customFormat="false" ht="15.75" hidden="false" customHeight="false" outlineLevel="0" collapsed="false">
      <c r="A17" s="52" t="n">
        <f aca="false">A16+1</f>
        <v>15</v>
      </c>
      <c r="B17" s="314"/>
      <c r="C17" s="314"/>
      <c r="D17" s="320"/>
      <c r="E17" s="320"/>
      <c r="F17" s="320"/>
      <c r="G17" s="320"/>
      <c r="H17" s="320"/>
      <c r="I17" s="320"/>
      <c r="J17" s="320"/>
      <c r="K17" s="320"/>
      <c r="L17" s="50"/>
      <c r="M17" s="759"/>
      <c r="N17" s="759"/>
      <c r="O17" s="759"/>
      <c r="P17" s="759"/>
      <c r="Q17" s="759"/>
      <c r="R17" s="759"/>
      <c r="S17" s="759"/>
      <c r="T17" s="759"/>
      <c r="U17" s="754"/>
      <c r="V17" s="754"/>
      <c r="W17" s="44"/>
      <c r="X17" s="320" t="n">
        <f aca="false">X16+1</f>
        <v>15</v>
      </c>
      <c r="Y17" s="320"/>
      <c r="Z17" s="320"/>
      <c r="AA17" s="320"/>
      <c r="AB17" s="320"/>
      <c r="AC17" s="320"/>
      <c r="AD17" s="320"/>
      <c r="AE17" s="320"/>
      <c r="AF17" s="320"/>
      <c r="AG17" s="320"/>
      <c r="AH17" s="320"/>
      <c r="AI17" s="320"/>
      <c r="AJ17" s="320"/>
      <c r="AK17" s="479"/>
      <c r="AL17" s="479"/>
      <c r="AM17" s="479"/>
      <c r="AN17" s="479"/>
      <c r="AO17" s="93"/>
      <c r="AP17" s="754"/>
      <c r="AQ17" s="754"/>
      <c r="AR17" s="754"/>
      <c r="AS17" s="754"/>
      <c r="AT17" s="754"/>
      <c r="AU17" s="754"/>
      <c r="AV17" s="754"/>
      <c r="AW17" s="754"/>
      <c r="AX17" s="754"/>
      <c r="AY17" s="754"/>
      <c r="AZ17" s="754"/>
      <c r="BA17" s="754"/>
      <c r="BB17" s="755"/>
      <c r="BC17" s="755"/>
      <c r="BD17" s="755"/>
      <c r="BE17" s="755"/>
      <c r="BF17" s="93"/>
      <c r="BG17" s="754" t="n">
        <v>0</v>
      </c>
      <c r="BH17" s="754" t="n">
        <v>0</v>
      </c>
      <c r="BI17" s="754" t="n">
        <v>0</v>
      </c>
      <c r="BJ17" s="754" t="n">
        <v>0</v>
      </c>
      <c r="BK17" s="754" t="n">
        <v>0</v>
      </c>
      <c r="BL17" s="754" t="n">
        <v>0</v>
      </c>
      <c r="BM17" s="754" t="n">
        <v>0</v>
      </c>
      <c r="BN17" s="754" t="n">
        <v>0</v>
      </c>
      <c r="BO17" s="754" t="n">
        <v>0</v>
      </c>
      <c r="BP17" s="754" t="n">
        <v>0</v>
      </c>
      <c r="BQ17" s="754"/>
      <c r="BR17" s="754"/>
      <c r="BS17" s="755"/>
      <c r="BT17" s="755"/>
      <c r="BU17" s="755"/>
      <c r="BV17" s="755"/>
      <c r="BW17" s="93"/>
      <c r="BX17" s="93"/>
      <c r="BY17" s="44" t="s">
        <v>117</v>
      </c>
    </row>
    <row r="18" customFormat="false" ht="15.75" hidden="false" customHeight="false" outlineLevel="0" collapsed="false">
      <c r="A18" s="52" t="n">
        <f aca="false">A17+1</f>
        <v>16</v>
      </c>
      <c r="B18" s="314"/>
      <c r="C18" s="314"/>
      <c r="D18" s="320"/>
      <c r="E18" s="320"/>
      <c r="F18" s="320"/>
      <c r="G18" s="320"/>
      <c r="H18" s="320"/>
      <c r="I18" s="320"/>
      <c r="J18" s="320"/>
      <c r="K18" s="320"/>
      <c r="L18" s="50"/>
      <c r="M18" s="758"/>
      <c r="N18" s="758"/>
      <c r="O18" s="758"/>
      <c r="P18" s="758"/>
      <c r="Q18" s="758"/>
      <c r="R18" s="758"/>
      <c r="S18" s="758"/>
      <c r="T18" s="758"/>
      <c r="U18" s="756"/>
      <c r="V18" s="756"/>
      <c r="W18" s="44"/>
      <c r="X18" s="320" t="n">
        <f aca="false">X17+1</f>
        <v>16</v>
      </c>
      <c r="Y18" s="320"/>
      <c r="Z18" s="320"/>
      <c r="AA18" s="320"/>
      <c r="AB18" s="320"/>
      <c r="AC18" s="320"/>
      <c r="AD18" s="320"/>
      <c r="AE18" s="320"/>
      <c r="AF18" s="320"/>
      <c r="AG18" s="320"/>
      <c r="AH18" s="320"/>
      <c r="AI18" s="320"/>
      <c r="AJ18" s="320"/>
      <c r="AK18" s="479"/>
      <c r="AL18" s="479"/>
      <c r="AM18" s="479"/>
      <c r="AN18" s="479"/>
      <c r="AO18" s="93"/>
      <c r="AP18" s="756"/>
      <c r="AQ18" s="756"/>
      <c r="AR18" s="756"/>
      <c r="AS18" s="756"/>
      <c r="AT18" s="756"/>
      <c r="AU18" s="756"/>
      <c r="AV18" s="756"/>
      <c r="AW18" s="756"/>
      <c r="AX18" s="756"/>
      <c r="AY18" s="756"/>
      <c r="AZ18" s="756"/>
      <c r="BA18" s="756"/>
      <c r="BB18" s="757"/>
      <c r="BC18" s="757"/>
      <c r="BD18" s="757"/>
      <c r="BE18" s="757"/>
      <c r="BF18" s="93"/>
      <c r="BG18" s="756" t="n">
        <v>0</v>
      </c>
      <c r="BH18" s="756" t="n">
        <v>0</v>
      </c>
      <c r="BI18" s="756" t="n">
        <v>0</v>
      </c>
      <c r="BJ18" s="756" t="n">
        <v>0</v>
      </c>
      <c r="BK18" s="756" t="n">
        <v>0</v>
      </c>
      <c r="BL18" s="756" t="n">
        <v>0</v>
      </c>
      <c r="BM18" s="756" t="n">
        <v>0</v>
      </c>
      <c r="BN18" s="756" t="n">
        <v>0</v>
      </c>
      <c r="BO18" s="756" t="n">
        <v>0</v>
      </c>
      <c r="BP18" s="756" t="n">
        <v>0</v>
      </c>
      <c r="BQ18" s="756"/>
      <c r="BR18" s="756"/>
      <c r="BS18" s="757"/>
      <c r="BT18" s="757"/>
      <c r="BU18" s="757"/>
      <c r="BV18" s="757"/>
      <c r="BW18" s="93"/>
      <c r="BX18" s="93"/>
      <c r="BY18" s="44" t="s">
        <v>121</v>
      </c>
    </row>
    <row r="19" customFormat="false" ht="15.75" hidden="false" customHeight="false" outlineLevel="0" collapsed="false">
      <c r="A19" s="52" t="n">
        <f aca="false">A18+1</f>
        <v>17</v>
      </c>
      <c r="B19" s="314"/>
      <c r="C19" s="314"/>
      <c r="D19" s="320"/>
      <c r="E19" s="320"/>
      <c r="F19" s="320"/>
      <c r="G19" s="320"/>
      <c r="H19" s="320"/>
      <c r="I19" s="320"/>
      <c r="J19" s="320"/>
      <c r="K19" s="320"/>
      <c r="L19" s="50"/>
      <c r="M19" s="759"/>
      <c r="N19" s="759"/>
      <c r="O19" s="759"/>
      <c r="P19" s="759"/>
      <c r="Q19" s="759"/>
      <c r="R19" s="759"/>
      <c r="S19" s="759"/>
      <c r="T19" s="759"/>
      <c r="U19" s="754"/>
      <c r="V19" s="754"/>
      <c r="W19" s="44"/>
      <c r="X19" s="320" t="n">
        <f aca="false">X18+1</f>
        <v>17</v>
      </c>
      <c r="Y19" s="320"/>
      <c r="Z19" s="320"/>
      <c r="AA19" s="320"/>
      <c r="AB19" s="320"/>
      <c r="AC19" s="320"/>
      <c r="AD19" s="320"/>
      <c r="AE19" s="320"/>
      <c r="AF19" s="320"/>
      <c r="AG19" s="320"/>
      <c r="AH19" s="320"/>
      <c r="AI19" s="320"/>
      <c r="AJ19" s="320"/>
      <c r="AK19" s="479"/>
      <c r="AL19" s="479"/>
      <c r="AM19" s="479"/>
      <c r="AN19" s="479"/>
      <c r="AO19" s="93"/>
      <c r="AP19" s="754"/>
      <c r="AQ19" s="754"/>
      <c r="AR19" s="754"/>
      <c r="AS19" s="754"/>
      <c r="AT19" s="754"/>
      <c r="AU19" s="754"/>
      <c r="AV19" s="754"/>
      <c r="AW19" s="754"/>
      <c r="AX19" s="754"/>
      <c r="AY19" s="754"/>
      <c r="AZ19" s="754"/>
      <c r="BA19" s="754"/>
      <c r="BB19" s="755"/>
      <c r="BC19" s="755"/>
      <c r="BD19" s="755"/>
      <c r="BE19" s="755"/>
      <c r="BF19" s="93"/>
      <c r="BG19" s="754" t="n">
        <v>0</v>
      </c>
      <c r="BH19" s="754" t="n">
        <v>0</v>
      </c>
      <c r="BI19" s="754" t="n">
        <v>0</v>
      </c>
      <c r="BJ19" s="754" t="n">
        <v>0</v>
      </c>
      <c r="BK19" s="754" t="n">
        <v>0</v>
      </c>
      <c r="BL19" s="754" t="n">
        <v>0</v>
      </c>
      <c r="BM19" s="754" t="n">
        <v>0</v>
      </c>
      <c r="BN19" s="754" t="n">
        <v>0</v>
      </c>
      <c r="BO19" s="754" t="n">
        <v>0</v>
      </c>
      <c r="BP19" s="754" t="n">
        <v>0</v>
      </c>
      <c r="BQ19" s="754"/>
      <c r="BR19" s="754"/>
      <c r="BS19" s="755"/>
      <c r="BT19" s="755"/>
      <c r="BU19" s="755"/>
      <c r="BV19" s="755"/>
      <c r="BW19" s="93"/>
      <c r="BX19" s="93"/>
      <c r="BY19" s="44" t="s">
        <v>123</v>
      </c>
    </row>
    <row r="20" customFormat="false" ht="15.75" hidden="false" customHeight="false" outlineLevel="0" collapsed="false">
      <c r="A20" s="52" t="n">
        <f aca="false">A19+1</f>
        <v>18</v>
      </c>
      <c r="B20" s="314"/>
      <c r="C20" s="314"/>
      <c r="D20" s="320"/>
      <c r="E20" s="320"/>
      <c r="F20" s="320"/>
      <c r="G20" s="320"/>
      <c r="H20" s="320"/>
      <c r="I20" s="320"/>
      <c r="J20" s="320"/>
      <c r="K20" s="320"/>
      <c r="L20" s="50"/>
      <c r="M20" s="758"/>
      <c r="N20" s="758"/>
      <c r="O20" s="758"/>
      <c r="P20" s="758"/>
      <c r="Q20" s="758"/>
      <c r="R20" s="758"/>
      <c r="S20" s="758"/>
      <c r="T20" s="758"/>
      <c r="U20" s="756"/>
      <c r="V20" s="756"/>
      <c r="W20" s="44"/>
      <c r="X20" s="320" t="n">
        <f aca="false">X19+1</f>
        <v>18</v>
      </c>
      <c r="Y20" s="320"/>
      <c r="Z20" s="320"/>
      <c r="AA20" s="320"/>
      <c r="AB20" s="320"/>
      <c r="AC20" s="320"/>
      <c r="AD20" s="320"/>
      <c r="AE20" s="320"/>
      <c r="AF20" s="320"/>
      <c r="AG20" s="320"/>
      <c r="AH20" s="320"/>
      <c r="AI20" s="320"/>
      <c r="AJ20" s="320"/>
      <c r="AK20" s="479"/>
      <c r="AL20" s="479"/>
      <c r="AM20" s="479"/>
      <c r="AN20" s="479"/>
      <c r="AO20" s="93"/>
      <c r="AP20" s="756"/>
      <c r="AQ20" s="756"/>
      <c r="AR20" s="756"/>
      <c r="AS20" s="756"/>
      <c r="AT20" s="756"/>
      <c r="AU20" s="756"/>
      <c r="AV20" s="756"/>
      <c r="AW20" s="756"/>
      <c r="AX20" s="756"/>
      <c r="AY20" s="756"/>
      <c r="AZ20" s="756"/>
      <c r="BA20" s="756"/>
      <c r="BB20" s="757"/>
      <c r="BC20" s="757"/>
      <c r="BD20" s="757"/>
      <c r="BE20" s="757"/>
      <c r="BF20" s="93"/>
      <c r="BG20" s="756" t="n">
        <v>0</v>
      </c>
      <c r="BH20" s="756" t="n">
        <v>0</v>
      </c>
      <c r="BI20" s="756" t="n">
        <v>0</v>
      </c>
      <c r="BJ20" s="756" t="n">
        <v>0</v>
      </c>
      <c r="BK20" s="756" t="n">
        <v>0</v>
      </c>
      <c r="BL20" s="756" t="n">
        <v>0</v>
      </c>
      <c r="BM20" s="756" t="n">
        <v>0</v>
      </c>
      <c r="BN20" s="756" t="n">
        <v>0</v>
      </c>
      <c r="BO20" s="756" t="n">
        <v>0</v>
      </c>
      <c r="BP20" s="756" t="n">
        <v>0</v>
      </c>
      <c r="BQ20" s="756"/>
      <c r="BR20" s="756"/>
      <c r="BS20" s="757"/>
      <c r="BT20" s="757"/>
      <c r="BU20" s="757"/>
      <c r="BV20" s="757"/>
      <c r="BW20" s="93"/>
      <c r="BX20" s="93"/>
      <c r="BY20" s="44" t="s">
        <v>2032</v>
      </c>
    </row>
    <row r="21" customFormat="false" ht="15.75" hidden="false" customHeight="false" outlineLevel="0" collapsed="false">
      <c r="A21" s="52" t="n">
        <f aca="false">A20+1</f>
        <v>19</v>
      </c>
      <c r="B21" s="314"/>
      <c r="C21" s="314"/>
      <c r="D21" s="320"/>
      <c r="E21" s="320"/>
      <c r="F21" s="320"/>
      <c r="G21" s="320"/>
      <c r="H21" s="320"/>
      <c r="I21" s="320"/>
      <c r="J21" s="320"/>
      <c r="K21" s="320"/>
      <c r="L21" s="50"/>
      <c r="M21" s="759"/>
      <c r="N21" s="759"/>
      <c r="O21" s="759"/>
      <c r="P21" s="759"/>
      <c r="Q21" s="759"/>
      <c r="R21" s="759"/>
      <c r="S21" s="759"/>
      <c r="T21" s="759"/>
      <c r="U21" s="754"/>
      <c r="V21" s="754"/>
      <c r="W21" s="44"/>
      <c r="X21" s="320" t="n">
        <f aca="false">X20+1</f>
        <v>19</v>
      </c>
      <c r="Y21" s="320"/>
      <c r="Z21" s="320"/>
      <c r="AA21" s="320"/>
      <c r="AB21" s="320"/>
      <c r="AC21" s="320"/>
      <c r="AD21" s="320"/>
      <c r="AE21" s="320"/>
      <c r="AF21" s="320"/>
      <c r="AG21" s="320"/>
      <c r="AH21" s="320"/>
      <c r="AI21" s="320"/>
      <c r="AJ21" s="320"/>
      <c r="AK21" s="479"/>
      <c r="AL21" s="479"/>
      <c r="AM21" s="479"/>
      <c r="AN21" s="479"/>
      <c r="AO21" s="93"/>
      <c r="AP21" s="754"/>
      <c r="AQ21" s="754"/>
      <c r="AR21" s="754"/>
      <c r="AS21" s="754"/>
      <c r="AT21" s="754"/>
      <c r="AU21" s="754"/>
      <c r="AV21" s="754"/>
      <c r="AW21" s="754"/>
      <c r="AX21" s="754"/>
      <c r="AY21" s="754"/>
      <c r="AZ21" s="754"/>
      <c r="BA21" s="754"/>
      <c r="BB21" s="755"/>
      <c r="BC21" s="755"/>
      <c r="BD21" s="755"/>
      <c r="BE21" s="755"/>
      <c r="BF21" s="93"/>
      <c r="BG21" s="754" t="n">
        <v>0</v>
      </c>
      <c r="BH21" s="754" t="n">
        <v>0</v>
      </c>
      <c r="BI21" s="754" t="n">
        <v>0</v>
      </c>
      <c r="BJ21" s="754" t="n">
        <v>0</v>
      </c>
      <c r="BK21" s="754" t="n">
        <v>0</v>
      </c>
      <c r="BL21" s="754" t="n">
        <v>0</v>
      </c>
      <c r="BM21" s="754" t="n">
        <v>0</v>
      </c>
      <c r="BN21" s="754" t="n">
        <v>0</v>
      </c>
      <c r="BO21" s="754" t="n">
        <v>0</v>
      </c>
      <c r="BP21" s="754" t="n">
        <v>0</v>
      </c>
      <c r="BQ21" s="754"/>
      <c r="BR21" s="754"/>
      <c r="BS21" s="755"/>
      <c r="BT21" s="755"/>
      <c r="BU21" s="755"/>
      <c r="BV21" s="755"/>
      <c r="BW21" s="93"/>
      <c r="BX21" s="93"/>
      <c r="BY21" s="44" t="s">
        <v>2031</v>
      </c>
    </row>
    <row r="22" customFormat="false" ht="15.75" hidden="false" customHeight="false" outlineLevel="0" collapsed="false">
      <c r="A22" s="52" t="n">
        <f aca="false">A21+1</f>
        <v>20</v>
      </c>
      <c r="B22" s="314"/>
      <c r="C22" s="314"/>
      <c r="D22" s="320"/>
      <c r="E22" s="320"/>
      <c r="F22" s="320"/>
      <c r="G22" s="320"/>
      <c r="H22" s="320"/>
      <c r="I22" s="320"/>
      <c r="J22" s="320"/>
      <c r="K22" s="320"/>
      <c r="L22" s="50"/>
      <c r="M22" s="758"/>
      <c r="N22" s="758"/>
      <c r="O22" s="758"/>
      <c r="P22" s="758"/>
      <c r="Q22" s="758"/>
      <c r="R22" s="758"/>
      <c r="S22" s="758"/>
      <c r="T22" s="758"/>
      <c r="U22" s="756"/>
      <c r="V22" s="756"/>
      <c r="W22" s="44"/>
      <c r="X22" s="320" t="n">
        <f aca="false">X21+1</f>
        <v>20</v>
      </c>
      <c r="Y22" s="320"/>
      <c r="Z22" s="320"/>
      <c r="AA22" s="320"/>
      <c r="AB22" s="320"/>
      <c r="AC22" s="320"/>
      <c r="AD22" s="320"/>
      <c r="AE22" s="320"/>
      <c r="AF22" s="320"/>
      <c r="AG22" s="320"/>
      <c r="AH22" s="320"/>
      <c r="AI22" s="320"/>
      <c r="AJ22" s="320"/>
      <c r="AK22" s="479"/>
      <c r="AL22" s="479"/>
      <c r="AM22" s="479"/>
      <c r="AN22" s="479"/>
      <c r="AO22" s="93"/>
      <c r="AP22" s="756"/>
      <c r="AQ22" s="756"/>
      <c r="AR22" s="756"/>
      <c r="AS22" s="756"/>
      <c r="AT22" s="756"/>
      <c r="AU22" s="756"/>
      <c r="AV22" s="756"/>
      <c r="AW22" s="756"/>
      <c r="AX22" s="756"/>
      <c r="AY22" s="756"/>
      <c r="AZ22" s="756"/>
      <c r="BA22" s="756"/>
      <c r="BB22" s="757"/>
      <c r="BC22" s="757"/>
      <c r="BD22" s="757"/>
      <c r="BE22" s="757"/>
      <c r="BF22" s="93"/>
      <c r="BG22" s="756" t="n">
        <v>0</v>
      </c>
      <c r="BH22" s="756" t="n">
        <v>0</v>
      </c>
      <c r="BI22" s="756" t="n">
        <v>0</v>
      </c>
      <c r="BJ22" s="756" t="n">
        <v>0</v>
      </c>
      <c r="BK22" s="756" t="n">
        <v>0</v>
      </c>
      <c r="BL22" s="756" t="n">
        <v>0</v>
      </c>
      <c r="BM22" s="756" t="n">
        <v>0</v>
      </c>
      <c r="BN22" s="756" t="n">
        <v>0</v>
      </c>
      <c r="BO22" s="756" t="n">
        <v>0</v>
      </c>
      <c r="BP22" s="756" t="n">
        <v>0</v>
      </c>
      <c r="BQ22" s="756"/>
      <c r="BR22" s="756"/>
      <c r="BS22" s="757"/>
      <c r="BT22" s="757"/>
      <c r="BU22" s="757"/>
      <c r="BV22" s="757"/>
      <c r="BW22" s="93"/>
      <c r="BX22" s="93"/>
      <c r="BY22" s="44" t="s">
        <v>2033</v>
      </c>
    </row>
    <row r="23" customFormat="false" ht="15.75" hidden="false" customHeight="false" outlineLevel="0" collapsed="false">
      <c r="A23" s="52" t="n">
        <f aca="false">A22+1</f>
        <v>21</v>
      </c>
      <c r="B23" s="314"/>
      <c r="C23" s="314"/>
      <c r="D23" s="320"/>
      <c r="E23" s="320"/>
      <c r="F23" s="320"/>
      <c r="G23" s="320"/>
      <c r="H23" s="320"/>
      <c r="I23" s="320"/>
      <c r="J23" s="320"/>
      <c r="K23" s="320"/>
      <c r="L23" s="50"/>
      <c r="M23" s="759"/>
      <c r="N23" s="759"/>
      <c r="O23" s="759"/>
      <c r="P23" s="759"/>
      <c r="Q23" s="759"/>
      <c r="R23" s="759"/>
      <c r="S23" s="759"/>
      <c r="T23" s="759"/>
      <c r="U23" s="754"/>
      <c r="V23" s="754"/>
      <c r="W23" s="44"/>
      <c r="X23" s="320" t="n">
        <f aca="false">X22+1</f>
        <v>21</v>
      </c>
      <c r="Y23" s="320"/>
      <c r="Z23" s="320"/>
      <c r="AA23" s="320"/>
      <c r="AB23" s="320"/>
      <c r="AC23" s="320"/>
      <c r="AD23" s="320"/>
      <c r="AE23" s="320"/>
      <c r="AF23" s="320"/>
      <c r="AG23" s="320"/>
      <c r="AH23" s="320"/>
      <c r="AI23" s="320"/>
      <c r="AJ23" s="320"/>
      <c r="AK23" s="479"/>
      <c r="AL23" s="479"/>
      <c r="AM23" s="479"/>
      <c r="AN23" s="479"/>
      <c r="AO23" s="93"/>
      <c r="AP23" s="754"/>
      <c r="AQ23" s="754"/>
      <c r="AR23" s="754"/>
      <c r="AS23" s="754"/>
      <c r="AT23" s="754"/>
      <c r="AU23" s="754"/>
      <c r="AV23" s="754"/>
      <c r="AW23" s="754"/>
      <c r="AX23" s="754"/>
      <c r="AY23" s="754"/>
      <c r="AZ23" s="754"/>
      <c r="BA23" s="754"/>
      <c r="BB23" s="755"/>
      <c r="BC23" s="755"/>
      <c r="BD23" s="755"/>
      <c r="BE23" s="755"/>
      <c r="BF23" s="93"/>
      <c r="BG23" s="754" t="n">
        <v>0</v>
      </c>
      <c r="BH23" s="754" t="n">
        <v>0</v>
      </c>
      <c r="BI23" s="754" t="n">
        <v>0</v>
      </c>
      <c r="BJ23" s="754" t="n">
        <v>0</v>
      </c>
      <c r="BK23" s="754" t="n">
        <v>0</v>
      </c>
      <c r="BL23" s="754" t="n">
        <v>0</v>
      </c>
      <c r="BM23" s="754" t="n">
        <v>0</v>
      </c>
      <c r="BN23" s="754" t="n">
        <v>0</v>
      </c>
      <c r="BO23" s="754" t="n">
        <v>0</v>
      </c>
      <c r="BP23" s="754" t="n">
        <v>0</v>
      </c>
      <c r="BQ23" s="754"/>
      <c r="BR23" s="754"/>
      <c r="BS23" s="755"/>
      <c r="BT23" s="755"/>
      <c r="BU23" s="755"/>
      <c r="BV23" s="755"/>
      <c r="BW23" s="93"/>
      <c r="BX23" s="93"/>
      <c r="BY23" s="44" t="s">
        <v>2029</v>
      </c>
    </row>
    <row r="24" customFormat="false" ht="15.75" hidden="false" customHeight="false" outlineLevel="0" collapsed="false">
      <c r="A24" s="52" t="n">
        <f aca="false">A23+1</f>
        <v>22</v>
      </c>
      <c r="B24" s="314"/>
      <c r="C24" s="314"/>
      <c r="D24" s="320"/>
      <c r="E24" s="320"/>
      <c r="F24" s="320"/>
      <c r="G24" s="320"/>
      <c r="H24" s="320"/>
      <c r="I24" s="320"/>
      <c r="J24" s="320"/>
      <c r="K24" s="320"/>
      <c r="L24" s="50"/>
      <c r="M24" s="758"/>
      <c r="N24" s="758"/>
      <c r="O24" s="758"/>
      <c r="P24" s="758"/>
      <c r="Q24" s="758"/>
      <c r="R24" s="758"/>
      <c r="S24" s="758"/>
      <c r="T24" s="758"/>
      <c r="U24" s="756"/>
      <c r="V24" s="756"/>
      <c r="W24" s="44"/>
      <c r="X24" s="320" t="n">
        <f aca="false">X23+1</f>
        <v>22</v>
      </c>
      <c r="Y24" s="320"/>
      <c r="Z24" s="320"/>
      <c r="AA24" s="320"/>
      <c r="AB24" s="320"/>
      <c r="AC24" s="320"/>
      <c r="AD24" s="320"/>
      <c r="AE24" s="320"/>
      <c r="AF24" s="320"/>
      <c r="AG24" s="320"/>
      <c r="AH24" s="320"/>
      <c r="AI24" s="320"/>
      <c r="AJ24" s="320"/>
      <c r="AK24" s="479"/>
      <c r="AL24" s="479"/>
      <c r="AM24" s="479"/>
      <c r="AN24" s="479"/>
      <c r="AO24" s="93"/>
      <c r="AP24" s="756"/>
      <c r="AQ24" s="756"/>
      <c r="AR24" s="756"/>
      <c r="AS24" s="756"/>
      <c r="AT24" s="756"/>
      <c r="AU24" s="756"/>
      <c r="AV24" s="756"/>
      <c r="AW24" s="756"/>
      <c r="AX24" s="756"/>
      <c r="AY24" s="756"/>
      <c r="AZ24" s="756"/>
      <c r="BA24" s="756"/>
      <c r="BB24" s="757"/>
      <c r="BC24" s="757"/>
      <c r="BD24" s="757"/>
      <c r="BE24" s="757"/>
      <c r="BF24" s="93"/>
      <c r="BG24" s="756" t="n">
        <v>0</v>
      </c>
      <c r="BH24" s="756" t="n">
        <v>0</v>
      </c>
      <c r="BI24" s="756" t="n">
        <v>0</v>
      </c>
      <c r="BJ24" s="756" t="n">
        <v>0</v>
      </c>
      <c r="BK24" s="756" t="n">
        <v>0</v>
      </c>
      <c r="BL24" s="756" t="n">
        <v>0</v>
      </c>
      <c r="BM24" s="756" t="n">
        <v>0</v>
      </c>
      <c r="BN24" s="756" t="n">
        <v>0</v>
      </c>
      <c r="BO24" s="756" t="n">
        <v>0</v>
      </c>
      <c r="BP24" s="756" t="n">
        <v>0</v>
      </c>
      <c r="BQ24" s="756"/>
      <c r="BR24" s="756"/>
      <c r="BS24" s="757"/>
      <c r="BT24" s="757"/>
      <c r="BU24" s="757"/>
      <c r="BV24" s="757"/>
      <c r="BW24" s="93"/>
      <c r="BX24" s="93"/>
      <c r="BY24" s="44" t="s">
        <v>2034</v>
      </c>
    </row>
    <row r="25" customFormat="false" ht="15.75" hidden="false" customHeight="false" outlineLevel="0" collapsed="false">
      <c r="A25" s="52" t="n">
        <f aca="false">A24+1</f>
        <v>23</v>
      </c>
      <c r="B25" s="320"/>
      <c r="C25" s="320"/>
      <c r="D25" s="320"/>
      <c r="E25" s="320"/>
      <c r="F25" s="320"/>
      <c r="G25" s="320"/>
      <c r="H25" s="320"/>
      <c r="I25" s="320"/>
      <c r="J25" s="320"/>
      <c r="K25" s="320"/>
      <c r="L25" s="50"/>
      <c r="M25" s="754"/>
      <c r="N25" s="754"/>
      <c r="O25" s="754"/>
      <c r="P25" s="754"/>
      <c r="Q25" s="754"/>
      <c r="R25" s="754"/>
      <c r="S25" s="754"/>
      <c r="T25" s="754"/>
      <c r="U25" s="754"/>
      <c r="V25" s="754"/>
      <c r="W25" s="44"/>
      <c r="X25" s="320" t="n">
        <f aca="false">X24+1</f>
        <v>23</v>
      </c>
      <c r="Y25" s="320"/>
      <c r="Z25" s="320"/>
      <c r="AA25" s="320"/>
      <c r="AB25" s="320"/>
      <c r="AC25" s="320"/>
      <c r="AD25" s="320"/>
      <c r="AE25" s="320"/>
      <c r="AF25" s="320"/>
      <c r="AG25" s="320"/>
      <c r="AH25" s="320"/>
      <c r="AI25" s="320"/>
      <c r="AJ25" s="320"/>
      <c r="AK25" s="479"/>
      <c r="AL25" s="479"/>
      <c r="AM25" s="479"/>
      <c r="AN25" s="479"/>
      <c r="AO25" s="93"/>
      <c r="AP25" s="754"/>
      <c r="AQ25" s="754"/>
      <c r="AR25" s="754"/>
      <c r="AS25" s="754"/>
      <c r="AT25" s="754"/>
      <c r="AU25" s="754"/>
      <c r="AV25" s="754"/>
      <c r="AW25" s="754"/>
      <c r="AX25" s="754"/>
      <c r="AY25" s="754"/>
      <c r="AZ25" s="754"/>
      <c r="BA25" s="754"/>
      <c r="BB25" s="755"/>
      <c r="BC25" s="755"/>
      <c r="BD25" s="755"/>
      <c r="BE25" s="755"/>
      <c r="BF25" s="93"/>
      <c r="BG25" s="754" t="n">
        <v>0</v>
      </c>
      <c r="BH25" s="754" t="n">
        <v>0</v>
      </c>
      <c r="BI25" s="754" t="n">
        <v>0</v>
      </c>
      <c r="BJ25" s="754" t="n">
        <v>0</v>
      </c>
      <c r="BK25" s="754" t="n">
        <v>0</v>
      </c>
      <c r="BL25" s="754" t="n">
        <v>0</v>
      </c>
      <c r="BM25" s="754" t="n">
        <v>0</v>
      </c>
      <c r="BN25" s="754" t="n">
        <v>0</v>
      </c>
      <c r="BO25" s="754" t="n">
        <v>0</v>
      </c>
      <c r="BP25" s="754" t="n">
        <v>0</v>
      </c>
      <c r="BQ25" s="754"/>
      <c r="BR25" s="754"/>
      <c r="BS25" s="755"/>
      <c r="BT25" s="755"/>
      <c r="BU25" s="755"/>
      <c r="BV25" s="755"/>
      <c r="BW25" s="93"/>
      <c r="BX25" s="93"/>
      <c r="BY25" s="44" t="s">
        <v>2035</v>
      </c>
    </row>
    <row r="26" customFormat="false" ht="15.75" hidden="false" customHeight="false" outlineLevel="0" collapsed="false">
      <c r="A26" s="52" t="n">
        <f aca="false">A25+1</f>
        <v>24</v>
      </c>
      <c r="B26" s="320"/>
      <c r="C26" s="320"/>
      <c r="D26" s="320"/>
      <c r="E26" s="320"/>
      <c r="F26" s="320"/>
      <c r="G26" s="320"/>
      <c r="H26" s="320"/>
      <c r="I26" s="320"/>
      <c r="J26" s="320"/>
      <c r="K26" s="320"/>
      <c r="L26" s="50"/>
      <c r="M26" s="756"/>
      <c r="N26" s="756"/>
      <c r="O26" s="756"/>
      <c r="P26" s="756"/>
      <c r="Q26" s="756"/>
      <c r="R26" s="756"/>
      <c r="S26" s="756"/>
      <c r="T26" s="756"/>
      <c r="U26" s="756"/>
      <c r="V26" s="756"/>
      <c r="W26" s="44"/>
      <c r="X26" s="320" t="n">
        <f aca="false">X25+1</f>
        <v>24</v>
      </c>
      <c r="Y26" s="320"/>
      <c r="Z26" s="320"/>
      <c r="AA26" s="320"/>
      <c r="AB26" s="320"/>
      <c r="AC26" s="320"/>
      <c r="AD26" s="320"/>
      <c r="AE26" s="320"/>
      <c r="AF26" s="320"/>
      <c r="AG26" s="320"/>
      <c r="AH26" s="320"/>
      <c r="AI26" s="320"/>
      <c r="AJ26" s="320"/>
      <c r="AK26" s="479"/>
      <c r="AL26" s="479"/>
      <c r="AM26" s="479"/>
      <c r="AN26" s="479"/>
      <c r="AO26" s="93"/>
      <c r="AP26" s="756"/>
      <c r="AQ26" s="756"/>
      <c r="AR26" s="756"/>
      <c r="AS26" s="756"/>
      <c r="AT26" s="756"/>
      <c r="AU26" s="756"/>
      <c r="AV26" s="756"/>
      <c r="AW26" s="756"/>
      <c r="AX26" s="756"/>
      <c r="AY26" s="756"/>
      <c r="AZ26" s="756"/>
      <c r="BA26" s="756"/>
      <c r="BB26" s="757"/>
      <c r="BC26" s="757"/>
      <c r="BD26" s="757"/>
      <c r="BE26" s="757"/>
      <c r="BF26" s="93"/>
      <c r="BG26" s="756" t="n">
        <v>0</v>
      </c>
      <c r="BH26" s="756" t="n">
        <v>0</v>
      </c>
      <c r="BI26" s="756" t="n">
        <v>0</v>
      </c>
      <c r="BJ26" s="756" t="n">
        <v>0</v>
      </c>
      <c r="BK26" s="756" t="n">
        <v>0</v>
      </c>
      <c r="BL26" s="756" t="n">
        <v>0</v>
      </c>
      <c r="BM26" s="756" t="n">
        <v>0</v>
      </c>
      <c r="BN26" s="756" t="n">
        <v>0</v>
      </c>
      <c r="BO26" s="756" t="n">
        <v>0</v>
      </c>
      <c r="BP26" s="756" t="n">
        <v>0</v>
      </c>
      <c r="BQ26" s="756"/>
      <c r="BR26" s="756"/>
      <c r="BS26" s="757"/>
      <c r="BT26" s="757"/>
      <c r="BU26" s="757"/>
      <c r="BV26" s="757"/>
      <c r="BW26" s="93"/>
      <c r="BX26" s="93"/>
      <c r="BY26" s="44" t="s">
        <v>2036</v>
      </c>
    </row>
    <row r="27" customFormat="false" ht="15.75" hidden="false" customHeight="false" outlineLevel="0" collapsed="false">
      <c r="A27" s="52" t="n">
        <f aca="false">A26+1</f>
        <v>25</v>
      </c>
      <c r="B27" s="320"/>
      <c r="C27" s="320"/>
      <c r="D27" s="320"/>
      <c r="E27" s="320"/>
      <c r="F27" s="320"/>
      <c r="G27" s="320"/>
      <c r="H27" s="320"/>
      <c r="I27" s="320"/>
      <c r="J27" s="320"/>
      <c r="K27" s="320"/>
      <c r="L27" s="50"/>
      <c r="M27" s="754"/>
      <c r="N27" s="754"/>
      <c r="O27" s="754"/>
      <c r="P27" s="754"/>
      <c r="Q27" s="754"/>
      <c r="R27" s="754"/>
      <c r="S27" s="754"/>
      <c r="T27" s="754"/>
      <c r="U27" s="754"/>
      <c r="V27" s="754"/>
      <c r="W27" s="44"/>
      <c r="X27" s="320" t="n">
        <f aca="false">X26+1</f>
        <v>25</v>
      </c>
      <c r="Y27" s="320"/>
      <c r="Z27" s="320"/>
      <c r="AA27" s="320"/>
      <c r="AB27" s="320"/>
      <c r="AC27" s="320"/>
      <c r="AD27" s="320"/>
      <c r="AE27" s="320"/>
      <c r="AF27" s="320"/>
      <c r="AG27" s="320"/>
      <c r="AH27" s="320"/>
      <c r="AI27" s="320"/>
      <c r="AJ27" s="320"/>
      <c r="AK27" s="479"/>
      <c r="AL27" s="479"/>
      <c r="AM27" s="479"/>
      <c r="AN27" s="479"/>
      <c r="AO27" s="93"/>
      <c r="AP27" s="754"/>
      <c r="AQ27" s="754"/>
      <c r="AR27" s="754"/>
      <c r="AS27" s="754"/>
      <c r="AT27" s="754"/>
      <c r="AU27" s="754"/>
      <c r="AV27" s="754"/>
      <c r="AW27" s="754"/>
      <c r="AX27" s="754"/>
      <c r="AY27" s="754"/>
      <c r="AZ27" s="754"/>
      <c r="BA27" s="754"/>
      <c r="BB27" s="755"/>
      <c r="BC27" s="755"/>
      <c r="BD27" s="755"/>
      <c r="BE27" s="755"/>
      <c r="BF27" s="93"/>
      <c r="BG27" s="754" t="n">
        <v>0</v>
      </c>
      <c r="BH27" s="754" t="n">
        <v>0</v>
      </c>
      <c r="BI27" s="754" t="n">
        <v>0</v>
      </c>
      <c r="BJ27" s="754" t="n">
        <v>0</v>
      </c>
      <c r="BK27" s="754" t="n">
        <v>0</v>
      </c>
      <c r="BL27" s="754" t="n">
        <v>0</v>
      </c>
      <c r="BM27" s="754" t="n">
        <v>0</v>
      </c>
      <c r="BN27" s="754" t="n">
        <v>0</v>
      </c>
      <c r="BO27" s="754" t="n">
        <v>0</v>
      </c>
      <c r="BP27" s="754" t="n">
        <v>0</v>
      </c>
      <c r="BQ27" s="754"/>
      <c r="BR27" s="754"/>
      <c r="BS27" s="755"/>
      <c r="BT27" s="755"/>
      <c r="BU27" s="755"/>
      <c r="BV27" s="755"/>
      <c r="BW27" s="93"/>
      <c r="BX27" s="93"/>
      <c r="BY27" s="44" t="s">
        <v>2037</v>
      </c>
    </row>
    <row r="28" customFormat="false" ht="15.75" hidden="false" customHeight="false" outlineLevel="0" collapsed="false">
      <c r="A28" s="52" t="n">
        <f aca="false">A27+1</f>
        <v>26</v>
      </c>
      <c r="B28" s="320"/>
      <c r="C28" s="320"/>
      <c r="D28" s="320"/>
      <c r="E28" s="320"/>
      <c r="F28" s="320"/>
      <c r="G28" s="320"/>
      <c r="H28" s="320"/>
      <c r="I28" s="320"/>
      <c r="J28" s="320"/>
      <c r="K28" s="320"/>
      <c r="L28" s="50"/>
      <c r="M28" s="756"/>
      <c r="N28" s="756"/>
      <c r="O28" s="756"/>
      <c r="P28" s="756"/>
      <c r="Q28" s="756"/>
      <c r="R28" s="756"/>
      <c r="S28" s="756"/>
      <c r="T28" s="756"/>
      <c r="U28" s="756"/>
      <c r="V28" s="756"/>
      <c r="W28" s="44"/>
      <c r="X28" s="320" t="n">
        <f aca="false">X27+1</f>
        <v>26</v>
      </c>
      <c r="Y28" s="320"/>
      <c r="Z28" s="320"/>
      <c r="AA28" s="320"/>
      <c r="AB28" s="320"/>
      <c r="AC28" s="320"/>
      <c r="AD28" s="320"/>
      <c r="AE28" s="320"/>
      <c r="AF28" s="320"/>
      <c r="AG28" s="320"/>
      <c r="AH28" s="320"/>
      <c r="AI28" s="320"/>
      <c r="AJ28" s="320"/>
      <c r="AK28" s="479"/>
      <c r="AL28" s="479"/>
      <c r="AM28" s="479"/>
      <c r="AN28" s="479"/>
      <c r="AO28" s="93"/>
      <c r="AP28" s="756"/>
      <c r="AQ28" s="756"/>
      <c r="AR28" s="756"/>
      <c r="AS28" s="756"/>
      <c r="AT28" s="756"/>
      <c r="AU28" s="756"/>
      <c r="AV28" s="756"/>
      <c r="AW28" s="756"/>
      <c r="AX28" s="756"/>
      <c r="AY28" s="756"/>
      <c r="AZ28" s="756"/>
      <c r="BA28" s="756"/>
      <c r="BB28" s="757"/>
      <c r="BC28" s="757"/>
      <c r="BD28" s="757"/>
      <c r="BE28" s="757"/>
      <c r="BF28" s="93"/>
      <c r="BG28" s="756" t="n">
        <v>0</v>
      </c>
      <c r="BH28" s="756" t="n">
        <v>0</v>
      </c>
      <c r="BI28" s="756" t="n">
        <v>0</v>
      </c>
      <c r="BJ28" s="756" t="n">
        <v>0</v>
      </c>
      <c r="BK28" s="756" t="n">
        <v>0</v>
      </c>
      <c r="BL28" s="756" t="n">
        <v>0</v>
      </c>
      <c r="BM28" s="756" t="n">
        <v>0</v>
      </c>
      <c r="BN28" s="756" t="n">
        <v>0</v>
      </c>
      <c r="BO28" s="756" t="n">
        <v>0</v>
      </c>
      <c r="BP28" s="756" t="n">
        <v>0</v>
      </c>
      <c r="BQ28" s="756"/>
      <c r="BR28" s="756"/>
      <c r="BS28" s="757"/>
      <c r="BT28" s="757"/>
      <c r="BU28" s="757"/>
      <c r="BV28" s="757"/>
      <c r="BW28" s="93"/>
      <c r="BX28" s="93"/>
      <c r="BY28" s="44"/>
    </row>
    <row r="29" customFormat="false" ht="15.75" hidden="false" customHeight="false" outlineLevel="0" collapsed="false">
      <c r="A29" s="52" t="n">
        <f aca="false">A28+1</f>
        <v>27</v>
      </c>
      <c r="B29" s="320"/>
      <c r="C29" s="320"/>
      <c r="D29" s="320"/>
      <c r="E29" s="320"/>
      <c r="F29" s="320"/>
      <c r="G29" s="320"/>
      <c r="H29" s="320"/>
      <c r="I29" s="320"/>
      <c r="J29" s="320"/>
      <c r="K29" s="320"/>
      <c r="L29" s="50"/>
      <c r="M29" s="754"/>
      <c r="N29" s="754"/>
      <c r="O29" s="754"/>
      <c r="P29" s="754"/>
      <c r="Q29" s="754"/>
      <c r="R29" s="754"/>
      <c r="S29" s="754"/>
      <c r="T29" s="754"/>
      <c r="U29" s="754"/>
      <c r="V29" s="754"/>
      <c r="W29" s="44"/>
      <c r="X29" s="320" t="n">
        <f aca="false">X28+1</f>
        <v>27</v>
      </c>
      <c r="Y29" s="320"/>
      <c r="Z29" s="320"/>
      <c r="AA29" s="320"/>
      <c r="AB29" s="320"/>
      <c r="AC29" s="320"/>
      <c r="AD29" s="320"/>
      <c r="AE29" s="320"/>
      <c r="AF29" s="320"/>
      <c r="AG29" s="320"/>
      <c r="AH29" s="320"/>
      <c r="AI29" s="320"/>
      <c r="AJ29" s="320"/>
      <c r="AK29" s="479"/>
      <c r="AL29" s="479"/>
      <c r="AM29" s="479"/>
      <c r="AN29" s="479"/>
      <c r="AO29" s="93"/>
      <c r="AP29" s="754"/>
      <c r="AQ29" s="754"/>
      <c r="AR29" s="754"/>
      <c r="AS29" s="754"/>
      <c r="AT29" s="754"/>
      <c r="AU29" s="754"/>
      <c r="AV29" s="754"/>
      <c r="AW29" s="754"/>
      <c r="AX29" s="754"/>
      <c r="AY29" s="754"/>
      <c r="AZ29" s="754"/>
      <c r="BA29" s="754"/>
      <c r="BB29" s="755"/>
      <c r="BC29" s="755"/>
      <c r="BD29" s="755"/>
      <c r="BE29" s="755"/>
      <c r="BF29" s="93"/>
      <c r="BG29" s="754" t="n">
        <v>0</v>
      </c>
      <c r="BH29" s="754" t="n">
        <v>0</v>
      </c>
      <c r="BI29" s="754" t="n">
        <v>0</v>
      </c>
      <c r="BJ29" s="754" t="n">
        <v>0</v>
      </c>
      <c r="BK29" s="754" t="n">
        <v>0</v>
      </c>
      <c r="BL29" s="754" t="n">
        <v>0</v>
      </c>
      <c r="BM29" s="754" t="n">
        <v>0</v>
      </c>
      <c r="BN29" s="754" t="n">
        <v>0</v>
      </c>
      <c r="BO29" s="754" t="n">
        <v>0</v>
      </c>
      <c r="BP29" s="754" t="n">
        <v>0</v>
      </c>
      <c r="BQ29" s="754"/>
      <c r="BR29" s="754"/>
      <c r="BS29" s="755"/>
      <c r="BT29" s="755"/>
      <c r="BU29" s="755"/>
      <c r="BV29" s="755"/>
      <c r="BW29" s="93"/>
      <c r="BX29" s="93"/>
      <c r="BY29" s="44"/>
    </row>
    <row r="30" customFormat="false" ht="15.75" hidden="false" customHeight="false" outlineLevel="0" collapsed="false">
      <c r="A30" s="52" t="n">
        <f aca="false">A29+1</f>
        <v>28</v>
      </c>
      <c r="B30" s="320"/>
      <c r="C30" s="320"/>
      <c r="D30" s="320"/>
      <c r="E30" s="320"/>
      <c r="F30" s="320"/>
      <c r="G30" s="320"/>
      <c r="H30" s="320"/>
      <c r="I30" s="320"/>
      <c r="J30" s="320"/>
      <c r="K30" s="320"/>
      <c r="L30" s="50"/>
      <c r="M30" s="756"/>
      <c r="N30" s="756"/>
      <c r="O30" s="756"/>
      <c r="P30" s="756"/>
      <c r="Q30" s="756"/>
      <c r="R30" s="756"/>
      <c r="S30" s="756"/>
      <c r="T30" s="756"/>
      <c r="U30" s="756"/>
      <c r="V30" s="756"/>
      <c r="W30" s="44"/>
      <c r="X30" s="320" t="n">
        <f aca="false">X29+1</f>
        <v>28</v>
      </c>
      <c r="Y30" s="320"/>
      <c r="Z30" s="320"/>
      <c r="AA30" s="320"/>
      <c r="AB30" s="320"/>
      <c r="AC30" s="320"/>
      <c r="AD30" s="320"/>
      <c r="AE30" s="320"/>
      <c r="AF30" s="320"/>
      <c r="AG30" s="320"/>
      <c r="AH30" s="320"/>
      <c r="AI30" s="320"/>
      <c r="AJ30" s="320"/>
      <c r="AK30" s="479"/>
      <c r="AL30" s="479"/>
      <c r="AM30" s="479"/>
      <c r="AN30" s="479"/>
      <c r="AO30" s="93"/>
      <c r="AP30" s="756"/>
      <c r="AQ30" s="756"/>
      <c r="AR30" s="756"/>
      <c r="AS30" s="756"/>
      <c r="AT30" s="756"/>
      <c r="AU30" s="756"/>
      <c r="AV30" s="756"/>
      <c r="AW30" s="756"/>
      <c r="AX30" s="756"/>
      <c r="AY30" s="756"/>
      <c r="AZ30" s="756"/>
      <c r="BA30" s="756"/>
      <c r="BB30" s="757"/>
      <c r="BC30" s="757"/>
      <c r="BD30" s="757"/>
      <c r="BE30" s="757"/>
      <c r="BF30" s="93"/>
      <c r="BG30" s="756" t="n">
        <v>0</v>
      </c>
      <c r="BH30" s="756" t="n">
        <v>0</v>
      </c>
      <c r="BI30" s="756" t="n">
        <v>0</v>
      </c>
      <c r="BJ30" s="756" t="n">
        <v>0</v>
      </c>
      <c r="BK30" s="756" t="n">
        <v>0</v>
      </c>
      <c r="BL30" s="756" t="n">
        <v>0</v>
      </c>
      <c r="BM30" s="756" t="n">
        <v>0</v>
      </c>
      <c r="BN30" s="756" t="n">
        <v>0</v>
      </c>
      <c r="BO30" s="756" t="n">
        <v>0</v>
      </c>
      <c r="BP30" s="756" t="n">
        <v>0</v>
      </c>
      <c r="BQ30" s="756"/>
      <c r="BR30" s="756"/>
      <c r="BS30" s="757"/>
      <c r="BT30" s="757"/>
      <c r="BU30" s="757"/>
      <c r="BV30" s="757"/>
      <c r="BW30" s="93"/>
      <c r="BX30" s="93"/>
      <c r="BY30" s="44"/>
    </row>
    <row r="31" customFormat="false" ht="15.75" hidden="false" customHeight="false" outlineLevel="0" collapsed="false">
      <c r="A31" s="52" t="n">
        <f aca="false">A30+1</f>
        <v>29</v>
      </c>
      <c r="B31" s="320"/>
      <c r="C31" s="320"/>
      <c r="D31" s="320"/>
      <c r="E31" s="320"/>
      <c r="F31" s="320"/>
      <c r="G31" s="320"/>
      <c r="H31" s="320"/>
      <c r="I31" s="320"/>
      <c r="J31" s="320"/>
      <c r="K31" s="320"/>
      <c r="L31" s="50"/>
      <c r="M31" s="754"/>
      <c r="N31" s="754"/>
      <c r="O31" s="754"/>
      <c r="P31" s="754"/>
      <c r="Q31" s="754"/>
      <c r="R31" s="754"/>
      <c r="S31" s="754"/>
      <c r="T31" s="754"/>
      <c r="U31" s="754"/>
      <c r="V31" s="754"/>
      <c r="W31" s="44"/>
      <c r="X31" s="320" t="n">
        <f aca="false">X30+1</f>
        <v>29</v>
      </c>
      <c r="Y31" s="320"/>
      <c r="Z31" s="320"/>
      <c r="AA31" s="320"/>
      <c r="AB31" s="320"/>
      <c r="AC31" s="320"/>
      <c r="AD31" s="320"/>
      <c r="AE31" s="320"/>
      <c r="AF31" s="320"/>
      <c r="AG31" s="320"/>
      <c r="AH31" s="320"/>
      <c r="AI31" s="320"/>
      <c r="AJ31" s="320"/>
      <c r="AK31" s="479"/>
      <c r="AL31" s="479"/>
      <c r="AM31" s="479"/>
      <c r="AN31" s="479"/>
      <c r="AO31" s="93"/>
      <c r="AP31" s="754"/>
      <c r="AQ31" s="754"/>
      <c r="AR31" s="754"/>
      <c r="AS31" s="754"/>
      <c r="AT31" s="754"/>
      <c r="AU31" s="754"/>
      <c r="AV31" s="754"/>
      <c r="AW31" s="754"/>
      <c r="AX31" s="754"/>
      <c r="AY31" s="754"/>
      <c r="AZ31" s="754"/>
      <c r="BA31" s="754"/>
      <c r="BB31" s="755"/>
      <c r="BC31" s="755"/>
      <c r="BD31" s="755"/>
      <c r="BE31" s="755"/>
      <c r="BF31" s="93"/>
      <c r="BG31" s="754" t="n">
        <v>0</v>
      </c>
      <c r="BH31" s="754" t="n">
        <v>0</v>
      </c>
      <c r="BI31" s="754" t="n">
        <v>0</v>
      </c>
      <c r="BJ31" s="754" t="n">
        <v>0</v>
      </c>
      <c r="BK31" s="754" t="n">
        <v>0</v>
      </c>
      <c r="BL31" s="754" t="n">
        <v>0</v>
      </c>
      <c r="BM31" s="754" t="n">
        <v>0</v>
      </c>
      <c r="BN31" s="754" t="n">
        <v>0</v>
      </c>
      <c r="BO31" s="754" t="n">
        <v>0</v>
      </c>
      <c r="BP31" s="754" t="n">
        <v>0</v>
      </c>
      <c r="BQ31" s="754"/>
      <c r="BR31" s="754"/>
      <c r="BS31" s="755"/>
      <c r="BT31" s="755"/>
      <c r="BU31" s="755"/>
      <c r="BV31" s="755"/>
      <c r="BW31" s="93"/>
      <c r="BX31" s="93"/>
      <c r="BY31" s="44"/>
    </row>
    <row r="32" customFormat="false" ht="15.75" hidden="false" customHeight="false" outlineLevel="0" collapsed="false">
      <c r="A32" s="52" t="n">
        <f aca="false">A31+1</f>
        <v>30</v>
      </c>
      <c r="B32" s="320"/>
      <c r="C32" s="320"/>
      <c r="D32" s="320"/>
      <c r="E32" s="320"/>
      <c r="F32" s="320"/>
      <c r="G32" s="320"/>
      <c r="H32" s="320"/>
      <c r="I32" s="320"/>
      <c r="J32" s="320"/>
      <c r="K32" s="320"/>
      <c r="L32" s="50"/>
      <c r="M32" s="756"/>
      <c r="N32" s="756"/>
      <c r="O32" s="756"/>
      <c r="P32" s="756"/>
      <c r="Q32" s="756"/>
      <c r="R32" s="756"/>
      <c r="S32" s="756"/>
      <c r="T32" s="756"/>
      <c r="U32" s="756"/>
      <c r="V32" s="756"/>
      <c r="W32" s="44"/>
      <c r="X32" s="320" t="n">
        <f aca="false">X31+1</f>
        <v>30</v>
      </c>
      <c r="Y32" s="320"/>
      <c r="Z32" s="320"/>
      <c r="AA32" s="320"/>
      <c r="AB32" s="320"/>
      <c r="AC32" s="320"/>
      <c r="AD32" s="320"/>
      <c r="AE32" s="320"/>
      <c r="AF32" s="320"/>
      <c r="AG32" s="320"/>
      <c r="AH32" s="320"/>
      <c r="AI32" s="320"/>
      <c r="AJ32" s="320"/>
      <c r="AK32" s="479"/>
      <c r="AL32" s="479"/>
      <c r="AM32" s="479"/>
      <c r="AN32" s="479"/>
      <c r="AO32" s="93"/>
      <c r="AP32" s="756"/>
      <c r="AQ32" s="756"/>
      <c r="AR32" s="756"/>
      <c r="AS32" s="756"/>
      <c r="AT32" s="756"/>
      <c r="AU32" s="756"/>
      <c r="AV32" s="756"/>
      <c r="AW32" s="756"/>
      <c r="AX32" s="756"/>
      <c r="AY32" s="756"/>
      <c r="AZ32" s="756"/>
      <c r="BA32" s="756"/>
      <c r="BB32" s="757"/>
      <c r="BC32" s="757"/>
      <c r="BD32" s="757"/>
      <c r="BE32" s="757"/>
      <c r="BF32" s="93"/>
      <c r="BG32" s="756" t="n">
        <v>0</v>
      </c>
      <c r="BH32" s="756" t="n">
        <v>0</v>
      </c>
      <c r="BI32" s="756" t="n">
        <v>0</v>
      </c>
      <c r="BJ32" s="756" t="n">
        <v>0</v>
      </c>
      <c r="BK32" s="756" t="n">
        <v>0</v>
      </c>
      <c r="BL32" s="756" t="n">
        <v>0</v>
      </c>
      <c r="BM32" s="756" t="n">
        <v>0</v>
      </c>
      <c r="BN32" s="756" t="n">
        <v>0</v>
      </c>
      <c r="BO32" s="756" t="n">
        <v>0</v>
      </c>
      <c r="BP32" s="756" t="n">
        <v>0</v>
      </c>
      <c r="BQ32" s="756"/>
      <c r="BR32" s="756"/>
      <c r="BS32" s="757"/>
      <c r="BT32" s="757"/>
      <c r="BU32" s="757"/>
      <c r="BV32" s="757"/>
      <c r="BW32" s="93"/>
      <c r="BX32" s="93"/>
      <c r="BY32" s="44"/>
    </row>
    <row r="33" customFormat="false" ht="15.75" hidden="false" customHeight="false" outlineLevel="0" collapsed="false">
      <c r="A33" s="52" t="n">
        <f aca="false">A32+1</f>
        <v>31</v>
      </c>
      <c r="B33" s="320"/>
      <c r="C33" s="320"/>
      <c r="D33" s="320"/>
      <c r="E33" s="320"/>
      <c r="F33" s="320"/>
      <c r="G33" s="320"/>
      <c r="H33" s="320"/>
      <c r="I33" s="320"/>
      <c r="J33" s="320"/>
      <c r="K33" s="320"/>
      <c r="L33" s="50"/>
      <c r="M33" s="754"/>
      <c r="N33" s="754"/>
      <c r="O33" s="754"/>
      <c r="P33" s="754"/>
      <c r="Q33" s="754"/>
      <c r="R33" s="754"/>
      <c r="S33" s="754"/>
      <c r="T33" s="754"/>
      <c r="U33" s="754"/>
      <c r="V33" s="754"/>
      <c r="W33" s="44"/>
      <c r="X33" s="320" t="n">
        <f aca="false">X32+1</f>
        <v>31</v>
      </c>
      <c r="Y33" s="320"/>
      <c r="Z33" s="320"/>
      <c r="AA33" s="320"/>
      <c r="AB33" s="320"/>
      <c r="AC33" s="320"/>
      <c r="AD33" s="320"/>
      <c r="AE33" s="320"/>
      <c r="AF33" s="320"/>
      <c r="AG33" s="320"/>
      <c r="AH33" s="320"/>
      <c r="AI33" s="320"/>
      <c r="AJ33" s="320"/>
      <c r="AK33" s="479"/>
      <c r="AL33" s="479"/>
      <c r="AM33" s="479"/>
      <c r="AN33" s="479"/>
      <c r="AO33" s="93"/>
      <c r="AP33" s="754"/>
      <c r="AQ33" s="754"/>
      <c r="AR33" s="754"/>
      <c r="AS33" s="754"/>
      <c r="AT33" s="754"/>
      <c r="AU33" s="754"/>
      <c r="AV33" s="754"/>
      <c r="AW33" s="754"/>
      <c r="AX33" s="754"/>
      <c r="AY33" s="754"/>
      <c r="AZ33" s="754"/>
      <c r="BA33" s="754"/>
      <c r="BB33" s="755"/>
      <c r="BC33" s="755"/>
      <c r="BD33" s="755"/>
      <c r="BE33" s="755"/>
      <c r="BF33" s="93"/>
      <c r="BG33" s="754" t="n">
        <v>0</v>
      </c>
      <c r="BH33" s="754" t="n">
        <v>0</v>
      </c>
      <c r="BI33" s="754" t="n">
        <v>0</v>
      </c>
      <c r="BJ33" s="754" t="n">
        <v>0</v>
      </c>
      <c r="BK33" s="754" t="n">
        <v>0</v>
      </c>
      <c r="BL33" s="754" t="n">
        <v>0</v>
      </c>
      <c r="BM33" s="754" t="n">
        <v>0</v>
      </c>
      <c r="BN33" s="754" t="n">
        <v>0</v>
      </c>
      <c r="BO33" s="754" t="n">
        <v>0</v>
      </c>
      <c r="BP33" s="754" t="n">
        <v>0</v>
      </c>
      <c r="BQ33" s="754"/>
      <c r="BR33" s="754"/>
      <c r="BS33" s="755"/>
      <c r="BT33" s="755"/>
      <c r="BU33" s="755"/>
      <c r="BV33" s="755"/>
      <c r="BW33" s="93"/>
      <c r="BX33" s="93"/>
      <c r="BY33" s="44"/>
    </row>
    <row r="34" customFormat="false" ht="15.75" hidden="false" customHeight="false" outlineLevel="0" collapsed="false">
      <c r="A34" s="52" t="n">
        <f aca="false">A33+1</f>
        <v>32</v>
      </c>
      <c r="B34" s="320"/>
      <c r="C34" s="320"/>
      <c r="D34" s="320"/>
      <c r="E34" s="320"/>
      <c r="F34" s="320"/>
      <c r="G34" s="320"/>
      <c r="H34" s="320"/>
      <c r="I34" s="320"/>
      <c r="J34" s="320"/>
      <c r="K34" s="320"/>
      <c r="L34" s="50"/>
      <c r="M34" s="756"/>
      <c r="N34" s="756"/>
      <c r="O34" s="756"/>
      <c r="P34" s="756"/>
      <c r="Q34" s="756"/>
      <c r="R34" s="756"/>
      <c r="S34" s="756"/>
      <c r="T34" s="756"/>
      <c r="U34" s="756"/>
      <c r="V34" s="756"/>
      <c r="W34" s="44"/>
      <c r="X34" s="320" t="n">
        <f aca="false">X33+1</f>
        <v>32</v>
      </c>
      <c r="Y34" s="320"/>
      <c r="Z34" s="320"/>
      <c r="AA34" s="320"/>
      <c r="AB34" s="320"/>
      <c r="AC34" s="320"/>
      <c r="AD34" s="320"/>
      <c r="AE34" s="320"/>
      <c r="AF34" s="320"/>
      <c r="AG34" s="320"/>
      <c r="AH34" s="320"/>
      <c r="AI34" s="320"/>
      <c r="AJ34" s="320"/>
      <c r="AK34" s="479"/>
      <c r="AL34" s="479"/>
      <c r="AM34" s="479"/>
      <c r="AN34" s="479"/>
      <c r="AO34" s="93"/>
      <c r="AP34" s="756"/>
      <c r="AQ34" s="756"/>
      <c r="AR34" s="756"/>
      <c r="AS34" s="756"/>
      <c r="AT34" s="756"/>
      <c r="AU34" s="756"/>
      <c r="AV34" s="756"/>
      <c r="AW34" s="756"/>
      <c r="AX34" s="756"/>
      <c r="AY34" s="756"/>
      <c r="AZ34" s="756"/>
      <c r="BA34" s="756"/>
      <c r="BB34" s="757"/>
      <c r="BC34" s="757"/>
      <c r="BD34" s="757"/>
      <c r="BE34" s="757"/>
      <c r="BF34" s="93"/>
      <c r="BG34" s="756" t="n">
        <v>0</v>
      </c>
      <c r="BH34" s="756" t="n">
        <v>0</v>
      </c>
      <c r="BI34" s="756" t="n">
        <v>0</v>
      </c>
      <c r="BJ34" s="756" t="n">
        <v>0</v>
      </c>
      <c r="BK34" s="756" t="n">
        <v>0</v>
      </c>
      <c r="BL34" s="756" t="n">
        <v>0</v>
      </c>
      <c r="BM34" s="756" t="n">
        <v>0</v>
      </c>
      <c r="BN34" s="756" t="n">
        <v>0</v>
      </c>
      <c r="BO34" s="756" t="n">
        <v>0</v>
      </c>
      <c r="BP34" s="756" t="n">
        <v>0</v>
      </c>
      <c r="BQ34" s="756"/>
      <c r="BR34" s="756"/>
      <c r="BS34" s="757"/>
      <c r="BT34" s="757"/>
      <c r="BU34" s="757"/>
      <c r="BV34" s="757"/>
      <c r="BW34" s="93"/>
      <c r="BX34" s="93"/>
      <c r="BY34" s="44"/>
    </row>
    <row r="35" customFormat="false" ht="15.75" hidden="false" customHeight="false" outlineLevel="0" collapsed="false">
      <c r="A35" s="52" t="n">
        <f aca="false">A34+1</f>
        <v>33</v>
      </c>
      <c r="B35" s="320"/>
      <c r="C35" s="320"/>
      <c r="D35" s="320"/>
      <c r="E35" s="320"/>
      <c r="F35" s="320"/>
      <c r="G35" s="320"/>
      <c r="H35" s="320"/>
      <c r="I35" s="320"/>
      <c r="J35" s="320"/>
      <c r="K35" s="320"/>
      <c r="L35" s="50"/>
      <c r="M35" s="754"/>
      <c r="N35" s="754"/>
      <c r="O35" s="754"/>
      <c r="P35" s="754"/>
      <c r="Q35" s="754"/>
      <c r="R35" s="754"/>
      <c r="S35" s="754"/>
      <c r="T35" s="754"/>
      <c r="U35" s="754"/>
      <c r="V35" s="754"/>
      <c r="W35" s="44"/>
      <c r="X35" s="320" t="n">
        <f aca="false">X34+1</f>
        <v>33</v>
      </c>
      <c r="Y35" s="320"/>
      <c r="Z35" s="320"/>
      <c r="AA35" s="320"/>
      <c r="AB35" s="320"/>
      <c r="AC35" s="320"/>
      <c r="AD35" s="320"/>
      <c r="AE35" s="320"/>
      <c r="AF35" s="320"/>
      <c r="AG35" s="320"/>
      <c r="AH35" s="320"/>
      <c r="AI35" s="320"/>
      <c r="AJ35" s="320"/>
      <c r="AK35" s="479"/>
      <c r="AL35" s="479"/>
      <c r="AM35" s="479"/>
      <c r="AN35" s="479"/>
      <c r="AO35" s="93"/>
      <c r="AP35" s="754"/>
      <c r="AQ35" s="754"/>
      <c r="AR35" s="754"/>
      <c r="AS35" s="754"/>
      <c r="AT35" s="754"/>
      <c r="AU35" s="754"/>
      <c r="AV35" s="754"/>
      <c r="AW35" s="754"/>
      <c r="AX35" s="754"/>
      <c r="AY35" s="754"/>
      <c r="AZ35" s="754"/>
      <c r="BA35" s="754"/>
      <c r="BB35" s="755"/>
      <c r="BC35" s="755"/>
      <c r="BD35" s="755"/>
      <c r="BE35" s="755"/>
      <c r="BF35" s="93"/>
      <c r="BG35" s="754" t="n">
        <v>0</v>
      </c>
      <c r="BH35" s="754" t="n">
        <v>0</v>
      </c>
      <c r="BI35" s="754" t="n">
        <v>0</v>
      </c>
      <c r="BJ35" s="754" t="n">
        <v>0</v>
      </c>
      <c r="BK35" s="754" t="n">
        <v>0</v>
      </c>
      <c r="BL35" s="754" t="n">
        <v>0</v>
      </c>
      <c r="BM35" s="754" t="n">
        <v>0</v>
      </c>
      <c r="BN35" s="754" t="n">
        <v>0</v>
      </c>
      <c r="BO35" s="754" t="n">
        <v>0</v>
      </c>
      <c r="BP35" s="754" t="n">
        <v>0</v>
      </c>
      <c r="BQ35" s="754"/>
      <c r="BR35" s="754"/>
      <c r="BS35" s="755"/>
      <c r="BT35" s="755"/>
      <c r="BU35" s="755"/>
      <c r="BV35" s="755"/>
      <c r="BW35" s="93"/>
      <c r="BX35" s="93"/>
      <c r="BY35" s="44"/>
    </row>
    <row r="36" customFormat="false" ht="15.75" hidden="false" customHeight="false" outlineLevel="0" collapsed="false">
      <c r="A36" s="52" t="n">
        <f aca="false">A35+1</f>
        <v>34</v>
      </c>
      <c r="B36" s="320"/>
      <c r="C36" s="320"/>
      <c r="D36" s="320"/>
      <c r="E36" s="320"/>
      <c r="F36" s="320"/>
      <c r="G36" s="320"/>
      <c r="H36" s="320"/>
      <c r="I36" s="320"/>
      <c r="J36" s="320"/>
      <c r="K36" s="320"/>
      <c r="L36" s="50"/>
      <c r="M36" s="756"/>
      <c r="N36" s="756"/>
      <c r="O36" s="756"/>
      <c r="P36" s="756"/>
      <c r="Q36" s="756"/>
      <c r="R36" s="756"/>
      <c r="S36" s="756"/>
      <c r="T36" s="756"/>
      <c r="U36" s="756"/>
      <c r="V36" s="756"/>
      <c r="W36" s="44"/>
      <c r="X36" s="320" t="n">
        <f aca="false">X35+1</f>
        <v>34</v>
      </c>
      <c r="Y36" s="320"/>
      <c r="Z36" s="320"/>
      <c r="AA36" s="320"/>
      <c r="AB36" s="320"/>
      <c r="AC36" s="320"/>
      <c r="AD36" s="320"/>
      <c r="AE36" s="320"/>
      <c r="AF36" s="320"/>
      <c r="AG36" s="320"/>
      <c r="AH36" s="320"/>
      <c r="AI36" s="320"/>
      <c r="AJ36" s="320"/>
      <c r="AK36" s="479"/>
      <c r="AL36" s="479"/>
      <c r="AM36" s="479"/>
      <c r="AN36" s="479"/>
      <c r="AO36" s="93"/>
      <c r="AP36" s="756"/>
      <c r="AQ36" s="756"/>
      <c r="AR36" s="756"/>
      <c r="AS36" s="756"/>
      <c r="AT36" s="756"/>
      <c r="AU36" s="756"/>
      <c r="AV36" s="756"/>
      <c r="AW36" s="756"/>
      <c r="AX36" s="756"/>
      <c r="AY36" s="756"/>
      <c r="AZ36" s="756"/>
      <c r="BA36" s="756"/>
      <c r="BB36" s="757"/>
      <c r="BC36" s="757"/>
      <c r="BD36" s="757"/>
      <c r="BE36" s="757"/>
      <c r="BF36" s="93"/>
      <c r="BG36" s="756" t="n">
        <v>0</v>
      </c>
      <c r="BH36" s="756" t="n">
        <v>0</v>
      </c>
      <c r="BI36" s="756" t="n">
        <v>0</v>
      </c>
      <c r="BJ36" s="756" t="n">
        <v>0</v>
      </c>
      <c r="BK36" s="756" t="n">
        <v>0</v>
      </c>
      <c r="BL36" s="756" t="n">
        <v>0</v>
      </c>
      <c r="BM36" s="756" t="n">
        <v>0</v>
      </c>
      <c r="BN36" s="756" t="n">
        <v>0</v>
      </c>
      <c r="BO36" s="756" t="n">
        <v>0</v>
      </c>
      <c r="BP36" s="756" t="n">
        <v>0</v>
      </c>
      <c r="BQ36" s="756"/>
      <c r="BR36" s="756"/>
      <c r="BS36" s="757"/>
      <c r="BT36" s="757"/>
      <c r="BU36" s="757"/>
      <c r="BV36" s="757"/>
      <c r="BW36" s="93"/>
      <c r="BX36" s="93"/>
      <c r="BY36" s="44"/>
    </row>
    <row r="37" customFormat="false" ht="15.75" hidden="false" customHeight="false" outlineLevel="0" collapsed="false">
      <c r="A37" s="52" t="n">
        <f aca="false">A36+1</f>
        <v>35</v>
      </c>
      <c r="B37" s="320"/>
      <c r="C37" s="320"/>
      <c r="D37" s="320"/>
      <c r="E37" s="320"/>
      <c r="F37" s="320"/>
      <c r="G37" s="320"/>
      <c r="H37" s="320"/>
      <c r="I37" s="320"/>
      <c r="J37" s="320"/>
      <c r="K37" s="320"/>
      <c r="L37" s="50"/>
      <c r="M37" s="754"/>
      <c r="N37" s="754"/>
      <c r="O37" s="754"/>
      <c r="P37" s="754"/>
      <c r="Q37" s="754"/>
      <c r="R37" s="754"/>
      <c r="S37" s="754"/>
      <c r="T37" s="754"/>
      <c r="U37" s="754"/>
      <c r="V37" s="754"/>
      <c r="W37" s="44"/>
      <c r="X37" s="320" t="n">
        <f aca="false">X36+1</f>
        <v>35</v>
      </c>
      <c r="Y37" s="320"/>
      <c r="Z37" s="320"/>
      <c r="AA37" s="320"/>
      <c r="AB37" s="320"/>
      <c r="AC37" s="320"/>
      <c r="AD37" s="320"/>
      <c r="AE37" s="320"/>
      <c r="AF37" s="320"/>
      <c r="AG37" s="320"/>
      <c r="AH37" s="320"/>
      <c r="AI37" s="320"/>
      <c r="AJ37" s="320"/>
      <c r="AK37" s="479"/>
      <c r="AL37" s="479"/>
      <c r="AM37" s="479"/>
      <c r="AN37" s="479"/>
      <c r="AO37" s="93"/>
      <c r="AP37" s="754"/>
      <c r="AQ37" s="754"/>
      <c r="AR37" s="754"/>
      <c r="AS37" s="754"/>
      <c r="AT37" s="754"/>
      <c r="AU37" s="754"/>
      <c r="AV37" s="754"/>
      <c r="AW37" s="754"/>
      <c r="AX37" s="754"/>
      <c r="AY37" s="754"/>
      <c r="AZ37" s="754"/>
      <c r="BA37" s="754"/>
      <c r="BB37" s="755"/>
      <c r="BC37" s="755"/>
      <c r="BD37" s="755"/>
      <c r="BE37" s="755"/>
      <c r="BF37" s="93"/>
      <c r="BG37" s="754" t="n">
        <v>0</v>
      </c>
      <c r="BH37" s="754" t="n">
        <v>0</v>
      </c>
      <c r="BI37" s="754" t="n">
        <v>0</v>
      </c>
      <c r="BJ37" s="754" t="n">
        <v>0</v>
      </c>
      <c r="BK37" s="754" t="n">
        <v>0</v>
      </c>
      <c r="BL37" s="754" t="n">
        <v>0</v>
      </c>
      <c r="BM37" s="754" t="n">
        <v>0</v>
      </c>
      <c r="BN37" s="754" t="n">
        <v>0</v>
      </c>
      <c r="BO37" s="754" t="n">
        <v>0</v>
      </c>
      <c r="BP37" s="754" t="n">
        <v>0</v>
      </c>
      <c r="BQ37" s="754"/>
      <c r="BR37" s="754"/>
      <c r="BS37" s="755"/>
      <c r="BT37" s="755"/>
      <c r="BU37" s="755"/>
      <c r="BV37" s="755"/>
      <c r="BW37" s="93"/>
      <c r="BX37" s="93"/>
      <c r="BY37" s="44"/>
    </row>
    <row r="38" customFormat="false" ht="15.75" hidden="false" customHeight="false" outlineLevel="0" collapsed="false">
      <c r="A38" s="52" t="n">
        <f aca="false">A37+1</f>
        <v>36</v>
      </c>
      <c r="B38" s="320"/>
      <c r="C38" s="320"/>
      <c r="D38" s="320"/>
      <c r="E38" s="320"/>
      <c r="F38" s="320"/>
      <c r="G38" s="320"/>
      <c r="H38" s="320"/>
      <c r="I38" s="320"/>
      <c r="J38" s="320"/>
      <c r="K38" s="320"/>
      <c r="L38" s="50"/>
      <c r="M38" s="756"/>
      <c r="N38" s="756"/>
      <c r="O38" s="756"/>
      <c r="P38" s="756"/>
      <c r="Q38" s="756"/>
      <c r="R38" s="756"/>
      <c r="S38" s="756"/>
      <c r="T38" s="756"/>
      <c r="U38" s="756"/>
      <c r="V38" s="756"/>
      <c r="W38" s="44"/>
      <c r="X38" s="320" t="n">
        <f aca="false">X37+1</f>
        <v>36</v>
      </c>
      <c r="Y38" s="320"/>
      <c r="Z38" s="320"/>
      <c r="AA38" s="320"/>
      <c r="AB38" s="320"/>
      <c r="AC38" s="320"/>
      <c r="AD38" s="320"/>
      <c r="AE38" s="320"/>
      <c r="AF38" s="320"/>
      <c r="AG38" s="320"/>
      <c r="AH38" s="320"/>
      <c r="AI38" s="320"/>
      <c r="AJ38" s="320"/>
      <c r="AK38" s="479"/>
      <c r="AL38" s="479"/>
      <c r="AM38" s="479"/>
      <c r="AN38" s="479"/>
      <c r="AO38" s="93"/>
      <c r="AP38" s="756"/>
      <c r="AQ38" s="756"/>
      <c r="AR38" s="756"/>
      <c r="AS38" s="756"/>
      <c r="AT38" s="756"/>
      <c r="AU38" s="756"/>
      <c r="AV38" s="756"/>
      <c r="AW38" s="756"/>
      <c r="AX38" s="756"/>
      <c r="AY38" s="756"/>
      <c r="AZ38" s="756"/>
      <c r="BA38" s="756"/>
      <c r="BB38" s="757"/>
      <c r="BC38" s="757"/>
      <c r="BD38" s="757"/>
      <c r="BE38" s="757"/>
      <c r="BF38" s="93"/>
      <c r="BG38" s="756" t="n">
        <v>0</v>
      </c>
      <c r="BH38" s="756" t="n">
        <v>0</v>
      </c>
      <c r="BI38" s="756" t="n">
        <v>0</v>
      </c>
      <c r="BJ38" s="756" t="n">
        <v>0</v>
      </c>
      <c r="BK38" s="756" t="n">
        <v>0</v>
      </c>
      <c r="BL38" s="756" t="n">
        <v>0</v>
      </c>
      <c r="BM38" s="756" t="n">
        <v>0</v>
      </c>
      <c r="BN38" s="756" t="n">
        <v>0</v>
      </c>
      <c r="BO38" s="756" t="n">
        <v>0</v>
      </c>
      <c r="BP38" s="756" t="n">
        <v>0</v>
      </c>
      <c r="BQ38" s="756"/>
      <c r="BR38" s="756"/>
      <c r="BS38" s="757"/>
      <c r="BT38" s="757"/>
      <c r="BU38" s="757"/>
      <c r="BV38" s="757"/>
      <c r="BW38" s="93"/>
      <c r="BX38" s="93"/>
      <c r="BY38" s="44"/>
    </row>
    <row r="39" customFormat="false" ht="15.75" hidden="false" customHeight="false" outlineLevel="0" collapsed="false">
      <c r="A39" s="52" t="n">
        <f aca="false">A38+1</f>
        <v>37</v>
      </c>
      <c r="B39" s="320"/>
      <c r="C39" s="320"/>
      <c r="D39" s="320"/>
      <c r="E39" s="320"/>
      <c r="F39" s="320"/>
      <c r="G39" s="320"/>
      <c r="H39" s="320"/>
      <c r="I39" s="320"/>
      <c r="J39" s="320"/>
      <c r="K39" s="320"/>
      <c r="L39" s="50"/>
      <c r="M39" s="754"/>
      <c r="N39" s="754"/>
      <c r="O39" s="754"/>
      <c r="P39" s="754"/>
      <c r="Q39" s="754"/>
      <c r="R39" s="754"/>
      <c r="S39" s="754"/>
      <c r="T39" s="754"/>
      <c r="U39" s="754"/>
      <c r="V39" s="754"/>
      <c r="W39" s="44"/>
      <c r="X39" s="320" t="n">
        <f aca="false">X38+1</f>
        <v>37</v>
      </c>
      <c r="Y39" s="320"/>
      <c r="Z39" s="320"/>
      <c r="AA39" s="320"/>
      <c r="AB39" s="320"/>
      <c r="AC39" s="320"/>
      <c r="AD39" s="320"/>
      <c r="AE39" s="320"/>
      <c r="AF39" s="320"/>
      <c r="AG39" s="320"/>
      <c r="AH39" s="320"/>
      <c r="AI39" s="320"/>
      <c r="AJ39" s="320"/>
      <c r="AK39" s="479"/>
      <c r="AL39" s="479"/>
      <c r="AM39" s="479"/>
      <c r="AN39" s="479"/>
      <c r="AO39" s="93"/>
      <c r="AP39" s="754"/>
      <c r="AQ39" s="754"/>
      <c r="AR39" s="754"/>
      <c r="AS39" s="754"/>
      <c r="AT39" s="754"/>
      <c r="AU39" s="754"/>
      <c r="AV39" s="754"/>
      <c r="AW39" s="754"/>
      <c r="AX39" s="754"/>
      <c r="AY39" s="754"/>
      <c r="AZ39" s="754"/>
      <c r="BA39" s="754"/>
      <c r="BB39" s="755"/>
      <c r="BC39" s="755"/>
      <c r="BD39" s="755"/>
      <c r="BE39" s="755"/>
      <c r="BF39" s="93"/>
      <c r="BG39" s="754" t="n">
        <v>0</v>
      </c>
      <c r="BH39" s="754" t="n">
        <v>0</v>
      </c>
      <c r="BI39" s="754" t="n">
        <v>0</v>
      </c>
      <c r="BJ39" s="754" t="n">
        <v>0</v>
      </c>
      <c r="BK39" s="754" t="n">
        <v>0</v>
      </c>
      <c r="BL39" s="754" t="n">
        <v>0</v>
      </c>
      <c r="BM39" s="754" t="n">
        <v>0</v>
      </c>
      <c r="BN39" s="754" t="n">
        <v>0</v>
      </c>
      <c r="BO39" s="754" t="n">
        <v>0</v>
      </c>
      <c r="BP39" s="754" t="n">
        <v>0</v>
      </c>
      <c r="BQ39" s="754"/>
      <c r="BR39" s="754"/>
      <c r="BS39" s="755"/>
      <c r="BT39" s="755"/>
      <c r="BU39" s="755"/>
      <c r="BV39" s="755"/>
      <c r="BW39" s="93"/>
      <c r="BX39" s="93"/>
      <c r="BY39" s="44"/>
    </row>
    <row r="40" customFormat="false" ht="15.75" hidden="false" customHeight="false" outlineLevel="0" collapsed="false">
      <c r="A40" s="52" t="n">
        <f aca="false">A39+1</f>
        <v>38</v>
      </c>
      <c r="B40" s="320"/>
      <c r="C40" s="320"/>
      <c r="D40" s="320"/>
      <c r="E40" s="320"/>
      <c r="F40" s="320"/>
      <c r="G40" s="320"/>
      <c r="H40" s="320"/>
      <c r="I40" s="320"/>
      <c r="J40" s="320"/>
      <c r="K40" s="320"/>
      <c r="L40" s="50"/>
      <c r="M40" s="756"/>
      <c r="N40" s="756"/>
      <c r="O40" s="756"/>
      <c r="P40" s="756"/>
      <c r="Q40" s="756"/>
      <c r="R40" s="756"/>
      <c r="S40" s="756"/>
      <c r="T40" s="756"/>
      <c r="U40" s="756"/>
      <c r="V40" s="756"/>
      <c r="W40" s="44"/>
      <c r="X40" s="320" t="n">
        <f aca="false">X39+1</f>
        <v>38</v>
      </c>
      <c r="Y40" s="320"/>
      <c r="Z40" s="320"/>
      <c r="AA40" s="320"/>
      <c r="AB40" s="320"/>
      <c r="AC40" s="320"/>
      <c r="AD40" s="320"/>
      <c r="AE40" s="320"/>
      <c r="AF40" s="320"/>
      <c r="AG40" s="320"/>
      <c r="AH40" s="320"/>
      <c r="AI40" s="320"/>
      <c r="AJ40" s="320"/>
      <c r="AK40" s="479"/>
      <c r="AL40" s="479"/>
      <c r="AM40" s="479"/>
      <c r="AN40" s="479"/>
      <c r="AO40" s="93"/>
      <c r="AP40" s="756"/>
      <c r="AQ40" s="756"/>
      <c r="AR40" s="756"/>
      <c r="AS40" s="756"/>
      <c r="AT40" s="756"/>
      <c r="AU40" s="756"/>
      <c r="AV40" s="756"/>
      <c r="AW40" s="756"/>
      <c r="AX40" s="756"/>
      <c r="AY40" s="756"/>
      <c r="AZ40" s="756"/>
      <c r="BA40" s="756"/>
      <c r="BB40" s="757"/>
      <c r="BC40" s="757"/>
      <c r="BD40" s="757"/>
      <c r="BE40" s="757"/>
      <c r="BF40" s="93"/>
      <c r="BG40" s="756" t="n">
        <v>0</v>
      </c>
      <c r="BH40" s="756" t="n">
        <v>0</v>
      </c>
      <c r="BI40" s="756" t="n">
        <v>0</v>
      </c>
      <c r="BJ40" s="756" t="n">
        <v>0</v>
      </c>
      <c r="BK40" s="756" t="n">
        <v>0</v>
      </c>
      <c r="BL40" s="756" t="n">
        <v>0</v>
      </c>
      <c r="BM40" s="756" t="n">
        <v>0</v>
      </c>
      <c r="BN40" s="756" t="n">
        <v>0</v>
      </c>
      <c r="BO40" s="756" t="n">
        <v>0</v>
      </c>
      <c r="BP40" s="756" t="n">
        <v>0</v>
      </c>
      <c r="BQ40" s="756"/>
      <c r="BR40" s="756"/>
      <c r="BS40" s="757"/>
      <c r="BT40" s="757"/>
      <c r="BU40" s="757"/>
      <c r="BV40" s="757"/>
      <c r="BW40" s="93"/>
      <c r="BX40" s="93"/>
      <c r="BY40" s="44"/>
    </row>
    <row r="41" customFormat="false" ht="15.75" hidden="false" customHeight="false" outlineLevel="0" collapsed="false">
      <c r="A41" s="52" t="n">
        <f aca="false">A40+1</f>
        <v>39</v>
      </c>
      <c r="B41" s="320"/>
      <c r="C41" s="320"/>
      <c r="D41" s="320"/>
      <c r="E41" s="320"/>
      <c r="F41" s="320"/>
      <c r="G41" s="320"/>
      <c r="H41" s="320"/>
      <c r="I41" s="320"/>
      <c r="J41" s="320"/>
      <c r="K41" s="320"/>
      <c r="L41" s="50"/>
      <c r="M41" s="754"/>
      <c r="N41" s="754"/>
      <c r="O41" s="754"/>
      <c r="P41" s="754"/>
      <c r="Q41" s="754"/>
      <c r="R41" s="754"/>
      <c r="S41" s="754"/>
      <c r="T41" s="754"/>
      <c r="U41" s="754"/>
      <c r="V41" s="754"/>
      <c r="W41" s="44"/>
      <c r="X41" s="320" t="n">
        <f aca="false">X40+1</f>
        <v>39</v>
      </c>
      <c r="Y41" s="320"/>
      <c r="Z41" s="320"/>
      <c r="AA41" s="320"/>
      <c r="AB41" s="320"/>
      <c r="AC41" s="320"/>
      <c r="AD41" s="320"/>
      <c r="AE41" s="320"/>
      <c r="AF41" s="320"/>
      <c r="AG41" s="320"/>
      <c r="AH41" s="320"/>
      <c r="AI41" s="320"/>
      <c r="AJ41" s="320"/>
      <c r="AK41" s="479"/>
      <c r="AL41" s="479"/>
      <c r="AM41" s="479"/>
      <c r="AN41" s="479"/>
      <c r="AO41" s="93"/>
      <c r="AP41" s="754"/>
      <c r="AQ41" s="754"/>
      <c r="AR41" s="754"/>
      <c r="AS41" s="754"/>
      <c r="AT41" s="754"/>
      <c r="AU41" s="754"/>
      <c r="AV41" s="754"/>
      <c r="AW41" s="754"/>
      <c r="AX41" s="754"/>
      <c r="AY41" s="754"/>
      <c r="AZ41" s="754"/>
      <c r="BA41" s="754"/>
      <c r="BB41" s="755"/>
      <c r="BC41" s="755"/>
      <c r="BD41" s="755"/>
      <c r="BE41" s="755"/>
      <c r="BF41" s="93"/>
      <c r="BG41" s="754" t="n">
        <v>0</v>
      </c>
      <c r="BH41" s="754" t="n">
        <v>0</v>
      </c>
      <c r="BI41" s="754" t="n">
        <v>0</v>
      </c>
      <c r="BJ41" s="754" t="n">
        <v>0</v>
      </c>
      <c r="BK41" s="754" t="n">
        <v>0</v>
      </c>
      <c r="BL41" s="754" t="n">
        <v>0</v>
      </c>
      <c r="BM41" s="754" t="n">
        <v>0</v>
      </c>
      <c r="BN41" s="754" t="n">
        <v>0</v>
      </c>
      <c r="BO41" s="754" t="n">
        <v>0</v>
      </c>
      <c r="BP41" s="754" t="n">
        <v>0</v>
      </c>
      <c r="BQ41" s="754"/>
      <c r="BR41" s="754"/>
      <c r="BS41" s="755"/>
      <c r="BT41" s="755"/>
      <c r="BU41" s="755"/>
      <c r="BV41" s="755"/>
      <c r="BW41" s="93"/>
      <c r="BX41" s="93"/>
      <c r="BY41" s="44"/>
    </row>
    <row r="42" customFormat="false" ht="15.75" hidden="false" customHeight="false" outlineLevel="0" collapsed="false">
      <c r="A42" s="52" t="n">
        <f aca="false">A41+1</f>
        <v>40</v>
      </c>
      <c r="B42" s="320"/>
      <c r="C42" s="320"/>
      <c r="D42" s="320"/>
      <c r="E42" s="320"/>
      <c r="F42" s="320"/>
      <c r="G42" s="320"/>
      <c r="H42" s="320"/>
      <c r="I42" s="320"/>
      <c r="J42" s="320"/>
      <c r="K42" s="320"/>
      <c r="L42" s="50"/>
      <c r="M42" s="756"/>
      <c r="N42" s="756"/>
      <c r="O42" s="756"/>
      <c r="P42" s="756"/>
      <c r="Q42" s="756"/>
      <c r="R42" s="756"/>
      <c r="S42" s="756"/>
      <c r="T42" s="756"/>
      <c r="U42" s="756"/>
      <c r="V42" s="756"/>
      <c r="W42" s="44"/>
      <c r="X42" s="320" t="n">
        <f aca="false">X41+1</f>
        <v>40</v>
      </c>
      <c r="Y42" s="320"/>
      <c r="Z42" s="320"/>
      <c r="AA42" s="320"/>
      <c r="AB42" s="320"/>
      <c r="AC42" s="320"/>
      <c r="AD42" s="320"/>
      <c r="AE42" s="320"/>
      <c r="AF42" s="320"/>
      <c r="AG42" s="320"/>
      <c r="AH42" s="320"/>
      <c r="AI42" s="320"/>
      <c r="AJ42" s="320"/>
      <c r="AK42" s="479"/>
      <c r="AL42" s="479"/>
      <c r="AM42" s="479"/>
      <c r="AN42" s="479"/>
      <c r="AO42" s="93"/>
      <c r="AP42" s="756"/>
      <c r="AQ42" s="756"/>
      <c r="AR42" s="756"/>
      <c r="AS42" s="756"/>
      <c r="AT42" s="756"/>
      <c r="AU42" s="756"/>
      <c r="AV42" s="756"/>
      <c r="AW42" s="756"/>
      <c r="AX42" s="756"/>
      <c r="AY42" s="756"/>
      <c r="AZ42" s="756"/>
      <c r="BA42" s="756"/>
      <c r="BB42" s="757"/>
      <c r="BC42" s="757"/>
      <c r="BD42" s="757"/>
      <c r="BE42" s="757"/>
      <c r="BF42" s="93"/>
      <c r="BG42" s="756" t="n">
        <v>0</v>
      </c>
      <c r="BH42" s="756" t="n">
        <v>0</v>
      </c>
      <c r="BI42" s="756" t="n">
        <v>0</v>
      </c>
      <c r="BJ42" s="756" t="n">
        <v>0</v>
      </c>
      <c r="BK42" s="756" t="n">
        <v>0</v>
      </c>
      <c r="BL42" s="756" t="n">
        <v>0</v>
      </c>
      <c r="BM42" s="756" t="n">
        <v>0</v>
      </c>
      <c r="BN42" s="756" t="n">
        <v>0</v>
      </c>
      <c r="BO42" s="756" t="n">
        <v>0</v>
      </c>
      <c r="BP42" s="756" t="n">
        <v>0</v>
      </c>
      <c r="BQ42" s="756"/>
      <c r="BR42" s="756"/>
      <c r="BS42" s="757"/>
      <c r="BT42" s="757"/>
      <c r="BU42" s="757"/>
      <c r="BV42" s="757"/>
      <c r="BW42" s="93"/>
      <c r="BX42" s="93"/>
      <c r="BY42" s="44"/>
    </row>
    <row r="43" customFormat="false" ht="15.75" hidden="false" customHeight="false" outlineLevel="0" collapsed="false">
      <c r="A43" s="52" t="n">
        <f aca="false">A42+1</f>
        <v>41</v>
      </c>
      <c r="B43" s="320"/>
      <c r="C43" s="320"/>
      <c r="D43" s="320"/>
      <c r="E43" s="320"/>
      <c r="F43" s="320"/>
      <c r="G43" s="320"/>
      <c r="H43" s="320"/>
      <c r="I43" s="320"/>
      <c r="J43" s="320"/>
      <c r="K43" s="320"/>
      <c r="L43" s="50"/>
      <c r="M43" s="754"/>
      <c r="N43" s="754"/>
      <c r="O43" s="754"/>
      <c r="P43" s="754"/>
      <c r="Q43" s="754"/>
      <c r="R43" s="754"/>
      <c r="S43" s="754"/>
      <c r="T43" s="754"/>
      <c r="U43" s="754"/>
      <c r="V43" s="754"/>
      <c r="W43" s="44"/>
      <c r="X43" s="320" t="n">
        <f aca="false">X42+1</f>
        <v>41</v>
      </c>
      <c r="Y43" s="320"/>
      <c r="Z43" s="320"/>
      <c r="AA43" s="320"/>
      <c r="AB43" s="320"/>
      <c r="AC43" s="320"/>
      <c r="AD43" s="320"/>
      <c r="AE43" s="320"/>
      <c r="AF43" s="320"/>
      <c r="AG43" s="320"/>
      <c r="AH43" s="320"/>
      <c r="AI43" s="320"/>
      <c r="AJ43" s="320"/>
      <c r="AK43" s="479"/>
      <c r="AL43" s="479"/>
      <c r="AM43" s="479"/>
      <c r="AN43" s="479"/>
      <c r="AO43" s="93"/>
      <c r="AP43" s="754"/>
      <c r="AQ43" s="754"/>
      <c r="AR43" s="754"/>
      <c r="AS43" s="754"/>
      <c r="AT43" s="754"/>
      <c r="AU43" s="754"/>
      <c r="AV43" s="754"/>
      <c r="AW43" s="754"/>
      <c r="AX43" s="754"/>
      <c r="AY43" s="754"/>
      <c r="AZ43" s="754"/>
      <c r="BA43" s="754"/>
      <c r="BB43" s="755"/>
      <c r="BC43" s="755"/>
      <c r="BD43" s="755"/>
      <c r="BE43" s="755"/>
      <c r="BF43" s="93"/>
      <c r="BG43" s="754" t="n">
        <v>0</v>
      </c>
      <c r="BH43" s="754" t="n">
        <v>0</v>
      </c>
      <c r="BI43" s="754" t="n">
        <v>0</v>
      </c>
      <c r="BJ43" s="754" t="n">
        <v>0</v>
      </c>
      <c r="BK43" s="754" t="n">
        <v>0</v>
      </c>
      <c r="BL43" s="754" t="n">
        <v>0</v>
      </c>
      <c r="BM43" s="754" t="n">
        <v>0</v>
      </c>
      <c r="BN43" s="754" t="n">
        <v>0</v>
      </c>
      <c r="BO43" s="754" t="n">
        <v>0</v>
      </c>
      <c r="BP43" s="754" t="n">
        <v>0</v>
      </c>
      <c r="BQ43" s="754"/>
      <c r="BR43" s="754"/>
      <c r="BS43" s="755"/>
      <c r="BT43" s="755"/>
      <c r="BU43" s="755"/>
      <c r="BV43" s="755"/>
      <c r="BW43" s="93"/>
      <c r="BX43" s="93"/>
      <c r="BY43" s="44"/>
    </row>
    <row r="44" customFormat="false" ht="15.75" hidden="false" customHeight="false" outlineLevel="0" collapsed="false">
      <c r="A44" s="52" t="n">
        <f aca="false">A43+1</f>
        <v>42</v>
      </c>
      <c r="B44" s="320"/>
      <c r="C44" s="320"/>
      <c r="D44" s="320"/>
      <c r="E44" s="320"/>
      <c r="F44" s="320"/>
      <c r="G44" s="320"/>
      <c r="H44" s="320"/>
      <c r="I44" s="320"/>
      <c r="J44" s="320"/>
      <c r="K44" s="320"/>
      <c r="L44" s="50"/>
      <c r="M44" s="756"/>
      <c r="N44" s="756"/>
      <c r="O44" s="756"/>
      <c r="P44" s="756"/>
      <c r="Q44" s="756"/>
      <c r="R44" s="756"/>
      <c r="S44" s="756"/>
      <c r="T44" s="756"/>
      <c r="U44" s="756"/>
      <c r="V44" s="756"/>
      <c r="W44" s="44"/>
      <c r="X44" s="320" t="n">
        <f aca="false">X43+1</f>
        <v>42</v>
      </c>
      <c r="Y44" s="320"/>
      <c r="Z44" s="320"/>
      <c r="AA44" s="320"/>
      <c r="AB44" s="320"/>
      <c r="AC44" s="320"/>
      <c r="AD44" s="320"/>
      <c r="AE44" s="320"/>
      <c r="AF44" s="320"/>
      <c r="AG44" s="320"/>
      <c r="AH44" s="320"/>
      <c r="AI44" s="320"/>
      <c r="AJ44" s="320"/>
      <c r="AK44" s="479"/>
      <c r="AL44" s="479"/>
      <c r="AM44" s="479"/>
      <c r="AN44" s="479"/>
      <c r="AO44" s="93"/>
      <c r="AP44" s="756"/>
      <c r="AQ44" s="756"/>
      <c r="AR44" s="756"/>
      <c r="AS44" s="756"/>
      <c r="AT44" s="756"/>
      <c r="AU44" s="756"/>
      <c r="AV44" s="756"/>
      <c r="AW44" s="756"/>
      <c r="AX44" s="756"/>
      <c r="AY44" s="756"/>
      <c r="AZ44" s="756"/>
      <c r="BA44" s="756"/>
      <c r="BB44" s="757"/>
      <c r="BC44" s="757"/>
      <c r="BD44" s="757"/>
      <c r="BE44" s="757"/>
      <c r="BF44" s="93"/>
      <c r="BG44" s="756" t="n">
        <v>0</v>
      </c>
      <c r="BH44" s="756" t="n">
        <v>0</v>
      </c>
      <c r="BI44" s="756" t="n">
        <v>0</v>
      </c>
      <c r="BJ44" s="756" t="n">
        <v>0</v>
      </c>
      <c r="BK44" s="756" t="n">
        <v>0</v>
      </c>
      <c r="BL44" s="756" t="n">
        <v>0</v>
      </c>
      <c r="BM44" s="756" t="n">
        <v>0</v>
      </c>
      <c r="BN44" s="756" t="n">
        <v>0</v>
      </c>
      <c r="BO44" s="756" t="n">
        <v>0</v>
      </c>
      <c r="BP44" s="756" t="n">
        <v>0</v>
      </c>
      <c r="BQ44" s="756"/>
      <c r="BR44" s="756"/>
      <c r="BS44" s="757"/>
      <c r="BT44" s="757"/>
      <c r="BU44" s="757"/>
      <c r="BV44" s="757"/>
      <c r="BW44" s="93"/>
      <c r="BX44" s="93"/>
      <c r="BY44" s="44"/>
    </row>
    <row r="45" customFormat="false" ht="15.75" hidden="false" customHeight="false" outlineLevel="0" collapsed="false">
      <c r="A45" s="52" t="n">
        <f aca="false">A44+1</f>
        <v>43</v>
      </c>
      <c r="B45" s="320"/>
      <c r="C45" s="320"/>
      <c r="D45" s="320"/>
      <c r="E45" s="320"/>
      <c r="F45" s="320"/>
      <c r="G45" s="320"/>
      <c r="H45" s="320"/>
      <c r="I45" s="320"/>
      <c r="J45" s="320"/>
      <c r="K45" s="320"/>
      <c r="L45" s="50"/>
      <c r="M45" s="754"/>
      <c r="N45" s="754"/>
      <c r="O45" s="754"/>
      <c r="P45" s="754"/>
      <c r="Q45" s="754"/>
      <c r="R45" s="754"/>
      <c r="S45" s="754"/>
      <c r="T45" s="754"/>
      <c r="U45" s="754"/>
      <c r="V45" s="754"/>
      <c r="W45" s="44"/>
      <c r="X45" s="320" t="n">
        <f aca="false">X44+1</f>
        <v>43</v>
      </c>
      <c r="Y45" s="320"/>
      <c r="Z45" s="320"/>
      <c r="AA45" s="320"/>
      <c r="AB45" s="320"/>
      <c r="AC45" s="320"/>
      <c r="AD45" s="320"/>
      <c r="AE45" s="320"/>
      <c r="AF45" s="320"/>
      <c r="AG45" s="320"/>
      <c r="AH45" s="320"/>
      <c r="AI45" s="320"/>
      <c r="AJ45" s="320"/>
      <c r="AK45" s="479"/>
      <c r="AL45" s="479"/>
      <c r="AM45" s="479"/>
      <c r="AN45" s="479"/>
      <c r="AO45" s="93"/>
      <c r="AP45" s="754"/>
      <c r="AQ45" s="754"/>
      <c r="AR45" s="754"/>
      <c r="AS45" s="754"/>
      <c r="AT45" s="754"/>
      <c r="AU45" s="754"/>
      <c r="AV45" s="754"/>
      <c r="AW45" s="754"/>
      <c r="AX45" s="754"/>
      <c r="AY45" s="754"/>
      <c r="AZ45" s="754"/>
      <c r="BA45" s="754"/>
      <c r="BB45" s="755"/>
      <c r="BC45" s="755"/>
      <c r="BD45" s="755"/>
      <c r="BE45" s="755"/>
      <c r="BF45" s="93"/>
      <c r="BG45" s="754" t="n">
        <v>0</v>
      </c>
      <c r="BH45" s="754" t="n">
        <v>0</v>
      </c>
      <c r="BI45" s="754" t="n">
        <v>0</v>
      </c>
      <c r="BJ45" s="754" t="n">
        <v>0</v>
      </c>
      <c r="BK45" s="754" t="n">
        <v>0</v>
      </c>
      <c r="BL45" s="754" t="n">
        <v>0</v>
      </c>
      <c r="BM45" s="754" t="n">
        <v>0</v>
      </c>
      <c r="BN45" s="754" t="n">
        <v>0</v>
      </c>
      <c r="BO45" s="754" t="n">
        <v>0</v>
      </c>
      <c r="BP45" s="754" t="n">
        <v>0</v>
      </c>
      <c r="BQ45" s="754"/>
      <c r="BR45" s="754"/>
      <c r="BS45" s="755"/>
      <c r="BT45" s="755"/>
      <c r="BU45" s="755"/>
      <c r="BV45" s="755"/>
      <c r="BW45" s="93"/>
      <c r="BX45" s="93"/>
      <c r="BY45" s="44"/>
    </row>
    <row r="46" customFormat="false" ht="15.75" hidden="false" customHeight="false" outlineLevel="0" collapsed="false">
      <c r="A46" s="52" t="n">
        <f aca="false">A45+1</f>
        <v>44</v>
      </c>
      <c r="B46" s="320"/>
      <c r="C46" s="320"/>
      <c r="D46" s="320"/>
      <c r="E46" s="320"/>
      <c r="F46" s="320"/>
      <c r="G46" s="320"/>
      <c r="H46" s="320"/>
      <c r="I46" s="320"/>
      <c r="J46" s="320"/>
      <c r="K46" s="320"/>
      <c r="L46" s="50"/>
      <c r="M46" s="756"/>
      <c r="N46" s="756"/>
      <c r="O46" s="756"/>
      <c r="P46" s="756"/>
      <c r="Q46" s="756"/>
      <c r="R46" s="756"/>
      <c r="S46" s="756"/>
      <c r="T46" s="756"/>
      <c r="U46" s="756"/>
      <c r="V46" s="756"/>
      <c r="W46" s="44"/>
      <c r="X46" s="320" t="n">
        <f aca="false">X45+1</f>
        <v>44</v>
      </c>
      <c r="Y46" s="320"/>
      <c r="Z46" s="320"/>
      <c r="AA46" s="320"/>
      <c r="AB46" s="320"/>
      <c r="AC46" s="320"/>
      <c r="AD46" s="320"/>
      <c r="AE46" s="320"/>
      <c r="AF46" s="320"/>
      <c r="AG46" s="320"/>
      <c r="AH46" s="320"/>
      <c r="AI46" s="320"/>
      <c r="AJ46" s="320"/>
      <c r="AK46" s="479"/>
      <c r="AL46" s="479"/>
      <c r="AM46" s="479"/>
      <c r="AN46" s="479"/>
      <c r="AO46" s="93"/>
      <c r="AP46" s="756"/>
      <c r="AQ46" s="756"/>
      <c r="AR46" s="756"/>
      <c r="AS46" s="756"/>
      <c r="AT46" s="756"/>
      <c r="AU46" s="756"/>
      <c r="AV46" s="756"/>
      <c r="AW46" s="756"/>
      <c r="AX46" s="756"/>
      <c r="AY46" s="756"/>
      <c r="AZ46" s="756"/>
      <c r="BA46" s="756"/>
      <c r="BB46" s="757"/>
      <c r="BC46" s="757"/>
      <c r="BD46" s="757"/>
      <c r="BE46" s="757"/>
      <c r="BF46" s="93"/>
      <c r="BG46" s="756" t="n">
        <v>0</v>
      </c>
      <c r="BH46" s="756" t="n">
        <v>0</v>
      </c>
      <c r="BI46" s="756" t="n">
        <v>0</v>
      </c>
      <c r="BJ46" s="756" t="n">
        <v>0</v>
      </c>
      <c r="BK46" s="756" t="n">
        <v>0</v>
      </c>
      <c r="BL46" s="756" t="n">
        <v>0</v>
      </c>
      <c r="BM46" s="756" t="n">
        <v>0</v>
      </c>
      <c r="BN46" s="756" t="n">
        <v>0</v>
      </c>
      <c r="BO46" s="756" t="n">
        <v>0</v>
      </c>
      <c r="BP46" s="756" t="n">
        <v>0</v>
      </c>
      <c r="BQ46" s="756"/>
      <c r="BR46" s="756"/>
      <c r="BS46" s="757"/>
      <c r="BT46" s="757"/>
      <c r="BU46" s="757"/>
      <c r="BV46" s="757"/>
      <c r="BW46" s="93"/>
      <c r="BX46" s="93"/>
      <c r="BY46" s="44"/>
    </row>
    <row r="47" customFormat="false" ht="15.75" hidden="false" customHeight="false" outlineLevel="0" collapsed="false">
      <c r="A47" s="52" t="n">
        <f aca="false">A46+1</f>
        <v>45</v>
      </c>
      <c r="B47" s="320"/>
      <c r="C47" s="320"/>
      <c r="D47" s="320"/>
      <c r="E47" s="320"/>
      <c r="F47" s="320"/>
      <c r="G47" s="320"/>
      <c r="H47" s="320"/>
      <c r="I47" s="320"/>
      <c r="J47" s="320"/>
      <c r="K47" s="320"/>
      <c r="L47" s="50"/>
      <c r="M47" s="754"/>
      <c r="N47" s="754"/>
      <c r="O47" s="754"/>
      <c r="P47" s="754"/>
      <c r="Q47" s="754"/>
      <c r="R47" s="754"/>
      <c r="S47" s="754"/>
      <c r="T47" s="754"/>
      <c r="U47" s="754"/>
      <c r="V47" s="754"/>
      <c r="W47" s="44"/>
      <c r="X47" s="320" t="n">
        <f aca="false">X46+1</f>
        <v>45</v>
      </c>
      <c r="Y47" s="320"/>
      <c r="Z47" s="320"/>
      <c r="AA47" s="320"/>
      <c r="AB47" s="320"/>
      <c r="AC47" s="320"/>
      <c r="AD47" s="320"/>
      <c r="AE47" s="320"/>
      <c r="AF47" s="320"/>
      <c r="AG47" s="320"/>
      <c r="AH47" s="320"/>
      <c r="AI47" s="320"/>
      <c r="AJ47" s="320"/>
      <c r="AK47" s="479"/>
      <c r="AL47" s="479"/>
      <c r="AM47" s="479"/>
      <c r="AN47" s="479"/>
      <c r="AO47" s="93"/>
      <c r="AP47" s="754"/>
      <c r="AQ47" s="754"/>
      <c r="AR47" s="754"/>
      <c r="AS47" s="754"/>
      <c r="AT47" s="754"/>
      <c r="AU47" s="754"/>
      <c r="AV47" s="754"/>
      <c r="AW47" s="754"/>
      <c r="AX47" s="754"/>
      <c r="AY47" s="754"/>
      <c r="AZ47" s="754"/>
      <c r="BA47" s="754"/>
      <c r="BB47" s="755"/>
      <c r="BC47" s="755"/>
      <c r="BD47" s="755"/>
      <c r="BE47" s="755"/>
      <c r="BF47" s="93"/>
      <c r="BG47" s="754" t="n">
        <v>0</v>
      </c>
      <c r="BH47" s="754" t="n">
        <v>0</v>
      </c>
      <c r="BI47" s="754" t="n">
        <v>0</v>
      </c>
      <c r="BJ47" s="754" t="n">
        <v>0</v>
      </c>
      <c r="BK47" s="754" t="n">
        <v>0</v>
      </c>
      <c r="BL47" s="754" t="n">
        <v>0</v>
      </c>
      <c r="BM47" s="754" t="n">
        <v>0</v>
      </c>
      <c r="BN47" s="754" t="n">
        <v>0</v>
      </c>
      <c r="BO47" s="754" t="n">
        <v>0</v>
      </c>
      <c r="BP47" s="754" t="n">
        <v>0</v>
      </c>
      <c r="BQ47" s="754"/>
      <c r="BR47" s="754"/>
      <c r="BS47" s="755"/>
      <c r="BT47" s="755"/>
      <c r="BU47" s="755"/>
      <c r="BV47" s="755"/>
      <c r="BW47" s="93"/>
      <c r="BX47" s="93"/>
      <c r="BY47" s="44"/>
    </row>
    <row r="48" customFormat="false" ht="15.75" hidden="false" customHeight="false" outlineLevel="0" collapsed="false">
      <c r="A48" s="52" t="n">
        <f aca="false">A47+1</f>
        <v>46</v>
      </c>
      <c r="B48" s="320"/>
      <c r="C48" s="320"/>
      <c r="D48" s="320"/>
      <c r="E48" s="320"/>
      <c r="F48" s="320"/>
      <c r="G48" s="320"/>
      <c r="H48" s="320"/>
      <c r="I48" s="320"/>
      <c r="J48" s="320"/>
      <c r="K48" s="320"/>
      <c r="L48" s="50"/>
      <c r="M48" s="756"/>
      <c r="N48" s="756"/>
      <c r="O48" s="756"/>
      <c r="P48" s="756"/>
      <c r="Q48" s="756"/>
      <c r="R48" s="756"/>
      <c r="S48" s="756"/>
      <c r="T48" s="756"/>
      <c r="U48" s="756"/>
      <c r="V48" s="756"/>
      <c r="W48" s="44"/>
      <c r="X48" s="320" t="n">
        <f aca="false">X47+1</f>
        <v>46</v>
      </c>
      <c r="Y48" s="320"/>
      <c r="Z48" s="320"/>
      <c r="AA48" s="320"/>
      <c r="AB48" s="320"/>
      <c r="AC48" s="320"/>
      <c r="AD48" s="320"/>
      <c r="AE48" s="320"/>
      <c r="AF48" s="320"/>
      <c r="AG48" s="320"/>
      <c r="AH48" s="320"/>
      <c r="AI48" s="320"/>
      <c r="AJ48" s="320"/>
      <c r="AK48" s="479"/>
      <c r="AL48" s="479"/>
      <c r="AM48" s="479"/>
      <c r="AN48" s="479"/>
      <c r="AO48" s="93"/>
      <c r="AP48" s="756"/>
      <c r="AQ48" s="756"/>
      <c r="AR48" s="756"/>
      <c r="AS48" s="756"/>
      <c r="AT48" s="756"/>
      <c r="AU48" s="756"/>
      <c r="AV48" s="756"/>
      <c r="AW48" s="756"/>
      <c r="AX48" s="756"/>
      <c r="AY48" s="756"/>
      <c r="AZ48" s="756"/>
      <c r="BA48" s="756"/>
      <c r="BB48" s="757"/>
      <c r="BC48" s="757"/>
      <c r="BD48" s="757"/>
      <c r="BE48" s="757"/>
      <c r="BF48" s="93"/>
      <c r="BG48" s="756" t="n">
        <v>0</v>
      </c>
      <c r="BH48" s="756" t="n">
        <v>0</v>
      </c>
      <c r="BI48" s="756" t="n">
        <v>0</v>
      </c>
      <c r="BJ48" s="756" t="n">
        <v>0</v>
      </c>
      <c r="BK48" s="756" t="n">
        <v>0</v>
      </c>
      <c r="BL48" s="756" t="n">
        <v>0</v>
      </c>
      <c r="BM48" s="756" t="n">
        <v>0</v>
      </c>
      <c r="BN48" s="756" t="n">
        <v>0</v>
      </c>
      <c r="BO48" s="756" t="n">
        <v>0</v>
      </c>
      <c r="BP48" s="756" t="n">
        <v>0</v>
      </c>
      <c r="BQ48" s="756"/>
      <c r="BR48" s="756"/>
      <c r="BS48" s="757"/>
      <c r="BT48" s="757"/>
      <c r="BU48" s="757"/>
      <c r="BV48" s="757"/>
      <c r="BW48" s="93"/>
      <c r="BX48" s="93"/>
      <c r="BY48" s="44"/>
    </row>
    <row r="49" customFormat="false" ht="15.75" hidden="false" customHeight="false" outlineLevel="0" collapsed="false">
      <c r="A49" s="52" t="n">
        <f aca="false">A48+1</f>
        <v>47</v>
      </c>
      <c r="B49" s="320"/>
      <c r="C49" s="320"/>
      <c r="D49" s="320"/>
      <c r="E49" s="320"/>
      <c r="F49" s="320"/>
      <c r="G49" s="320"/>
      <c r="H49" s="320"/>
      <c r="I49" s="320"/>
      <c r="J49" s="320"/>
      <c r="K49" s="320"/>
      <c r="L49" s="50"/>
      <c r="M49" s="754"/>
      <c r="N49" s="754"/>
      <c r="O49" s="754"/>
      <c r="P49" s="754"/>
      <c r="Q49" s="754"/>
      <c r="R49" s="754"/>
      <c r="S49" s="754"/>
      <c r="T49" s="754"/>
      <c r="U49" s="754"/>
      <c r="V49" s="754"/>
      <c r="W49" s="44"/>
      <c r="X49" s="320" t="n">
        <f aca="false">X48+1</f>
        <v>47</v>
      </c>
      <c r="Y49" s="320"/>
      <c r="Z49" s="320"/>
      <c r="AA49" s="320"/>
      <c r="AB49" s="320"/>
      <c r="AC49" s="320"/>
      <c r="AD49" s="320"/>
      <c r="AE49" s="320"/>
      <c r="AF49" s="320"/>
      <c r="AG49" s="320"/>
      <c r="AH49" s="320"/>
      <c r="AI49" s="320"/>
      <c r="AJ49" s="320"/>
      <c r="AK49" s="479"/>
      <c r="AL49" s="479"/>
      <c r="AM49" s="479"/>
      <c r="AN49" s="479"/>
      <c r="AO49" s="93"/>
      <c r="AP49" s="754"/>
      <c r="AQ49" s="754"/>
      <c r="AR49" s="754"/>
      <c r="AS49" s="754"/>
      <c r="AT49" s="754"/>
      <c r="AU49" s="754"/>
      <c r="AV49" s="754"/>
      <c r="AW49" s="754"/>
      <c r="AX49" s="754"/>
      <c r="AY49" s="754"/>
      <c r="AZ49" s="754"/>
      <c r="BA49" s="754"/>
      <c r="BB49" s="755"/>
      <c r="BC49" s="755"/>
      <c r="BD49" s="755"/>
      <c r="BE49" s="755"/>
      <c r="BF49" s="93"/>
      <c r="BG49" s="754" t="n">
        <v>0</v>
      </c>
      <c r="BH49" s="754" t="n">
        <v>0</v>
      </c>
      <c r="BI49" s="754" t="n">
        <v>0</v>
      </c>
      <c r="BJ49" s="754" t="n">
        <v>0</v>
      </c>
      <c r="BK49" s="754" t="n">
        <v>0</v>
      </c>
      <c r="BL49" s="754" t="n">
        <v>0</v>
      </c>
      <c r="BM49" s="754" t="n">
        <v>0</v>
      </c>
      <c r="BN49" s="754" t="n">
        <v>0</v>
      </c>
      <c r="BO49" s="754" t="n">
        <v>0</v>
      </c>
      <c r="BP49" s="754" t="n">
        <v>0</v>
      </c>
      <c r="BQ49" s="754"/>
      <c r="BR49" s="754"/>
      <c r="BS49" s="755"/>
      <c r="BT49" s="755"/>
      <c r="BU49" s="755"/>
      <c r="BV49" s="755"/>
      <c r="BW49" s="93"/>
      <c r="BX49" s="93"/>
      <c r="BY49" s="44"/>
    </row>
    <row r="50" customFormat="false" ht="15.75" hidden="false" customHeight="false" outlineLevel="0" collapsed="false">
      <c r="A50" s="760" t="n">
        <f aca="false">A49+1</f>
        <v>48</v>
      </c>
      <c r="B50" s="324"/>
      <c r="C50" s="324"/>
      <c r="D50" s="324"/>
      <c r="E50" s="324"/>
      <c r="F50" s="324"/>
      <c r="G50" s="324"/>
      <c r="H50" s="324"/>
      <c r="I50" s="324"/>
      <c r="J50" s="324"/>
      <c r="K50" s="324"/>
      <c r="L50" s="50"/>
      <c r="M50" s="761"/>
      <c r="N50" s="761"/>
      <c r="O50" s="761"/>
      <c r="P50" s="761"/>
      <c r="Q50" s="761"/>
      <c r="R50" s="761"/>
      <c r="S50" s="761"/>
      <c r="T50" s="761"/>
      <c r="U50" s="761"/>
      <c r="V50" s="761"/>
      <c r="W50" s="44"/>
      <c r="X50" s="320" t="n">
        <f aca="false">X49+1</f>
        <v>48</v>
      </c>
      <c r="Y50" s="320"/>
      <c r="Z50" s="320"/>
      <c r="AA50" s="320"/>
      <c r="AB50" s="320"/>
      <c r="AC50" s="320"/>
      <c r="AD50" s="320"/>
      <c r="AE50" s="320"/>
      <c r="AF50" s="320"/>
      <c r="AG50" s="320"/>
      <c r="AH50" s="320"/>
      <c r="AI50" s="320"/>
      <c r="AJ50" s="320"/>
      <c r="AK50" s="479"/>
      <c r="AL50" s="479"/>
      <c r="AM50" s="479"/>
      <c r="AN50" s="479"/>
      <c r="AO50" s="93"/>
      <c r="AP50" s="756"/>
      <c r="AQ50" s="756"/>
      <c r="AR50" s="756"/>
      <c r="AS50" s="756"/>
      <c r="AT50" s="756"/>
      <c r="AU50" s="756"/>
      <c r="AV50" s="756"/>
      <c r="AW50" s="756"/>
      <c r="AX50" s="756"/>
      <c r="AY50" s="756"/>
      <c r="AZ50" s="756"/>
      <c r="BA50" s="756"/>
      <c r="BB50" s="757"/>
      <c r="BC50" s="757"/>
      <c r="BD50" s="757"/>
      <c r="BE50" s="757"/>
      <c r="BF50" s="93"/>
      <c r="BG50" s="756" t="n">
        <v>0</v>
      </c>
      <c r="BH50" s="756" t="n">
        <v>0</v>
      </c>
      <c r="BI50" s="756" t="n">
        <v>0</v>
      </c>
      <c r="BJ50" s="756" t="n">
        <v>0</v>
      </c>
      <c r="BK50" s="756" t="n">
        <v>0</v>
      </c>
      <c r="BL50" s="756" t="n">
        <v>0</v>
      </c>
      <c r="BM50" s="756" t="n">
        <v>0</v>
      </c>
      <c r="BN50" s="756" t="n">
        <v>0</v>
      </c>
      <c r="BO50" s="756" t="n">
        <v>0</v>
      </c>
      <c r="BP50" s="756" t="n">
        <v>0</v>
      </c>
      <c r="BQ50" s="756"/>
      <c r="BR50" s="756"/>
      <c r="BS50" s="757"/>
      <c r="BT50" s="757"/>
      <c r="BU50" s="757"/>
      <c r="BV50" s="757"/>
      <c r="BW50" s="93"/>
      <c r="BX50" s="93"/>
      <c r="BY50" s="44"/>
    </row>
    <row r="51" customFormat="false" ht="15.75" hidden="false" customHeight="false" outlineLevel="0" collapsed="false">
      <c r="A51" s="44"/>
      <c r="B51" s="44"/>
      <c r="C51" s="44"/>
      <c r="D51" s="44"/>
      <c r="E51" s="44"/>
      <c r="F51" s="44"/>
      <c r="G51" s="44"/>
      <c r="H51" s="44"/>
      <c r="I51" s="44"/>
      <c r="J51" s="44"/>
      <c r="K51" s="44"/>
      <c r="L51" s="50"/>
      <c r="M51" s="44"/>
      <c r="N51" s="44"/>
      <c r="O51" s="44"/>
      <c r="P51" s="44"/>
      <c r="Q51" s="44"/>
      <c r="R51" s="44"/>
      <c r="S51" s="44"/>
      <c r="T51" s="44"/>
      <c r="U51" s="44"/>
      <c r="V51" s="44"/>
      <c r="W51" s="44"/>
      <c r="X51" s="320" t="n">
        <f aca="false">X50+1</f>
        <v>49</v>
      </c>
      <c r="Y51" s="320"/>
      <c r="Z51" s="320"/>
      <c r="AA51" s="320"/>
      <c r="AB51" s="320"/>
      <c r="AC51" s="320"/>
      <c r="AD51" s="320"/>
      <c r="AE51" s="320"/>
      <c r="AF51" s="320"/>
      <c r="AG51" s="320"/>
      <c r="AH51" s="320"/>
      <c r="AI51" s="320"/>
      <c r="AJ51" s="320"/>
      <c r="AK51" s="479"/>
      <c r="AL51" s="479"/>
      <c r="AM51" s="479"/>
      <c r="AN51" s="479"/>
      <c r="AO51" s="93"/>
      <c r="AP51" s="754"/>
      <c r="AQ51" s="754"/>
      <c r="AR51" s="754"/>
      <c r="AS51" s="754"/>
      <c r="AT51" s="754"/>
      <c r="AU51" s="754"/>
      <c r="AV51" s="754"/>
      <c r="AW51" s="754"/>
      <c r="AX51" s="754"/>
      <c r="AY51" s="754"/>
      <c r="AZ51" s="754"/>
      <c r="BA51" s="754"/>
      <c r="BB51" s="755"/>
      <c r="BC51" s="755"/>
      <c r="BD51" s="755"/>
      <c r="BE51" s="755"/>
      <c r="BF51" s="93"/>
      <c r="BG51" s="754" t="n">
        <v>0</v>
      </c>
      <c r="BH51" s="754" t="n">
        <v>0</v>
      </c>
      <c r="BI51" s="754" t="n">
        <v>0</v>
      </c>
      <c r="BJ51" s="754" t="n">
        <v>0</v>
      </c>
      <c r="BK51" s="754" t="n">
        <v>0</v>
      </c>
      <c r="BL51" s="754" t="n">
        <v>0</v>
      </c>
      <c r="BM51" s="754" t="n">
        <v>0</v>
      </c>
      <c r="BN51" s="754" t="n">
        <v>0</v>
      </c>
      <c r="BO51" s="754" t="n">
        <v>0</v>
      </c>
      <c r="BP51" s="754" t="n">
        <v>0</v>
      </c>
      <c r="BQ51" s="754"/>
      <c r="BR51" s="754"/>
      <c r="BS51" s="755"/>
      <c r="BT51" s="755"/>
      <c r="BU51" s="755"/>
      <c r="BV51" s="755"/>
      <c r="BW51" s="93"/>
      <c r="BX51" s="93"/>
      <c r="BY51" s="44"/>
    </row>
    <row r="52" customFormat="false" ht="15.75" hidden="false" customHeight="false" outlineLevel="0" collapsed="false">
      <c r="A52" s="44"/>
      <c r="B52" s="44"/>
      <c r="C52" s="44"/>
      <c r="D52" s="44"/>
      <c r="E52" s="44"/>
      <c r="F52" s="44"/>
      <c r="G52" s="44"/>
      <c r="H52" s="44"/>
      <c r="I52" s="44"/>
      <c r="J52" s="44"/>
      <c r="K52" s="44"/>
      <c r="L52" s="50"/>
      <c r="M52" s="44"/>
      <c r="N52" s="44"/>
      <c r="O52" s="44"/>
      <c r="P52" s="44"/>
      <c r="Q52" s="44"/>
      <c r="R52" s="44"/>
      <c r="S52" s="44"/>
      <c r="T52" s="44"/>
      <c r="U52" s="44"/>
      <c r="V52" s="44"/>
      <c r="W52" s="44"/>
      <c r="X52" s="320" t="n">
        <f aca="false">X51+1</f>
        <v>50</v>
      </c>
      <c r="Y52" s="320"/>
      <c r="Z52" s="320"/>
      <c r="AA52" s="320"/>
      <c r="AB52" s="320"/>
      <c r="AC52" s="320"/>
      <c r="AD52" s="320"/>
      <c r="AE52" s="320"/>
      <c r="AF52" s="320"/>
      <c r="AG52" s="320"/>
      <c r="AH52" s="320"/>
      <c r="AI52" s="320"/>
      <c r="AJ52" s="320"/>
      <c r="AK52" s="479"/>
      <c r="AL52" s="479"/>
      <c r="AM52" s="479"/>
      <c r="AN52" s="479"/>
      <c r="AO52" s="93"/>
      <c r="AP52" s="756"/>
      <c r="AQ52" s="756"/>
      <c r="AR52" s="756"/>
      <c r="AS52" s="756"/>
      <c r="AT52" s="756"/>
      <c r="AU52" s="756"/>
      <c r="AV52" s="756"/>
      <c r="AW52" s="756"/>
      <c r="AX52" s="756"/>
      <c r="AY52" s="756"/>
      <c r="AZ52" s="756"/>
      <c r="BA52" s="756"/>
      <c r="BB52" s="757"/>
      <c r="BC52" s="757"/>
      <c r="BD52" s="757"/>
      <c r="BE52" s="757"/>
      <c r="BF52" s="93"/>
      <c r="BG52" s="756" t="n">
        <v>0</v>
      </c>
      <c r="BH52" s="756" t="n">
        <v>0</v>
      </c>
      <c r="BI52" s="756" t="n">
        <v>0</v>
      </c>
      <c r="BJ52" s="756" t="n">
        <v>0</v>
      </c>
      <c r="BK52" s="756" t="n">
        <v>0</v>
      </c>
      <c r="BL52" s="756" t="n">
        <v>0</v>
      </c>
      <c r="BM52" s="756" t="n">
        <v>0</v>
      </c>
      <c r="BN52" s="756" t="n">
        <v>0</v>
      </c>
      <c r="BO52" s="756" t="n">
        <v>0</v>
      </c>
      <c r="BP52" s="756" t="n">
        <v>0</v>
      </c>
      <c r="BQ52" s="756"/>
      <c r="BR52" s="756"/>
      <c r="BS52" s="757"/>
      <c r="BT52" s="757"/>
      <c r="BU52" s="757"/>
      <c r="BV52" s="757"/>
      <c r="BW52" s="93"/>
      <c r="BX52" s="93"/>
      <c r="BY52" s="44"/>
    </row>
    <row r="53" customFormat="false" ht="15.75" hidden="false" customHeight="false" outlineLevel="0" collapsed="false">
      <c r="A53" s="44"/>
      <c r="B53" s="44"/>
      <c r="C53" s="44"/>
      <c r="D53" s="44"/>
      <c r="E53" s="44"/>
      <c r="F53" s="44"/>
      <c r="G53" s="44"/>
      <c r="H53" s="44"/>
      <c r="I53" s="44"/>
      <c r="J53" s="44"/>
      <c r="K53" s="44"/>
      <c r="L53" s="50"/>
      <c r="M53" s="44"/>
      <c r="N53" s="44"/>
      <c r="O53" s="44"/>
      <c r="P53" s="44"/>
      <c r="Q53" s="44"/>
      <c r="R53" s="44"/>
      <c r="S53" s="44"/>
      <c r="T53" s="44"/>
      <c r="U53" s="44"/>
      <c r="V53" s="44"/>
      <c r="W53" s="44"/>
      <c r="X53" s="320" t="n">
        <f aca="false">X52+1</f>
        <v>51</v>
      </c>
      <c r="Y53" s="320"/>
      <c r="Z53" s="320"/>
      <c r="AA53" s="320"/>
      <c r="AB53" s="320"/>
      <c r="AC53" s="320"/>
      <c r="AD53" s="320"/>
      <c r="AE53" s="320"/>
      <c r="AF53" s="320"/>
      <c r="AG53" s="320"/>
      <c r="AH53" s="320"/>
      <c r="AI53" s="320"/>
      <c r="AJ53" s="320"/>
      <c r="AK53" s="479"/>
      <c r="AL53" s="479"/>
      <c r="AM53" s="479"/>
      <c r="AN53" s="479"/>
      <c r="AO53" s="93"/>
      <c r="AP53" s="754"/>
      <c r="AQ53" s="754"/>
      <c r="AR53" s="754"/>
      <c r="AS53" s="754"/>
      <c r="AT53" s="754"/>
      <c r="AU53" s="754"/>
      <c r="AV53" s="754"/>
      <c r="AW53" s="754"/>
      <c r="AX53" s="754"/>
      <c r="AY53" s="754"/>
      <c r="AZ53" s="754"/>
      <c r="BA53" s="754"/>
      <c r="BB53" s="755"/>
      <c r="BC53" s="755"/>
      <c r="BD53" s="755"/>
      <c r="BE53" s="755"/>
      <c r="BF53" s="93"/>
      <c r="BG53" s="754" t="n">
        <v>0</v>
      </c>
      <c r="BH53" s="754" t="n">
        <v>0</v>
      </c>
      <c r="BI53" s="754" t="n">
        <v>0</v>
      </c>
      <c r="BJ53" s="754" t="n">
        <v>0</v>
      </c>
      <c r="BK53" s="754" t="n">
        <v>0</v>
      </c>
      <c r="BL53" s="754" t="n">
        <v>0</v>
      </c>
      <c r="BM53" s="754" t="n">
        <v>0</v>
      </c>
      <c r="BN53" s="754" t="n">
        <v>0</v>
      </c>
      <c r="BO53" s="754" t="n">
        <v>0</v>
      </c>
      <c r="BP53" s="754" t="n">
        <v>0</v>
      </c>
      <c r="BQ53" s="754"/>
      <c r="BR53" s="754"/>
      <c r="BS53" s="755"/>
      <c r="BT53" s="755"/>
      <c r="BU53" s="755"/>
      <c r="BV53" s="755"/>
      <c r="BW53" s="93"/>
      <c r="BX53" s="93"/>
      <c r="BY53" s="44"/>
    </row>
    <row r="54" customFormat="false" ht="15.75" hidden="false" customHeight="false" outlineLevel="0" collapsed="false">
      <c r="A54" s="44"/>
      <c r="B54" s="44"/>
      <c r="C54" s="44"/>
      <c r="D54" s="44"/>
      <c r="E54" s="44"/>
      <c r="F54" s="44"/>
      <c r="G54" s="44"/>
      <c r="H54" s="44"/>
      <c r="I54" s="44"/>
      <c r="J54" s="44"/>
      <c r="K54" s="44"/>
      <c r="L54" s="50"/>
      <c r="M54" s="44"/>
      <c r="N54" s="44"/>
      <c r="O54" s="44"/>
      <c r="P54" s="44"/>
      <c r="Q54" s="44"/>
      <c r="R54" s="44"/>
      <c r="S54" s="44"/>
      <c r="T54" s="44"/>
      <c r="U54" s="44"/>
      <c r="V54" s="44"/>
      <c r="W54" s="44"/>
      <c r="X54" s="320" t="n">
        <f aca="false">X53+1</f>
        <v>52</v>
      </c>
      <c r="Y54" s="320"/>
      <c r="Z54" s="320"/>
      <c r="AA54" s="320"/>
      <c r="AB54" s="320"/>
      <c r="AC54" s="320"/>
      <c r="AD54" s="320"/>
      <c r="AE54" s="320"/>
      <c r="AF54" s="320"/>
      <c r="AG54" s="320"/>
      <c r="AH54" s="320"/>
      <c r="AI54" s="320"/>
      <c r="AJ54" s="320"/>
      <c r="AK54" s="479"/>
      <c r="AL54" s="479"/>
      <c r="AM54" s="479"/>
      <c r="AN54" s="479"/>
      <c r="AO54" s="93"/>
      <c r="AP54" s="756"/>
      <c r="AQ54" s="756"/>
      <c r="AR54" s="756"/>
      <c r="AS54" s="756"/>
      <c r="AT54" s="756"/>
      <c r="AU54" s="756"/>
      <c r="AV54" s="756"/>
      <c r="AW54" s="756"/>
      <c r="AX54" s="756"/>
      <c r="AY54" s="756"/>
      <c r="AZ54" s="756"/>
      <c r="BA54" s="756"/>
      <c r="BB54" s="757"/>
      <c r="BC54" s="757"/>
      <c r="BD54" s="757"/>
      <c r="BE54" s="757"/>
      <c r="BF54" s="93"/>
      <c r="BG54" s="756" t="n">
        <v>0</v>
      </c>
      <c r="BH54" s="756" t="n">
        <v>0</v>
      </c>
      <c r="BI54" s="756" t="n">
        <v>0</v>
      </c>
      <c r="BJ54" s="756" t="n">
        <v>0</v>
      </c>
      <c r="BK54" s="756" t="n">
        <v>0</v>
      </c>
      <c r="BL54" s="756" t="n">
        <v>0</v>
      </c>
      <c r="BM54" s="756" t="n">
        <v>0</v>
      </c>
      <c r="BN54" s="756" t="n">
        <v>0</v>
      </c>
      <c r="BO54" s="756" t="n">
        <v>0</v>
      </c>
      <c r="BP54" s="756" t="n">
        <v>0</v>
      </c>
      <c r="BQ54" s="756"/>
      <c r="BR54" s="756"/>
      <c r="BS54" s="757"/>
      <c r="BT54" s="757"/>
      <c r="BU54" s="757"/>
      <c r="BV54" s="757"/>
      <c r="BW54" s="93"/>
      <c r="BX54" s="93"/>
      <c r="BY54" s="44"/>
    </row>
    <row r="55" customFormat="false" ht="15.75" hidden="false" customHeight="false" outlineLevel="0" collapsed="false">
      <c r="A55" s="44"/>
      <c r="B55" s="44"/>
      <c r="C55" s="44"/>
      <c r="D55" s="44"/>
      <c r="E55" s="44"/>
      <c r="F55" s="44"/>
      <c r="G55" s="44"/>
      <c r="H55" s="44"/>
      <c r="I55" s="44"/>
      <c r="J55" s="44"/>
      <c r="K55" s="44"/>
      <c r="L55" s="50"/>
      <c r="M55" s="44"/>
      <c r="N55" s="44"/>
      <c r="O55" s="44"/>
      <c r="P55" s="44"/>
      <c r="Q55" s="44"/>
      <c r="R55" s="44"/>
      <c r="S55" s="44"/>
      <c r="T55" s="44"/>
      <c r="U55" s="44"/>
      <c r="V55" s="44"/>
      <c r="W55" s="44"/>
      <c r="X55" s="320" t="n">
        <f aca="false">X54+1</f>
        <v>53</v>
      </c>
      <c r="Y55" s="320"/>
      <c r="Z55" s="320"/>
      <c r="AA55" s="320"/>
      <c r="AB55" s="320"/>
      <c r="AC55" s="320"/>
      <c r="AD55" s="320"/>
      <c r="AE55" s="320"/>
      <c r="AF55" s="320"/>
      <c r="AG55" s="320"/>
      <c r="AH55" s="320"/>
      <c r="AI55" s="320"/>
      <c r="AJ55" s="320"/>
      <c r="AK55" s="479"/>
      <c r="AL55" s="479"/>
      <c r="AM55" s="479"/>
      <c r="AN55" s="479"/>
      <c r="AO55" s="93"/>
      <c r="AP55" s="754"/>
      <c r="AQ55" s="754"/>
      <c r="AR55" s="754"/>
      <c r="AS55" s="754"/>
      <c r="AT55" s="754"/>
      <c r="AU55" s="754"/>
      <c r="AV55" s="754"/>
      <c r="AW55" s="754"/>
      <c r="AX55" s="754"/>
      <c r="AY55" s="754"/>
      <c r="AZ55" s="754"/>
      <c r="BA55" s="754"/>
      <c r="BB55" s="755"/>
      <c r="BC55" s="755"/>
      <c r="BD55" s="755"/>
      <c r="BE55" s="755"/>
      <c r="BF55" s="93"/>
      <c r="BG55" s="754" t="n">
        <v>0</v>
      </c>
      <c r="BH55" s="754" t="n">
        <v>0</v>
      </c>
      <c r="BI55" s="754" t="n">
        <v>0</v>
      </c>
      <c r="BJ55" s="754" t="n">
        <v>0</v>
      </c>
      <c r="BK55" s="754" t="n">
        <v>0</v>
      </c>
      <c r="BL55" s="754" t="n">
        <v>0</v>
      </c>
      <c r="BM55" s="754" t="n">
        <v>0</v>
      </c>
      <c r="BN55" s="754" t="n">
        <v>0</v>
      </c>
      <c r="BO55" s="754" t="n">
        <v>0</v>
      </c>
      <c r="BP55" s="754" t="n">
        <v>0</v>
      </c>
      <c r="BQ55" s="754"/>
      <c r="BR55" s="754"/>
      <c r="BS55" s="755"/>
      <c r="BT55" s="755"/>
      <c r="BU55" s="755"/>
      <c r="BV55" s="755"/>
      <c r="BW55" s="93"/>
      <c r="BX55" s="93"/>
      <c r="BY55" s="44"/>
    </row>
    <row r="56" customFormat="false" ht="15.75" hidden="false" customHeight="false" outlineLevel="0" collapsed="false">
      <c r="A56" s="44"/>
      <c r="B56" s="44"/>
      <c r="C56" s="44"/>
      <c r="D56" s="44"/>
      <c r="E56" s="44"/>
      <c r="F56" s="44"/>
      <c r="G56" s="44"/>
      <c r="H56" s="44"/>
      <c r="I56" s="44"/>
      <c r="J56" s="44"/>
      <c r="K56" s="44"/>
      <c r="L56" s="50"/>
      <c r="M56" s="44"/>
      <c r="N56" s="44"/>
      <c r="O56" s="44"/>
      <c r="P56" s="44"/>
      <c r="Q56" s="44"/>
      <c r="R56" s="44"/>
      <c r="S56" s="44"/>
      <c r="T56" s="44"/>
      <c r="U56" s="44"/>
      <c r="V56" s="44"/>
      <c r="W56" s="44"/>
      <c r="X56" s="320" t="n">
        <f aca="false">X55+1</f>
        <v>54</v>
      </c>
      <c r="Y56" s="320"/>
      <c r="Z56" s="320"/>
      <c r="AA56" s="320"/>
      <c r="AB56" s="320"/>
      <c r="AC56" s="320"/>
      <c r="AD56" s="320"/>
      <c r="AE56" s="320"/>
      <c r="AF56" s="320"/>
      <c r="AG56" s="320"/>
      <c r="AH56" s="320"/>
      <c r="AI56" s="320"/>
      <c r="AJ56" s="320"/>
      <c r="AK56" s="479"/>
      <c r="AL56" s="479"/>
      <c r="AM56" s="479"/>
      <c r="AN56" s="479"/>
      <c r="AO56" s="93"/>
      <c r="AP56" s="756"/>
      <c r="AQ56" s="756"/>
      <c r="AR56" s="756"/>
      <c r="AS56" s="756"/>
      <c r="AT56" s="756"/>
      <c r="AU56" s="756"/>
      <c r="AV56" s="756"/>
      <c r="AW56" s="756"/>
      <c r="AX56" s="756"/>
      <c r="AY56" s="756"/>
      <c r="AZ56" s="756"/>
      <c r="BA56" s="756"/>
      <c r="BB56" s="757"/>
      <c r="BC56" s="757"/>
      <c r="BD56" s="757"/>
      <c r="BE56" s="757"/>
      <c r="BF56" s="93"/>
      <c r="BG56" s="756" t="n">
        <v>0</v>
      </c>
      <c r="BH56" s="756" t="n">
        <v>0</v>
      </c>
      <c r="BI56" s="756" t="n">
        <v>0</v>
      </c>
      <c r="BJ56" s="756" t="n">
        <v>0</v>
      </c>
      <c r="BK56" s="756" t="n">
        <v>0</v>
      </c>
      <c r="BL56" s="756" t="n">
        <v>0</v>
      </c>
      <c r="BM56" s="756" t="n">
        <v>0</v>
      </c>
      <c r="BN56" s="756" t="n">
        <v>0</v>
      </c>
      <c r="BO56" s="756" t="n">
        <v>0</v>
      </c>
      <c r="BP56" s="756" t="n">
        <v>0</v>
      </c>
      <c r="BQ56" s="756"/>
      <c r="BR56" s="756"/>
      <c r="BS56" s="757"/>
      <c r="BT56" s="757"/>
      <c r="BU56" s="757"/>
      <c r="BV56" s="757"/>
      <c r="BW56" s="93"/>
      <c r="BX56" s="93"/>
      <c r="BY56" s="44"/>
    </row>
    <row r="57" customFormat="false" ht="15.75" hidden="false" customHeight="false" outlineLevel="0" collapsed="false">
      <c r="A57" s="44"/>
      <c r="B57" s="44"/>
      <c r="C57" s="44"/>
      <c r="D57" s="44"/>
      <c r="E57" s="44"/>
      <c r="F57" s="44"/>
      <c r="G57" s="44"/>
      <c r="H57" s="44"/>
      <c r="I57" s="44"/>
      <c r="J57" s="44"/>
      <c r="K57" s="44"/>
      <c r="L57" s="50"/>
      <c r="M57" s="44"/>
      <c r="N57" s="44"/>
      <c r="O57" s="44"/>
      <c r="P57" s="44"/>
      <c r="Q57" s="44"/>
      <c r="R57" s="44"/>
      <c r="S57" s="44"/>
      <c r="T57" s="44"/>
      <c r="U57" s="44"/>
      <c r="V57" s="44"/>
      <c r="W57" s="44"/>
      <c r="X57" s="320" t="n">
        <f aca="false">X56+1</f>
        <v>55</v>
      </c>
      <c r="Y57" s="320"/>
      <c r="Z57" s="320"/>
      <c r="AA57" s="320"/>
      <c r="AB57" s="320"/>
      <c r="AC57" s="320"/>
      <c r="AD57" s="320"/>
      <c r="AE57" s="320"/>
      <c r="AF57" s="320"/>
      <c r="AG57" s="320"/>
      <c r="AH57" s="320"/>
      <c r="AI57" s="320"/>
      <c r="AJ57" s="320"/>
      <c r="AK57" s="479"/>
      <c r="AL57" s="479"/>
      <c r="AM57" s="479"/>
      <c r="AN57" s="479"/>
      <c r="AO57" s="93"/>
      <c r="AP57" s="754"/>
      <c r="AQ57" s="754"/>
      <c r="AR57" s="754"/>
      <c r="AS57" s="754"/>
      <c r="AT57" s="754"/>
      <c r="AU57" s="754"/>
      <c r="AV57" s="754"/>
      <c r="AW57" s="754"/>
      <c r="AX57" s="754"/>
      <c r="AY57" s="754"/>
      <c r="AZ57" s="754"/>
      <c r="BA57" s="754"/>
      <c r="BB57" s="755"/>
      <c r="BC57" s="755"/>
      <c r="BD57" s="755"/>
      <c r="BE57" s="755"/>
      <c r="BF57" s="93"/>
      <c r="BG57" s="754" t="n">
        <v>0</v>
      </c>
      <c r="BH57" s="754" t="n">
        <v>0</v>
      </c>
      <c r="BI57" s="754" t="n">
        <v>0</v>
      </c>
      <c r="BJ57" s="754" t="n">
        <v>0</v>
      </c>
      <c r="BK57" s="754" t="n">
        <v>0</v>
      </c>
      <c r="BL57" s="754" t="n">
        <v>0</v>
      </c>
      <c r="BM57" s="754" t="n">
        <v>0</v>
      </c>
      <c r="BN57" s="754" t="n">
        <v>0</v>
      </c>
      <c r="BO57" s="754" t="n">
        <v>0</v>
      </c>
      <c r="BP57" s="754" t="n">
        <v>0</v>
      </c>
      <c r="BQ57" s="754"/>
      <c r="BR57" s="754"/>
      <c r="BS57" s="755"/>
      <c r="BT57" s="755"/>
      <c r="BU57" s="755"/>
      <c r="BV57" s="755"/>
      <c r="BW57" s="93"/>
      <c r="BX57" s="93"/>
      <c r="BY57" s="44"/>
    </row>
    <row r="58" customFormat="false" ht="15.75" hidden="false" customHeight="false" outlineLevel="0" collapsed="false">
      <c r="A58" s="44"/>
      <c r="B58" s="44"/>
      <c r="C58" s="44"/>
      <c r="D58" s="44"/>
      <c r="E58" s="44"/>
      <c r="F58" s="44"/>
      <c r="G58" s="44"/>
      <c r="H58" s="44"/>
      <c r="I58" s="44"/>
      <c r="J58" s="44"/>
      <c r="K58" s="44"/>
      <c r="L58" s="50"/>
      <c r="M58" s="44"/>
      <c r="N58" s="44"/>
      <c r="O58" s="44"/>
      <c r="P58" s="44"/>
      <c r="Q58" s="44"/>
      <c r="R58" s="44"/>
      <c r="S58" s="44"/>
      <c r="T58" s="44"/>
      <c r="U58" s="44"/>
      <c r="V58" s="44"/>
      <c r="W58" s="44"/>
      <c r="X58" s="320" t="n">
        <f aca="false">X57+1</f>
        <v>56</v>
      </c>
      <c r="Y58" s="320"/>
      <c r="Z58" s="320"/>
      <c r="AA58" s="320"/>
      <c r="AB58" s="320"/>
      <c r="AC58" s="320"/>
      <c r="AD58" s="320"/>
      <c r="AE58" s="320"/>
      <c r="AF58" s="320"/>
      <c r="AG58" s="320"/>
      <c r="AH58" s="320"/>
      <c r="AI58" s="320"/>
      <c r="AJ58" s="320"/>
      <c r="AK58" s="479"/>
      <c r="AL58" s="479"/>
      <c r="AM58" s="479"/>
      <c r="AN58" s="479"/>
      <c r="AO58" s="93"/>
      <c r="AP58" s="756"/>
      <c r="AQ58" s="756"/>
      <c r="AR58" s="756"/>
      <c r="AS58" s="756"/>
      <c r="AT58" s="756"/>
      <c r="AU58" s="756"/>
      <c r="AV58" s="756"/>
      <c r="AW58" s="756"/>
      <c r="AX58" s="756"/>
      <c r="AY58" s="756"/>
      <c r="AZ58" s="756"/>
      <c r="BA58" s="756"/>
      <c r="BB58" s="757"/>
      <c r="BC58" s="757"/>
      <c r="BD58" s="757"/>
      <c r="BE58" s="757"/>
      <c r="BF58" s="93"/>
      <c r="BG58" s="756" t="n">
        <v>0</v>
      </c>
      <c r="BH58" s="756" t="n">
        <v>0</v>
      </c>
      <c r="BI58" s="756" t="n">
        <v>0</v>
      </c>
      <c r="BJ58" s="756" t="n">
        <v>0</v>
      </c>
      <c r="BK58" s="756" t="n">
        <v>0</v>
      </c>
      <c r="BL58" s="756" t="n">
        <v>0</v>
      </c>
      <c r="BM58" s="756" t="n">
        <v>0</v>
      </c>
      <c r="BN58" s="756" t="n">
        <v>0</v>
      </c>
      <c r="BO58" s="756" t="n">
        <v>0</v>
      </c>
      <c r="BP58" s="756" t="n">
        <v>0</v>
      </c>
      <c r="BQ58" s="756"/>
      <c r="BR58" s="756"/>
      <c r="BS58" s="757"/>
      <c r="BT58" s="757"/>
      <c r="BU58" s="757"/>
      <c r="BV58" s="757"/>
      <c r="BW58" s="93"/>
      <c r="BX58" s="93"/>
      <c r="BY58" s="44"/>
    </row>
    <row r="59" customFormat="false" ht="15.75" hidden="false" customHeight="false" outlineLevel="0" collapsed="false">
      <c r="A59" s="44"/>
      <c r="B59" s="44"/>
      <c r="C59" s="44"/>
      <c r="D59" s="44"/>
      <c r="E59" s="44"/>
      <c r="F59" s="44"/>
      <c r="G59" s="44"/>
      <c r="H59" s="44"/>
      <c r="I59" s="44"/>
      <c r="J59" s="44"/>
      <c r="K59" s="44"/>
      <c r="L59" s="50"/>
      <c r="M59" s="44"/>
      <c r="N59" s="44"/>
      <c r="O59" s="44"/>
      <c r="P59" s="44"/>
      <c r="Q59" s="44"/>
      <c r="R59" s="44"/>
      <c r="S59" s="44"/>
      <c r="T59" s="44"/>
      <c r="U59" s="44"/>
      <c r="V59" s="44"/>
      <c r="W59" s="44"/>
      <c r="X59" s="320" t="n">
        <f aca="false">X58+1</f>
        <v>57</v>
      </c>
      <c r="Y59" s="320"/>
      <c r="Z59" s="320"/>
      <c r="AA59" s="320"/>
      <c r="AB59" s="320"/>
      <c r="AC59" s="320"/>
      <c r="AD59" s="320"/>
      <c r="AE59" s="320"/>
      <c r="AF59" s="320"/>
      <c r="AG59" s="320"/>
      <c r="AH59" s="320"/>
      <c r="AI59" s="320"/>
      <c r="AJ59" s="320"/>
      <c r="AK59" s="479"/>
      <c r="AL59" s="479"/>
      <c r="AM59" s="479"/>
      <c r="AN59" s="479"/>
      <c r="AO59" s="93"/>
      <c r="AP59" s="754"/>
      <c r="AQ59" s="754"/>
      <c r="AR59" s="754"/>
      <c r="AS59" s="754"/>
      <c r="AT59" s="754"/>
      <c r="AU59" s="754"/>
      <c r="AV59" s="754"/>
      <c r="AW59" s="754"/>
      <c r="AX59" s="754"/>
      <c r="AY59" s="754"/>
      <c r="AZ59" s="754"/>
      <c r="BA59" s="754"/>
      <c r="BB59" s="755"/>
      <c r="BC59" s="755"/>
      <c r="BD59" s="755"/>
      <c r="BE59" s="755"/>
      <c r="BF59" s="93"/>
      <c r="BG59" s="754" t="n">
        <v>0</v>
      </c>
      <c r="BH59" s="754" t="n">
        <v>0</v>
      </c>
      <c r="BI59" s="754" t="n">
        <v>0</v>
      </c>
      <c r="BJ59" s="754" t="n">
        <v>0</v>
      </c>
      <c r="BK59" s="754" t="n">
        <v>0</v>
      </c>
      <c r="BL59" s="754" t="n">
        <v>0</v>
      </c>
      <c r="BM59" s="754" t="n">
        <v>0</v>
      </c>
      <c r="BN59" s="754" t="n">
        <v>0</v>
      </c>
      <c r="BO59" s="754" t="n">
        <v>0</v>
      </c>
      <c r="BP59" s="754" t="n">
        <v>0</v>
      </c>
      <c r="BQ59" s="754"/>
      <c r="BR59" s="754"/>
      <c r="BS59" s="755"/>
      <c r="BT59" s="755"/>
      <c r="BU59" s="755"/>
      <c r="BV59" s="755"/>
      <c r="BW59" s="93"/>
      <c r="BX59" s="93"/>
      <c r="BY59" s="44"/>
    </row>
    <row r="60" customFormat="false" ht="15.75" hidden="false" customHeight="false" outlineLevel="0" collapsed="false">
      <c r="A60" s="44"/>
      <c r="B60" s="44"/>
      <c r="C60" s="44"/>
      <c r="D60" s="44"/>
      <c r="E60" s="44"/>
      <c r="F60" s="44"/>
      <c r="G60" s="44"/>
      <c r="H60" s="44"/>
      <c r="I60" s="44"/>
      <c r="J60" s="44"/>
      <c r="K60" s="44"/>
      <c r="L60" s="50"/>
      <c r="M60" s="44"/>
      <c r="N60" s="44"/>
      <c r="O60" s="44"/>
      <c r="P60" s="44"/>
      <c r="Q60" s="44"/>
      <c r="R60" s="44"/>
      <c r="S60" s="44"/>
      <c r="T60" s="44"/>
      <c r="U60" s="44"/>
      <c r="V60" s="44"/>
      <c r="W60" s="44"/>
      <c r="X60" s="320" t="n">
        <f aca="false">X59+1</f>
        <v>58</v>
      </c>
      <c r="Y60" s="320"/>
      <c r="Z60" s="320"/>
      <c r="AA60" s="320"/>
      <c r="AB60" s="320"/>
      <c r="AC60" s="320"/>
      <c r="AD60" s="320"/>
      <c r="AE60" s="320"/>
      <c r="AF60" s="320"/>
      <c r="AG60" s="320"/>
      <c r="AH60" s="320"/>
      <c r="AI60" s="320"/>
      <c r="AJ60" s="320"/>
      <c r="AK60" s="479"/>
      <c r="AL60" s="479"/>
      <c r="AM60" s="479"/>
      <c r="AN60" s="479"/>
      <c r="AO60" s="93"/>
      <c r="AP60" s="756"/>
      <c r="AQ60" s="756"/>
      <c r="AR60" s="756"/>
      <c r="AS60" s="756"/>
      <c r="AT60" s="756"/>
      <c r="AU60" s="756"/>
      <c r="AV60" s="756"/>
      <c r="AW60" s="756"/>
      <c r="AX60" s="756"/>
      <c r="AY60" s="756"/>
      <c r="AZ60" s="756"/>
      <c r="BA60" s="756"/>
      <c r="BB60" s="757"/>
      <c r="BC60" s="757"/>
      <c r="BD60" s="757"/>
      <c r="BE60" s="757"/>
      <c r="BF60" s="93"/>
      <c r="BG60" s="756" t="n">
        <v>0</v>
      </c>
      <c r="BH60" s="756" t="n">
        <v>0</v>
      </c>
      <c r="BI60" s="756" t="n">
        <v>0</v>
      </c>
      <c r="BJ60" s="756" t="n">
        <v>0</v>
      </c>
      <c r="BK60" s="756" t="n">
        <v>0</v>
      </c>
      <c r="BL60" s="756" t="n">
        <v>0</v>
      </c>
      <c r="BM60" s="756" t="n">
        <v>0</v>
      </c>
      <c r="BN60" s="756" t="n">
        <v>0</v>
      </c>
      <c r="BO60" s="756" t="n">
        <v>0</v>
      </c>
      <c r="BP60" s="756" t="n">
        <v>0</v>
      </c>
      <c r="BQ60" s="756"/>
      <c r="BR60" s="756"/>
      <c r="BS60" s="757"/>
      <c r="BT60" s="757"/>
      <c r="BU60" s="757"/>
      <c r="BV60" s="757"/>
      <c r="BW60" s="93"/>
      <c r="BX60" s="93"/>
      <c r="BY60" s="44"/>
    </row>
    <row r="61" customFormat="false" ht="15.75" hidden="false" customHeight="false" outlineLevel="0" collapsed="false">
      <c r="A61" s="44"/>
      <c r="B61" s="44"/>
      <c r="C61" s="44"/>
      <c r="D61" s="44"/>
      <c r="E61" s="44"/>
      <c r="F61" s="44"/>
      <c r="G61" s="44"/>
      <c r="H61" s="44"/>
      <c r="I61" s="44"/>
      <c r="J61" s="44"/>
      <c r="K61" s="44"/>
      <c r="L61" s="50"/>
      <c r="M61" s="44"/>
      <c r="N61" s="44"/>
      <c r="O61" s="44"/>
      <c r="P61" s="44"/>
      <c r="Q61" s="44"/>
      <c r="R61" s="44"/>
      <c r="S61" s="44"/>
      <c r="T61" s="44"/>
      <c r="U61" s="44"/>
      <c r="V61" s="44"/>
      <c r="W61" s="44"/>
      <c r="X61" s="320" t="n">
        <f aca="false">X60+1</f>
        <v>59</v>
      </c>
      <c r="Y61" s="320"/>
      <c r="Z61" s="320"/>
      <c r="AA61" s="320"/>
      <c r="AB61" s="320"/>
      <c r="AC61" s="320"/>
      <c r="AD61" s="320"/>
      <c r="AE61" s="320"/>
      <c r="AF61" s="320"/>
      <c r="AG61" s="320"/>
      <c r="AH61" s="320"/>
      <c r="AI61" s="320"/>
      <c r="AJ61" s="320"/>
      <c r="AK61" s="479"/>
      <c r="AL61" s="479"/>
      <c r="AM61" s="479"/>
      <c r="AN61" s="479"/>
      <c r="AO61" s="93"/>
      <c r="AP61" s="754"/>
      <c r="AQ61" s="754"/>
      <c r="AR61" s="754"/>
      <c r="AS61" s="754"/>
      <c r="AT61" s="754"/>
      <c r="AU61" s="754"/>
      <c r="AV61" s="754"/>
      <c r="AW61" s="754"/>
      <c r="AX61" s="754"/>
      <c r="AY61" s="754"/>
      <c r="AZ61" s="754"/>
      <c r="BA61" s="754"/>
      <c r="BB61" s="755"/>
      <c r="BC61" s="755"/>
      <c r="BD61" s="755"/>
      <c r="BE61" s="755"/>
      <c r="BF61" s="93"/>
      <c r="BG61" s="754" t="n">
        <v>0</v>
      </c>
      <c r="BH61" s="754" t="n">
        <v>0</v>
      </c>
      <c r="BI61" s="754" t="n">
        <v>0</v>
      </c>
      <c r="BJ61" s="754" t="n">
        <v>0</v>
      </c>
      <c r="BK61" s="754" t="n">
        <v>0</v>
      </c>
      <c r="BL61" s="754" t="n">
        <v>0</v>
      </c>
      <c r="BM61" s="754" t="n">
        <v>0</v>
      </c>
      <c r="BN61" s="754" t="n">
        <v>0</v>
      </c>
      <c r="BO61" s="754" t="n">
        <v>0</v>
      </c>
      <c r="BP61" s="754" t="n">
        <v>0</v>
      </c>
      <c r="BQ61" s="754"/>
      <c r="BR61" s="754"/>
      <c r="BS61" s="755"/>
      <c r="BT61" s="755"/>
      <c r="BU61" s="755"/>
      <c r="BV61" s="755"/>
      <c r="BW61" s="93"/>
      <c r="BX61" s="93"/>
      <c r="BY61" s="44"/>
    </row>
    <row r="62" customFormat="false" ht="15.75" hidden="false" customHeight="false" outlineLevel="0" collapsed="false">
      <c r="A62" s="44"/>
      <c r="B62" s="44"/>
      <c r="C62" s="44"/>
      <c r="D62" s="44"/>
      <c r="E62" s="44"/>
      <c r="F62" s="44"/>
      <c r="G62" s="44"/>
      <c r="H62" s="44"/>
      <c r="I62" s="44"/>
      <c r="J62" s="44"/>
      <c r="K62" s="44"/>
      <c r="L62" s="50"/>
      <c r="M62" s="44"/>
      <c r="N62" s="44"/>
      <c r="O62" s="44"/>
      <c r="P62" s="44"/>
      <c r="Q62" s="44"/>
      <c r="R62" s="44"/>
      <c r="S62" s="44"/>
      <c r="T62" s="44"/>
      <c r="U62" s="44"/>
      <c r="V62" s="44"/>
      <c r="W62" s="44"/>
      <c r="X62" s="320" t="n">
        <f aca="false">X61+1</f>
        <v>60</v>
      </c>
      <c r="Y62" s="320"/>
      <c r="Z62" s="320"/>
      <c r="AA62" s="320"/>
      <c r="AB62" s="320"/>
      <c r="AC62" s="320"/>
      <c r="AD62" s="320"/>
      <c r="AE62" s="320"/>
      <c r="AF62" s="320"/>
      <c r="AG62" s="320"/>
      <c r="AH62" s="320"/>
      <c r="AI62" s="320"/>
      <c r="AJ62" s="320"/>
      <c r="AK62" s="479"/>
      <c r="AL62" s="479"/>
      <c r="AM62" s="479"/>
      <c r="AN62" s="479"/>
      <c r="AO62" s="93"/>
      <c r="AP62" s="756"/>
      <c r="AQ62" s="756"/>
      <c r="AR62" s="756"/>
      <c r="AS62" s="756"/>
      <c r="AT62" s="756"/>
      <c r="AU62" s="756"/>
      <c r="AV62" s="756"/>
      <c r="AW62" s="756"/>
      <c r="AX62" s="756"/>
      <c r="AY62" s="756"/>
      <c r="AZ62" s="756"/>
      <c r="BA62" s="756"/>
      <c r="BB62" s="757"/>
      <c r="BC62" s="757"/>
      <c r="BD62" s="757"/>
      <c r="BE62" s="757"/>
      <c r="BF62" s="93"/>
      <c r="BG62" s="756" t="n">
        <v>0</v>
      </c>
      <c r="BH62" s="756" t="n">
        <v>0</v>
      </c>
      <c r="BI62" s="756" t="n">
        <v>0</v>
      </c>
      <c r="BJ62" s="756" t="n">
        <v>0</v>
      </c>
      <c r="BK62" s="756" t="n">
        <v>0</v>
      </c>
      <c r="BL62" s="756" t="n">
        <v>0</v>
      </c>
      <c r="BM62" s="756" t="n">
        <v>0</v>
      </c>
      <c r="BN62" s="756" t="n">
        <v>0</v>
      </c>
      <c r="BO62" s="756" t="n">
        <v>0</v>
      </c>
      <c r="BP62" s="756" t="n">
        <v>0</v>
      </c>
      <c r="BQ62" s="756"/>
      <c r="BR62" s="756"/>
      <c r="BS62" s="757"/>
      <c r="BT62" s="757"/>
      <c r="BU62" s="757"/>
      <c r="BV62" s="757"/>
      <c r="BW62" s="93"/>
      <c r="BX62" s="93"/>
      <c r="BY62" s="44"/>
    </row>
    <row r="63" customFormat="false" ht="15.75" hidden="false" customHeight="false" outlineLevel="0" collapsed="false">
      <c r="A63" s="44"/>
      <c r="B63" s="44"/>
      <c r="C63" s="44"/>
      <c r="D63" s="44"/>
      <c r="E63" s="44"/>
      <c r="F63" s="44"/>
      <c r="G63" s="44"/>
      <c r="H63" s="44"/>
      <c r="I63" s="44"/>
      <c r="J63" s="44"/>
      <c r="K63" s="44"/>
      <c r="L63" s="50"/>
      <c r="M63" s="44"/>
      <c r="N63" s="44"/>
      <c r="O63" s="44"/>
      <c r="P63" s="44"/>
      <c r="Q63" s="44"/>
      <c r="R63" s="44"/>
      <c r="S63" s="44"/>
      <c r="T63" s="44"/>
      <c r="U63" s="44"/>
      <c r="V63" s="44"/>
      <c r="W63" s="44"/>
      <c r="X63" s="320" t="n">
        <f aca="false">X62+1</f>
        <v>61</v>
      </c>
      <c r="Y63" s="320"/>
      <c r="Z63" s="320"/>
      <c r="AA63" s="320"/>
      <c r="AB63" s="320"/>
      <c r="AC63" s="320"/>
      <c r="AD63" s="320"/>
      <c r="AE63" s="320"/>
      <c r="AF63" s="320"/>
      <c r="AG63" s="320"/>
      <c r="AH63" s="320"/>
      <c r="AI63" s="320"/>
      <c r="AJ63" s="320"/>
      <c r="AK63" s="479"/>
      <c r="AL63" s="479"/>
      <c r="AM63" s="479"/>
      <c r="AN63" s="479"/>
      <c r="AO63" s="93"/>
      <c r="AP63" s="754"/>
      <c r="AQ63" s="754"/>
      <c r="AR63" s="754"/>
      <c r="AS63" s="754"/>
      <c r="AT63" s="754"/>
      <c r="AU63" s="754"/>
      <c r="AV63" s="754"/>
      <c r="AW63" s="754"/>
      <c r="AX63" s="754"/>
      <c r="AY63" s="754"/>
      <c r="AZ63" s="754"/>
      <c r="BA63" s="754"/>
      <c r="BB63" s="755"/>
      <c r="BC63" s="755"/>
      <c r="BD63" s="755"/>
      <c r="BE63" s="755"/>
      <c r="BF63" s="93"/>
      <c r="BG63" s="754" t="n">
        <v>0</v>
      </c>
      <c r="BH63" s="754" t="n">
        <v>0</v>
      </c>
      <c r="BI63" s="754" t="n">
        <v>0</v>
      </c>
      <c r="BJ63" s="754" t="n">
        <v>0</v>
      </c>
      <c r="BK63" s="754" t="n">
        <v>0</v>
      </c>
      <c r="BL63" s="754" t="n">
        <v>0</v>
      </c>
      <c r="BM63" s="754" t="n">
        <v>0</v>
      </c>
      <c r="BN63" s="754" t="n">
        <v>0</v>
      </c>
      <c r="BO63" s="754" t="n">
        <v>0</v>
      </c>
      <c r="BP63" s="754" t="n">
        <v>0</v>
      </c>
      <c r="BQ63" s="754"/>
      <c r="BR63" s="754"/>
      <c r="BS63" s="755"/>
      <c r="BT63" s="755"/>
      <c r="BU63" s="755"/>
      <c r="BV63" s="755"/>
      <c r="BW63" s="93"/>
      <c r="BX63" s="93"/>
      <c r="BY63" s="44"/>
    </row>
    <row r="64" customFormat="false" ht="15.75" hidden="false" customHeight="false" outlineLevel="0" collapsed="false">
      <c r="A64" s="44"/>
      <c r="B64" s="44"/>
      <c r="C64" s="44"/>
      <c r="D64" s="44"/>
      <c r="E64" s="44"/>
      <c r="F64" s="44"/>
      <c r="G64" s="44"/>
      <c r="H64" s="44"/>
      <c r="I64" s="44"/>
      <c r="J64" s="44"/>
      <c r="K64" s="44"/>
      <c r="L64" s="50"/>
      <c r="M64" s="44"/>
      <c r="N64" s="44"/>
      <c r="O64" s="44"/>
      <c r="P64" s="44"/>
      <c r="Q64" s="44"/>
      <c r="R64" s="44"/>
      <c r="S64" s="44"/>
      <c r="T64" s="44"/>
      <c r="U64" s="44"/>
      <c r="V64" s="44"/>
      <c r="W64" s="44"/>
      <c r="X64" s="320" t="n">
        <f aca="false">X63+1</f>
        <v>62</v>
      </c>
      <c r="Y64" s="320"/>
      <c r="Z64" s="320"/>
      <c r="AA64" s="320"/>
      <c r="AB64" s="320"/>
      <c r="AC64" s="320"/>
      <c r="AD64" s="320"/>
      <c r="AE64" s="320"/>
      <c r="AF64" s="320"/>
      <c r="AG64" s="320"/>
      <c r="AH64" s="320"/>
      <c r="AI64" s="320"/>
      <c r="AJ64" s="320"/>
      <c r="AK64" s="479"/>
      <c r="AL64" s="479"/>
      <c r="AM64" s="479"/>
      <c r="AN64" s="479"/>
      <c r="AO64" s="93"/>
      <c r="AP64" s="756"/>
      <c r="AQ64" s="756"/>
      <c r="AR64" s="756"/>
      <c r="AS64" s="756"/>
      <c r="AT64" s="756"/>
      <c r="AU64" s="756"/>
      <c r="AV64" s="756"/>
      <c r="AW64" s="756"/>
      <c r="AX64" s="756"/>
      <c r="AY64" s="756"/>
      <c r="AZ64" s="756"/>
      <c r="BA64" s="756"/>
      <c r="BB64" s="757"/>
      <c r="BC64" s="757"/>
      <c r="BD64" s="757"/>
      <c r="BE64" s="757"/>
      <c r="BF64" s="93"/>
      <c r="BG64" s="756" t="n">
        <v>0</v>
      </c>
      <c r="BH64" s="756" t="n">
        <v>0</v>
      </c>
      <c r="BI64" s="756" t="n">
        <v>0</v>
      </c>
      <c r="BJ64" s="756" t="n">
        <v>0</v>
      </c>
      <c r="BK64" s="756" t="n">
        <v>0</v>
      </c>
      <c r="BL64" s="756" t="n">
        <v>0</v>
      </c>
      <c r="BM64" s="756" t="n">
        <v>0</v>
      </c>
      <c r="BN64" s="756" t="n">
        <v>0</v>
      </c>
      <c r="BO64" s="756" t="n">
        <v>0</v>
      </c>
      <c r="BP64" s="756" t="n">
        <v>0</v>
      </c>
      <c r="BQ64" s="756"/>
      <c r="BR64" s="756"/>
      <c r="BS64" s="757"/>
      <c r="BT64" s="757"/>
      <c r="BU64" s="757"/>
      <c r="BV64" s="757"/>
      <c r="BW64" s="93"/>
      <c r="BX64" s="93"/>
      <c r="BY64" s="44"/>
    </row>
    <row r="65" customFormat="false" ht="15.75" hidden="false" customHeight="false" outlineLevel="0" collapsed="false">
      <c r="A65" s="44"/>
      <c r="B65" s="44"/>
      <c r="C65" s="44"/>
      <c r="D65" s="44"/>
      <c r="E65" s="44"/>
      <c r="F65" s="44"/>
      <c r="G65" s="44"/>
      <c r="H65" s="44"/>
      <c r="I65" s="44"/>
      <c r="J65" s="44"/>
      <c r="K65" s="44"/>
      <c r="L65" s="50"/>
      <c r="M65" s="44"/>
      <c r="N65" s="44"/>
      <c r="O65" s="44"/>
      <c r="P65" s="44"/>
      <c r="Q65" s="44"/>
      <c r="R65" s="44"/>
      <c r="S65" s="44"/>
      <c r="T65" s="44"/>
      <c r="U65" s="44"/>
      <c r="V65" s="44"/>
      <c r="W65" s="44"/>
      <c r="X65" s="320" t="n">
        <f aca="false">X64+1</f>
        <v>63</v>
      </c>
      <c r="Y65" s="320"/>
      <c r="Z65" s="320"/>
      <c r="AA65" s="320"/>
      <c r="AB65" s="320"/>
      <c r="AC65" s="320"/>
      <c r="AD65" s="320"/>
      <c r="AE65" s="320"/>
      <c r="AF65" s="320"/>
      <c r="AG65" s="320"/>
      <c r="AH65" s="320"/>
      <c r="AI65" s="320"/>
      <c r="AJ65" s="320"/>
      <c r="AK65" s="479"/>
      <c r="AL65" s="479"/>
      <c r="AM65" s="479"/>
      <c r="AN65" s="479"/>
      <c r="AO65" s="93"/>
      <c r="AP65" s="754"/>
      <c r="AQ65" s="754"/>
      <c r="AR65" s="754"/>
      <c r="AS65" s="754"/>
      <c r="AT65" s="754"/>
      <c r="AU65" s="754"/>
      <c r="AV65" s="754"/>
      <c r="AW65" s="754"/>
      <c r="AX65" s="754"/>
      <c r="AY65" s="754"/>
      <c r="AZ65" s="754"/>
      <c r="BA65" s="754"/>
      <c r="BB65" s="755"/>
      <c r="BC65" s="755"/>
      <c r="BD65" s="755"/>
      <c r="BE65" s="755"/>
      <c r="BF65" s="93"/>
      <c r="BG65" s="754" t="n">
        <v>0</v>
      </c>
      <c r="BH65" s="754" t="n">
        <v>0</v>
      </c>
      <c r="BI65" s="754" t="n">
        <v>0</v>
      </c>
      <c r="BJ65" s="754" t="n">
        <v>0</v>
      </c>
      <c r="BK65" s="754" t="n">
        <v>0</v>
      </c>
      <c r="BL65" s="754" t="n">
        <v>0</v>
      </c>
      <c r="BM65" s="754" t="n">
        <v>0</v>
      </c>
      <c r="BN65" s="754" t="n">
        <v>0</v>
      </c>
      <c r="BO65" s="754" t="n">
        <v>0</v>
      </c>
      <c r="BP65" s="754" t="n">
        <v>0</v>
      </c>
      <c r="BQ65" s="754"/>
      <c r="BR65" s="754"/>
      <c r="BS65" s="755"/>
      <c r="BT65" s="755"/>
      <c r="BU65" s="755"/>
      <c r="BV65" s="755"/>
      <c r="BW65" s="93"/>
      <c r="BX65" s="93"/>
      <c r="BY65" s="44"/>
    </row>
    <row r="66" customFormat="false" ht="15.75" hidden="false" customHeight="false" outlineLevel="0" collapsed="false">
      <c r="A66" s="44"/>
      <c r="B66" s="44"/>
      <c r="C66" s="44"/>
      <c r="D66" s="44"/>
      <c r="E66" s="44"/>
      <c r="F66" s="44"/>
      <c r="G66" s="44"/>
      <c r="H66" s="44"/>
      <c r="I66" s="44"/>
      <c r="J66" s="44"/>
      <c r="K66" s="44"/>
      <c r="L66" s="50"/>
      <c r="M66" s="44"/>
      <c r="N66" s="44"/>
      <c r="O66" s="44"/>
      <c r="P66" s="44"/>
      <c r="Q66" s="44"/>
      <c r="R66" s="44"/>
      <c r="S66" s="44"/>
      <c r="T66" s="44"/>
      <c r="U66" s="44"/>
      <c r="V66" s="44"/>
      <c r="W66" s="44"/>
      <c r="X66" s="320" t="n">
        <f aca="false">X65+1</f>
        <v>64</v>
      </c>
      <c r="Y66" s="320"/>
      <c r="Z66" s="320"/>
      <c r="AA66" s="320"/>
      <c r="AB66" s="320"/>
      <c r="AC66" s="320"/>
      <c r="AD66" s="320"/>
      <c r="AE66" s="320"/>
      <c r="AF66" s="320"/>
      <c r="AG66" s="320"/>
      <c r="AH66" s="320"/>
      <c r="AI66" s="320"/>
      <c r="AJ66" s="320"/>
      <c r="AK66" s="479"/>
      <c r="AL66" s="479"/>
      <c r="AM66" s="479"/>
      <c r="AN66" s="479"/>
      <c r="AO66" s="93"/>
      <c r="AP66" s="756"/>
      <c r="AQ66" s="756"/>
      <c r="AR66" s="756"/>
      <c r="AS66" s="756"/>
      <c r="AT66" s="756"/>
      <c r="AU66" s="756"/>
      <c r="AV66" s="756"/>
      <c r="AW66" s="756"/>
      <c r="AX66" s="756"/>
      <c r="AY66" s="756"/>
      <c r="AZ66" s="756"/>
      <c r="BA66" s="756"/>
      <c r="BB66" s="757"/>
      <c r="BC66" s="757"/>
      <c r="BD66" s="757"/>
      <c r="BE66" s="757"/>
      <c r="BF66" s="93"/>
      <c r="BG66" s="756" t="n">
        <v>0</v>
      </c>
      <c r="BH66" s="756" t="n">
        <v>0</v>
      </c>
      <c r="BI66" s="756" t="n">
        <v>0</v>
      </c>
      <c r="BJ66" s="756" t="n">
        <v>0</v>
      </c>
      <c r="BK66" s="756" t="n">
        <v>0</v>
      </c>
      <c r="BL66" s="756" t="n">
        <v>0</v>
      </c>
      <c r="BM66" s="756" t="n">
        <v>0</v>
      </c>
      <c r="BN66" s="756" t="n">
        <v>0</v>
      </c>
      <c r="BO66" s="756" t="n">
        <v>0</v>
      </c>
      <c r="BP66" s="756" t="n">
        <v>0</v>
      </c>
      <c r="BQ66" s="756"/>
      <c r="BR66" s="756"/>
      <c r="BS66" s="757"/>
      <c r="BT66" s="757"/>
      <c r="BU66" s="757"/>
      <c r="BV66" s="757"/>
      <c r="BW66" s="93"/>
      <c r="BX66" s="93"/>
      <c r="BY66" s="44"/>
    </row>
    <row r="67" customFormat="false" ht="15.75" hidden="false" customHeight="false" outlineLevel="0" collapsed="false">
      <c r="A67" s="44"/>
      <c r="B67" s="44"/>
      <c r="C67" s="44"/>
      <c r="D67" s="44"/>
      <c r="E67" s="44"/>
      <c r="F67" s="44"/>
      <c r="G67" s="44"/>
      <c r="H67" s="44"/>
      <c r="I67" s="44"/>
      <c r="J67" s="44"/>
      <c r="K67" s="44"/>
      <c r="L67" s="50"/>
      <c r="M67" s="44"/>
      <c r="N67" s="44"/>
      <c r="O67" s="44"/>
      <c r="P67" s="44"/>
      <c r="Q67" s="44"/>
      <c r="R67" s="44"/>
      <c r="S67" s="44"/>
      <c r="T67" s="44"/>
      <c r="U67" s="44"/>
      <c r="V67" s="44"/>
      <c r="W67" s="44"/>
      <c r="X67" s="320" t="n">
        <f aca="false">X66+1</f>
        <v>65</v>
      </c>
      <c r="Y67" s="320"/>
      <c r="Z67" s="320"/>
      <c r="AA67" s="320"/>
      <c r="AB67" s="320"/>
      <c r="AC67" s="320"/>
      <c r="AD67" s="320"/>
      <c r="AE67" s="320"/>
      <c r="AF67" s="320"/>
      <c r="AG67" s="320"/>
      <c r="AH67" s="320"/>
      <c r="AI67" s="320"/>
      <c r="AJ67" s="320"/>
      <c r="AK67" s="479"/>
      <c r="AL67" s="479"/>
      <c r="AM67" s="479"/>
      <c r="AN67" s="479"/>
      <c r="AO67" s="93"/>
      <c r="AP67" s="754"/>
      <c r="AQ67" s="754"/>
      <c r="AR67" s="754"/>
      <c r="AS67" s="754"/>
      <c r="AT67" s="754"/>
      <c r="AU67" s="754"/>
      <c r="AV67" s="754"/>
      <c r="AW67" s="754"/>
      <c r="AX67" s="754"/>
      <c r="AY67" s="754"/>
      <c r="AZ67" s="754"/>
      <c r="BA67" s="754"/>
      <c r="BB67" s="755"/>
      <c r="BC67" s="755"/>
      <c r="BD67" s="755"/>
      <c r="BE67" s="755"/>
      <c r="BF67" s="93"/>
      <c r="BG67" s="754" t="n">
        <v>0</v>
      </c>
      <c r="BH67" s="754" t="n">
        <v>0</v>
      </c>
      <c r="BI67" s="754" t="n">
        <v>0</v>
      </c>
      <c r="BJ67" s="754" t="n">
        <v>0</v>
      </c>
      <c r="BK67" s="754" t="n">
        <v>0</v>
      </c>
      <c r="BL67" s="754" t="n">
        <v>0</v>
      </c>
      <c r="BM67" s="754" t="n">
        <v>0</v>
      </c>
      <c r="BN67" s="754" t="n">
        <v>0</v>
      </c>
      <c r="BO67" s="754" t="n">
        <v>0</v>
      </c>
      <c r="BP67" s="754" t="n">
        <v>0</v>
      </c>
      <c r="BQ67" s="754"/>
      <c r="BR67" s="754"/>
      <c r="BS67" s="755"/>
      <c r="BT67" s="755"/>
      <c r="BU67" s="755"/>
      <c r="BV67" s="755"/>
      <c r="BW67" s="93"/>
      <c r="BX67" s="93"/>
      <c r="BY67" s="44"/>
    </row>
    <row r="68" customFormat="false" ht="15.75" hidden="false" customHeight="false" outlineLevel="0" collapsed="false">
      <c r="A68" s="44"/>
      <c r="B68" s="44"/>
      <c r="C68" s="44"/>
      <c r="D68" s="44"/>
      <c r="E68" s="44"/>
      <c r="F68" s="44"/>
      <c r="G68" s="44"/>
      <c r="H68" s="44"/>
      <c r="I68" s="44"/>
      <c r="J68" s="44"/>
      <c r="K68" s="44"/>
      <c r="L68" s="50"/>
      <c r="M68" s="44"/>
      <c r="N68" s="44"/>
      <c r="O68" s="44"/>
      <c r="P68" s="44"/>
      <c r="Q68" s="44"/>
      <c r="R68" s="44"/>
      <c r="S68" s="44"/>
      <c r="T68" s="44"/>
      <c r="U68" s="44"/>
      <c r="V68" s="44"/>
      <c r="W68" s="44"/>
      <c r="X68" s="320" t="n">
        <f aca="false">X67+1</f>
        <v>66</v>
      </c>
      <c r="Y68" s="320"/>
      <c r="Z68" s="320"/>
      <c r="AA68" s="320"/>
      <c r="AB68" s="320"/>
      <c r="AC68" s="320"/>
      <c r="AD68" s="320"/>
      <c r="AE68" s="320"/>
      <c r="AF68" s="320"/>
      <c r="AG68" s="320"/>
      <c r="AH68" s="320"/>
      <c r="AI68" s="320"/>
      <c r="AJ68" s="320"/>
      <c r="AK68" s="479"/>
      <c r="AL68" s="479"/>
      <c r="AM68" s="479"/>
      <c r="AN68" s="479"/>
      <c r="AO68" s="93"/>
      <c r="AP68" s="756"/>
      <c r="AQ68" s="756"/>
      <c r="AR68" s="756"/>
      <c r="AS68" s="756"/>
      <c r="AT68" s="756"/>
      <c r="AU68" s="756"/>
      <c r="AV68" s="756"/>
      <c r="AW68" s="756"/>
      <c r="AX68" s="756"/>
      <c r="AY68" s="756"/>
      <c r="AZ68" s="756"/>
      <c r="BA68" s="756"/>
      <c r="BB68" s="757"/>
      <c r="BC68" s="757"/>
      <c r="BD68" s="757"/>
      <c r="BE68" s="757"/>
      <c r="BF68" s="93"/>
      <c r="BG68" s="756" t="n">
        <v>0</v>
      </c>
      <c r="BH68" s="756" t="n">
        <v>0</v>
      </c>
      <c r="BI68" s="756" t="n">
        <v>0</v>
      </c>
      <c r="BJ68" s="756" t="n">
        <v>0</v>
      </c>
      <c r="BK68" s="756" t="n">
        <v>0</v>
      </c>
      <c r="BL68" s="756" t="n">
        <v>0</v>
      </c>
      <c r="BM68" s="756" t="n">
        <v>0</v>
      </c>
      <c r="BN68" s="756" t="n">
        <v>0</v>
      </c>
      <c r="BO68" s="756" t="n">
        <v>0</v>
      </c>
      <c r="BP68" s="756" t="n">
        <v>0</v>
      </c>
      <c r="BQ68" s="756"/>
      <c r="BR68" s="756"/>
      <c r="BS68" s="757"/>
      <c r="BT68" s="757"/>
      <c r="BU68" s="757"/>
      <c r="BV68" s="757"/>
      <c r="BW68" s="93"/>
      <c r="BX68" s="93"/>
      <c r="BY68" s="44"/>
    </row>
    <row r="69" customFormat="false" ht="15.75" hidden="false" customHeight="false" outlineLevel="0" collapsed="false">
      <c r="A69" s="44"/>
      <c r="B69" s="44"/>
      <c r="C69" s="44"/>
      <c r="D69" s="44"/>
      <c r="E69" s="44"/>
      <c r="F69" s="44"/>
      <c r="G69" s="44"/>
      <c r="H69" s="44"/>
      <c r="I69" s="44"/>
      <c r="J69" s="44"/>
      <c r="K69" s="44"/>
      <c r="L69" s="50"/>
      <c r="M69" s="44"/>
      <c r="N69" s="44"/>
      <c r="O69" s="44"/>
      <c r="P69" s="44"/>
      <c r="Q69" s="44"/>
      <c r="R69" s="44"/>
      <c r="S69" s="44"/>
      <c r="T69" s="44"/>
      <c r="U69" s="44"/>
      <c r="V69" s="44"/>
      <c r="W69" s="44"/>
      <c r="X69" s="320" t="n">
        <f aca="false">X68+1</f>
        <v>67</v>
      </c>
      <c r="Y69" s="320"/>
      <c r="Z69" s="320"/>
      <c r="AA69" s="320"/>
      <c r="AB69" s="320"/>
      <c r="AC69" s="320"/>
      <c r="AD69" s="320"/>
      <c r="AE69" s="320"/>
      <c r="AF69" s="320"/>
      <c r="AG69" s="320"/>
      <c r="AH69" s="320"/>
      <c r="AI69" s="320"/>
      <c r="AJ69" s="320"/>
      <c r="AK69" s="479"/>
      <c r="AL69" s="479"/>
      <c r="AM69" s="479"/>
      <c r="AN69" s="479"/>
      <c r="AO69" s="93"/>
      <c r="AP69" s="754"/>
      <c r="AQ69" s="754"/>
      <c r="AR69" s="754"/>
      <c r="AS69" s="754"/>
      <c r="AT69" s="754"/>
      <c r="AU69" s="754"/>
      <c r="AV69" s="754"/>
      <c r="AW69" s="754"/>
      <c r="AX69" s="754"/>
      <c r="AY69" s="754"/>
      <c r="AZ69" s="754"/>
      <c r="BA69" s="754"/>
      <c r="BB69" s="755"/>
      <c r="BC69" s="755"/>
      <c r="BD69" s="755"/>
      <c r="BE69" s="755"/>
      <c r="BF69" s="93"/>
      <c r="BG69" s="754" t="n">
        <v>0</v>
      </c>
      <c r="BH69" s="754" t="n">
        <v>0</v>
      </c>
      <c r="BI69" s="754" t="n">
        <v>0</v>
      </c>
      <c r="BJ69" s="754" t="n">
        <v>0</v>
      </c>
      <c r="BK69" s="754" t="n">
        <v>0</v>
      </c>
      <c r="BL69" s="754" t="n">
        <v>0</v>
      </c>
      <c r="BM69" s="754" t="n">
        <v>0</v>
      </c>
      <c r="BN69" s="754" t="n">
        <v>0</v>
      </c>
      <c r="BO69" s="754" t="n">
        <v>0</v>
      </c>
      <c r="BP69" s="754" t="n">
        <v>0</v>
      </c>
      <c r="BQ69" s="754"/>
      <c r="BR69" s="754"/>
      <c r="BS69" s="755"/>
      <c r="BT69" s="755"/>
      <c r="BU69" s="755"/>
      <c r="BV69" s="755"/>
      <c r="BW69" s="93"/>
      <c r="BX69" s="93"/>
      <c r="BY69" s="44"/>
    </row>
    <row r="70" customFormat="false" ht="15.75" hidden="false" customHeight="false" outlineLevel="0" collapsed="false">
      <c r="A70" s="44"/>
      <c r="B70" s="44"/>
      <c r="C70" s="44"/>
      <c r="D70" s="44"/>
      <c r="E70" s="44"/>
      <c r="F70" s="44"/>
      <c r="G70" s="44"/>
      <c r="H70" s="44"/>
      <c r="I70" s="44"/>
      <c r="J70" s="44"/>
      <c r="K70" s="44"/>
      <c r="L70" s="50"/>
      <c r="M70" s="44"/>
      <c r="N70" s="44"/>
      <c r="O70" s="44"/>
      <c r="P70" s="44"/>
      <c r="Q70" s="44"/>
      <c r="R70" s="44"/>
      <c r="S70" s="44"/>
      <c r="T70" s="44"/>
      <c r="U70" s="44"/>
      <c r="V70" s="44"/>
      <c r="W70" s="44"/>
      <c r="X70" s="320" t="n">
        <f aca="false">X69+1</f>
        <v>68</v>
      </c>
      <c r="Y70" s="320"/>
      <c r="Z70" s="320"/>
      <c r="AA70" s="320"/>
      <c r="AB70" s="320"/>
      <c r="AC70" s="320"/>
      <c r="AD70" s="320"/>
      <c r="AE70" s="320"/>
      <c r="AF70" s="320"/>
      <c r="AG70" s="320"/>
      <c r="AH70" s="320"/>
      <c r="AI70" s="320"/>
      <c r="AJ70" s="320"/>
      <c r="AK70" s="479"/>
      <c r="AL70" s="479"/>
      <c r="AM70" s="479"/>
      <c r="AN70" s="479"/>
      <c r="AO70" s="93"/>
      <c r="AP70" s="756"/>
      <c r="AQ70" s="756"/>
      <c r="AR70" s="756"/>
      <c r="AS70" s="756"/>
      <c r="AT70" s="756"/>
      <c r="AU70" s="756"/>
      <c r="AV70" s="756"/>
      <c r="AW70" s="756"/>
      <c r="AX70" s="756"/>
      <c r="AY70" s="756"/>
      <c r="AZ70" s="756"/>
      <c r="BA70" s="756"/>
      <c r="BB70" s="757"/>
      <c r="BC70" s="757"/>
      <c r="BD70" s="757"/>
      <c r="BE70" s="757"/>
      <c r="BF70" s="93"/>
      <c r="BG70" s="756" t="n">
        <v>0</v>
      </c>
      <c r="BH70" s="756" t="n">
        <v>0</v>
      </c>
      <c r="BI70" s="756" t="n">
        <v>0</v>
      </c>
      <c r="BJ70" s="756" t="n">
        <v>0</v>
      </c>
      <c r="BK70" s="756" t="n">
        <v>0</v>
      </c>
      <c r="BL70" s="756" t="n">
        <v>0</v>
      </c>
      <c r="BM70" s="756" t="n">
        <v>0</v>
      </c>
      <c r="BN70" s="756" t="n">
        <v>0</v>
      </c>
      <c r="BO70" s="756" t="n">
        <v>0</v>
      </c>
      <c r="BP70" s="756" t="n">
        <v>0</v>
      </c>
      <c r="BQ70" s="756"/>
      <c r="BR70" s="756"/>
      <c r="BS70" s="757"/>
      <c r="BT70" s="757"/>
      <c r="BU70" s="757"/>
      <c r="BV70" s="757"/>
      <c r="BW70" s="93"/>
      <c r="BX70" s="93"/>
      <c r="BY70" s="44"/>
    </row>
    <row r="71" customFormat="false" ht="15.75" hidden="false" customHeight="false" outlineLevel="0" collapsed="false">
      <c r="A71" s="44"/>
      <c r="B71" s="44"/>
      <c r="C71" s="44"/>
      <c r="D71" s="44"/>
      <c r="E71" s="44"/>
      <c r="F71" s="44"/>
      <c r="G71" s="44"/>
      <c r="H71" s="44"/>
      <c r="I71" s="44"/>
      <c r="J71" s="44"/>
      <c r="K71" s="44"/>
      <c r="L71" s="50"/>
      <c r="M71" s="44"/>
      <c r="N71" s="44"/>
      <c r="O71" s="44"/>
      <c r="P71" s="44"/>
      <c r="Q71" s="44"/>
      <c r="R71" s="44"/>
      <c r="S71" s="44"/>
      <c r="T71" s="44"/>
      <c r="U71" s="44"/>
      <c r="V71" s="44"/>
      <c r="W71" s="44"/>
      <c r="X71" s="320" t="n">
        <f aca="false">X70+1</f>
        <v>69</v>
      </c>
      <c r="Y71" s="320"/>
      <c r="Z71" s="320"/>
      <c r="AA71" s="320"/>
      <c r="AB71" s="320"/>
      <c r="AC71" s="320"/>
      <c r="AD71" s="320"/>
      <c r="AE71" s="320"/>
      <c r="AF71" s="320"/>
      <c r="AG71" s="320"/>
      <c r="AH71" s="320"/>
      <c r="AI71" s="320"/>
      <c r="AJ71" s="320"/>
      <c r="AK71" s="479"/>
      <c r="AL71" s="479"/>
      <c r="AM71" s="479"/>
      <c r="AN71" s="479"/>
      <c r="AO71" s="93"/>
      <c r="AP71" s="754"/>
      <c r="AQ71" s="754"/>
      <c r="AR71" s="754"/>
      <c r="AS71" s="754"/>
      <c r="AT71" s="754"/>
      <c r="AU71" s="754"/>
      <c r="AV71" s="754"/>
      <c r="AW71" s="754"/>
      <c r="AX71" s="754"/>
      <c r="AY71" s="754"/>
      <c r="AZ71" s="754"/>
      <c r="BA71" s="754"/>
      <c r="BB71" s="755"/>
      <c r="BC71" s="755"/>
      <c r="BD71" s="755"/>
      <c r="BE71" s="755"/>
      <c r="BF71" s="93"/>
      <c r="BG71" s="754" t="n">
        <v>0</v>
      </c>
      <c r="BH71" s="754" t="n">
        <v>0</v>
      </c>
      <c r="BI71" s="754" t="n">
        <v>0</v>
      </c>
      <c r="BJ71" s="754" t="n">
        <v>0</v>
      </c>
      <c r="BK71" s="754" t="n">
        <v>0</v>
      </c>
      <c r="BL71" s="754" t="n">
        <v>0</v>
      </c>
      <c r="BM71" s="754" t="n">
        <v>0</v>
      </c>
      <c r="BN71" s="754" t="n">
        <v>0</v>
      </c>
      <c r="BO71" s="754" t="n">
        <v>0</v>
      </c>
      <c r="BP71" s="754" t="n">
        <v>0</v>
      </c>
      <c r="BQ71" s="754"/>
      <c r="BR71" s="754"/>
      <c r="BS71" s="755"/>
      <c r="BT71" s="755"/>
      <c r="BU71" s="755"/>
      <c r="BV71" s="755"/>
      <c r="BW71" s="93"/>
      <c r="BX71" s="93"/>
      <c r="BY71" s="44"/>
    </row>
    <row r="72" customFormat="false" ht="15.75" hidden="false" customHeight="false" outlineLevel="0" collapsed="false">
      <c r="A72" s="44"/>
      <c r="B72" s="44"/>
      <c r="C72" s="44"/>
      <c r="D72" s="44"/>
      <c r="E72" s="44"/>
      <c r="F72" s="44"/>
      <c r="G72" s="44"/>
      <c r="H72" s="44"/>
      <c r="I72" s="44"/>
      <c r="J72" s="44"/>
      <c r="K72" s="44"/>
      <c r="L72" s="50"/>
      <c r="M72" s="44"/>
      <c r="N72" s="44"/>
      <c r="O72" s="44"/>
      <c r="P72" s="44"/>
      <c r="Q72" s="44"/>
      <c r="R72" s="44"/>
      <c r="S72" s="44"/>
      <c r="T72" s="44"/>
      <c r="U72" s="44"/>
      <c r="V72" s="44"/>
      <c r="W72" s="44"/>
      <c r="X72" s="320" t="n">
        <f aca="false">X71+1</f>
        <v>70</v>
      </c>
      <c r="Y72" s="320"/>
      <c r="Z72" s="320"/>
      <c r="AA72" s="320"/>
      <c r="AB72" s="320"/>
      <c r="AC72" s="320"/>
      <c r="AD72" s="320"/>
      <c r="AE72" s="320"/>
      <c r="AF72" s="320"/>
      <c r="AG72" s="320"/>
      <c r="AH72" s="320"/>
      <c r="AI72" s="320"/>
      <c r="AJ72" s="320"/>
      <c r="AK72" s="479"/>
      <c r="AL72" s="479"/>
      <c r="AM72" s="479"/>
      <c r="AN72" s="479"/>
      <c r="AO72" s="93"/>
      <c r="AP72" s="756"/>
      <c r="AQ72" s="756"/>
      <c r="AR72" s="756"/>
      <c r="AS72" s="756"/>
      <c r="AT72" s="756"/>
      <c r="AU72" s="756"/>
      <c r="AV72" s="756"/>
      <c r="AW72" s="756"/>
      <c r="AX72" s="756"/>
      <c r="AY72" s="756"/>
      <c r="AZ72" s="756"/>
      <c r="BA72" s="756"/>
      <c r="BB72" s="757"/>
      <c r="BC72" s="757"/>
      <c r="BD72" s="757"/>
      <c r="BE72" s="757"/>
      <c r="BF72" s="93"/>
      <c r="BG72" s="756" t="n">
        <v>0</v>
      </c>
      <c r="BH72" s="756" t="n">
        <v>0</v>
      </c>
      <c r="BI72" s="756" t="n">
        <v>0</v>
      </c>
      <c r="BJ72" s="756" t="n">
        <v>0</v>
      </c>
      <c r="BK72" s="756" t="n">
        <v>0</v>
      </c>
      <c r="BL72" s="756" t="n">
        <v>0</v>
      </c>
      <c r="BM72" s="756" t="n">
        <v>0</v>
      </c>
      <c r="BN72" s="756" t="n">
        <v>0</v>
      </c>
      <c r="BO72" s="756" t="n">
        <v>0</v>
      </c>
      <c r="BP72" s="756" t="n">
        <v>0</v>
      </c>
      <c r="BQ72" s="756"/>
      <c r="BR72" s="756"/>
      <c r="BS72" s="757"/>
      <c r="BT72" s="757"/>
      <c r="BU72" s="757"/>
      <c r="BV72" s="757"/>
      <c r="BW72" s="93"/>
      <c r="BX72" s="93"/>
      <c r="BY72" s="44"/>
    </row>
    <row r="73" customFormat="false" ht="15.75" hidden="false" customHeight="false" outlineLevel="0" collapsed="false">
      <c r="A73" s="44"/>
      <c r="B73" s="44"/>
      <c r="C73" s="44"/>
      <c r="D73" s="44"/>
      <c r="E73" s="44"/>
      <c r="F73" s="44"/>
      <c r="G73" s="44"/>
      <c r="H73" s="44"/>
      <c r="I73" s="44"/>
      <c r="J73" s="44"/>
      <c r="K73" s="44"/>
      <c r="L73" s="50"/>
      <c r="M73" s="44"/>
      <c r="N73" s="44"/>
      <c r="O73" s="44"/>
      <c r="P73" s="44"/>
      <c r="Q73" s="44"/>
      <c r="R73" s="44"/>
      <c r="S73" s="44"/>
      <c r="T73" s="44"/>
      <c r="U73" s="44"/>
      <c r="V73" s="44"/>
      <c r="W73" s="44"/>
      <c r="X73" s="320" t="n">
        <f aca="false">X72+1</f>
        <v>71</v>
      </c>
      <c r="Y73" s="320"/>
      <c r="Z73" s="320"/>
      <c r="AA73" s="320"/>
      <c r="AB73" s="320"/>
      <c r="AC73" s="320"/>
      <c r="AD73" s="320"/>
      <c r="AE73" s="320"/>
      <c r="AF73" s="320"/>
      <c r="AG73" s="320"/>
      <c r="AH73" s="320"/>
      <c r="AI73" s="320"/>
      <c r="AJ73" s="320"/>
      <c r="AK73" s="479"/>
      <c r="AL73" s="479"/>
      <c r="AM73" s="479"/>
      <c r="AN73" s="479"/>
      <c r="AO73" s="93"/>
      <c r="AP73" s="754"/>
      <c r="AQ73" s="754"/>
      <c r="AR73" s="754"/>
      <c r="AS73" s="754"/>
      <c r="AT73" s="754"/>
      <c r="AU73" s="754"/>
      <c r="AV73" s="754"/>
      <c r="AW73" s="754"/>
      <c r="AX73" s="754"/>
      <c r="AY73" s="754"/>
      <c r="AZ73" s="754"/>
      <c r="BA73" s="754"/>
      <c r="BB73" s="755"/>
      <c r="BC73" s="755"/>
      <c r="BD73" s="755"/>
      <c r="BE73" s="755"/>
      <c r="BF73" s="93"/>
      <c r="BG73" s="754" t="n">
        <v>0</v>
      </c>
      <c r="BH73" s="754" t="n">
        <v>0</v>
      </c>
      <c r="BI73" s="754" t="n">
        <v>0</v>
      </c>
      <c r="BJ73" s="754" t="n">
        <v>0</v>
      </c>
      <c r="BK73" s="754" t="n">
        <v>0</v>
      </c>
      <c r="BL73" s="754" t="n">
        <v>0</v>
      </c>
      <c r="BM73" s="754" t="n">
        <v>0</v>
      </c>
      <c r="BN73" s="754" t="n">
        <v>0</v>
      </c>
      <c r="BO73" s="754" t="n">
        <v>0</v>
      </c>
      <c r="BP73" s="754" t="n">
        <v>0</v>
      </c>
      <c r="BQ73" s="754"/>
      <c r="BR73" s="754"/>
      <c r="BS73" s="755"/>
      <c r="BT73" s="755"/>
      <c r="BU73" s="755"/>
      <c r="BV73" s="755"/>
      <c r="BW73" s="93"/>
      <c r="BX73" s="93"/>
      <c r="BY73" s="44"/>
    </row>
    <row r="74" customFormat="false" ht="15.75" hidden="false" customHeight="false" outlineLevel="0" collapsed="false">
      <c r="A74" s="44"/>
      <c r="B74" s="44"/>
      <c r="C74" s="44"/>
      <c r="D74" s="44"/>
      <c r="E74" s="44"/>
      <c r="F74" s="44"/>
      <c r="G74" s="44"/>
      <c r="H74" s="44"/>
      <c r="I74" s="44"/>
      <c r="J74" s="44"/>
      <c r="K74" s="44"/>
      <c r="L74" s="50"/>
      <c r="M74" s="44"/>
      <c r="N74" s="44"/>
      <c r="O74" s="44"/>
      <c r="P74" s="44"/>
      <c r="Q74" s="44"/>
      <c r="R74" s="44"/>
      <c r="S74" s="44"/>
      <c r="T74" s="44"/>
      <c r="U74" s="44"/>
      <c r="V74" s="44"/>
      <c r="W74" s="44"/>
      <c r="X74" s="320" t="n">
        <f aca="false">X73+1</f>
        <v>72</v>
      </c>
      <c r="Y74" s="320"/>
      <c r="Z74" s="320"/>
      <c r="AA74" s="320"/>
      <c r="AB74" s="320"/>
      <c r="AC74" s="320"/>
      <c r="AD74" s="320"/>
      <c r="AE74" s="320"/>
      <c r="AF74" s="320"/>
      <c r="AG74" s="320"/>
      <c r="AH74" s="320"/>
      <c r="AI74" s="320"/>
      <c r="AJ74" s="320"/>
      <c r="AK74" s="479"/>
      <c r="AL74" s="479"/>
      <c r="AM74" s="479"/>
      <c r="AN74" s="479"/>
      <c r="AO74" s="93"/>
      <c r="AP74" s="756"/>
      <c r="AQ74" s="756"/>
      <c r="AR74" s="756"/>
      <c r="AS74" s="756"/>
      <c r="AT74" s="756"/>
      <c r="AU74" s="756"/>
      <c r="AV74" s="756"/>
      <c r="AW74" s="756"/>
      <c r="AX74" s="756"/>
      <c r="AY74" s="756"/>
      <c r="AZ74" s="756"/>
      <c r="BA74" s="756"/>
      <c r="BB74" s="757"/>
      <c r="BC74" s="757"/>
      <c r="BD74" s="757"/>
      <c r="BE74" s="757"/>
      <c r="BF74" s="93"/>
      <c r="BG74" s="756" t="n">
        <v>0</v>
      </c>
      <c r="BH74" s="756" t="n">
        <v>0</v>
      </c>
      <c r="BI74" s="756" t="n">
        <v>0</v>
      </c>
      <c r="BJ74" s="756" t="n">
        <v>0</v>
      </c>
      <c r="BK74" s="756" t="n">
        <v>0</v>
      </c>
      <c r="BL74" s="756" t="n">
        <v>0</v>
      </c>
      <c r="BM74" s="756" t="n">
        <v>0</v>
      </c>
      <c r="BN74" s="756" t="n">
        <v>0</v>
      </c>
      <c r="BO74" s="756" t="n">
        <v>0</v>
      </c>
      <c r="BP74" s="756" t="n">
        <v>0</v>
      </c>
      <c r="BQ74" s="756"/>
      <c r="BR74" s="756"/>
      <c r="BS74" s="757"/>
      <c r="BT74" s="757"/>
      <c r="BU74" s="757"/>
      <c r="BV74" s="757"/>
      <c r="BW74" s="93"/>
      <c r="BX74" s="93"/>
      <c r="BY74" s="44"/>
    </row>
    <row r="75" customFormat="false" ht="15.75" hidden="false" customHeight="false" outlineLevel="0" collapsed="false">
      <c r="A75" s="44"/>
      <c r="B75" s="44"/>
      <c r="C75" s="44"/>
      <c r="D75" s="44"/>
      <c r="E75" s="44"/>
      <c r="F75" s="44"/>
      <c r="G75" s="44"/>
      <c r="H75" s="44"/>
      <c r="I75" s="44"/>
      <c r="J75" s="44"/>
      <c r="K75" s="44"/>
      <c r="L75" s="50"/>
      <c r="M75" s="44"/>
      <c r="N75" s="44"/>
      <c r="O75" s="44"/>
      <c r="P75" s="44"/>
      <c r="Q75" s="44"/>
      <c r="R75" s="44"/>
      <c r="S75" s="44"/>
      <c r="T75" s="44"/>
      <c r="U75" s="44"/>
      <c r="V75" s="44"/>
      <c r="W75" s="44"/>
      <c r="X75" s="320" t="n">
        <f aca="false">X74+1</f>
        <v>73</v>
      </c>
      <c r="Y75" s="320"/>
      <c r="Z75" s="320"/>
      <c r="AA75" s="320"/>
      <c r="AB75" s="320"/>
      <c r="AC75" s="320"/>
      <c r="AD75" s="320"/>
      <c r="AE75" s="320"/>
      <c r="AF75" s="320"/>
      <c r="AG75" s="320"/>
      <c r="AH75" s="320"/>
      <c r="AI75" s="320"/>
      <c r="AJ75" s="320"/>
      <c r="AK75" s="479"/>
      <c r="AL75" s="479"/>
      <c r="AM75" s="479"/>
      <c r="AN75" s="479"/>
      <c r="AO75" s="93"/>
      <c r="AP75" s="754"/>
      <c r="AQ75" s="754"/>
      <c r="AR75" s="754"/>
      <c r="AS75" s="754"/>
      <c r="AT75" s="754"/>
      <c r="AU75" s="754"/>
      <c r="AV75" s="754"/>
      <c r="AW75" s="754"/>
      <c r="AX75" s="754"/>
      <c r="AY75" s="754"/>
      <c r="AZ75" s="754"/>
      <c r="BA75" s="754"/>
      <c r="BB75" s="755"/>
      <c r="BC75" s="755"/>
      <c r="BD75" s="755"/>
      <c r="BE75" s="755"/>
      <c r="BF75" s="93"/>
      <c r="BG75" s="754" t="n">
        <v>0</v>
      </c>
      <c r="BH75" s="754" t="n">
        <v>0</v>
      </c>
      <c r="BI75" s="754" t="n">
        <v>0</v>
      </c>
      <c r="BJ75" s="754" t="n">
        <v>0</v>
      </c>
      <c r="BK75" s="754" t="n">
        <v>0</v>
      </c>
      <c r="BL75" s="754" t="n">
        <v>0</v>
      </c>
      <c r="BM75" s="754" t="n">
        <v>0</v>
      </c>
      <c r="BN75" s="754" t="n">
        <v>0</v>
      </c>
      <c r="BO75" s="754" t="n">
        <v>0</v>
      </c>
      <c r="BP75" s="754" t="n">
        <v>0</v>
      </c>
      <c r="BQ75" s="754"/>
      <c r="BR75" s="754"/>
      <c r="BS75" s="755"/>
      <c r="BT75" s="755"/>
      <c r="BU75" s="755"/>
      <c r="BV75" s="755"/>
      <c r="BW75" s="93"/>
      <c r="BX75" s="93"/>
      <c r="BY75" s="44"/>
    </row>
    <row r="76" customFormat="false" ht="15.75" hidden="false" customHeight="false" outlineLevel="0" collapsed="false">
      <c r="A76" s="44"/>
      <c r="B76" s="44"/>
      <c r="C76" s="44"/>
      <c r="D76" s="44"/>
      <c r="E76" s="44"/>
      <c r="F76" s="44"/>
      <c r="G76" s="44"/>
      <c r="H76" s="44"/>
      <c r="I76" s="44"/>
      <c r="J76" s="44"/>
      <c r="K76" s="44"/>
      <c r="L76" s="50"/>
      <c r="M76" s="44"/>
      <c r="N76" s="44"/>
      <c r="O76" s="44"/>
      <c r="P76" s="44"/>
      <c r="Q76" s="44"/>
      <c r="R76" s="44"/>
      <c r="S76" s="44"/>
      <c r="T76" s="44"/>
      <c r="U76" s="44"/>
      <c r="V76" s="44"/>
      <c r="W76" s="44"/>
      <c r="X76" s="320" t="n">
        <f aca="false">X75+1</f>
        <v>74</v>
      </c>
      <c r="Y76" s="320"/>
      <c r="Z76" s="320"/>
      <c r="AA76" s="320"/>
      <c r="AB76" s="320"/>
      <c r="AC76" s="320"/>
      <c r="AD76" s="320"/>
      <c r="AE76" s="320"/>
      <c r="AF76" s="320"/>
      <c r="AG76" s="320"/>
      <c r="AH76" s="320"/>
      <c r="AI76" s="320"/>
      <c r="AJ76" s="320"/>
      <c r="AK76" s="479"/>
      <c r="AL76" s="479"/>
      <c r="AM76" s="479"/>
      <c r="AN76" s="479"/>
      <c r="AO76" s="93"/>
      <c r="AP76" s="756"/>
      <c r="AQ76" s="756"/>
      <c r="AR76" s="756"/>
      <c r="AS76" s="756"/>
      <c r="AT76" s="756"/>
      <c r="AU76" s="756"/>
      <c r="AV76" s="756"/>
      <c r="AW76" s="756"/>
      <c r="AX76" s="756"/>
      <c r="AY76" s="756"/>
      <c r="AZ76" s="756"/>
      <c r="BA76" s="756"/>
      <c r="BB76" s="757"/>
      <c r="BC76" s="757"/>
      <c r="BD76" s="757"/>
      <c r="BE76" s="757"/>
      <c r="BF76" s="93"/>
      <c r="BG76" s="756" t="n">
        <v>0</v>
      </c>
      <c r="BH76" s="756" t="n">
        <v>0</v>
      </c>
      <c r="BI76" s="756" t="n">
        <v>0</v>
      </c>
      <c r="BJ76" s="756" t="n">
        <v>0</v>
      </c>
      <c r="BK76" s="756" t="n">
        <v>0</v>
      </c>
      <c r="BL76" s="756" t="n">
        <v>0</v>
      </c>
      <c r="BM76" s="756" t="n">
        <v>0</v>
      </c>
      <c r="BN76" s="756" t="n">
        <v>0</v>
      </c>
      <c r="BO76" s="756" t="n">
        <v>0</v>
      </c>
      <c r="BP76" s="756" t="n">
        <v>0</v>
      </c>
      <c r="BQ76" s="756"/>
      <c r="BR76" s="756"/>
      <c r="BS76" s="757"/>
      <c r="BT76" s="757"/>
      <c r="BU76" s="757"/>
      <c r="BV76" s="757"/>
      <c r="BW76" s="93"/>
      <c r="BX76" s="93"/>
      <c r="BY76" s="44"/>
    </row>
    <row r="77" customFormat="false" ht="15.75" hidden="false" customHeight="false" outlineLevel="0" collapsed="false">
      <c r="A77" s="44"/>
      <c r="B77" s="44"/>
      <c r="C77" s="44"/>
      <c r="D77" s="44"/>
      <c r="E77" s="44"/>
      <c r="F77" s="44"/>
      <c r="G77" s="44"/>
      <c r="H77" s="44"/>
      <c r="I77" s="44"/>
      <c r="J77" s="44"/>
      <c r="K77" s="44"/>
      <c r="L77" s="50"/>
      <c r="M77" s="44"/>
      <c r="N77" s="44"/>
      <c r="O77" s="44"/>
      <c r="P77" s="44"/>
      <c r="Q77" s="44"/>
      <c r="R77" s="44"/>
      <c r="S77" s="44"/>
      <c r="T77" s="44"/>
      <c r="U77" s="44"/>
      <c r="V77" s="44"/>
      <c r="W77" s="44"/>
      <c r="X77" s="324" t="n">
        <f aca="false">X76+1</f>
        <v>75</v>
      </c>
      <c r="Y77" s="324"/>
      <c r="Z77" s="324"/>
      <c r="AA77" s="324"/>
      <c r="AB77" s="324"/>
      <c r="AC77" s="324"/>
      <c r="AD77" s="324"/>
      <c r="AE77" s="324"/>
      <c r="AF77" s="324"/>
      <c r="AG77" s="324"/>
      <c r="AH77" s="324"/>
      <c r="AI77" s="324"/>
      <c r="AJ77" s="324"/>
      <c r="AK77" s="762"/>
      <c r="AL77" s="762"/>
      <c r="AM77" s="762"/>
      <c r="AN77" s="762"/>
      <c r="AO77" s="93"/>
      <c r="AP77" s="763"/>
      <c r="AQ77" s="763"/>
      <c r="AR77" s="763"/>
      <c r="AS77" s="763"/>
      <c r="AT77" s="763"/>
      <c r="AU77" s="763"/>
      <c r="AV77" s="763"/>
      <c r="AW77" s="763"/>
      <c r="AX77" s="763"/>
      <c r="AY77" s="763"/>
      <c r="AZ77" s="763"/>
      <c r="BA77" s="763"/>
      <c r="BB77" s="764"/>
      <c r="BC77" s="764"/>
      <c r="BD77" s="764"/>
      <c r="BE77" s="764"/>
      <c r="BF77" s="93"/>
      <c r="BG77" s="763" t="n">
        <v>0</v>
      </c>
      <c r="BH77" s="763" t="n">
        <v>0</v>
      </c>
      <c r="BI77" s="763" t="n">
        <v>0</v>
      </c>
      <c r="BJ77" s="763" t="n">
        <v>0</v>
      </c>
      <c r="BK77" s="763" t="n">
        <v>0</v>
      </c>
      <c r="BL77" s="763" t="n">
        <v>0</v>
      </c>
      <c r="BM77" s="763" t="n">
        <v>0</v>
      </c>
      <c r="BN77" s="763" t="n">
        <v>0</v>
      </c>
      <c r="BO77" s="763" t="n">
        <v>0</v>
      </c>
      <c r="BP77" s="763" t="n">
        <v>0</v>
      </c>
      <c r="BQ77" s="763"/>
      <c r="BR77" s="763"/>
      <c r="BS77" s="764"/>
      <c r="BT77" s="764"/>
      <c r="BU77" s="764"/>
      <c r="BV77" s="764"/>
      <c r="BW77" s="93"/>
      <c r="BX77" s="93"/>
      <c r="BY77" s="44"/>
    </row>
    <row r="78" customFormat="false" ht="15.75" hidden="false" customHeight="false" outlineLevel="0" collapsed="false">
      <c r="A78" s="44"/>
      <c r="B78" s="44"/>
      <c r="C78" s="44"/>
      <c r="D78" s="44"/>
      <c r="E78" s="44"/>
      <c r="F78" s="44"/>
      <c r="G78" s="44"/>
      <c r="H78" s="44"/>
      <c r="I78" s="44"/>
      <c r="J78" s="44"/>
      <c r="K78" s="44"/>
      <c r="L78" s="50"/>
      <c r="M78" s="44"/>
      <c r="N78" s="44"/>
      <c r="O78" s="44"/>
      <c r="P78" s="44"/>
      <c r="Q78" s="44"/>
      <c r="R78" s="44"/>
      <c r="S78" s="44"/>
      <c r="T78" s="44"/>
      <c r="U78" s="44"/>
      <c r="V78" s="44"/>
      <c r="W78" s="44"/>
      <c r="X78" s="44"/>
      <c r="Y78" s="44"/>
      <c r="Z78" s="44"/>
      <c r="AA78" s="44"/>
      <c r="AB78" s="44"/>
      <c r="AC78" s="44"/>
      <c r="AD78" s="44"/>
      <c r="AE78" s="44"/>
      <c r="AF78" s="44"/>
      <c r="AG78" s="44"/>
      <c r="AH78" s="44"/>
      <c r="AI78" s="44"/>
      <c r="AJ78" s="44"/>
      <c r="AK78" s="44"/>
      <c r="AL78" s="44"/>
      <c r="AM78" s="44"/>
      <c r="AN78" s="44"/>
      <c r="AO78" s="93"/>
      <c r="AP78" s="93"/>
      <c r="AQ78" s="93"/>
      <c r="AR78" s="93"/>
      <c r="AS78" s="93"/>
      <c r="AT78" s="93"/>
      <c r="AU78" s="93"/>
      <c r="AV78" s="93"/>
      <c r="AW78" s="93"/>
      <c r="AX78" s="93"/>
      <c r="AY78" s="93"/>
      <c r="AZ78" s="93"/>
      <c r="BA78" s="93"/>
      <c r="BB78" s="93"/>
      <c r="BC78" s="93"/>
      <c r="BD78" s="93"/>
      <c r="BE78" s="93"/>
      <c r="BF78" s="93"/>
      <c r="BG78" s="93" t="n">
        <v>0</v>
      </c>
      <c r="BH78" s="93" t="n">
        <v>0</v>
      </c>
      <c r="BI78" s="93" t="n">
        <v>0</v>
      </c>
      <c r="BJ78" s="93" t="n">
        <v>0</v>
      </c>
      <c r="BK78" s="93" t="n">
        <v>0</v>
      </c>
      <c r="BL78" s="93" t="n">
        <v>0</v>
      </c>
      <c r="BM78" s="93" t="n">
        <v>0</v>
      </c>
      <c r="BN78" s="93" t="n">
        <v>0</v>
      </c>
      <c r="BO78" s="93" t="n">
        <v>0</v>
      </c>
      <c r="BP78" s="93" t="n">
        <v>0</v>
      </c>
      <c r="BQ78" s="93"/>
      <c r="BR78" s="93"/>
      <c r="BS78" s="93"/>
      <c r="BT78" s="93"/>
      <c r="BU78" s="93"/>
      <c r="BV78" s="93"/>
      <c r="BW78" s="93"/>
      <c r="BX78" s="93"/>
      <c r="BY78" s="44"/>
    </row>
    <row r="79" customFormat="false" ht="15.75" hidden="false" customHeight="false" outlineLevel="0" collapsed="false">
      <c r="A79" s="44"/>
      <c r="B79" s="44"/>
      <c r="C79" s="44"/>
      <c r="D79" s="44"/>
      <c r="E79" s="44"/>
      <c r="F79" s="44"/>
      <c r="G79" s="44"/>
      <c r="H79" s="44"/>
      <c r="I79" s="44"/>
      <c r="J79" s="44"/>
      <c r="K79" s="44"/>
      <c r="L79" s="50"/>
      <c r="M79" s="44"/>
      <c r="N79" s="44"/>
      <c r="O79" s="44"/>
      <c r="P79" s="44"/>
      <c r="Q79" s="44"/>
      <c r="R79" s="44"/>
      <c r="S79" s="44"/>
      <c r="T79" s="44"/>
      <c r="U79" s="44"/>
      <c r="V79" s="44"/>
      <c r="W79" s="44"/>
      <c r="X79" s="44"/>
      <c r="Y79" s="44"/>
      <c r="Z79" s="44"/>
      <c r="AA79" s="44"/>
      <c r="AB79" s="44"/>
      <c r="AC79" s="44"/>
      <c r="AD79" s="44"/>
      <c r="AE79" s="44"/>
      <c r="AF79" s="44"/>
      <c r="AG79" s="44"/>
      <c r="AH79" s="44"/>
      <c r="AI79" s="44"/>
      <c r="AJ79" s="44"/>
      <c r="AK79" s="44"/>
      <c r="AL79" s="44"/>
      <c r="AM79" s="44"/>
      <c r="AN79" s="44"/>
      <c r="AO79" s="93"/>
      <c r="AP79" s="93"/>
      <c r="AQ79" s="93"/>
      <c r="AR79" s="93"/>
      <c r="AS79" s="93"/>
      <c r="AT79" s="93"/>
      <c r="AU79" s="93"/>
      <c r="AV79" s="93"/>
      <c r="AW79" s="93"/>
      <c r="AX79" s="93"/>
      <c r="AY79" s="93"/>
      <c r="AZ79" s="93"/>
      <c r="BA79" s="93"/>
      <c r="BB79" s="93"/>
      <c r="BC79" s="93"/>
      <c r="BD79" s="93"/>
      <c r="BE79" s="93"/>
      <c r="BF79" s="93"/>
      <c r="BG79" s="93" t="n">
        <v>0</v>
      </c>
      <c r="BH79" s="93" t="n">
        <v>0</v>
      </c>
      <c r="BI79" s="93" t="n">
        <v>0</v>
      </c>
      <c r="BJ79" s="93" t="n">
        <v>0</v>
      </c>
      <c r="BK79" s="93" t="n">
        <v>0</v>
      </c>
      <c r="BL79" s="93" t="n">
        <v>0</v>
      </c>
      <c r="BM79" s="93" t="n">
        <v>0</v>
      </c>
      <c r="BN79" s="93" t="n">
        <v>0</v>
      </c>
      <c r="BO79" s="93" t="n">
        <v>0</v>
      </c>
      <c r="BP79" s="93" t="n">
        <v>0</v>
      </c>
      <c r="BQ79" s="93"/>
      <c r="BR79" s="93"/>
      <c r="BS79" s="93"/>
      <c r="BT79" s="93"/>
      <c r="BU79" s="93"/>
      <c r="BV79" s="93"/>
      <c r="BW79" s="93"/>
      <c r="BX79" s="93"/>
      <c r="BY79" s="44"/>
    </row>
    <row r="80" customFormat="false" ht="15.75" hidden="false" customHeight="false" outlineLevel="0" collapsed="false">
      <c r="A80" s="44"/>
      <c r="B80" s="44"/>
      <c r="C80" s="44"/>
      <c r="D80" s="44"/>
      <c r="E80" s="44"/>
      <c r="F80" s="44"/>
      <c r="G80" s="44"/>
      <c r="H80" s="44"/>
      <c r="I80" s="44"/>
      <c r="J80" s="44"/>
      <c r="K80" s="44"/>
      <c r="L80" s="50"/>
      <c r="M80" s="44"/>
      <c r="N80" s="44"/>
      <c r="O80" s="44"/>
      <c r="P80" s="44"/>
      <c r="Q80" s="44"/>
      <c r="R80" s="44"/>
      <c r="S80" s="44"/>
      <c r="T80" s="44"/>
      <c r="U80" s="44"/>
      <c r="V80" s="44"/>
      <c r="W80" s="44"/>
      <c r="X80" s="44"/>
      <c r="Y80" s="44"/>
      <c r="Z80" s="44"/>
      <c r="AA80" s="44"/>
      <c r="AB80" s="44"/>
      <c r="AC80" s="44"/>
      <c r="AD80" s="44"/>
      <c r="AE80" s="44"/>
      <c r="AF80" s="44"/>
      <c r="AG80" s="44"/>
      <c r="AH80" s="44"/>
      <c r="AI80" s="44"/>
      <c r="AJ80" s="44"/>
      <c r="AK80" s="44"/>
      <c r="AL80" s="44"/>
      <c r="AM80" s="44"/>
      <c r="AN80" s="44"/>
      <c r="AO80" s="93"/>
      <c r="AP80" s="93"/>
      <c r="AQ80" s="93"/>
      <c r="AR80" s="93"/>
      <c r="AS80" s="93"/>
      <c r="AT80" s="93"/>
      <c r="AU80" s="93"/>
      <c r="AV80" s="93"/>
      <c r="AW80" s="93"/>
      <c r="AX80" s="93"/>
      <c r="AY80" s="93"/>
      <c r="AZ80" s="93"/>
      <c r="BA80" s="93"/>
      <c r="BB80" s="93"/>
      <c r="BC80" s="93"/>
      <c r="BD80" s="93"/>
      <c r="BE80" s="93"/>
      <c r="BF80" s="93"/>
      <c r="BG80" s="93" t="n">
        <v>0</v>
      </c>
      <c r="BH80" s="93" t="n">
        <v>0</v>
      </c>
      <c r="BI80" s="93" t="n">
        <v>0</v>
      </c>
      <c r="BJ80" s="93" t="n">
        <v>0</v>
      </c>
      <c r="BK80" s="93" t="n">
        <v>0</v>
      </c>
      <c r="BL80" s="93" t="n">
        <v>0</v>
      </c>
      <c r="BM80" s="93" t="n">
        <v>0</v>
      </c>
      <c r="BN80" s="93" t="n">
        <v>0</v>
      </c>
      <c r="BO80" s="93" t="n">
        <v>0</v>
      </c>
      <c r="BP80" s="93" t="n">
        <v>0</v>
      </c>
      <c r="BQ80" s="93"/>
      <c r="BR80" s="93"/>
      <c r="BS80" s="93"/>
      <c r="BT80" s="93"/>
      <c r="BU80" s="93"/>
      <c r="BV80" s="93"/>
      <c r="BW80" s="93"/>
      <c r="BX80" s="93"/>
      <c r="BY80" s="44"/>
    </row>
    <row r="81" customFormat="false" ht="15.75" hidden="false" customHeight="false" outlineLevel="0" collapsed="false">
      <c r="A81" s="44"/>
      <c r="B81" s="44"/>
      <c r="C81" s="44"/>
      <c r="D81" s="44"/>
      <c r="E81" s="44"/>
      <c r="F81" s="44"/>
      <c r="G81" s="44"/>
      <c r="H81" s="44"/>
      <c r="I81" s="44"/>
      <c r="J81" s="44"/>
      <c r="K81" s="44"/>
      <c r="L81" s="50"/>
      <c r="M81" s="44"/>
      <c r="N81" s="44"/>
      <c r="O81" s="44"/>
      <c r="P81" s="44"/>
      <c r="Q81" s="44"/>
      <c r="R81" s="44"/>
      <c r="S81" s="44"/>
      <c r="T81" s="44"/>
      <c r="U81" s="44"/>
      <c r="V81" s="44"/>
      <c r="W81" s="44"/>
      <c r="X81" s="44"/>
      <c r="Y81" s="44"/>
      <c r="Z81" s="44"/>
      <c r="AA81" s="44"/>
      <c r="AB81" s="44"/>
      <c r="AC81" s="44"/>
      <c r="AD81" s="44"/>
      <c r="AE81" s="44"/>
      <c r="AF81" s="44"/>
      <c r="AG81" s="44"/>
      <c r="AH81" s="44"/>
      <c r="AI81" s="44"/>
      <c r="AJ81" s="44"/>
      <c r="AK81" s="44"/>
      <c r="AL81" s="44"/>
      <c r="AM81" s="44"/>
      <c r="AN81" s="44"/>
      <c r="AO81" s="93"/>
      <c r="AP81" s="93"/>
      <c r="AQ81" s="93"/>
      <c r="AR81" s="93"/>
      <c r="AS81" s="93"/>
      <c r="AT81" s="93"/>
      <c r="AU81" s="93"/>
      <c r="AV81" s="93"/>
      <c r="AW81" s="93"/>
      <c r="AX81" s="93"/>
      <c r="AY81" s="93"/>
      <c r="AZ81" s="93"/>
      <c r="BA81" s="93"/>
      <c r="BB81" s="93"/>
      <c r="BC81" s="93"/>
      <c r="BD81" s="93"/>
      <c r="BE81" s="93"/>
      <c r="BF81" s="93"/>
      <c r="BG81" s="93" t="n">
        <v>0</v>
      </c>
      <c r="BH81" s="93" t="n">
        <v>0</v>
      </c>
      <c r="BI81" s="93" t="n">
        <v>0</v>
      </c>
      <c r="BJ81" s="93" t="n">
        <v>0</v>
      </c>
      <c r="BK81" s="93" t="n">
        <v>0</v>
      </c>
      <c r="BL81" s="93" t="n">
        <v>0</v>
      </c>
      <c r="BM81" s="93" t="n">
        <v>0</v>
      </c>
      <c r="BN81" s="93" t="n">
        <v>0</v>
      </c>
      <c r="BO81" s="93" t="n">
        <v>0</v>
      </c>
      <c r="BP81" s="93" t="n">
        <v>0</v>
      </c>
      <c r="BQ81" s="93"/>
      <c r="BR81" s="93"/>
      <c r="BS81" s="93"/>
      <c r="BT81" s="93"/>
      <c r="BU81" s="93"/>
      <c r="BV81" s="93"/>
      <c r="BW81" s="93"/>
      <c r="BX81" s="93"/>
      <c r="BY81" s="44"/>
    </row>
    <row r="82" customFormat="false" ht="15.75" hidden="false" customHeight="false" outlineLevel="0" collapsed="false">
      <c r="A82" s="44"/>
      <c r="B82" s="44"/>
      <c r="C82" s="44"/>
      <c r="D82" s="44"/>
      <c r="E82" s="44"/>
      <c r="F82" s="44"/>
      <c r="G82" s="44"/>
      <c r="H82" s="44"/>
      <c r="I82" s="44"/>
      <c r="J82" s="44"/>
      <c r="K82" s="44"/>
      <c r="L82" s="50"/>
      <c r="M82" s="44"/>
      <c r="N82" s="44"/>
      <c r="O82" s="44"/>
      <c r="P82" s="44"/>
      <c r="Q82" s="44"/>
      <c r="R82" s="44"/>
      <c r="S82" s="44"/>
      <c r="T82" s="44"/>
      <c r="U82" s="44"/>
      <c r="V82" s="44"/>
      <c r="W82" s="44"/>
      <c r="X82" s="44"/>
      <c r="Y82" s="44"/>
      <c r="Z82" s="44"/>
      <c r="AA82" s="44"/>
      <c r="AB82" s="44"/>
      <c r="AC82" s="44"/>
      <c r="AD82" s="44"/>
      <c r="AE82" s="44"/>
      <c r="AF82" s="44"/>
      <c r="AG82" s="44"/>
      <c r="AH82" s="44"/>
      <c r="AI82" s="44"/>
      <c r="AJ82" s="44"/>
      <c r="AK82" s="44"/>
      <c r="AL82" s="44"/>
      <c r="AM82" s="44"/>
      <c r="AN82" s="44"/>
      <c r="AO82" s="93"/>
      <c r="AP82" s="93"/>
      <c r="AQ82" s="93"/>
      <c r="AR82" s="93"/>
      <c r="AS82" s="93"/>
      <c r="AT82" s="93"/>
      <c r="AU82" s="93"/>
      <c r="AV82" s="93"/>
      <c r="AW82" s="93"/>
      <c r="AX82" s="93"/>
      <c r="AY82" s="93"/>
      <c r="AZ82" s="93"/>
      <c r="BA82" s="93"/>
      <c r="BB82" s="93"/>
      <c r="BC82" s="93"/>
      <c r="BD82" s="93"/>
      <c r="BE82" s="93"/>
      <c r="BF82" s="93"/>
      <c r="BG82" s="93" t="n">
        <v>0</v>
      </c>
      <c r="BH82" s="93" t="n">
        <v>0</v>
      </c>
      <c r="BI82" s="93" t="n">
        <v>0</v>
      </c>
      <c r="BJ82" s="93" t="n">
        <v>0</v>
      </c>
      <c r="BK82" s="93" t="n">
        <v>0</v>
      </c>
      <c r="BL82" s="93" t="n">
        <v>0</v>
      </c>
      <c r="BM82" s="93" t="n">
        <v>0</v>
      </c>
      <c r="BN82" s="93" t="n">
        <v>0</v>
      </c>
      <c r="BO82" s="93" t="n">
        <v>0</v>
      </c>
      <c r="BP82" s="93" t="n">
        <v>0</v>
      </c>
      <c r="BQ82" s="93"/>
      <c r="BR82" s="93"/>
      <c r="BS82" s="93"/>
      <c r="BT82" s="93"/>
      <c r="BU82" s="93"/>
      <c r="BV82" s="93"/>
      <c r="BW82" s="93"/>
      <c r="BX82" s="93"/>
      <c r="BY82" s="44"/>
    </row>
    <row r="83" customFormat="false" ht="15.75" hidden="false" customHeight="false" outlineLevel="0" collapsed="false">
      <c r="A83" s="44"/>
      <c r="B83" s="44"/>
      <c r="C83" s="44"/>
      <c r="D83" s="44"/>
      <c r="E83" s="44"/>
      <c r="F83" s="44"/>
      <c r="G83" s="44"/>
      <c r="H83" s="44"/>
      <c r="I83" s="44"/>
      <c r="J83" s="44"/>
      <c r="K83" s="44"/>
      <c r="L83" s="50"/>
      <c r="M83" s="44"/>
      <c r="N83" s="44"/>
      <c r="O83" s="44"/>
      <c r="P83" s="44"/>
      <c r="Q83" s="44"/>
      <c r="R83" s="44"/>
      <c r="S83" s="44"/>
      <c r="T83" s="44"/>
      <c r="U83" s="44"/>
      <c r="V83" s="44"/>
      <c r="W83" s="44"/>
      <c r="X83" s="44"/>
      <c r="Y83" s="44"/>
      <c r="Z83" s="44"/>
      <c r="AA83" s="44"/>
      <c r="AB83" s="44"/>
      <c r="AC83" s="44"/>
      <c r="AD83" s="44"/>
      <c r="AE83" s="44"/>
      <c r="AF83" s="44"/>
      <c r="AG83" s="44"/>
      <c r="AH83" s="44"/>
      <c r="AI83" s="44"/>
      <c r="AJ83" s="44"/>
      <c r="AK83" s="44"/>
      <c r="AL83" s="44"/>
      <c r="AM83" s="44"/>
      <c r="AN83" s="44"/>
      <c r="AO83" s="93"/>
      <c r="AP83" s="93"/>
      <c r="AQ83" s="93"/>
      <c r="AR83" s="93"/>
      <c r="AS83" s="93"/>
      <c r="AT83" s="93"/>
      <c r="AU83" s="93"/>
      <c r="AV83" s="93"/>
      <c r="AW83" s="93"/>
      <c r="AX83" s="93"/>
      <c r="AY83" s="93"/>
      <c r="AZ83" s="93"/>
      <c r="BA83" s="93"/>
      <c r="BB83" s="93"/>
      <c r="BC83" s="93"/>
      <c r="BD83" s="93"/>
      <c r="BE83" s="93"/>
      <c r="BF83" s="93"/>
      <c r="BG83" s="93" t="n">
        <v>0</v>
      </c>
      <c r="BH83" s="93" t="n">
        <v>0</v>
      </c>
      <c r="BI83" s="93" t="n">
        <v>0</v>
      </c>
      <c r="BJ83" s="93" t="n">
        <v>0</v>
      </c>
      <c r="BK83" s="93" t="n">
        <v>0</v>
      </c>
      <c r="BL83" s="93" t="n">
        <v>0</v>
      </c>
      <c r="BM83" s="93" t="n">
        <v>0</v>
      </c>
      <c r="BN83" s="93" t="n">
        <v>0</v>
      </c>
      <c r="BO83" s="93" t="n">
        <v>0</v>
      </c>
      <c r="BP83" s="93" t="n">
        <v>0</v>
      </c>
      <c r="BQ83" s="93"/>
      <c r="BR83" s="93"/>
      <c r="BS83" s="93"/>
      <c r="BT83" s="93"/>
      <c r="BU83" s="93"/>
      <c r="BV83" s="93"/>
      <c r="BW83" s="93"/>
      <c r="BX83" s="93"/>
      <c r="BY83" s="44"/>
    </row>
    <row r="84" customFormat="false" ht="15.75" hidden="false" customHeight="false" outlineLevel="0" collapsed="false">
      <c r="A84" s="44"/>
      <c r="B84" s="44"/>
      <c r="C84" s="44"/>
      <c r="D84" s="44"/>
      <c r="E84" s="44"/>
      <c r="F84" s="44"/>
      <c r="G84" s="44"/>
      <c r="H84" s="44"/>
      <c r="I84" s="44"/>
      <c r="J84" s="44"/>
      <c r="K84" s="44"/>
      <c r="L84" s="50"/>
      <c r="M84" s="44"/>
      <c r="N84" s="44"/>
      <c r="O84" s="44"/>
      <c r="P84" s="44"/>
      <c r="Q84" s="44"/>
      <c r="R84" s="44"/>
      <c r="S84" s="44"/>
      <c r="T84" s="44"/>
      <c r="U84" s="44"/>
      <c r="V84" s="44"/>
      <c r="W84" s="44"/>
      <c r="X84" s="44"/>
      <c r="Y84" s="44"/>
      <c r="Z84" s="44"/>
      <c r="AA84" s="44"/>
      <c r="AB84" s="44"/>
      <c r="AC84" s="44"/>
      <c r="AD84" s="44"/>
      <c r="AE84" s="44"/>
      <c r="AF84" s="44"/>
      <c r="AG84" s="44"/>
      <c r="AH84" s="44"/>
      <c r="AI84" s="44"/>
      <c r="AJ84" s="44"/>
      <c r="AK84" s="44"/>
      <c r="AL84" s="44"/>
      <c r="AM84" s="44"/>
      <c r="AN84" s="44"/>
      <c r="AO84" s="93"/>
      <c r="AP84" s="93"/>
      <c r="AQ84" s="93"/>
      <c r="AR84" s="93"/>
      <c r="AS84" s="93"/>
      <c r="AT84" s="93"/>
      <c r="AU84" s="93"/>
      <c r="AV84" s="93"/>
      <c r="AW84" s="93"/>
      <c r="AX84" s="93"/>
      <c r="AY84" s="93"/>
      <c r="AZ84" s="93"/>
      <c r="BA84" s="93"/>
      <c r="BB84" s="93"/>
      <c r="BC84" s="93"/>
      <c r="BD84" s="93"/>
      <c r="BE84" s="93"/>
      <c r="BF84" s="93"/>
      <c r="BG84" s="93" t="n">
        <v>0</v>
      </c>
      <c r="BH84" s="93" t="n">
        <v>0</v>
      </c>
      <c r="BI84" s="93" t="n">
        <v>0</v>
      </c>
      <c r="BJ84" s="93" t="n">
        <v>0</v>
      </c>
      <c r="BK84" s="93" t="n">
        <v>0</v>
      </c>
      <c r="BL84" s="93" t="n">
        <v>0</v>
      </c>
      <c r="BM84" s="93" t="n">
        <v>0</v>
      </c>
      <c r="BN84" s="93" t="n">
        <v>0</v>
      </c>
      <c r="BO84" s="93" t="n">
        <v>0</v>
      </c>
      <c r="BP84" s="93" t="n">
        <v>0</v>
      </c>
      <c r="BQ84" s="93"/>
      <c r="BR84" s="93"/>
      <c r="BS84" s="93"/>
      <c r="BT84" s="93"/>
      <c r="BU84" s="93"/>
      <c r="BV84" s="93"/>
      <c r="BW84" s="93"/>
      <c r="BX84" s="93"/>
      <c r="BY84" s="44"/>
    </row>
    <row r="85" customFormat="false" ht="15.75" hidden="false" customHeight="false" outlineLevel="0" collapsed="false">
      <c r="A85" s="44"/>
      <c r="B85" s="44"/>
      <c r="C85" s="44"/>
      <c r="D85" s="44"/>
      <c r="E85" s="44"/>
      <c r="F85" s="44"/>
      <c r="G85" s="44"/>
      <c r="H85" s="44"/>
      <c r="I85" s="44"/>
      <c r="J85" s="44"/>
      <c r="K85" s="44"/>
      <c r="L85" s="50"/>
      <c r="M85" s="44"/>
      <c r="N85" s="44"/>
      <c r="O85" s="44"/>
      <c r="P85" s="44"/>
      <c r="Q85" s="44"/>
      <c r="R85" s="44"/>
      <c r="S85" s="44"/>
      <c r="T85" s="44"/>
      <c r="U85" s="44"/>
      <c r="V85" s="44"/>
      <c r="W85" s="44"/>
      <c r="X85" s="44"/>
      <c r="Y85" s="44"/>
      <c r="Z85" s="44"/>
      <c r="AA85" s="44"/>
      <c r="AB85" s="44"/>
      <c r="AC85" s="44"/>
      <c r="AD85" s="44"/>
      <c r="AE85" s="44"/>
      <c r="AF85" s="44"/>
      <c r="AG85" s="44"/>
      <c r="AH85" s="44"/>
      <c r="AI85" s="44"/>
      <c r="AJ85" s="44"/>
      <c r="AK85" s="44"/>
      <c r="AL85" s="44"/>
      <c r="AM85" s="44"/>
      <c r="AN85" s="44"/>
      <c r="AO85" s="93"/>
      <c r="AP85" s="93"/>
      <c r="AQ85" s="93"/>
      <c r="AR85" s="93"/>
      <c r="AS85" s="93"/>
      <c r="AT85" s="93"/>
      <c r="AU85" s="93"/>
      <c r="AV85" s="93"/>
      <c r="AW85" s="93"/>
      <c r="AX85" s="93"/>
      <c r="AY85" s="93"/>
      <c r="AZ85" s="93"/>
      <c r="BA85" s="93"/>
      <c r="BB85" s="93"/>
      <c r="BC85" s="93"/>
      <c r="BD85" s="93"/>
      <c r="BE85" s="93"/>
      <c r="BF85" s="93"/>
      <c r="BG85" s="93" t="n">
        <v>0</v>
      </c>
      <c r="BH85" s="93" t="n">
        <v>0</v>
      </c>
      <c r="BI85" s="93" t="n">
        <v>0</v>
      </c>
      <c r="BJ85" s="93" t="n">
        <v>0</v>
      </c>
      <c r="BK85" s="93" t="n">
        <v>0</v>
      </c>
      <c r="BL85" s="93" t="n">
        <v>0</v>
      </c>
      <c r="BM85" s="93" t="n">
        <v>0</v>
      </c>
      <c r="BN85" s="93" t="n">
        <v>0</v>
      </c>
      <c r="BO85" s="93" t="n">
        <v>0</v>
      </c>
      <c r="BP85" s="93" t="n">
        <v>0</v>
      </c>
      <c r="BQ85" s="93"/>
      <c r="BR85" s="93"/>
      <c r="BS85" s="93"/>
      <c r="BT85" s="93"/>
      <c r="BU85" s="93"/>
      <c r="BV85" s="93"/>
      <c r="BW85" s="93"/>
      <c r="BX85" s="93"/>
      <c r="BY85" s="44"/>
    </row>
    <row r="86" customFormat="false" ht="15.75" hidden="false" customHeight="false" outlineLevel="0" collapsed="false">
      <c r="A86" s="44"/>
      <c r="B86" s="44"/>
      <c r="C86" s="44"/>
      <c r="D86" s="44"/>
      <c r="E86" s="44"/>
      <c r="F86" s="44"/>
      <c r="G86" s="44"/>
      <c r="H86" s="44"/>
      <c r="I86" s="44"/>
      <c r="J86" s="44"/>
      <c r="K86" s="44"/>
      <c r="L86" s="50"/>
      <c r="M86" s="44"/>
      <c r="N86" s="44"/>
      <c r="O86" s="44"/>
      <c r="P86" s="44"/>
      <c r="Q86" s="44"/>
      <c r="R86" s="44"/>
      <c r="S86" s="44"/>
      <c r="T86" s="44"/>
      <c r="U86" s="44"/>
      <c r="V86" s="44"/>
      <c r="W86" s="44"/>
      <c r="X86" s="44"/>
      <c r="Y86" s="44"/>
      <c r="Z86" s="44"/>
      <c r="AA86" s="44"/>
      <c r="AB86" s="44"/>
      <c r="AC86" s="44"/>
      <c r="AD86" s="44"/>
      <c r="AE86" s="44"/>
      <c r="AF86" s="44"/>
      <c r="AG86" s="44"/>
      <c r="AH86" s="44"/>
      <c r="AI86" s="44"/>
      <c r="AJ86" s="44"/>
      <c r="AK86" s="44"/>
      <c r="AL86" s="44"/>
      <c r="AM86" s="44"/>
      <c r="AN86" s="44"/>
      <c r="AO86" s="93"/>
      <c r="AP86" s="93"/>
      <c r="AQ86" s="93"/>
      <c r="AR86" s="93"/>
      <c r="AS86" s="93"/>
      <c r="AT86" s="93"/>
      <c r="AU86" s="93"/>
      <c r="AV86" s="93"/>
      <c r="AW86" s="93"/>
      <c r="AX86" s="93"/>
      <c r="AY86" s="93"/>
      <c r="AZ86" s="93"/>
      <c r="BA86" s="93"/>
      <c r="BB86" s="93"/>
      <c r="BC86" s="93"/>
      <c r="BD86" s="93"/>
      <c r="BE86" s="93"/>
      <c r="BF86" s="93"/>
      <c r="BG86" s="93" t="n">
        <v>0</v>
      </c>
      <c r="BH86" s="93" t="n">
        <v>0</v>
      </c>
      <c r="BI86" s="93" t="n">
        <v>0</v>
      </c>
      <c r="BJ86" s="93" t="n">
        <v>0</v>
      </c>
      <c r="BK86" s="93" t="n">
        <v>0</v>
      </c>
      <c r="BL86" s="93" t="n">
        <v>0</v>
      </c>
      <c r="BM86" s="93" t="n">
        <v>0</v>
      </c>
      <c r="BN86" s="93" t="n">
        <v>0</v>
      </c>
      <c r="BO86" s="93" t="n">
        <v>0</v>
      </c>
      <c r="BP86" s="93" t="n">
        <v>0</v>
      </c>
      <c r="BQ86" s="93"/>
      <c r="BR86" s="93"/>
      <c r="BS86" s="93"/>
      <c r="BT86" s="93"/>
      <c r="BU86" s="93"/>
      <c r="BV86" s="93"/>
      <c r="BW86" s="93"/>
      <c r="BX86" s="93"/>
      <c r="BY86" s="44"/>
    </row>
    <row r="87" customFormat="false" ht="15.75" hidden="false" customHeight="false" outlineLevel="0" collapsed="false">
      <c r="A87" s="44"/>
      <c r="B87" s="44"/>
      <c r="C87" s="44"/>
      <c r="D87" s="44"/>
      <c r="E87" s="44"/>
      <c r="F87" s="44"/>
      <c r="G87" s="44"/>
      <c r="H87" s="44"/>
      <c r="I87" s="44"/>
      <c r="J87" s="44"/>
      <c r="K87" s="44"/>
      <c r="L87" s="50"/>
      <c r="M87" s="44"/>
      <c r="N87" s="44"/>
      <c r="O87" s="44"/>
      <c r="P87" s="44"/>
      <c r="Q87" s="44"/>
      <c r="R87" s="44"/>
      <c r="S87" s="44"/>
      <c r="T87" s="44"/>
      <c r="U87" s="44"/>
      <c r="V87" s="44"/>
      <c r="W87" s="44"/>
      <c r="X87" s="44"/>
      <c r="Y87" s="44"/>
      <c r="Z87" s="44"/>
      <c r="AA87" s="44"/>
      <c r="AB87" s="44"/>
      <c r="AC87" s="44"/>
      <c r="AD87" s="44"/>
      <c r="AE87" s="44"/>
      <c r="AF87" s="44"/>
      <c r="AG87" s="44"/>
      <c r="AH87" s="44"/>
      <c r="AI87" s="44"/>
      <c r="AJ87" s="44"/>
      <c r="AK87" s="44"/>
      <c r="AL87" s="44"/>
      <c r="AM87" s="44"/>
      <c r="AN87" s="44"/>
      <c r="AO87" s="93"/>
      <c r="AP87" s="93"/>
      <c r="AQ87" s="93"/>
      <c r="AR87" s="93"/>
      <c r="AS87" s="93"/>
      <c r="AT87" s="93"/>
      <c r="AU87" s="93"/>
      <c r="AV87" s="93"/>
      <c r="AW87" s="93"/>
      <c r="AX87" s="93"/>
      <c r="AY87" s="93"/>
      <c r="AZ87" s="93"/>
      <c r="BA87" s="93"/>
      <c r="BB87" s="93"/>
      <c r="BC87" s="93"/>
      <c r="BD87" s="93"/>
      <c r="BE87" s="93"/>
      <c r="BF87" s="93"/>
      <c r="BG87" s="93" t="n">
        <v>0</v>
      </c>
      <c r="BH87" s="93" t="n">
        <v>0</v>
      </c>
      <c r="BI87" s="93" t="n">
        <v>0</v>
      </c>
      <c r="BJ87" s="93" t="n">
        <v>0</v>
      </c>
      <c r="BK87" s="93" t="n">
        <v>0</v>
      </c>
      <c r="BL87" s="93" t="n">
        <v>0</v>
      </c>
      <c r="BM87" s="93" t="n">
        <v>0</v>
      </c>
      <c r="BN87" s="93" t="n">
        <v>0</v>
      </c>
      <c r="BO87" s="93" t="n">
        <v>0</v>
      </c>
      <c r="BP87" s="93" t="n">
        <v>0</v>
      </c>
      <c r="BQ87" s="93"/>
      <c r="BR87" s="93"/>
      <c r="BS87" s="93"/>
      <c r="BT87" s="93"/>
      <c r="BU87" s="93"/>
      <c r="BV87" s="93"/>
      <c r="BW87" s="93"/>
      <c r="BX87" s="93"/>
      <c r="BY87" s="44"/>
    </row>
    <row r="88" customFormat="false" ht="15.75" hidden="false" customHeight="false" outlineLevel="0" collapsed="false">
      <c r="A88" s="44"/>
      <c r="B88" s="44"/>
      <c r="C88" s="44"/>
      <c r="D88" s="44"/>
      <c r="E88" s="44"/>
      <c r="F88" s="44"/>
      <c r="G88" s="44"/>
      <c r="H88" s="44"/>
      <c r="I88" s="44"/>
      <c r="J88" s="44"/>
      <c r="K88" s="44"/>
      <c r="L88" s="50"/>
      <c r="M88" s="44"/>
      <c r="N88" s="44"/>
      <c r="O88" s="44"/>
      <c r="P88" s="44"/>
      <c r="Q88" s="44"/>
      <c r="R88" s="44"/>
      <c r="S88" s="44"/>
      <c r="T88" s="44"/>
      <c r="U88" s="44"/>
      <c r="V88" s="44"/>
      <c r="W88" s="44"/>
      <c r="X88" s="44"/>
      <c r="Y88" s="44"/>
      <c r="Z88" s="44"/>
      <c r="AA88" s="44"/>
      <c r="AB88" s="44"/>
      <c r="AC88" s="44"/>
      <c r="AD88" s="44"/>
      <c r="AE88" s="44"/>
      <c r="AF88" s="44"/>
      <c r="AG88" s="44"/>
      <c r="AH88" s="44"/>
      <c r="AI88" s="44"/>
      <c r="AJ88" s="44"/>
      <c r="AK88" s="44"/>
      <c r="AL88" s="44"/>
      <c r="AM88" s="44"/>
      <c r="AN88" s="44"/>
      <c r="AO88" s="93"/>
      <c r="AP88" s="93"/>
      <c r="AQ88" s="93"/>
      <c r="AR88" s="93"/>
      <c r="AS88" s="93"/>
      <c r="AT88" s="93"/>
      <c r="AU88" s="93"/>
      <c r="AV88" s="93"/>
      <c r="AW88" s="93"/>
      <c r="AX88" s="93"/>
      <c r="AY88" s="93"/>
      <c r="AZ88" s="93"/>
      <c r="BA88" s="93"/>
      <c r="BB88" s="93"/>
      <c r="BC88" s="93"/>
      <c r="BD88" s="93"/>
      <c r="BE88" s="93"/>
      <c r="BF88" s="93"/>
      <c r="BG88" s="93" t="n">
        <v>0</v>
      </c>
      <c r="BH88" s="93" t="n">
        <v>0</v>
      </c>
      <c r="BI88" s="93" t="n">
        <v>0</v>
      </c>
      <c r="BJ88" s="93" t="n">
        <v>0</v>
      </c>
      <c r="BK88" s="93" t="n">
        <v>0</v>
      </c>
      <c r="BL88" s="93" t="n">
        <v>0</v>
      </c>
      <c r="BM88" s="93" t="n">
        <v>0</v>
      </c>
      <c r="BN88" s="93" t="n">
        <v>0</v>
      </c>
      <c r="BO88" s="93" t="n">
        <v>0</v>
      </c>
      <c r="BP88" s="93" t="n">
        <v>0</v>
      </c>
      <c r="BQ88" s="93"/>
      <c r="BR88" s="93"/>
      <c r="BS88" s="93"/>
      <c r="BT88" s="93"/>
      <c r="BU88" s="93"/>
      <c r="BV88" s="93"/>
      <c r="BW88" s="93"/>
      <c r="BX88" s="93"/>
      <c r="BY88" s="44"/>
    </row>
    <row r="89" customFormat="false" ht="15.75" hidden="false" customHeight="false" outlineLevel="0" collapsed="false">
      <c r="A89" s="44"/>
      <c r="B89" s="44"/>
      <c r="C89" s="44"/>
      <c r="D89" s="44"/>
      <c r="E89" s="44"/>
      <c r="F89" s="44"/>
      <c r="G89" s="44"/>
      <c r="H89" s="44"/>
      <c r="I89" s="44"/>
      <c r="J89" s="44"/>
      <c r="K89" s="44"/>
      <c r="L89" s="50"/>
      <c r="M89" s="44"/>
      <c r="N89" s="44"/>
      <c r="O89" s="44"/>
      <c r="P89" s="44"/>
      <c r="Q89" s="44"/>
      <c r="R89" s="44"/>
      <c r="S89" s="44"/>
      <c r="T89" s="44"/>
      <c r="U89" s="44"/>
      <c r="V89" s="44"/>
      <c r="W89" s="44"/>
      <c r="X89" s="44"/>
      <c r="Y89" s="44"/>
      <c r="Z89" s="44"/>
      <c r="AA89" s="44"/>
      <c r="AB89" s="44"/>
      <c r="AC89" s="44"/>
      <c r="AD89" s="44"/>
      <c r="AE89" s="44"/>
      <c r="AF89" s="44"/>
      <c r="AG89" s="44"/>
      <c r="AH89" s="44"/>
      <c r="AI89" s="44"/>
      <c r="AJ89" s="44"/>
      <c r="AK89" s="44"/>
      <c r="AL89" s="44"/>
      <c r="AM89" s="44"/>
      <c r="AN89" s="44"/>
      <c r="AO89" s="93"/>
      <c r="AP89" s="93"/>
      <c r="AQ89" s="93"/>
      <c r="AR89" s="93"/>
      <c r="AS89" s="93"/>
      <c r="AT89" s="93"/>
      <c r="AU89" s="93"/>
      <c r="AV89" s="93"/>
      <c r="AW89" s="93"/>
      <c r="AX89" s="93"/>
      <c r="AY89" s="93"/>
      <c r="AZ89" s="93"/>
      <c r="BA89" s="93"/>
      <c r="BB89" s="93"/>
      <c r="BC89" s="93"/>
      <c r="BD89" s="93"/>
      <c r="BE89" s="93"/>
      <c r="BF89" s="93"/>
      <c r="BG89" s="93" t="n">
        <v>0</v>
      </c>
      <c r="BH89" s="93" t="n">
        <v>0</v>
      </c>
      <c r="BI89" s="93" t="n">
        <v>0</v>
      </c>
      <c r="BJ89" s="93" t="n">
        <v>0</v>
      </c>
      <c r="BK89" s="93" t="n">
        <v>0</v>
      </c>
      <c r="BL89" s="93" t="n">
        <v>0</v>
      </c>
      <c r="BM89" s="93" t="n">
        <v>0</v>
      </c>
      <c r="BN89" s="93" t="n">
        <v>0</v>
      </c>
      <c r="BO89" s="93" t="n">
        <v>0</v>
      </c>
      <c r="BP89" s="93" t="n">
        <v>0</v>
      </c>
      <c r="BQ89" s="93"/>
      <c r="BR89" s="93"/>
      <c r="BS89" s="93"/>
      <c r="BT89" s="93"/>
      <c r="BU89" s="93"/>
      <c r="BV89" s="93"/>
      <c r="BW89" s="93"/>
      <c r="BX89" s="93"/>
      <c r="BY89" s="44"/>
    </row>
    <row r="90" customFormat="false" ht="15.75" hidden="false" customHeight="false" outlineLevel="0" collapsed="false">
      <c r="A90" s="44"/>
      <c r="B90" s="44"/>
      <c r="C90" s="44"/>
      <c r="D90" s="44"/>
      <c r="E90" s="44"/>
      <c r="F90" s="44"/>
      <c r="G90" s="44"/>
      <c r="H90" s="44"/>
      <c r="I90" s="44"/>
      <c r="J90" s="44"/>
      <c r="K90" s="44"/>
      <c r="L90" s="50"/>
      <c r="M90" s="44"/>
      <c r="N90" s="44"/>
      <c r="O90" s="44"/>
      <c r="P90" s="44"/>
      <c r="Q90" s="44"/>
      <c r="R90" s="44"/>
      <c r="S90" s="44"/>
      <c r="T90" s="44"/>
      <c r="U90" s="44"/>
      <c r="V90" s="44"/>
      <c r="W90" s="44"/>
      <c r="X90" s="44"/>
      <c r="Y90" s="44"/>
      <c r="Z90" s="44"/>
      <c r="AA90" s="44"/>
      <c r="AB90" s="44"/>
      <c r="AC90" s="44"/>
      <c r="AD90" s="44"/>
      <c r="AE90" s="44"/>
      <c r="AF90" s="44"/>
      <c r="AG90" s="44"/>
      <c r="AH90" s="44"/>
      <c r="AI90" s="44"/>
      <c r="AJ90" s="44"/>
      <c r="AK90" s="44"/>
      <c r="AL90" s="44"/>
      <c r="AM90" s="44"/>
      <c r="AN90" s="44"/>
      <c r="AO90" s="93"/>
      <c r="AP90" s="93"/>
      <c r="AQ90" s="93"/>
      <c r="AR90" s="93"/>
      <c r="AS90" s="93"/>
      <c r="AT90" s="93"/>
      <c r="AU90" s="93"/>
      <c r="AV90" s="93"/>
      <c r="AW90" s="93"/>
      <c r="AX90" s="93"/>
      <c r="AY90" s="93"/>
      <c r="AZ90" s="93"/>
      <c r="BA90" s="93"/>
      <c r="BB90" s="93"/>
      <c r="BC90" s="93"/>
      <c r="BD90" s="93"/>
      <c r="BE90" s="93"/>
      <c r="BF90" s="93"/>
      <c r="BG90" s="93" t="n">
        <v>0</v>
      </c>
      <c r="BH90" s="93" t="n">
        <v>0</v>
      </c>
      <c r="BI90" s="93" t="n">
        <v>0</v>
      </c>
      <c r="BJ90" s="93" t="n">
        <v>0</v>
      </c>
      <c r="BK90" s="93" t="n">
        <v>0</v>
      </c>
      <c r="BL90" s="93" t="n">
        <v>0</v>
      </c>
      <c r="BM90" s="93" t="n">
        <v>0</v>
      </c>
      <c r="BN90" s="93" t="n">
        <v>0</v>
      </c>
      <c r="BO90" s="93" t="n">
        <v>0</v>
      </c>
      <c r="BP90" s="93" t="n">
        <v>0</v>
      </c>
      <c r="BQ90" s="93"/>
      <c r="BR90" s="93"/>
      <c r="BS90" s="93"/>
      <c r="BT90" s="93"/>
      <c r="BU90" s="93"/>
      <c r="BV90" s="93"/>
      <c r="BW90" s="93"/>
      <c r="BX90" s="93"/>
      <c r="BY90" s="44"/>
    </row>
    <row r="91" customFormat="false" ht="15.75" hidden="false" customHeight="false" outlineLevel="0" collapsed="false">
      <c r="A91" s="44"/>
      <c r="B91" s="44"/>
      <c r="C91" s="44"/>
      <c r="D91" s="44"/>
      <c r="E91" s="44"/>
      <c r="F91" s="44"/>
      <c r="G91" s="44"/>
      <c r="H91" s="44"/>
      <c r="I91" s="44"/>
      <c r="J91" s="44"/>
      <c r="K91" s="44"/>
      <c r="L91" s="50"/>
      <c r="M91" s="44"/>
      <c r="N91" s="44"/>
      <c r="O91" s="44"/>
      <c r="P91" s="44"/>
      <c r="Q91" s="44"/>
      <c r="R91" s="44"/>
      <c r="S91" s="44"/>
      <c r="T91" s="44"/>
      <c r="U91" s="44"/>
      <c r="V91" s="44"/>
      <c r="W91" s="44"/>
      <c r="X91" s="44"/>
      <c r="Y91" s="44"/>
      <c r="Z91" s="44"/>
      <c r="AA91" s="44"/>
      <c r="AB91" s="44"/>
      <c r="AC91" s="44"/>
      <c r="AD91" s="44"/>
      <c r="AE91" s="44"/>
      <c r="AF91" s="44"/>
      <c r="AG91" s="44"/>
      <c r="AH91" s="44"/>
      <c r="AI91" s="44"/>
      <c r="AJ91" s="44"/>
      <c r="AK91" s="44"/>
      <c r="AL91" s="44"/>
      <c r="AM91" s="44"/>
      <c r="AN91" s="44"/>
      <c r="AO91" s="93"/>
      <c r="AP91" s="93"/>
      <c r="AQ91" s="93"/>
      <c r="AR91" s="93"/>
      <c r="AS91" s="93"/>
      <c r="AT91" s="93"/>
      <c r="AU91" s="93"/>
      <c r="AV91" s="93"/>
      <c r="AW91" s="93"/>
      <c r="AX91" s="93"/>
      <c r="AY91" s="93"/>
      <c r="AZ91" s="93"/>
      <c r="BA91" s="93"/>
      <c r="BB91" s="93"/>
      <c r="BC91" s="93"/>
      <c r="BD91" s="93"/>
      <c r="BE91" s="93"/>
      <c r="BF91" s="93"/>
      <c r="BG91" s="93" t="n">
        <v>0</v>
      </c>
      <c r="BH91" s="93" t="n">
        <v>0</v>
      </c>
      <c r="BI91" s="93" t="n">
        <v>0</v>
      </c>
      <c r="BJ91" s="93" t="n">
        <v>0</v>
      </c>
      <c r="BK91" s="93" t="n">
        <v>0</v>
      </c>
      <c r="BL91" s="93" t="n">
        <v>0</v>
      </c>
      <c r="BM91" s="93" t="n">
        <v>0</v>
      </c>
      <c r="BN91" s="93" t="n">
        <v>0</v>
      </c>
      <c r="BO91" s="93" t="n">
        <v>0</v>
      </c>
      <c r="BP91" s="93" t="n">
        <v>0</v>
      </c>
      <c r="BQ91" s="93"/>
      <c r="BR91" s="93"/>
      <c r="BS91" s="93"/>
      <c r="BT91" s="93"/>
      <c r="BU91" s="93"/>
      <c r="BV91" s="93"/>
      <c r="BW91" s="93"/>
      <c r="BX91" s="93"/>
      <c r="BY91" s="44"/>
    </row>
    <row r="92" customFormat="false" ht="15.75" hidden="false" customHeight="false" outlineLevel="0" collapsed="false">
      <c r="A92" s="44"/>
      <c r="B92" s="44"/>
      <c r="C92" s="44"/>
      <c r="D92" s="44"/>
      <c r="E92" s="44"/>
      <c r="F92" s="44"/>
      <c r="G92" s="44"/>
      <c r="H92" s="44"/>
      <c r="I92" s="44"/>
      <c r="J92" s="44"/>
      <c r="K92" s="44"/>
      <c r="L92" s="50"/>
      <c r="M92" s="44"/>
      <c r="N92" s="44"/>
      <c r="O92" s="44"/>
      <c r="P92" s="44"/>
      <c r="Q92" s="44"/>
      <c r="R92" s="44"/>
      <c r="S92" s="44"/>
      <c r="T92" s="44"/>
      <c r="U92" s="44"/>
      <c r="V92" s="44"/>
      <c r="W92" s="44"/>
      <c r="X92" s="44"/>
      <c r="Y92" s="44"/>
      <c r="Z92" s="44"/>
      <c r="AA92" s="44"/>
      <c r="AB92" s="44"/>
      <c r="AC92" s="44"/>
      <c r="AD92" s="44"/>
      <c r="AE92" s="44"/>
      <c r="AF92" s="44"/>
      <c r="AG92" s="44"/>
      <c r="AH92" s="44"/>
      <c r="AI92" s="44"/>
      <c r="AJ92" s="44"/>
      <c r="AK92" s="44"/>
      <c r="AL92" s="44"/>
      <c r="AM92" s="44"/>
      <c r="AN92" s="44"/>
      <c r="AO92" s="93"/>
      <c r="AP92" s="93"/>
      <c r="AQ92" s="93"/>
      <c r="AR92" s="93"/>
      <c r="AS92" s="93"/>
      <c r="AT92" s="93"/>
      <c r="AU92" s="93"/>
      <c r="AV92" s="93"/>
      <c r="AW92" s="93"/>
      <c r="AX92" s="93"/>
      <c r="AY92" s="93"/>
      <c r="AZ92" s="93"/>
      <c r="BA92" s="93"/>
      <c r="BB92" s="93"/>
      <c r="BC92" s="93"/>
      <c r="BD92" s="93"/>
      <c r="BE92" s="93"/>
      <c r="BF92" s="93"/>
      <c r="BG92" s="93" t="n">
        <v>0</v>
      </c>
      <c r="BH92" s="93" t="n">
        <v>0</v>
      </c>
      <c r="BI92" s="93" t="n">
        <v>0</v>
      </c>
      <c r="BJ92" s="93" t="n">
        <v>0</v>
      </c>
      <c r="BK92" s="93" t="n">
        <v>0</v>
      </c>
      <c r="BL92" s="93" t="n">
        <v>0</v>
      </c>
      <c r="BM92" s="93" t="n">
        <v>0</v>
      </c>
      <c r="BN92" s="93" t="n">
        <v>0</v>
      </c>
      <c r="BO92" s="93" t="n">
        <v>0</v>
      </c>
      <c r="BP92" s="93" t="n">
        <v>0</v>
      </c>
      <c r="BQ92" s="93"/>
      <c r="BR92" s="93"/>
      <c r="BS92" s="93"/>
      <c r="BT92" s="93"/>
      <c r="BU92" s="93"/>
      <c r="BV92" s="93"/>
      <c r="BW92" s="93"/>
      <c r="BX92" s="93"/>
      <c r="BY92" s="44"/>
    </row>
    <row r="93" customFormat="false" ht="15.75" hidden="false" customHeight="false" outlineLevel="0" collapsed="false">
      <c r="A93" s="44"/>
      <c r="B93" s="44"/>
      <c r="C93" s="44"/>
      <c r="D93" s="44"/>
      <c r="E93" s="44"/>
      <c r="F93" s="44"/>
      <c r="G93" s="44"/>
      <c r="H93" s="44"/>
      <c r="I93" s="44"/>
      <c r="J93" s="44"/>
      <c r="K93" s="44"/>
      <c r="L93" s="50"/>
      <c r="M93" s="44"/>
      <c r="N93" s="44"/>
      <c r="O93" s="44"/>
      <c r="P93" s="44"/>
      <c r="Q93" s="44"/>
      <c r="R93" s="44"/>
      <c r="S93" s="44"/>
      <c r="T93" s="44"/>
      <c r="U93" s="44"/>
      <c r="V93" s="44"/>
      <c r="W93" s="44"/>
      <c r="X93" s="44"/>
      <c r="Y93" s="44"/>
      <c r="Z93" s="44"/>
      <c r="AA93" s="44"/>
      <c r="AB93" s="44"/>
      <c r="AC93" s="44"/>
      <c r="AD93" s="44"/>
      <c r="AE93" s="44"/>
      <c r="AF93" s="44"/>
      <c r="AG93" s="44"/>
      <c r="AH93" s="44"/>
      <c r="AI93" s="44"/>
      <c r="AJ93" s="44"/>
      <c r="AK93" s="44"/>
      <c r="AL93" s="44"/>
      <c r="AM93" s="44"/>
      <c r="AN93" s="44"/>
      <c r="AO93" s="93"/>
      <c r="AP93" s="93"/>
      <c r="AQ93" s="93"/>
      <c r="AR93" s="93"/>
      <c r="AS93" s="93"/>
      <c r="AT93" s="93"/>
      <c r="AU93" s="93"/>
      <c r="AV93" s="93"/>
      <c r="AW93" s="93"/>
      <c r="AX93" s="93"/>
      <c r="AY93" s="93"/>
      <c r="AZ93" s="93"/>
      <c r="BA93" s="93"/>
      <c r="BB93" s="93"/>
      <c r="BC93" s="93"/>
      <c r="BD93" s="93"/>
      <c r="BE93" s="93"/>
      <c r="BF93" s="93"/>
      <c r="BG93" s="93" t="n">
        <v>0</v>
      </c>
      <c r="BH93" s="93" t="n">
        <v>0</v>
      </c>
      <c r="BI93" s="93" t="n">
        <v>0</v>
      </c>
      <c r="BJ93" s="93" t="n">
        <v>0</v>
      </c>
      <c r="BK93" s="93" t="n">
        <v>0</v>
      </c>
      <c r="BL93" s="93" t="n">
        <v>0</v>
      </c>
      <c r="BM93" s="93" t="n">
        <v>0</v>
      </c>
      <c r="BN93" s="93" t="n">
        <v>0</v>
      </c>
      <c r="BO93" s="93" t="n">
        <v>0</v>
      </c>
      <c r="BP93" s="93" t="n">
        <v>0</v>
      </c>
      <c r="BQ93" s="93"/>
      <c r="BR93" s="93"/>
      <c r="BS93" s="93"/>
      <c r="BT93" s="93"/>
      <c r="BU93" s="93"/>
      <c r="BV93" s="93"/>
      <c r="BW93" s="93"/>
      <c r="BX93" s="93"/>
    </row>
    <row r="94" customFormat="false" ht="15.75" hidden="false" customHeight="false" outlineLevel="0" collapsed="false">
      <c r="A94" s="44"/>
      <c r="B94" s="44"/>
      <c r="C94" s="44"/>
      <c r="D94" s="44"/>
      <c r="E94" s="44"/>
      <c r="F94" s="44"/>
      <c r="G94" s="44"/>
      <c r="H94" s="44"/>
      <c r="I94" s="44"/>
      <c r="J94" s="44"/>
      <c r="K94" s="44"/>
      <c r="L94" s="50"/>
      <c r="M94" s="44"/>
      <c r="N94" s="44"/>
      <c r="O94" s="44"/>
      <c r="P94" s="44"/>
      <c r="Q94" s="44"/>
      <c r="R94" s="44"/>
      <c r="S94" s="44"/>
      <c r="T94" s="44"/>
      <c r="U94" s="44"/>
      <c r="V94" s="44"/>
      <c r="W94" s="44"/>
      <c r="X94" s="44"/>
      <c r="Y94" s="44"/>
      <c r="Z94" s="44"/>
      <c r="AA94" s="44"/>
      <c r="AB94" s="44"/>
      <c r="AC94" s="44"/>
      <c r="AD94" s="44"/>
      <c r="AE94" s="44"/>
      <c r="AF94" s="44"/>
      <c r="AG94" s="44"/>
      <c r="AH94" s="44"/>
      <c r="AI94" s="44"/>
      <c r="AJ94" s="44"/>
      <c r="AK94" s="44"/>
      <c r="AL94" s="44"/>
      <c r="AM94" s="44"/>
      <c r="AN94" s="44"/>
      <c r="AO94" s="93"/>
      <c r="AP94" s="93"/>
      <c r="AQ94" s="93"/>
      <c r="AR94" s="93"/>
      <c r="AS94" s="93"/>
      <c r="AT94" s="93"/>
      <c r="AU94" s="93"/>
      <c r="AV94" s="93"/>
      <c r="AW94" s="93"/>
      <c r="AX94" s="93"/>
      <c r="AY94" s="93"/>
      <c r="AZ94" s="93"/>
      <c r="BA94" s="93"/>
      <c r="BB94" s="93"/>
      <c r="BC94" s="93"/>
      <c r="BD94" s="93"/>
      <c r="BE94" s="93"/>
      <c r="BF94" s="93"/>
      <c r="BG94" s="93" t="n">
        <v>0</v>
      </c>
      <c r="BH94" s="93" t="n">
        <v>0</v>
      </c>
      <c r="BI94" s="93" t="n">
        <v>0</v>
      </c>
      <c r="BJ94" s="93" t="n">
        <v>0</v>
      </c>
      <c r="BK94" s="93" t="n">
        <v>0</v>
      </c>
      <c r="BL94" s="93" t="n">
        <v>0</v>
      </c>
      <c r="BM94" s="93" t="n">
        <v>0</v>
      </c>
      <c r="BN94" s="93" t="n">
        <v>0</v>
      </c>
      <c r="BO94" s="93" t="n">
        <v>0</v>
      </c>
      <c r="BP94" s="93" t="n">
        <v>0</v>
      </c>
      <c r="BQ94" s="93"/>
      <c r="BR94" s="93"/>
      <c r="BS94" s="93"/>
      <c r="BT94" s="93"/>
      <c r="BU94" s="93"/>
      <c r="BV94" s="93"/>
      <c r="BW94" s="93"/>
      <c r="BX94" s="93"/>
    </row>
    <row r="95" customFormat="false" ht="15.75" hidden="false" customHeight="false" outlineLevel="0" collapsed="false">
      <c r="A95" s="44"/>
      <c r="B95" s="44"/>
      <c r="C95" s="44"/>
      <c r="D95" s="44"/>
      <c r="E95" s="44"/>
      <c r="F95" s="44"/>
      <c r="G95" s="44"/>
      <c r="H95" s="44"/>
      <c r="I95" s="44"/>
      <c r="J95" s="44"/>
      <c r="K95" s="44"/>
      <c r="L95" s="50"/>
      <c r="M95" s="44"/>
      <c r="N95" s="44"/>
      <c r="O95" s="44"/>
      <c r="P95" s="44"/>
      <c r="Q95" s="44"/>
      <c r="R95" s="44"/>
      <c r="S95" s="44"/>
      <c r="T95" s="44"/>
      <c r="U95" s="44"/>
      <c r="V95" s="44"/>
      <c r="W95" s="44"/>
      <c r="X95" s="44"/>
      <c r="Y95" s="44"/>
      <c r="Z95" s="44"/>
      <c r="AA95" s="44"/>
      <c r="AB95" s="44"/>
      <c r="AC95" s="44"/>
      <c r="AD95" s="44"/>
      <c r="AE95" s="44"/>
      <c r="AF95" s="44"/>
      <c r="AG95" s="44"/>
      <c r="AH95" s="44"/>
      <c r="AI95" s="44"/>
      <c r="AJ95" s="44"/>
      <c r="AK95" s="44"/>
      <c r="AL95" s="44"/>
      <c r="AM95" s="44"/>
      <c r="AN95" s="44"/>
      <c r="AO95" s="93"/>
      <c r="AP95" s="93"/>
      <c r="AQ95" s="93"/>
      <c r="AR95" s="93"/>
      <c r="AS95" s="93"/>
      <c r="AT95" s="93"/>
      <c r="AU95" s="93"/>
      <c r="AV95" s="93"/>
      <c r="AW95" s="93"/>
      <c r="AX95" s="93"/>
      <c r="AY95" s="93"/>
      <c r="AZ95" s="93"/>
      <c r="BA95" s="93"/>
      <c r="BB95" s="93"/>
      <c r="BC95" s="93"/>
      <c r="BD95" s="93"/>
      <c r="BE95" s="93"/>
      <c r="BF95" s="93"/>
      <c r="BG95" s="93" t="n">
        <v>0</v>
      </c>
      <c r="BH95" s="93" t="n">
        <v>0</v>
      </c>
      <c r="BI95" s="93" t="n">
        <v>0</v>
      </c>
      <c r="BJ95" s="93" t="n">
        <v>0</v>
      </c>
      <c r="BK95" s="93" t="n">
        <v>0</v>
      </c>
      <c r="BL95" s="93" t="n">
        <v>0</v>
      </c>
      <c r="BM95" s="93" t="n">
        <v>0</v>
      </c>
      <c r="BN95" s="93" t="n">
        <v>0</v>
      </c>
      <c r="BO95" s="93" t="n">
        <v>0</v>
      </c>
      <c r="BP95" s="93" t="n">
        <v>0</v>
      </c>
      <c r="BQ95" s="93"/>
      <c r="BR95" s="93"/>
      <c r="BS95" s="93"/>
      <c r="BT95" s="93"/>
      <c r="BU95" s="93"/>
      <c r="BV95" s="93"/>
      <c r="BW95" s="93"/>
      <c r="BX95" s="93"/>
    </row>
    <row r="96" customFormat="false" ht="15.75" hidden="false" customHeight="false" outlineLevel="0" collapsed="false">
      <c r="A96" s="44"/>
      <c r="B96" s="44"/>
      <c r="C96" s="44"/>
      <c r="D96" s="44"/>
      <c r="E96" s="44"/>
      <c r="F96" s="44"/>
      <c r="G96" s="44"/>
      <c r="H96" s="44"/>
      <c r="I96" s="44"/>
      <c r="J96" s="44"/>
      <c r="K96" s="44"/>
      <c r="L96" s="50"/>
      <c r="M96" s="44"/>
      <c r="N96" s="44"/>
      <c r="O96" s="44"/>
      <c r="P96" s="44"/>
      <c r="Q96" s="44"/>
      <c r="R96" s="44"/>
      <c r="S96" s="44"/>
      <c r="T96" s="44"/>
      <c r="U96" s="44"/>
      <c r="V96" s="44"/>
      <c r="W96" s="44"/>
      <c r="X96" s="44"/>
      <c r="Y96" s="44"/>
      <c r="Z96" s="44"/>
      <c r="AA96" s="44"/>
      <c r="AB96" s="44"/>
      <c r="AC96" s="44"/>
      <c r="AD96" s="44"/>
      <c r="AE96" s="44"/>
      <c r="AF96" s="44"/>
      <c r="AG96" s="44"/>
      <c r="AH96" s="44"/>
      <c r="AI96" s="44"/>
      <c r="AJ96" s="44"/>
      <c r="AK96" s="44"/>
      <c r="AL96" s="44"/>
      <c r="AM96" s="44"/>
      <c r="AN96" s="44"/>
      <c r="AO96" s="93"/>
      <c r="AP96" s="93"/>
      <c r="AQ96" s="93"/>
      <c r="AR96" s="93"/>
      <c r="AS96" s="93"/>
      <c r="AT96" s="93"/>
      <c r="AU96" s="93"/>
      <c r="AV96" s="93"/>
      <c r="AW96" s="93"/>
      <c r="AX96" s="93"/>
      <c r="AY96" s="93"/>
      <c r="AZ96" s="93"/>
      <c r="BA96" s="93"/>
      <c r="BB96" s="93"/>
      <c r="BC96" s="93"/>
      <c r="BD96" s="93"/>
      <c r="BE96" s="93"/>
      <c r="BF96" s="93"/>
      <c r="BG96" s="93" t="n">
        <v>0</v>
      </c>
      <c r="BH96" s="93" t="n">
        <v>0</v>
      </c>
      <c r="BI96" s="93" t="n">
        <v>0</v>
      </c>
      <c r="BJ96" s="93" t="n">
        <v>0</v>
      </c>
      <c r="BK96" s="93" t="n">
        <v>0</v>
      </c>
      <c r="BL96" s="93" t="n">
        <v>0</v>
      </c>
      <c r="BM96" s="93" t="n">
        <v>0</v>
      </c>
      <c r="BN96" s="93" t="n">
        <v>0</v>
      </c>
      <c r="BO96" s="93" t="n">
        <v>0</v>
      </c>
      <c r="BP96" s="93" t="n">
        <v>0</v>
      </c>
      <c r="BQ96" s="93"/>
      <c r="BR96" s="93"/>
      <c r="BS96" s="93"/>
      <c r="BT96" s="93"/>
      <c r="BU96" s="93"/>
      <c r="BV96" s="93"/>
      <c r="BW96" s="93"/>
      <c r="BX96" s="93"/>
    </row>
    <row r="97" customFormat="false" ht="15.75" hidden="false" customHeight="false" outlineLevel="0" collapsed="false">
      <c r="A97" s="44"/>
      <c r="B97" s="44"/>
      <c r="C97" s="44"/>
      <c r="D97" s="44"/>
      <c r="E97" s="44"/>
      <c r="F97" s="44"/>
      <c r="G97" s="44"/>
      <c r="H97" s="44"/>
      <c r="I97" s="44"/>
      <c r="J97" s="44"/>
      <c r="K97" s="44"/>
      <c r="L97" s="50"/>
      <c r="M97" s="44"/>
      <c r="N97" s="44"/>
      <c r="O97" s="44"/>
      <c r="P97" s="44"/>
      <c r="Q97" s="44"/>
      <c r="R97" s="44"/>
      <c r="S97" s="44"/>
      <c r="T97" s="44"/>
      <c r="U97" s="44"/>
      <c r="V97" s="44"/>
      <c r="W97" s="44"/>
      <c r="X97" s="44"/>
      <c r="Y97" s="44"/>
      <c r="Z97" s="44"/>
      <c r="AA97" s="44"/>
      <c r="AB97" s="44"/>
      <c r="AC97" s="44"/>
      <c r="AD97" s="44"/>
      <c r="AE97" s="44"/>
      <c r="AF97" s="44"/>
      <c r="AG97" s="44"/>
      <c r="AH97" s="44"/>
      <c r="AI97" s="44"/>
      <c r="AJ97" s="44"/>
      <c r="AK97" s="44"/>
      <c r="AL97" s="44"/>
      <c r="AM97" s="44"/>
      <c r="AN97" s="44"/>
      <c r="AO97" s="93"/>
      <c r="AP97" s="93"/>
      <c r="AQ97" s="93"/>
      <c r="AR97" s="93"/>
      <c r="AS97" s="93"/>
      <c r="AT97" s="93"/>
      <c r="AU97" s="93"/>
      <c r="AV97" s="93"/>
      <c r="AW97" s="93"/>
      <c r="AX97" s="93"/>
      <c r="AY97" s="93"/>
      <c r="AZ97" s="93"/>
      <c r="BA97" s="93"/>
      <c r="BB97" s="93"/>
      <c r="BC97" s="93"/>
      <c r="BD97" s="93"/>
      <c r="BE97" s="93"/>
      <c r="BF97" s="93"/>
      <c r="BG97" s="93" t="n">
        <v>0</v>
      </c>
      <c r="BH97" s="93" t="n">
        <v>0</v>
      </c>
      <c r="BI97" s="93" t="n">
        <v>0</v>
      </c>
      <c r="BJ97" s="93" t="n">
        <v>0</v>
      </c>
      <c r="BK97" s="93" t="n">
        <v>0</v>
      </c>
      <c r="BL97" s="93" t="n">
        <v>0</v>
      </c>
      <c r="BM97" s="93" t="n">
        <v>0</v>
      </c>
      <c r="BN97" s="93" t="n">
        <v>0</v>
      </c>
      <c r="BO97" s="93" t="n">
        <v>0</v>
      </c>
      <c r="BP97" s="93" t="n">
        <v>0</v>
      </c>
      <c r="BQ97" s="93"/>
      <c r="BR97" s="93"/>
      <c r="BS97" s="93"/>
      <c r="BT97" s="93"/>
      <c r="BU97" s="93"/>
      <c r="BV97" s="93"/>
      <c r="BW97" s="93"/>
      <c r="BX97" s="93"/>
    </row>
    <row r="98" customFormat="false" ht="15.75" hidden="false" customHeight="false" outlineLevel="0" collapsed="false">
      <c r="A98" s="44"/>
      <c r="B98" s="44"/>
      <c r="C98" s="44"/>
      <c r="D98" s="44"/>
      <c r="E98" s="44"/>
      <c r="F98" s="44"/>
      <c r="G98" s="44"/>
      <c r="H98" s="44"/>
      <c r="I98" s="44"/>
      <c r="J98" s="44"/>
      <c r="K98" s="44"/>
      <c r="L98" s="50"/>
      <c r="M98" s="44"/>
      <c r="N98" s="44"/>
      <c r="O98" s="44"/>
      <c r="P98" s="44"/>
      <c r="Q98" s="44"/>
      <c r="R98" s="44"/>
      <c r="S98" s="44"/>
      <c r="T98" s="44"/>
      <c r="U98" s="44"/>
      <c r="V98" s="44"/>
      <c r="W98" s="44"/>
      <c r="X98" s="44"/>
      <c r="Y98" s="44"/>
      <c r="Z98" s="44"/>
      <c r="AA98" s="44"/>
      <c r="AB98" s="44"/>
      <c r="AC98" s="44"/>
      <c r="AD98" s="44"/>
      <c r="AE98" s="44"/>
      <c r="AF98" s="44"/>
      <c r="AG98" s="44"/>
      <c r="AH98" s="44"/>
      <c r="AI98" s="44"/>
      <c r="AJ98" s="44"/>
      <c r="AK98" s="44"/>
      <c r="AL98" s="44"/>
      <c r="AM98" s="44"/>
      <c r="AN98" s="44"/>
      <c r="AO98" s="93"/>
      <c r="AP98" s="93"/>
      <c r="AQ98" s="93"/>
      <c r="AR98" s="93"/>
      <c r="AS98" s="93"/>
      <c r="AT98" s="93"/>
      <c r="AU98" s="93"/>
      <c r="AV98" s="93"/>
      <c r="AW98" s="93"/>
      <c r="AX98" s="93"/>
      <c r="AY98" s="93"/>
      <c r="AZ98" s="93"/>
      <c r="BA98" s="93"/>
      <c r="BB98" s="93"/>
      <c r="BC98" s="93"/>
      <c r="BD98" s="93"/>
      <c r="BE98" s="93"/>
      <c r="BF98" s="93"/>
      <c r="BG98" s="93" t="n">
        <v>0</v>
      </c>
      <c r="BH98" s="93" t="n">
        <v>0</v>
      </c>
      <c r="BI98" s="93" t="n">
        <v>0</v>
      </c>
      <c r="BJ98" s="93" t="n">
        <v>0</v>
      </c>
      <c r="BK98" s="93" t="n">
        <v>0</v>
      </c>
      <c r="BL98" s="93" t="n">
        <v>0</v>
      </c>
      <c r="BM98" s="93" t="n">
        <v>0</v>
      </c>
      <c r="BN98" s="93" t="n">
        <v>0</v>
      </c>
      <c r="BO98" s="93" t="n">
        <v>0</v>
      </c>
      <c r="BP98" s="93" t="n">
        <v>0</v>
      </c>
      <c r="BQ98" s="93"/>
      <c r="BR98" s="93"/>
      <c r="BS98" s="93"/>
      <c r="BT98" s="93"/>
      <c r="BU98" s="93"/>
      <c r="BV98" s="93"/>
      <c r="BW98" s="93"/>
      <c r="BX98" s="93"/>
    </row>
    <row r="99" customFormat="false" ht="15.75" hidden="false" customHeight="false" outlineLevel="0" collapsed="false">
      <c r="A99" s="44"/>
      <c r="B99" s="44"/>
      <c r="C99" s="44"/>
      <c r="D99" s="44"/>
      <c r="E99" s="44"/>
      <c r="F99" s="44"/>
      <c r="G99" s="44"/>
      <c r="H99" s="44"/>
      <c r="I99" s="44"/>
      <c r="J99" s="44"/>
      <c r="K99" s="44"/>
      <c r="L99" s="50"/>
      <c r="M99" s="44"/>
      <c r="N99" s="44"/>
      <c r="O99" s="44"/>
      <c r="P99" s="44"/>
      <c r="Q99" s="44"/>
      <c r="R99" s="44"/>
      <c r="S99" s="44"/>
      <c r="T99" s="44"/>
      <c r="U99" s="44"/>
      <c r="V99" s="44"/>
      <c r="W99" s="44"/>
      <c r="X99" s="44"/>
      <c r="Y99" s="44"/>
      <c r="Z99" s="44"/>
      <c r="AA99" s="44"/>
      <c r="AB99" s="44"/>
      <c r="AC99" s="44"/>
      <c r="AD99" s="44"/>
      <c r="AE99" s="44"/>
      <c r="AF99" s="44"/>
      <c r="AG99" s="44"/>
      <c r="AH99" s="44"/>
      <c r="AI99" s="44"/>
      <c r="AJ99" s="44"/>
      <c r="AK99" s="44"/>
      <c r="AL99" s="44"/>
      <c r="AM99" s="44"/>
      <c r="AN99" s="44"/>
      <c r="AO99" s="93"/>
      <c r="AP99" s="93"/>
      <c r="AQ99" s="93"/>
      <c r="AR99" s="93"/>
      <c r="AS99" s="93"/>
      <c r="AT99" s="93"/>
      <c r="AU99" s="93"/>
      <c r="AV99" s="93"/>
      <c r="AW99" s="93"/>
      <c r="AX99" s="93"/>
      <c r="AY99" s="93"/>
      <c r="AZ99" s="93"/>
      <c r="BA99" s="93"/>
      <c r="BB99" s="93"/>
      <c r="BC99" s="93"/>
      <c r="BD99" s="93"/>
      <c r="BE99" s="93"/>
      <c r="BF99" s="93"/>
      <c r="BG99" s="93" t="n">
        <v>0</v>
      </c>
      <c r="BH99" s="93" t="n">
        <v>0</v>
      </c>
      <c r="BI99" s="93" t="n">
        <v>0</v>
      </c>
      <c r="BJ99" s="93" t="n">
        <v>0</v>
      </c>
      <c r="BK99" s="93" t="n">
        <v>0</v>
      </c>
      <c r="BL99" s="93" t="n">
        <v>0</v>
      </c>
      <c r="BM99" s="93" t="n">
        <v>0</v>
      </c>
      <c r="BN99" s="93" t="n">
        <v>0</v>
      </c>
      <c r="BO99" s="93" t="n">
        <v>0</v>
      </c>
      <c r="BP99" s="93" t="n">
        <v>0</v>
      </c>
      <c r="BQ99" s="93"/>
      <c r="BR99" s="93"/>
      <c r="BS99" s="93"/>
      <c r="BT99" s="93"/>
      <c r="BU99" s="93"/>
      <c r="BV99" s="93"/>
      <c r="BW99" s="93"/>
      <c r="BX99" s="93"/>
    </row>
    <row r="100" customFormat="false" ht="15.75" hidden="false" customHeight="false" outlineLevel="0" collapsed="false">
      <c r="A100" s="44"/>
      <c r="B100" s="44"/>
      <c r="C100" s="44"/>
      <c r="D100" s="44"/>
      <c r="E100" s="44"/>
      <c r="F100" s="44"/>
      <c r="G100" s="44"/>
      <c r="H100" s="44"/>
      <c r="I100" s="44"/>
      <c r="J100" s="44"/>
      <c r="K100" s="44"/>
      <c r="L100" s="50"/>
      <c r="M100" s="44"/>
      <c r="N100" s="44"/>
      <c r="O100" s="44"/>
      <c r="P100" s="44"/>
      <c r="Q100" s="44"/>
      <c r="R100" s="44"/>
      <c r="S100" s="44"/>
      <c r="T100" s="44"/>
      <c r="U100" s="44"/>
      <c r="V100" s="44"/>
      <c r="W100" s="44"/>
      <c r="X100" s="44"/>
      <c r="Y100" s="44"/>
      <c r="Z100" s="44"/>
      <c r="AA100" s="44"/>
      <c r="AB100" s="44"/>
      <c r="AC100" s="44"/>
      <c r="AD100" s="44"/>
      <c r="AE100" s="44"/>
      <c r="AF100" s="44"/>
      <c r="AG100" s="44"/>
      <c r="AH100" s="44"/>
      <c r="AI100" s="44"/>
      <c r="AJ100" s="44"/>
      <c r="AK100" s="44"/>
      <c r="AL100" s="44"/>
      <c r="AM100" s="44"/>
      <c r="AN100" s="44"/>
      <c r="AO100" s="93"/>
      <c r="AP100" s="93"/>
      <c r="AQ100" s="93"/>
      <c r="AR100" s="93"/>
      <c r="AS100" s="93"/>
      <c r="AT100" s="93"/>
      <c r="AU100" s="93"/>
      <c r="AV100" s="93"/>
      <c r="AW100" s="93"/>
      <c r="AX100" s="93"/>
      <c r="AY100" s="93"/>
      <c r="AZ100" s="93"/>
      <c r="BA100" s="93"/>
      <c r="BB100" s="93"/>
      <c r="BC100" s="93"/>
      <c r="BD100" s="93"/>
      <c r="BE100" s="93"/>
      <c r="BF100" s="93"/>
      <c r="BG100" s="93" t="n">
        <v>0</v>
      </c>
      <c r="BH100" s="93" t="n">
        <v>0</v>
      </c>
      <c r="BI100" s="93" t="n">
        <v>0</v>
      </c>
      <c r="BJ100" s="93" t="n">
        <v>0</v>
      </c>
      <c r="BK100" s="93" t="n">
        <v>0</v>
      </c>
      <c r="BL100" s="93" t="n">
        <v>0</v>
      </c>
      <c r="BM100" s="93" t="n">
        <v>0</v>
      </c>
      <c r="BN100" s="93" t="n">
        <v>0</v>
      </c>
      <c r="BO100" s="93" t="n">
        <v>0</v>
      </c>
      <c r="BP100" s="93" t="n">
        <v>0</v>
      </c>
      <c r="BQ100" s="93"/>
      <c r="BR100" s="93"/>
      <c r="BS100" s="93"/>
      <c r="BT100" s="93"/>
      <c r="BU100" s="93"/>
      <c r="BV100" s="93"/>
      <c r="BW100" s="93"/>
      <c r="BX100" s="93"/>
    </row>
  </sheetData>
  <mergeCells count="1765">
    <mergeCell ref="A1:K1"/>
    <mergeCell ref="M1:V1"/>
    <mergeCell ref="X1:AN1"/>
    <mergeCell ref="AP1:BE1"/>
    <mergeCell ref="BG1:BV1"/>
    <mergeCell ref="B2:C2"/>
    <mergeCell ref="D2:F2"/>
    <mergeCell ref="G2:I2"/>
    <mergeCell ref="J2:K2"/>
    <mergeCell ref="M2:N2"/>
    <mergeCell ref="O2:Q2"/>
    <mergeCell ref="R2:T2"/>
    <mergeCell ref="U2:V2"/>
    <mergeCell ref="Y2:Z2"/>
    <mergeCell ref="AA2:AC2"/>
    <mergeCell ref="AD2:AE2"/>
    <mergeCell ref="AF2:AH2"/>
    <mergeCell ref="AI2:AJ2"/>
    <mergeCell ref="AK2:AN2"/>
    <mergeCell ref="AP2:AQ2"/>
    <mergeCell ref="AR2:AT2"/>
    <mergeCell ref="AU2:AV2"/>
    <mergeCell ref="AW2:AY2"/>
    <mergeCell ref="AZ2:BA2"/>
    <mergeCell ref="BB2:BE2"/>
    <mergeCell ref="BG2:BH2"/>
    <mergeCell ref="BI2:BK2"/>
    <mergeCell ref="BL2:BM2"/>
    <mergeCell ref="BN2:BP2"/>
    <mergeCell ref="BQ2:BR2"/>
    <mergeCell ref="BS2:BV2"/>
    <mergeCell ref="B3:C3"/>
    <mergeCell ref="D3:F3"/>
    <mergeCell ref="G3:I3"/>
    <mergeCell ref="J3:K3"/>
    <mergeCell ref="M3:N3"/>
    <mergeCell ref="O3:Q3"/>
    <mergeCell ref="R3:T3"/>
    <mergeCell ref="U3:V3"/>
    <mergeCell ref="Y3:Z3"/>
    <mergeCell ref="AA3:AC3"/>
    <mergeCell ref="AD3:AE3"/>
    <mergeCell ref="AF3:AH3"/>
    <mergeCell ref="AI3:AJ3"/>
    <mergeCell ref="AK3:AN3"/>
    <mergeCell ref="AP3:AQ3"/>
    <mergeCell ref="AR3:AT3"/>
    <mergeCell ref="AU3:AV3"/>
    <mergeCell ref="AW3:AY3"/>
    <mergeCell ref="AZ3:BA3"/>
    <mergeCell ref="BB3:BE3"/>
    <mergeCell ref="BG3:BH3"/>
    <mergeCell ref="BI3:BK3"/>
    <mergeCell ref="BL3:BM3"/>
    <mergeCell ref="BN3:BP3"/>
    <mergeCell ref="BQ3:BR3"/>
    <mergeCell ref="BS3:BV3"/>
    <mergeCell ref="B4:C4"/>
    <mergeCell ref="D4:F4"/>
    <mergeCell ref="G4:I4"/>
    <mergeCell ref="J4:K4"/>
    <mergeCell ref="M4:N4"/>
    <mergeCell ref="O4:Q4"/>
    <mergeCell ref="R4:T4"/>
    <mergeCell ref="U4:V4"/>
    <mergeCell ref="Y4:Z4"/>
    <mergeCell ref="AA4:AC4"/>
    <mergeCell ref="AD4:AE4"/>
    <mergeCell ref="AF4:AH4"/>
    <mergeCell ref="AI4:AJ4"/>
    <mergeCell ref="AK4:AN4"/>
    <mergeCell ref="AP4:AQ4"/>
    <mergeCell ref="AR4:AT4"/>
    <mergeCell ref="AU4:AV4"/>
    <mergeCell ref="AW4:AY4"/>
    <mergeCell ref="AZ4:BA4"/>
    <mergeCell ref="BB4:BE4"/>
    <mergeCell ref="BG4:BH4"/>
    <mergeCell ref="BI4:BK4"/>
    <mergeCell ref="BL4:BM4"/>
    <mergeCell ref="BN4:BP4"/>
    <mergeCell ref="BQ4:BR4"/>
    <mergeCell ref="BS4:BV4"/>
    <mergeCell ref="B5:C5"/>
    <mergeCell ref="D5:F5"/>
    <mergeCell ref="G5:I5"/>
    <mergeCell ref="J5:K5"/>
    <mergeCell ref="M5:N5"/>
    <mergeCell ref="O5:Q5"/>
    <mergeCell ref="R5:T5"/>
    <mergeCell ref="U5:V5"/>
    <mergeCell ref="Y5:Z5"/>
    <mergeCell ref="AA5:AC5"/>
    <mergeCell ref="AD5:AE5"/>
    <mergeCell ref="AF5:AH5"/>
    <mergeCell ref="AI5:AJ5"/>
    <mergeCell ref="AK5:AN5"/>
    <mergeCell ref="AP5:AQ5"/>
    <mergeCell ref="AR5:AT5"/>
    <mergeCell ref="AU5:AV5"/>
    <mergeCell ref="AW5:AY5"/>
    <mergeCell ref="AZ5:BA5"/>
    <mergeCell ref="BB5:BE5"/>
    <mergeCell ref="BG5:BH5"/>
    <mergeCell ref="BI5:BK5"/>
    <mergeCell ref="BL5:BM5"/>
    <mergeCell ref="BN5:BP5"/>
    <mergeCell ref="BQ5:BR5"/>
    <mergeCell ref="BS5:BV5"/>
    <mergeCell ref="B6:C6"/>
    <mergeCell ref="D6:F6"/>
    <mergeCell ref="G6:I6"/>
    <mergeCell ref="J6:K6"/>
    <mergeCell ref="M6:N6"/>
    <mergeCell ref="O6:Q6"/>
    <mergeCell ref="R6:T6"/>
    <mergeCell ref="U6:V6"/>
    <mergeCell ref="Y6:Z6"/>
    <mergeCell ref="AA6:AC6"/>
    <mergeCell ref="AD6:AE6"/>
    <mergeCell ref="AF6:AH6"/>
    <mergeCell ref="AI6:AJ6"/>
    <mergeCell ref="AK6:AN6"/>
    <mergeCell ref="AP6:AQ6"/>
    <mergeCell ref="AR6:AT6"/>
    <mergeCell ref="AU6:AV6"/>
    <mergeCell ref="AW6:AY6"/>
    <mergeCell ref="AZ6:BA6"/>
    <mergeCell ref="BB6:BE6"/>
    <mergeCell ref="BG6:BH6"/>
    <mergeCell ref="BI6:BK6"/>
    <mergeCell ref="BL6:BM6"/>
    <mergeCell ref="BN6:BP6"/>
    <mergeCell ref="BQ6:BR6"/>
    <mergeCell ref="BS6:BV6"/>
    <mergeCell ref="B7:C7"/>
    <mergeCell ref="D7:F7"/>
    <mergeCell ref="G7:I7"/>
    <mergeCell ref="J7:K7"/>
    <mergeCell ref="M7:N7"/>
    <mergeCell ref="O7:Q7"/>
    <mergeCell ref="R7:T7"/>
    <mergeCell ref="U7:V7"/>
    <mergeCell ref="Y7:Z7"/>
    <mergeCell ref="AA7:AC7"/>
    <mergeCell ref="AD7:AE7"/>
    <mergeCell ref="AF7:AH7"/>
    <mergeCell ref="AI7:AJ7"/>
    <mergeCell ref="AK7:AN7"/>
    <mergeCell ref="AP7:AQ7"/>
    <mergeCell ref="AR7:AT7"/>
    <mergeCell ref="AU7:AV7"/>
    <mergeCell ref="AW7:AY7"/>
    <mergeCell ref="AZ7:BA7"/>
    <mergeCell ref="BB7:BE7"/>
    <mergeCell ref="BG7:BH7"/>
    <mergeCell ref="BI7:BK7"/>
    <mergeCell ref="BL7:BM7"/>
    <mergeCell ref="BN7:BP7"/>
    <mergeCell ref="BQ7:BR7"/>
    <mergeCell ref="BS7:BV7"/>
    <mergeCell ref="B8:C8"/>
    <mergeCell ref="D8:F8"/>
    <mergeCell ref="G8:I8"/>
    <mergeCell ref="J8:K8"/>
    <mergeCell ref="M8:N8"/>
    <mergeCell ref="O8:Q8"/>
    <mergeCell ref="R8:T8"/>
    <mergeCell ref="U8:V8"/>
    <mergeCell ref="Y8:Z8"/>
    <mergeCell ref="AA8:AC8"/>
    <mergeCell ref="AD8:AE8"/>
    <mergeCell ref="AF8:AH8"/>
    <mergeCell ref="AI8:AJ8"/>
    <mergeCell ref="AK8:AN8"/>
    <mergeCell ref="AP8:AQ8"/>
    <mergeCell ref="AR8:AT8"/>
    <mergeCell ref="AU8:AV8"/>
    <mergeCell ref="AW8:AY8"/>
    <mergeCell ref="AZ8:BA8"/>
    <mergeCell ref="BB8:BE8"/>
    <mergeCell ref="BG8:BH8"/>
    <mergeCell ref="BI8:BK8"/>
    <mergeCell ref="BL8:BM8"/>
    <mergeCell ref="BN8:BP8"/>
    <mergeCell ref="BQ8:BR8"/>
    <mergeCell ref="BS8:BV8"/>
    <mergeCell ref="B9:C9"/>
    <mergeCell ref="D9:F9"/>
    <mergeCell ref="G9:I9"/>
    <mergeCell ref="J9:K9"/>
    <mergeCell ref="M9:N9"/>
    <mergeCell ref="O9:Q9"/>
    <mergeCell ref="R9:T9"/>
    <mergeCell ref="U9:V9"/>
    <mergeCell ref="Y9:Z9"/>
    <mergeCell ref="AA9:AC9"/>
    <mergeCell ref="AD9:AE9"/>
    <mergeCell ref="AF9:AH9"/>
    <mergeCell ref="AI9:AJ9"/>
    <mergeCell ref="AK9:AN9"/>
    <mergeCell ref="AP9:AQ9"/>
    <mergeCell ref="AR9:AT9"/>
    <mergeCell ref="AU9:AV9"/>
    <mergeCell ref="AW9:AY9"/>
    <mergeCell ref="AZ9:BA9"/>
    <mergeCell ref="BB9:BE9"/>
    <mergeCell ref="BG9:BH9"/>
    <mergeCell ref="BI9:BK9"/>
    <mergeCell ref="BL9:BM9"/>
    <mergeCell ref="BN9:BP9"/>
    <mergeCell ref="BQ9:BR9"/>
    <mergeCell ref="BS9:BV9"/>
    <mergeCell ref="B10:C10"/>
    <mergeCell ref="D10:F10"/>
    <mergeCell ref="G10:I10"/>
    <mergeCell ref="J10:K10"/>
    <mergeCell ref="M10:N10"/>
    <mergeCell ref="O10:Q10"/>
    <mergeCell ref="R10:T10"/>
    <mergeCell ref="U10:V10"/>
    <mergeCell ref="Y10:Z10"/>
    <mergeCell ref="AA10:AC10"/>
    <mergeCell ref="AD10:AE10"/>
    <mergeCell ref="AF10:AH10"/>
    <mergeCell ref="AI10:AJ10"/>
    <mergeCell ref="AK10:AN10"/>
    <mergeCell ref="AP10:AQ10"/>
    <mergeCell ref="AR10:AT10"/>
    <mergeCell ref="AU10:AV10"/>
    <mergeCell ref="AW10:AY10"/>
    <mergeCell ref="AZ10:BA10"/>
    <mergeCell ref="BB10:BE10"/>
    <mergeCell ref="BG10:BH10"/>
    <mergeCell ref="BI10:BK10"/>
    <mergeCell ref="BL10:BM10"/>
    <mergeCell ref="BN10:BP10"/>
    <mergeCell ref="BQ10:BR10"/>
    <mergeCell ref="BS10:BV10"/>
    <mergeCell ref="B11:C11"/>
    <mergeCell ref="D11:F11"/>
    <mergeCell ref="G11:I11"/>
    <mergeCell ref="J11:K11"/>
    <mergeCell ref="M11:N11"/>
    <mergeCell ref="O11:Q11"/>
    <mergeCell ref="R11:T11"/>
    <mergeCell ref="U11:V11"/>
    <mergeCell ref="Y11:Z11"/>
    <mergeCell ref="AA11:AC11"/>
    <mergeCell ref="AD11:AE11"/>
    <mergeCell ref="AF11:AH11"/>
    <mergeCell ref="AI11:AJ11"/>
    <mergeCell ref="AK11:AN11"/>
    <mergeCell ref="AP11:AQ11"/>
    <mergeCell ref="AR11:AT11"/>
    <mergeCell ref="AU11:AV11"/>
    <mergeCell ref="AW11:AY11"/>
    <mergeCell ref="AZ11:BA11"/>
    <mergeCell ref="BB11:BE11"/>
    <mergeCell ref="BG11:BH11"/>
    <mergeCell ref="BI11:BK11"/>
    <mergeCell ref="BL11:BM11"/>
    <mergeCell ref="BN11:BP11"/>
    <mergeCell ref="BQ11:BR11"/>
    <mergeCell ref="BS11:BV11"/>
    <mergeCell ref="B12:C12"/>
    <mergeCell ref="D12:F12"/>
    <mergeCell ref="G12:I12"/>
    <mergeCell ref="J12:K12"/>
    <mergeCell ref="M12:N12"/>
    <mergeCell ref="O12:Q12"/>
    <mergeCell ref="R12:T12"/>
    <mergeCell ref="U12:V12"/>
    <mergeCell ref="Y12:Z12"/>
    <mergeCell ref="AA12:AC12"/>
    <mergeCell ref="AD12:AE12"/>
    <mergeCell ref="AF12:AH12"/>
    <mergeCell ref="AI12:AJ12"/>
    <mergeCell ref="AK12:AN12"/>
    <mergeCell ref="AP12:AQ12"/>
    <mergeCell ref="AR12:AT12"/>
    <mergeCell ref="AU12:AV12"/>
    <mergeCell ref="AW12:AY12"/>
    <mergeCell ref="AZ12:BA12"/>
    <mergeCell ref="BB12:BE12"/>
    <mergeCell ref="BG12:BH12"/>
    <mergeCell ref="BI12:BK12"/>
    <mergeCell ref="BL12:BM12"/>
    <mergeCell ref="BN12:BP12"/>
    <mergeCell ref="BQ12:BR12"/>
    <mergeCell ref="BS12:BV12"/>
    <mergeCell ref="B13:C13"/>
    <mergeCell ref="D13:F13"/>
    <mergeCell ref="G13:I13"/>
    <mergeCell ref="J13:K13"/>
    <mergeCell ref="M13:N13"/>
    <mergeCell ref="O13:Q13"/>
    <mergeCell ref="R13:T13"/>
    <mergeCell ref="U13:V13"/>
    <mergeCell ref="Y13:Z13"/>
    <mergeCell ref="AA13:AC13"/>
    <mergeCell ref="AD13:AE13"/>
    <mergeCell ref="AF13:AH13"/>
    <mergeCell ref="AI13:AJ13"/>
    <mergeCell ref="AK13:AN13"/>
    <mergeCell ref="AP13:AQ13"/>
    <mergeCell ref="AR13:AT13"/>
    <mergeCell ref="AU13:AV13"/>
    <mergeCell ref="AW13:AY13"/>
    <mergeCell ref="AZ13:BA13"/>
    <mergeCell ref="BB13:BE13"/>
    <mergeCell ref="BG13:BH13"/>
    <mergeCell ref="BI13:BK13"/>
    <mergeCell ref="BL13:BM13"/>
    <mergeCell ref="BN13:BP13"/>
    <mergeCell ref="BQ13:BR13"/>
    <mergeCell ref="BS13:BV13"/>
    <mergeCell ref="B14:C14"/>
    <mergeCell ref="D14:F14"/>
    <mergeCell ref="G14:I14"/>
    <mergeCell ref="J14:K14"/>
    <mergeCell ref="M14:N14"/>
    <mergeCell ref="O14:Q14"/>
    <mergeCell ref="R14:T14"/>
    <mergeCell ref="U14:V14"/>
    <mergeCell ref="Y14:Z14"/>
    <mergeCell ref="AA14:AC14"/>
    <mergeCell ref="AD14:AE14"/>
    <mergeCell ref="AF14:AH14"/>
    <mergeCell ref="AI14:AJ14"/>
    <mergeCell ref="AK14:AN14"/>
    <mergeCell ref="AP14:AQ14"/>
    <mergeCell ref="AR14:AT14"/>
    <mergeCell ref="AU14:AV14"/>
    <mergeCell ref="AW14:AY14"/>
    <mergeCell ref="AZ14:BA14"/>
    <mergeCell ref="BB14:BE14"/>
    <mergeCell ref="BG14:BH14"/>
    <mergeCell ref="BI14:BK14"/>
    <mergeCell ref="BL14:BM14"/>
    <mergeCell ref="BN14:BP14"/>
    <mergeCell ref="BQ14:BR14"/>
    <mergeCell ref="BS14:BV14"/>
    <mergeCell ref="B15:C15"/>
    <mergeCell ref="D15:F15"/>
    <mergeCell ref="G15:I15"/>
    <mergeCell ref="J15:K15"/>
    <mergeCell ref="M15:N15"/>
    <mergeCell ref="O15:Q15"/>
    <mergeCell ref="R15:T15"/>
    <mergeCell ref="U15:V15"/>
    <mergeCell ref="Y15:Z15"/>
    <mergeCell ref="AA15:AC15"/>
    <mergeCell ref="AD15:AE15"/>
    <mergeCell ref="AF15:AH15"/>
    <mergeCell ref="AI15:AJ15"/>
    <mergeCell ref="AK15:AN15"/>
    <mergeCell ref="AP15:AQ15"/>
    <mergeCell ref="AR15:AT15"/>
    <mergeCell ref="AU15:AV15"/>
    <mergeCell ref="AW15:AY15"/>
    <mergeCell ref="AZ15:BA15"/>
    <mergeCell ref="BB15:BE15"/>
    <mergeCell ref="BG15:BH15"/>
    <mergeCell ref="BI15:BK15"/>
    <mergeCell ref="BL15:BM15"/>
    <mergeCell ref="BN15:BP15"/>
    <mergeCell ref="BQ15:BR15"/>
    <mergeCell ref="BS15:BV15"/>
    <mergeCell ref="B16:C16"/>
    <mergeCell ref="D16:F16"/>
    <mergeCell ref="G16:I16"/>
    <mergeCell ref="J16:K16"/>
    <mergeCell ref="M16:N16"/>
    <mergeCell ref="O16:Q16"/>
    <mergeCell ref="R16:T16"/>
    <mergeCell ref="U16:V16"/>
    <mergeCell ref="Y16:Z16"/>
    <mergeCell ref="AA16:AC16"/>
    <mergeCell ref="AD16:AE16"/>
    <mergeCell ref="AF16:AH16"/>
    <mergeCell ref="AI16:AJ16"/>
    <mergeCell ref="AK16:AN16"/>
    <mergeCell ref="AP16:AQ16"/>
    <mergeCell ref="AR16:AT16"/>
    <mergeCell ref="AU16:AV16"/>
    <mergeCell ref="AW16:AY16"/>
    <mergeCell ref="AZ16:BA16"/>
    <mergeCell ref="BB16:BE16"/>
    <mergeCell ref="BG16:BH16"/>
    <mergeCell ref="BI16:BK16"/>
    <mergeCell ref="BL16:BM16"/>
    <mergeCell ref="BN16:BP16"/>
    <mergeCell ref="BQ16:BR16"/>
    <mergeCell ref="BS16:BV16"/>
    <mergeCell ref="B17:C17"/>
    <mergeCell ref="D17:F17"/>
    <mergeCell ref="G17:I17"/>
    <mergeCell ref="J17:K17"/>
    <mergeCell ref="M17:N17"/>
    <mergeCell ref="O17:Q17"/>
    <mergeCell ref="R17:T17"/>
    <mergeCell ref="U17:V17"/>
    <mergeCell ref="Y17:Z17"/>
    <mergeCell ref="AA17:AC17"/>
    <mergeCell ref="AD17:AE17"/>
    <mergeCell ref="AF17:AH17"/>
    <mergeCell ref="AI17:AJ17"/>
    <mergeCell ref="AK17:AN17"/>
    <mergeCell ref="AP17:AQ17"/>
    <mergeCell ref="AR17:AT17"/>
    <mergeCell ref="AU17:AV17"/>
    <mergeCell ref="AW17:AY17"/>
    <mergeCell ref="AZ17:BA17"/>
    <mergeCell ref="BB17:BE17"/>
    <mergeCell ref="BG17:BH17"/>
    <mergeCell ref="BI17:BK17"/>
    <mergeCell ref="BL17:BM17"/>
    <mergeCell ref="BN17:BP17"/>
    <mergeCell ref="BQ17:BR17"/>
    <mergeCell ref="BS17:BV17"/>
    <mergeCell ref="B18:C18"/>
    <mergeCell ref="D18:F18"/>
    <mergeCell ref="G18:I18"/>
    <mergeCell ref="J18:K18"/>
    <mergeCell ref="M18:N18"/>
    <mergeCell ref="O18:Q18"/>
    <mergeCell ref="R18:T18"/>
    <mergeCell ref="U18:V18"/>
    <mergeCell ref="Y18:Z18"/>
    <mergeCell ref="AA18:AC18"/>
    <mergeCell ref="AD18:AE18"/>
    <mergeCell ref="AF18:AH18"/>
    <mergeCell ref="AI18:AJ18"/>
    <mergeCell ref="AK18:AN18"/>
    <mergeCell ref="AP18:AQ18"/>
    <mergeCell ref="AR18:AT18"/>
    <mergeCell ref="AU18:AV18"/>
    <mergeCell ref="AW18:AY18"/>
    <mergeCell ref="AZ18:BA18"/>
    <mergeCell ref="BB18:BE18"/>
    <mergeCell ref="BG18:BH18"/>
    <mergeCell ref="BI18:BK18"/>
    <mergeCell ref="BL18:BM18"/>
    <mergeCell ref="BN18:BP18"/>
    <mergeCell ref="BQ18:BR18"/>
    <mergeCell ref="BS18:BV18"/>
    <mergeCell ref="B19:C19"/>
    <mergeCell ref="D19:F19"/>
    <mergeCell ref="G19:I19"/>
    <mergeCell ref="J19:K19"/>
    <mergeCell ref="M19:N19"/>
    <mergeCell ref="O19:Q19"/>
    <mergeCell ref="R19:T19"/>
    <mergeCell ref="U19:V19"/>
    <mergeCell ref="Y19:Z19"/>
    <mergeCell ref="AA19:AC19"/>
    <mergeCell ref="AD19:AE19"/>
    <mergeCell ref="AF19:AH19"/>
    <mergeCell ref="AI19:AJ19"/>
    <mergeCell ref="AK19:AN19"/>
    <mergeCell ref="AP19:AQ19"/>
    <mergeCell ref="AR19:AT19"/>
    <mergeCell ref="AU19:AV19"/>
    <mergeCell ref="AW19:AY19"/>
    <mergeCell ref="AZ19:BA19"/>
    <mergeCell ref="BB19:BE19"/>
    <mergeCell ref="BG19:BH19"/>
    <mergeCell ref="BI19:BK19"/>
    <mergeCell ref="BL19:BM19"/>
    <mergeCell ref="BN19:BP19"/>
    <mergeCell ref="BQ19:BR19"/>
    <mergeCell ref="BS19:BV19"/>
    <mergeCell ref="B20:C20"/>
    <mergeCell ref="D20:F20"/>
    <mergeCell ref="G20:I20"/>
    <mergeCell ref="J20:K20"/>
    <mergeCell ref="M20:N20"/>
    <mergeCell ref="O20:Q20"/>
    <mergeCell ref="R20:T20"/>
    <mergeCell ref="U20:V20"/>
    <mergeCell ref="Y20:Z20"/>
    <mergeCell ref="AA20:AC20"/>
    <mergeCell ref="AD20:AE20"/>
    <mergeCell ref="AF20:AH20"/>
    <mergeCell ref="AI20:AJ20"/>
    <mergeCell ref="AK20:AN20"/>
    <mergeCell ref="AP20:AQ20"/>
    <mergeCell ref="AR20:AT20"/>
    <mergeCell ref="AU20:AV20"/>
    <mergeCell ref="AW20:AY20"/>
    <mergeCell ref="AZ20:BA20"/>
    <mergeCell ref="BB20:BE20"/>
    <mergeCell ref="BG20:BH20"/>
    <mergeCell ref="BI20:BK20"/>
    <mergeCell ref="BL20:BM20"/>
    <mergeCell ref="BN20:BP20"/>
    <mergeCell ref="BQ20:BR20"/>
    <mergeCell ref="BS20:BV20"/>
    <mergeCell ref="B21:C21"/>
    <mergeCell ref="D21:F21"/>
    <mergeCell ref="G21:I21"/>
    <mergeCell ref="J21:K21"/>
    <mergeCell ref="M21:N21"/>
    <mergeCell ref="O21:Q21"/>
    <mergeCell ref="R21:T21"/>
    <mergeCell ref="U21:V21"/>
    <mergeCell ref="Y21:Z21"/>
    <mergeCell ref="AA21:AC21"/>
    <mergeCell ref="AD21:AE21"/>
    <mergeCell ref="AF21:AH21"/>
    <mergeCell ref="AI21:AJ21"/>
    <mergeCell ref="AK21:AN21"/>
    <mergeCell ref="AP21:AQ21"/>
    <mergeCell ref="AR21:AT21"/>
    <mergeCell ref="AU21:AV21"/>
    <mergeCell ref="AW21:AY21"/>
    <mergeCell ref="AZ21:BA21"/>
    <mergeCell ref="BB21:BE21"/>
    <mergeCell ref="BG21:BH21"/>
    <mergeCell ref="BI21:BK21"/>
    <mergeCell ref="BL21:BM21"/>
    <mergeCell ref="BN21:BP21"/>
    <mergeCell ref="BQ21:BR21"/>
    <mergeCell ref="BS21:BV21"/>
    <mergeCell ref="B22:C22"/>
    <mergeCell ref="D22:F22"/>
    <mergeCell ref="G22:I22"/>
    <mergeCell ref="J22:K22"/>
    <mergeCell ref="M22:N22"/>
    <mergeCell ref="O22:Q22"/>
    <mergeCell ref="R22:T22"/>
    <mergeCell ref="U22:V22"/>
    <mergeCell ref="Y22:Z22"/>
    <mergeCell ref="AA22:AC22"/>
    <mergeCell ref="AD22:AE22"/>
    <mergeCell ref="AF22:AH22"/>
    <mergeCell ref="AI22:AJ22"/>
    <mergeCell ref="AK22:AN22"/>
    <mergeCell ref="AP22:AQ22"/>
    <mergeCell ref="AR22:AT22"/>
    <mergeCell ref="AU22:AV22"/>
    <mergeCell ref="AW22:AY22"/>
    <mergeCell ref="AZ22:BA22"/>
    <mergeCell ref="BB22:BE22"/>
    <mergeCell ref="BG22:BH22"/>
    <mergeCell ref="BI22:BK22"/>
    <mergeCell ref="BL22:BM22"/>
    <mergeCell ref="BN22:BP22"/>
    <mergeCell ref="BQ22:BR22"/>
    <mergeCell ref="BS22:BV22"/>
    <mergeCell ref="B23:C23"/>
    <mergeCell ref="D23:F23"/>
    <mergeCell ref="G23:I23"/>
    <mergeCell ref="J23:K23"/>
    <mergeCell ref="M23:N23"/>
    <mergeCell ref="O23:Q23"/>
    <mergeCell ref="R23:T23"/>
    <mergeCell ref="U23:V23"/>
    <mergeCell ref="Y23:Z23"/>
    <mergeCell ref="AA23:AC23"/>
    <mergeCell ref="AD23:AE23"/>
    <mergeCell ref="AF23:AH23"/>
    <mergeCell ref="AI23:AJ23"/>
    <mergeCell ref="AK23:AN23"/>
    <mergeCell ref="AP23:AQ23"/>
    <mergeCell ref="AR23:AT23"/>
    <mergeCell ref="AU23:AV23"/>
    <mergeCell ref="AW23:AY23"/>
    <mergeCell ref="AZ23:BA23"/>
    <mergeCell ref="BB23:BE23"/>
    <mergeCell ref="BG23:BH23"/>
    <mergeCell ref="BI23:BK23"/>
    <mergeCell ref="BL23:BM23"/>
    <mergeCell ref="BN23:BP23"/>
    <mergeCell ref="BQ23:BR23"/>
    <mergeCell ref="BS23:BV23"/>
    <mergeCell ref="B24:C24"/>
    <mergeCell ref="D24:F24"/>
    <mergeCell ref="G24:I24"/>
    <mergeCell ref="J24:K24"/>
    <mergeCell ref="M24:N24"/>
    <mergeCell ref="O24:Q24"/>
    <mergeCell ref="R24:T24"/>
    <mergeCell ref="U24:V24"/>
    <mergeCell ref="Y24:Z24"/>
    <mergeCell ref="AA24:AC24"/>
    <mergeCell ref="AD24:AE24"/>
    <mergeCell ref="AF24:AH24"/>
    <mergeCell ref="AI24:AJ24"/>
    <mergeCell ref="AK24:AN24"/>
    <mergeCell ref="AP24:AQ24"/>
    <mergeCell ref="AR24:AT24"/>
    <mergeCell ref="AU24:AV24"/>
    <mergeCell ref="AW24:AY24"/>
    <mergeCell ref="AZ24:BA24"/>
    <mergeCell ref="BB24:BE24"/>
    <mergeCell ref="BG24:BH24"/>
    <mergeCell ref="BI24:BK24"/>
    <mergeCell ref="BL24:BM24"/>
    <mergeCell ref="BN24:BP24"/>
    <mergeCell ref="BQ24:BR24"/>
    <mergeCell ref="BS24:BV24"/>
    <mergeCell ref="B25:C25"/>
    <mergeCell ref="D25:F25"/>
    <mergeCell ref="G25:I25"/>
    <mergeCell ref="J25:K25"/>
    <mergeCell ref="M25:N25"/>
    <mergeCell ref="O25:Q25"/>
    <mergeCell ref="R25:T25"/>
    <mergeCell ref="U25:V25"/>
    <mergeCell ref="Y25:Z25"/>
    <mergeCell ref="AA25:AC25"/>
    <mergeCell ref="AD25:AE25"/>
    <mergeCell ref="AF25:AH25"/>
    <mergeCell ref="AI25:AJ25"/>
    <mergeCell ref="AK25:AN25"/>
    <mergeCell ref="AP25:AQ25"/>
    <mergeCell ref="AR25:AT25"/>
    <mergeCell ref="AU25:AV25"/>
    <mergeCell ref="AW25:AY25"/>
    <mergeCell ref="AZ25:BA25"/>
    <mergeCell ref="BB25:BE25"/>
    <mergeCell ref="BG25:BH25"/>
    <mergeCell ref="BI25:BK25"/>
    <mergeCell ref="BL25:BM25"/>
    <mergeCell ref="BN25:BP25"/>
    <mergeCell ref="BQ25:BR25"/>
    <mergeCell ref="BS25:BV25"/>
    <mergeCell ref="B26:C26"/>
    <mergeCell ref="D26:F26"/>
    <mergeCell ref="G26:I26"/>
    <mergeCell ref="J26:K26"/>
    <mergeCell ref="M26:N26"/>
    <mergeCell ref="O26:Q26"/>
    <mergeCell ref="R26:T26"/>
    <mergeCell ref="U26:V26"/>
    <mergeCell ref="Y26:Z26"/>
    <mergeCell ref="AA26:AC26"/>
    <mergeCell ref="AD26:AE26"/>
    <mergeCell ref="AF26:AH26"/>
    <mergeCell ref="AI26:AJ26"/>
    <mergeCell ref="AK26:AN26"/>
    <mergeCell ref="AP26:AQ26"/>
    <mergeCell ref="AR26:AT26"/>
    <mergeCell ref="AU26:AV26"/>
    <mergeCell ref="AW26:AY26"/>
    <mergeCell ref="AZ26:BA26"/>
    <mergeCell ref="BB26:BE26"/>
    <mergeCell ref="BG26:BH26"/>
    <mergeCell ref="BI26:BK26"/>
    <mergeCell ref="BL26:BM26"/>
    <mergeCell ref="BN26:BP26"/>
    <mergeCell ref="BQ26:BR26"/>
    <mergeCell ref="BS26:BV26"/>
    <mergeCell ref="B27:C27"/>
    <mergeCell ref="D27:F27"/>
    <mergeCell ref="G27:I27"/>
    <mergeCell ref="J27:K27"/>
    <mergeCell ref="M27:N27"/>
    <mergeCell ref="O27:Q27"/>
    <mergeCell ref="R27:T27"/>
    <mergeCell ref="U27:V27"/>
    <mergeCell ref="Y27:Z27"/>
    <mergeCell ref="AA27:AC27"/>
    <mergeCell ref="AD27:AE27"/>
    <mergeCell ref="AF27:AH27"/>
    <mergeCell ref="AI27:AJ27"/>
    <mergeCell ref="AK27:AN27"/>
    <mergeCell ref="AP27:AQ27"/>
    <mergeCell ref="AR27:AT27"/>
    <mergeCell ref="AU27:AV27"/>
    <mergeCell ref="AW27:AY27"/>
    <mergeCell ref="AZ27:BA27"/>
    <mergeCell ref="BB27:BE27"/>
    <mergeCell ref="BG27:BH27"/>
    <mergeCell ref="BI27:BK27"/>
    <mergeCell ref="BL27:BM27"/>
    <mergeCell ref="BN27:BP27"/>
    <mergeCell ref="BQ27:BR27"/>
    <mergeCell ref="BS27:BV27"/>
    <mergeCell ref="B28:C28"/>
    <mergeCell ref="D28:F28"/>
    <mergeCell ref="G28:I28"/>
    <mergeCell ref="J28:K28"/>
    <mergeCell ref="M28:N28"/>
    <mergeCell ref="O28:Q28"/>
    <mergeCell ref="R28:T28"/>
    <mergeCell ref="U28:V28"/>
    <mergeCell ref="Y28:Z28"/>
    <mergeCell ref="AA28:AC28"/>
    <mergeCell ref="AD28:AE28"/>
    <mergeCell ref="AF28:AH28"/>
    <mergeCell ref="AI28:AJ28"/>
    <mergeCell ref="AK28:AN28"/>
    <mergeCell ref="AP28:AQ28"/>
    <mergeCell ref="AR28:AT28"/>
    <mergeCell ref="AU28:AV28"/>
    <mergeCell ref="AW28:AY28"/>
    <mergeCell ref="AZ28:BA28"/>
    <mergeCell ref="BB28:BE28"/>
    <mergeCell ref="BG28:BH28"/>
    <mergeCell ref="BI28:BK28"/>
    <mergeCell ref="BL28:BM28"/>
    <mergeCell ref="BN28:BP28"/>
    <mergeCell ref="BQ28:BR28"/>
    <mergeCell ref="BS28:BV28"/>
    <mergeCell ref="B29:C29"/>
    <mergeCell ref="D29:F29"/>
    <mergeCell ref="G29:I29"/>
    <mergeCell ref="J29:K29"/>
    <mergeCell ref="M29:N29"/>
    <mergeCell ref="O29:Q29"/>
    <mergeCell ref="R29:T29"/>
    <mergeCell ref="U29:V29"/>
    <mergeCell ref="Y29:Z29"/>
    <mergeCell ref="AA29:AC29"/>
    <mergeCell ref="AD29:AE29"/>
    <mergeCell ref="AF29:AH29"/>
    <mergeCell ref="AI29:AJ29"/>
    <mergeCell ref="AK29:AN29"/>
    <mergeCell ref="AP29:AQ29"/>
    <mergeCell ref="AR29:AT29"/>
    <mergeCell ref="AU29:AV29"/>
    <mergeCell ref="AW29:AY29"/>
    <mergeCell ref="AZ29:BA29"/>
    <mergeCell ref="BB29:BE29"/>
    <mergeCell ref="BG29:BH29"/>
    <mergeCell ref="BI29:BK29"/>
    <mergeCell ref="BL29:BM29"/>
    <mergeCell ref="BN29:BP29"/>
    <mergeCell ref="BQ29:BR29"/>
    <mergeCell ref="BS29:BV29"/>
    <mergeCell ref="B30:C30"/>
    <mergeCell ref="D30:F30"/>
    <mergeCell ref="G30:I30"/>
    <mergeCell ref="J30:K30"/>
    <mergeCell ref="M30:N30"/>
    <mergeCell ref="O30:Q30"/>
    <mergeCell ref="R30:T30"/>
    <mergeCell ref="U30:V30"/>
    <mergeCell ref="Y30:Z30"/>
    <mergeCell ref="AA30:AC30"/>
    <mergeCell ref="AD30:AE30"/>
    <mergeCell ref="AF30:AH30"/>
    <mergeCell ref="AI30:AJ30"/>
    <mergeCell ref="AK30:AN30"/>
    <mergeCell ref="AP30:AQ30"/>
    <mergeCell ref="AR30:AT30"/>
    <mergeCell ref="AU30:AV30"/>
    <mergeCell ref="AW30:AY30"/>
    <mergeCell ref="AZ30:BA30"/>
    <mergeCell ref="BB30:BE30"/>
    <mergeCell ref="BG30:BH30"/>
    <mergeCell ref="BI30:BK30"/>
    <mergeCell ref="BL30:BM30"/>
    <mergeCell ref="BN30:BP30"/>
    <mergeCell ref="BQ30:BR30"/>
    <mergeCell ref="BS30:BV30"/>
    <mergeCell ref="B31:C31"/>
    <mergeCell ref="D31:F31"/>
    <mergeCell ref="G31:I31"/>
    <mergeCell ref="J31:K31"/>
    <mergeCell ref="M31:N31"/>
    <mergeCell ref="O31:Q31"/>
    <mergeCell ref="R31:T31"/>
    <mergeCell ref="U31:V31"/>
    <mergeCell ref="Y31:Z31"/>
    <mergeCell ref="AA31:AC31"/>
    <mergeCell ref="AD31:AE31"/>
    <mergeCell ref="AF31:AH31"/>
    <mergeCell ref="AI31:AJ31"/>
    <mergeCell ref="AK31:AN31"/>
    <mergeCell ref="AP31:AQ31"/>
    <mergeCell ref="AR31:AT31"/>
    <mergeCell ref="AU31:AV31"/>
    <mergeCell ref="AW31:AY31"/>
    <mergeCell ref="AZ31:BA31"/>
    <mergeCell ref="BB31:BE31"/>
    <mergeCell ref="BG31:BH31"/>
    <mergeCell ref="BI31:BK31"/>
    <mergeCell ref="BL31:BM31"/>
    <mergeCell ref="BN31:BP31"/>
    <mergeCell ref="BQ31:BR31"/>
    <mergeCell ref="BS31:BV31"/>
    <mergeCell ref="B32:C32"/>
    <mergeCell ref="D32:F32"/>
    <mergeCell ref="G32:I32"/>
    <mergeCell ref="J32:K32"/>
    <mergeCell ref="M32:N32"/>
    <mergeCell ref="O32:Q32"/>
    <mergeCell ref="R32:T32"/>
    <mergeCell ref="U32:V32"/>
    <mergeCell ref="Y32:Z32"/>
    <mergeCell ref="AA32:AC32"/>
    <mergeCell ref="AD32:AE32"/>
    <mergeCell ref="AF32:AH32"/>
    <mergeCell ref="AI32:AJ32"/>
    <mergeCell ref="AK32:AN32"/>
    <mergeCell ref="AP32:AQ32"/>
    <mergeCell ref="AR32:AT32"/>
    <mergeCell ref="AU32:AV32"/>
    <mergeCell ref="AW32:AY32"/>
    <mergeCell ref="AZ32:BA32"/>
    <mergeCell ref="BB32:BE32"/>
    <mergeCell ref="BG32:BH32"/>
    <mergeCell ref="BI32:BK32"/>
    <mergeCell ref="BL32:BM32"/>
    <mergeCell ref="BN32:BP32"/>
    <mergeCell ref="BQ32:BR32"/>
    <mergeCell ref="BS32:BV32"/>
    <mergeCell ref="B33:C33"/>
    <mergeCell ref="D33:F33"/>
    <mergeCell ref="G33:I33"/>
    <mergeCell ref="J33:K33"/>
    <mergeCell ref="M33:N33"/>
    <mergeCell ref="O33:Q33"/>
    <mergeCell ref="R33:T33"/>
    <mergeCell ref="U33:V33"/>
    <mergeCell ref="Y33:Z33"/>
    <mergeCell ref="AA33:AC33"/>
    <mergeCell ref="AD33:AE33"/>
    <mergeCell ref="AF33:AH33"/>
    <mergeCell ref="AI33:AJ33"/>
    <mergeCell ref="AK33:AN33"/>
    <mergeCell ref="AP33:AQ33"/>
    <mergeCell ref="AR33:AT33"/>
    <mergeCell ref="AU33:AV33"/>
    <mergeCell ref="AW33:AY33"/>
    <mergeCell ref="AZ33:BA33"/>
    <mergeCell ref="BB33:BE33"/>
    <mergeCell ref="BG33:BH33"/>
    <mergeCell ref="BI33:BK33"/>
    <mergeCell ref="BL33:BM33"/>
    <mergeCell ref="BN33:BP33"/>
    <mergeCell ref="BQ33:BR33"/>
    <mergeCell ref="BS33:BV33"/>
    <mergeCell ref="B34:C34"/>
    <mergeCell ref="D34:F34"/>
    <mergeCell ref="G34:I34"/>
    <mergeCell ref="J34:K34"/>
    <mergeCell ref="M34:N34"/>
    <mergeCell ref="O34:Q34"/>
    <mergeCell ref="R34:T34"/>
    <mergeCell ref="U34:V34"/>
    <mergeCell ref="Y34:Z34"/>
    <mergeCell ref="AA34:AC34"/>
    <mergeCell ref="AD34:AE34"/>
    <mergeCell ref="AF34:AH34"/>
    <mergeCell ref="AI34:AJ34"/>
    <mergeCell ref="AK34:AN34"/>
    <mergeCell ref="AP34:AQ34"/>
    <mergeCell ref="AR34:AT34"/>
    <mergeCell ref="AU34:AV34"/>
    <mergeCell ref="AW34:AY34"/>
    <mergeCell ref="AZ34:BA34"/>
    <mergeCell ref="BB34:BE34"/>
    <mergeCell ref="BG34:BH34"/>
    <mergeCell ref="BI34:BK34"/>
    <mergeCell ref="BL34:BM34"/>
    <mergeCell ref="BN34:BP34"/>
    <mergeCell ref="BQ34:BR34"/>
    <mergeCell ref="BS34:BV34"/>
    <mergeCell ref="B35:C35"/>
    <mergeCell ref="D35:F35"/>
    <mergeCell ref="G35:I35"/>
    <mergeCell ref="J35:K35"/>
    <mergeCell ref="M35:N35"/>
    <mergeCell ref="O35:Q35"/>
    <mergeCell ref="R35:T35"/>
    <mergeCell ref="U35:V35"/>
    <mergeCell ref="Y35:Z35"/>
    <mergeCell ref="AA35:AC35"/>
    <mergeCell ref="AD35:AE35"/>
    <mergeCell ref="AF35:AH35"/>
    <mergeCell ref="AI35:AJ35"/>
    <mergeCell ref="AK35:AN35"/>
    <mergeCell ref="AP35:AQ35"/>
    <mergeCell ref="AR35:AT35"/>
    <mergeCell ref="AU35:AV35"/>
    <mergeCell ref="AW35:AY35"/>
    <mergeCell ref="AZ35:BA35"/>
    <mergeCell ref="BB35:BE35"/>
    <mergeCell ref="BG35:BH35"/>
    <mergeCell ref="BI35:BK35"/>
    <mergeCell ref="BL35:BM35"/>
    <mergeCell ref="BN35:BP35"/>
    <mergeCell ref="BQ35:BR35"/>
    <mergeCell ref="BS35:BV35"/>
    <mergeCell ref="B36:C36"/>
    <mergeCell ref="D36:F36"/>
    <mergeCell ref="G36:I36"/>
    <mergeCell ref="J36:K36"/>
    <mergeCell ref="M36:N36"/>
    <mergeCell ref="O36:Q36"/>
    <mergeCell ref="R36:T36"/>
    <mergeCell ref="U36:V36"/>
    <mergeCell ref="Y36:Z36"/>
    <mergeCell ref="AA36:AC36"/>
    <mergeCell ref="AD36:AE36"/>
    <mergeCell ref="AF36:AH36"/>
    <mergeCell ref="AI36:AJ36"/>
    <mergeCell ref="AK36:AN36"/>
    <mergeCell ref="AP36:AQ36"/>
    <mergeCell ref="AR36:AT36"/>
    <mergeCell ref="AU36:AV36"/>
    <mergeCell ref="AW36:AY36"/>
    <mergeCell ref="AZ36:BA36"/>
    <mergeCell ref="BB36:BE36"/>
    <mergeCell ref="BG36:BH36"/>
    <mergeCell ref="BI36:BK36"/>
    <mergeCell ref="BL36:BM36"/>
    <mergeCell ref="BN36:BP36"/>
    <mergeCell ref="BQ36:BR36"/>
    <mergeCell ref="BS36:BV36"/>
    <mergeCell ref="B37:C37"/>
    <mergeCell ref="D37:F37"/>
    <mergeCell ref="G37:I37"/>
    <mergeCell ref="J37:K37"/>
    <mergeCell ref="M37:N37"/>
    <mergeCell ref="O37:Q37"/>
    <mergeCell ref="R37:T37"/>
    <mergeCell ref="U37:V37"/>
    <mergeCell ref="Y37:Z37"/>
    <mergeCell ref="AA37:AC37"/>
    <mergeCell ref="AD37:AE37"/>
    <mergeCell ref="AF37:AH37"/>
    <mergeCell ref="AI37:AJ37"/>
    <mergeCell ref="AK37:AN37"/>
    <mergeCell ref="AP37:AQ37"/>
    <mergeCell ref="AR37:AT37"/>
    <mergeCell ref="AU37:AV37"/>
    <mergeCell ref="AW37:AY37"/>
    <mergeCell ref="AZ37:BA37"/>
    <mergeCell ref="BB37:BE37"/>
    <mergeCell ref="BG37:BH37"/>
    <mergeCell ref="BI37:BK37"/>
    <mergeCell ref="BL37:BM37"/>
    <mergeCell ref="BN37:BP37"/>
    <mergeCell ref="BQ37:BR37"/>
    <mergeCell ref="BS37:BV37"/>
    <mergeCell ref="B38:C38"/>
    <mergeCell ref="D38:F38"/>
    <mergeCell ref="G38:I38"/>
    <mergeCell ref="J38:K38"/>
    <mergeCell ref="M38:N38"/>
    <mergeCell ref="O38:Q38"/>
    <mergeCell ref="R38:T38"/>
    <mergeCell ref="U38:V38"/>
    <mergeCell ref="Y38:Z38"/>
    <mergeCell ref="AA38:AC38"/>
    <mergeCell ref="AD38:AE38"/>
    <mergeCell ref="AF38:AH38"/>
    <mergeCell ref="AI38:AJ38"/>
    <mergeCell ref="AK38:AN38"/>
    <mergeCell ref="AP38:AQ38"/>
    <mergeCell ref="AR38:AT38"/>
    <mergeCell ref="AU38:AV38"/>
    <mergeCell ref="AW38:AY38"/>
    <mergeCell ref="AZ38:BA38"/>
    <mergeCell ref="BB38:BE38"/>
    <mergeCell ref="BG38:BH38"/>
    <mergeCell ref="BI38:BK38"/>
    <mergeCell ref="BL38:BM38"/>
    <mergeCell ref="BN38:BP38"/>
    <mergeCell ref="BQ38:BR38"/>
    <mergeCell ref="BS38:BV38"/>
    <mergeCell ref="B39:C39"/>
    <mergeCell ref="D39:F39"/>
    <mergeCell ref="G39:I39"/>
    <mergeCell ref="J39:K39"/>
    <mergeCell ref="M39:N39"/>
    <mergeCell ref="O39:Q39"/>
    <mergeCell ref="R39:T39"/>
    <mergeCell ref="U39:V39"/>
    <mergeCell ref="Y39:Z39"/>
    <mergeCell ref="AA39:AC39"/>
    <mergeCell ref="AD39:AE39"/>
    <mergeCell ref="AF39:AH39"/>
    <mergeCell ref="AI39:AJ39"/>
    <mergeCell ref="AK39:AN39"/>
    <mergeCell ref="AP39:AQ39"/>
    <mergeCell ref="AR39:AT39"/>
    <mergeCell ref="AU39:AV39"/>
    <mergeCell ref="AW39:AY39"/>
    <mergeCell ref="AZ39:BA39"/>
    <mergeCell ref="BB39:BE39"/>
    <mergeCell ref="BG39:BH39"/>
    <mergeCell ref="BI39:BK39"/>
    <mergeCell ref="BL39:BM39"/>
    <mergeCell ref="BN39:BP39"/>
    <mergeCell ref="BQ39:BR39"/>
    <mergeCell ref="BS39:BV39"/>
    <mergeCell ref="B40:C40"/>
    <mergeCell ref="D40:F40"/>
    <mergeCell ref="G40:I40"/>
    <mergeCell ref="J40:K40"/>
    <mergeCell ref="M40:N40"/>
    <mergeCell ref="O40:Q40"/>
    <mergeCell ref="R40:T40"/>
    <mergeCell ref="U40:V40"/>
    <mergeCell ref="Y40:Z40"/>
    <mergeCell ref="AA40:AC40"/>
    <mergeCell ref="AD40:AE40"/>
    <mergeCell ref="AF40:AH40"/>
    <mergeCell ref="AI40:AJ40"/>
    <mergeCell ref="AK40:AN40"/>
    <mergeCell ref="AP40:AQ40"/>
    <mergeCell ref="AR40:AT40"/>
    <mergeCell ref="AU40:AV40"/>
    <mergeCell ref="AW40:AY40"/>
    <mergeCell ref="AZ40:BA40"/>
    <mergeCell ref="BB40:BE40"/>
    <mergeCell ref="BG40:BH40"/>
    <mergeCell ref="BI40:BK40"/>
    <mergeCell ref="BL40:BM40"/>
    <mergeCell ref="BN40:BP40"/>
    <mergeCell ref="BQ40:BR40"/>
    <mergeCell ref="BS40:BV40"/>
    <mergeCell ref="B41:C41"/>
    <mergeCell ref="D41:F41"/>
    <mergeCell ref="G41:I41"/>
    <mergeCell ref="J41:K41"/>
    <mergeCell ref="M41:N41"/>
    <mergeCell ref="O41:Q41"/>
    <mergeCell ref="R41:T41"/>
    <mergeCell ref="U41:V41"/>
    <mergeCell ref="Y41:Z41"/>
    <mergeCell ref="AA41:AC41"/>
    <mergeCell ref="AD41:AE41"/>
    <mergeCell ref="AF41:AH41"/>
    <mergeCell ref="AI41:AJ41"/>
    <mergeCell ref="AK41:AN41"/>
    <mergeCell ref="AP41:AQ41"/>
    <mergeCell ref="AR41:AT41"/>
    <mergeCell ref="AU41:AV41"/>
    <mergeCell ref="AW41:AY41"/>
    <mergeCell ref="AZ41:BA41"/>
    <mergeCell ref="BB41:BE41"/>
    <mergeCell ref="BG41:BH41"/>
    <mergeCell ref="BI41:BK41"/>
    <mergeCell ref="BL41:BM41"/>
    <mergeCell ref="BN41:BP41"/>
    <mergeCell ref="BQ41:BR41"/>
    <mergeCell ref="BS41:BV41"/>
    <mergeCell ref="B42:C42"/>
    <mergeCell ref="D42:F42"/>
    <mergeCell ref="G42:I42"/>
    <mergeCell ref="J42:K42"/>
    <mergeCell ref="M42:N42"/>
    <mergeCell ref="O42:Q42"/>
    <mergeCell ref="R42:T42"/>
    <mergeCell ref="U42:V42"/>
    <mergeCell ref="Y42:Z42"/>
    <mergeCell ref="AA42:AC42"/>
    <mergeCell ref="AD42:AE42"/>
    <mergeCell ref="AF42:AH42"/>
    <mergeCell ref="AI42:AJ42"/>
    <mergeCell ref="AK42:AN42"/>
    <mergeCell ref="AP42:AQ42"/>
    <mergeCell ref="AR42:AT42"/>
    <mergeCell ref="AU42:AV42"/>
    <mergeCell ref="AW42:AY42"/>
    <mergeCell ref="AZ42:BA42"/>
    <mergeCell ref="BB42:BE42"/>
    <mergeCell ref="BG42:BH42"/>
    <mergeCell ref="BI42:BK42"/>
    <mergeCell ref="BL42:BM42"/>
    <mergeCell ref="BN42:BP42"/>
    <mergeCell ref="BQ42:BR42"/>
    <mergeCell ref="BS42:BV42"/>
    <mergeCell ref="B43:C43"/>
    <mergeCell ref="D43:F43"/>
    <mergeCell ref="G43:I43"/>
    <mergeCell ref="J43:K43"/>
    <mergeCell ref="M43:N43"/>
    <mergeCell ref="O43:Q43"/>
    <mergeCell ref="R43:T43"/>
    <mergeCell ref="U43:V43"/>
    <mergeCell ref="Y43:Z43"/>
    <mergeCell ref="AA43:AC43"/>
    <mergeCell ref="AD43:AE43"/>
    <mergeCell ref="AF43:AH43"/>
    <mergeCell ref="AI43:AJ43"/>
    <mergeCell ref="AK43:AN43"/>
    <mergeCell ref="AP43:AQ43"/>
    <mergeCell ref="AR43:AT43"/>
    <mergeCell ref="AU43:AV43"/>
    <mergeCell ref="AW43:AY43"/>
    <mergeCell ref="AZ43:BA43"/>
    <mergeCell ref="BB43:BE43"/>
    <mergeCell ref="BG43:BH43"/>
    <mergeCell ref="BI43:BK43"/>
    <mergeCell ref="BL43:BM43"/>
    <mergeCell ref="BN43:BP43"/>
    <mergeCell ref="BQ43:BR43"/>
    <mergeCell ref="BS43:BV43"/>
    <mergeCell ref="B44:C44"/>
    <mergeCell ref="D44:F44"/>
    <mergeCell ref="G44:I44"/>
    <mergeCell ref="J44:K44"/>
    <mergeCell ref="M44:N44"/>
    <mergeCell ref="O44:Q44"/>
    <mergeCell ref="R44:T44"/>
    <mergeCell ref="U44:V44"/>
    <mergeCell ref="Y44:Z44"/>
    <mergeCell ref="AA44:AC44"/>
    <mergeCell ref="AD44:AE44"/>
    <mergeCell ref="AF44:AH44"/>
    <mergeCell ref="AI44:AJ44"/>
    <mergeCell ref="AK44:AN44"/>
    <mergeCell ref="AP44:AQ44"/>
    <mergeCell ref="AR44:AT44"/>
    <mergeCell ref="AU44:AV44"/>
    <mergeCell ref="AW44:AY44"/>
    <mergeCell ref="AZ44:BA44"/>
    <mergeCell ref="BB44:BE44"/>
    <mergeCell ref="BG44:BH44"/>
    <mergeCell ref="BI44:BK44"/>
    <mergeCell ref="BL44:BM44"/>
    <mergeCell ref="BN44:BP44"/>
    <mergeCell ref="BQ44:BR44"/>
    <mergeCell ref="BS44:BV44"/>
    <mergeCell ref="B45:C45"/>
    <mergeCell ref="D45:F45"/>
    <mergeCell ref="G45:I45"/>
    <mergeCell ref="J45:K45"/>
    <mergeCell ref="M45:N45"/>
    <mergeCell ref="O45:Q45"/>
    <mergeCell ref="R45:T45"/>
    <mergeCell ref="U45:V45"/>
    <mergeCell ref="Y45:Z45"/>
    <mergeCell ref="AA45:AC45"/>
    <mergeCell ref="AD45:AE45"/>
    <mergeCell ref="AF45:AH45"/>
    <mergeCell ref="AI45:AJ45"/>
    <mergeCell ref="AK45:AN45"/>
    <mergeCell ref="AP45:AQ45"/>
    <mergeCell ref="AR45:AT45"/>
    <mergeCell ref="AU45:AV45"/>
    <mergeCell ref="AW45:AY45"/>
    <mergeCell ref="AZ45:BA45"/>
    <mergeCell ref="BB45:BE45"/>
    <mergeCell ref="BG45:BH45"/>
    <mergeCell ref="BI45:BK45"/>
    <mergeCell ref="BL45:BM45"/>
    <mergeCell ref="BN45:BP45"/>
    <mergeCell ref="BQ45:BR45"/>
    <mergeCell ref="BS45:BV45"/>
    <mergeCell ref="B46:C46"/>
    <mergeCell ref="D46:F46"/>
    <mergeCell ref="G46:I46"/>
    <mergeCell ref="J46:K46"/>
    <mergeCell ref="M46:N46"/>
    <mergeCell ref="O46:Q46"/>
    <mergeCell ref="R46:T46"/>
    <mergeCell ref="U46:V46"/>
    <mergeCell ref="Y46:Z46"/>
    <mergeCell ref="AA46:AC46"/>
    <mergeCell ref="AD46:AE46"/>
    <mergeCell ref="AF46:AH46"/>
    <mergeCell ref="AI46:AJ46"/>
    <mergeCell ref="AK46:AN46"/>
    <mergeCell ref="AP46:AQ46"/>
    <mergeCell ref="AR46:AT46"/>
    <mergeCell ref="AU46:AV46"/>
    <mergeCell ref="AW46:AY46"/>
    <mergeCell ref="AZ46:BA46"/>
    <mergeCell ref="BB46:BE46"/>
    <mergeCell ref="BG46:BH46"/>
    <mergeCell ref="BI46:BK46"/>
    <mergeCell ref="BL46:BM46"/>
    <mergeCell ref="BN46:BP46"/>
    <mergeCell ref="BQ46:BR46"/>
    <mergeCell ref="BS46:BV46"/>
    <mergeCell ref="B47:C47"/>
    <mergeCell ref="D47:F47"/>
    <mergeCell ref="G47:I47"/>
    <mergeCell ref="J47:K47"/>
    <mergeCell ref="M47:N47"/>
    <mergeCell ref="O47:Q47"/>
    <mergeCell ref="R47:T47"/>
    <mergeCell ref="U47:V47"/>
    <mergeCell ref="Y47:Z47"/>
    <mergeCell ref="AA47:AC47"/>
    <mergeCell ref="AD47:AE47"/>
    <mergeCell ref="AF47:AH47"/>
    <mergeCell ref="AI47:AJ47"/>
    <mergeCell ref="AK47:AN47"/>
    <mergeCell ref="AP47:AQ47"/>
    <mergeCell ref="AR47:AT47"/>
    <mergeCell ref="AU47:AV47"/>
    <mergeCell ref="AW47:AY47"/>
    <mergeCell ref="AZ47:BA47"/>
    <mergeCell ref="BB47:BE47"/>
    <mergeCell ref="BG47:BH47"/>
    <mergeCell ref="BI47:BK47"/>
    <mergeCell ref="BL47:BM47"/>
    <mergeCell ref="BN47:BP47"/>
    <mergeCell ref="BQ47:BR47"/>
    <mergeCell ref="BS47:BV47"/>
    <mergeCell ref="B48:C48"/>
    <mergeCell ref="D48:F48"/>
    <mergeCell ref="G48:I48"/>
    <mergeCell ref="J48:K48"/>
    <mergeCell ref="M48:N48"/>
    <mergeCell ref="O48:Q48"/>
    <mergeCell ref="R48:T48"/>
    <mergeCell ref="U48:V48"/>
    <mergeCell ref="Y48:Z48"/>
    <mergeCell ref="AA48:AC48"/>
    <mergeCell ref="AD48:AE48"/>
    <mergeCell ref="AF48:AH48"/>
    <mergeCell ref="AI48:AJ48"/>
    <mergeCell ref="AK48:AN48"/>
    <mergeCell ref="AP48:AQ48"/>
    <mergeCell ref="AR48:AT48"/>
    <mergeCell ref="AU48:AV48"/>
    <mergeCell ref="AW48:AY48"/>
    <mergeCell ref="AZ48:BA48"/>
    <mergeCell ref="BB48:BE48"/>
    <mergeCell ref="BG48:BH48"/>
    <mergeCell ref="BI48:BK48"/>
    <mergeCell ref="BL48:BM48"/>
    <mergeCell ref="BN48:BP48"/>
    <mergeCell ref="BQ48:BR48"/>
    <mergeCell ref="BS48:BV48"/>
    <mergeCell ref="B49:C49"/>
    <mergeCell ref="D49:F49"/>
    <mergeCell ref="G49:I49"/>
    <mergeCell ref="J49:K49"/>
    <mergeCell ref="M49:N49"/>
    <mergeCell ref="O49:Q49"/>
    <mergeCell ref="R49:T49"/>
    <mergeCell ref="U49:V49"/>
    <mergeCell ref="Y49:Z49"/>
    <mergeCell ref="AA49:AC49"/>
    <mergeCell ref="AD49:AE49"/>
    <mergeCell ref="AF49:AH49"/>
    <mergeCell ref="AI49:AJ49"/>
    <mergeCell ref="AK49:AN49"/>
    <mergeCell ref="AP49:AQ49"/>
    <mergeCell ref="AR49:AT49"/>
    <mergeCell ref="AU49:AV49"/>
    <mergeCell ref="AW49:AY49"/>
    <mergeCell ref="AZ49:BA49"/>
    <mergeCell ref="BB49:BE49"/>
    <mergeCell ref="BG49:BH49"/>
    <mergeCell ref="BI49:BK49"/>
    <mergeCell ref="BL49:BM49"/>
    <mergeCell ref="BN49:BP49"/>
    <mergeCell ref="BQ49:BR49"/>
    <mergeCell ref="BS49:BV49"/>
    <mergeCell ref="B50:C50"/>
    <mergeCell ref="D50:F50"/>
    <mergeCell ref="G50:I50"/>
    <mergeCell ref="J50:K50"/>
    <mergeCell ref="M50:N50"/>
    <mergeCell ref="O50:Q50"/>
    <mergeCell ref="R50:T50"/>
    <mergeCell ref="U50:V50"/>
    <mergeCell ref="Y50:Z50"/>
    <mergeCell ref="AA50:AC50"/>
    <mergeCell ref="AD50:AE50"/>
    <mergeCell ref="AF50:AH50"/>
    <mergeCell ref="AI50:AJ50"/>
    <mergeCell ref="AK50:AN50"/>
    <mergeCell ref="AP50:AQ50"/>
    <mergeCell ref="AR50:AT50"/>
    <mergeCell ref="AU50:AV50"/>
    <mergeCell ref="AW50:AY50"/>
    <mergeCell ref="AZ50:BA50"/>
    <mergeCell ref="BB50:BE50"/>
    <mergeCell ref="BG50:BH50"/>
    <mergeCell ref="BI50:BK50"/>
    <mergeCell ref="BL50:BM50"/>
    <mergeCell ref="BN50:BP50"/>
    <mergeCell ref="BQ50:BR50"/>
    <mergeCell ref="BS50:BV50"/>
    <mergeCell ref="Y51:Z51"/>
    <mergeCell ref="AA51:AC51"/>
    <mergeCell ref="AD51:AE51"/>
    <mergeCell ref="AF51:AH51"/>
    <mergeCell ref="AI51:AJ51"/>
    <mergeCell ref="AK51:AN51"/>
    <mergeCell ref="AP51:AQ51"/>
    <mergeCell ref="AR51:AT51"/>
    <mergeCell ref="AU51:AV51"/>
    <mergeCell ref="AW51:AY51"/>
    <mergeCell ref="AZ51:BA51"/>
    <mergeCell ref="BB51:BE51"/>
    <mergeCell ref="BG51:BH51"/>
    <mergeCell ref="BI51:BK51"/>
    <mergeCell ref="BL51:BM51"/>
    <mergeCell ref="BN51:BP51"/>
    <mergeCell ref="BQ51:BR51"/>
    <mergeCell ref="BS51:BV51"/>
    <mergeCell ref="Y52:Z52"/>
    <mergeCell ref="AA52:AC52"/>
    <mergeCell ref="AD52:AE52"/>
    <mergeCell ref="AF52:AH52"/>
    <mergeCell ref="AI52:AJ52"/>
    <mergeCell ref="AK52:AN52"/>
    <mergeCell ref="AP52:AQ52"/>
    <mergeCell ref="AR52:AT52"/>
    <mergeCell ref="AU52:AV52"/>
    <mergeCell ref="AW52:AY52"/>
    <mergeCell ref="AZ52:BA52"/>
    <mergeCell ref="BB52:BE52"/>
    <mergeCell ref="BG52:BH52"/>
    <mergeCell ref="BI52:BK52"/>
    <mergeCell ref="BL52:BM52"/>
    <mergeCell ref="BN52:BP52"/>
    <mergeCell ref="BQ52:BR52"/>
    <mergeCell ref="BS52:BV52"/>
    <mergeCell ref="Y53:Z53"/>
    <mergeCell ref="AA53:AC53"/>
    <mergeCell ref="AD53:AE53"/>
    <mergeCell ref="AF53:AH53"/>
    <mergeCell ref="AI53:AJ53"/>
    <mergeCell ref="AK53:AN53"/>
    <mergeCell ref="AP53:AQ53"/>
    <mergeCell ref="AR53:AT53"/>
    <mergeCell ref="AU53:AV53"/>
    <mergeCell ref="AW53:AY53"/>
    <mergeCell ref="AZ53:BA53"/>
    <mergeCell ref="BB53:BE53"/>
    <mergeCell ref="BG53:BH53"/>
    <mergeCell ref="BI53:BK53"/>
    <mergeCell ref="BL53:BM53"/>
    <mergeCell ref="BN53:BP53"/>
    <mergeCell ref="BQ53:BR53"/>
    <mergeCell ref="BS53:BV53"/>
    <mergeCell ref="Y54:Z54"/>
    <mergeCell ref="AA54:AC54"/>
    <mergeCell ref="AD54:AE54"/>
    <mergeCell ref="AF54:AH54"/>
    <mergeCell ref="AI54:AJ54"/>
    <mergeCell ref="AK54:AN54"/>
    <mergeCell ref="AP54:AQ54"/>
    <mergeCell ref="AR54:AT54"/>
    <mergeCell ref="AU54:AV54"/>
    <mergeCell ref="AW54:AY54"/>
    <mergeCell ref="AZ54:BA54"/>
    <mergeCell ref="BB54:BE54"/>
    <mergeCell ref="BG54:BH54"/>
    <mergeCell ref="BI54:BK54"/>
    <mergeCell ref="BL54:BM54"/>
    <mergeCell ref="BN54:BP54"/>
    <mergeCell ref="BQ54:BR54"/>
    <mergeCell ref="BS54:BV54"/>
    <mergeCell ref="Y55:Z55"/>
    <mergeCell ref="AA55:AC55"/>
    <mergeCell ref="AD55:AE55"/>
    <mergeCell ref="AF55:AH55"/>
    <mergeCell ref="AI55:AJ55"/>
    <mergeCell ref="AK55:AN55"/>
    <mergeCell ref="AP55:AQ55"/>
    <mergeCell ref="AR55:AT55"/>
    <mergeCell ref="AU55:AV55"/>
    <mergeCell ref="AW55:AY55"/>
    <mergeCell ref="AZ55:BA55"/>
    <mergeCell ref="BB55:BE55"/>
    <mergeCell ref="BG55:BH55"/>
    <mergeCell ref="BI55:BK55"/>
    <mergeCell ref="BL55:BM55"/>
    <mergeCell ref="BN55:BP55"/>
    <mergeCell ref="BQ55:BR55"/>
    <mergeCell ref="BS55:BV55"/>
    <mergeCell ref="Y56:Z56"/>
    <mergeCell ref="AA56:AC56"/>
    <mergeCell ref="AD56:AE56"/>
    <mergeCell ref="AF56:AH56"/>
    <mergeCell ref="AI56:AJ56"/>
    <mergeCell ref="AK56:AN56"/>
    <mergeCell ref="AP56:AQ56"/>
    <mergeCell ref="AR56:AT56"/>
    <mergeCell ref="AU56:AV56"/>
    <mergeCell ref="AW56:AY56"/>
    <mergeCell ref="AZ56:BA56"/>
    <mergeCell ref="BB56:BE56"/>
    <mergeCell ref="BG56:BH56"/>
    <mergeCell ref="BI56:BK56"/>
    <mergeCell ref="BL56:BM56"/>
    <mergeCell ref="BN56:BP56"/>
    <mergeCell ref="BQ56:BR56"/>
    <mergeCell ref="BS56:BV56"/>
    <mergeCell ref="Y57:Z57"/>
    <mergeCell ref="AA57:AC57"/>
    <mergeCell ref="AD57:AE57"/>
    <mergeCell ref="AF57:AH57"/>
    <mergeCell ref="AI57:AJ57"/>
    <mergeCell ref="AK57:AN57"/>
    <mergeCell ref="AP57:AQ57"/>
    <mergeCell ref="AR57:AT57"/>
    <mergeCell ref="AU57:AV57"/>
    <mergeCell ref="AW57:AY57"/>
    <mergeCell ref="AZ57:BA57"/>
    <mergeCell ref="BB57:BE57"/>
    <mergeCell ref="BG57:BH57"/>
    <mergeCell ref="BI57:BK57"/>
    <mergeCell ref="BL57:BM57"/>
    <mergeCell ref="BN57:BP57"/>
    <mergeCell ref="BQ57:BR57"/>
    <mergeCell ref="BS57:BV57"/>
    <mergeCell ref="Y58:Z58"/>
    <mergeCell ref="AA58:AC58"/>
    <mergeCell ref="AD58:AE58"/>
    <mergeCell ref="AF58:AH58"/>
    <mergeCell ref="AI58:AJ58"/>
    <mergeCell ref="AK58:AN58"/>
    <mergeCell ref="AP58:AQ58"/>
    <mergeCell ref="AR58:AT58"/>
    <mergeCell ref="AU58:AV58"/>
    <mergeCell ref="AW58:AY58"/>
    <mergeCell ref="AZ58:BA58"/>
    <mergeCell ref="BB58:BE58"/>
    <mergeCell ref="BG58:BH58"/>
    <mergeCell ref="BI58:BK58"/>
    <mergeCell ref="BL58:BM58"/>
    <mergeCell ref="BN58:BP58"/>
    <mergeCell ref="BQ58:BR58"/>
    <mergeCell ref="BS58:BV58"/>
    <mergeCell ref="Y59:Z59"/>
    <mergeCell ref="AA59:AC59"/>
    <mergeCell ref="AD59:AE59"/>
    <mergeCell ref="AF59:AH59"/>
    <mergeCell ref="AI59:AJ59"/>
    <mergeCell ref="AK59:AN59"/>
    <mergeCell ref="AP59:AQ59"/>
    <mergeCell ref="AR59:AT59"/>
    <mergeCell ref="AU59:AV59"/>
    <mergeCell ref="AW59:AY59"/>
    <mergeCell ref="AZ59:BA59"/>
    <mergeCell ref="BB59:BE59"/>
    <mergeCell ref="BG59:BH59"/>
    <mergeCell ref="BI59:BK59"/>
    <mergeCell ref="BL59:BM59"/>
    <mergeCell ref="BN59:BP59"/>
    <mergeCell ref="BQ59:BR59"/>
    <mergeCell ref="BS59:BV59"/>
    <mergeCell ref="Y60:Z60"/>
    <mergeCell ref="AA60:AC60"/>
    <mergeCell ref="AD60:AE60"/>
    <mergeCell ref="AF60:AH60"/>
    <mergeCell ref="AI60:AJ60"/>
    <mergeCell ref="AK60:AN60"/>
    <mergeCell ref="AP60:AQ60"/>
    <mergeCell ref="AR60:AT60"/>
    <mergeCell ref="AU60:AV60"/>
    <mergeCell ref="AW60:AY60"/>
    <mergeCell ref="AZ60:BA60"/>
    <mergeCell ref="BB60:BE60"/>
    <mergeCell ref="BG60:BH60"/>
    <mergeCell ref="BI60:BK60"/>
    <mergeCell ref="BL60:BM60"/>
    <mergeCell ref="BN60:BP60"/>
    <mergeCell ref="BQ60:BR60"/>
    <mergeCell ref="BS60:BV60"/>
    <mergeCell ref="Y61:Z61"/>
    <mergeCell ref="AA61:AC61"/>
    <mergeCell ref="AD61:AE61"/>
    <mergeCell ref="AF61:AH61"/>
    <mergeCell ref="AI61:AJ61"/>
    <mergeCell ref="AK61:AN61"/>
    <mergeCell ref="AP61:AQ61"/>
    <mergeCell ref="AR61:AT61"/>
    <mergeCell ref="AU61:AV61"/>
    <mergeCell ref="AW61:AY61"/>
    <mergeCell ref="AZ61:BA61"/>
    <mergeCell ref="BB61:BE61"/>
    <mergeCell ref="BG61:BH61"/>
    <mergeCell ref="BI61:BK61"/>
    <mergeCell ref="BL61:BM61"/>
    <mergeCell ref="BN61:BP61"/>
    <mergeCell ref="BQ61:BR61"/>
    <mergeCell ref="BS61:BV61"/>
    <mergeCell ref="Y62:Z62"/>
    <mergeCell ref="AA62:AC62"/>
    <mergeCell ref="AD62:AE62"/>
    <mergeCell ref="AF62:AH62"/>
    <mergeCell ref="AI62:AJ62"/>
    <mergeCell ref="AK62:AN62"/>
    <mergeCell ref="AP62:AQ62"/>
    <mergeCell ref="AR62:AT62"/>
    <mergeCell ref="AU62:AV62"/>
    <mergeCell ref="AW62:AY62"/>
    <mergeCell ref="AZ62:BA62"/>
    <mergeCell ref="BB62:BE62"/>
    <mergeCell ref="BG62:BH62"/>
    <mergeCell ref="BI62:BK62"/>
    <mergeCell ref="BL62:BM62"/>
    <mergeCell ref="BN62:BP62"/>
    <mergeCell ref="BQ62:BR62"/>
    <mergeCell ref="BS62:BV62"/>
    <mergeCell ref="Y63:Z63"/>
    <mergeCell ref="AA63:AC63"/>
    <mergeCell ref="AD63:AE63"/>
    <mergeCell ref="AF63:AH63"/>
    <mergeCell ref="AI63:AJ63"/>
    <mergeCell ref="AK63:AN63"/>
    <mergeCell ref="AP63:AQ63"/>
    <mergeCell ref="AR63:AT63"/>
    <mergeCell ref="AU63:AV63"/>
    <mergeCell ref="AW63:AY63"/>
    <mergeCell ref="AZ63:BA63"/>
    <mergeCell ref="BB63:BE63"/>
    <mergeCell ref="BG63:BH63"/>
    <mergeCell ref="BI63:BK63"/>
    <mergeCell ref="BL63:BM63"/>
    <mergeCell ref="BN63:BP63"/>
    <mergeCell ref="BQ63:BR63"/>
    <mergeCell ref="BS63:BV63"/>
    <mergeCell ref="Y64:Z64"/>
    <mergeCell ref="AA64:AC64"/>
    <mergeCell ref="AD64:AE64"/>
    <mergeCell ref="AF64:AH64"/>
    <mergeCell ref="AI64:AJ64"/>
    <mergeCell ref="AK64:AN64"/>
    <mergeCell ref="AP64:AQ64"/>
    <mergeCell ref="AR64:AT64"/>
    <mergeCell ref="AU64:AV64"/>
    <mergeCell ref="AW64:AY64"/>
    <mergeCell ref="AZ64:BA64"/>
    <mergeCell ref="BB64:BE64"/>
    <mergeCell ref="BG64:BH64"/>
    <mergeCell ref="BI64:BK64"/>
    <mergeCell ref="BL64:BM64"/>
    <mergeCell ref="BN64:BP64"/>
    <mergeCell ref="BQ64:BR64"/>
    <mergeCell ref="BS64:BV64"/>
    <mergeCell ref="Y65:Z65"/>
    <mergeCell ref="AA65:AC65"/>
    <mergeCell ref="AD65:AE65"/>
    <mergeCell ref="AF65:AH65"/>
    <mergeCell ref="AI65:AJ65"/>
    <mergeCell ref="AK65:AN65"/>
    <mergeCell ref="AP65:AQ65"/>
    <mergeCell ref="AR65:AT65"/>
    <mergeCell ref="AU65:AV65"/>
    <mergeCell ref="AW65:AY65"/>
    <mergeCell ref="AZ65:BA65"/>
    <mergeCell ref="BB65:BE65"/>
    <mergeCell ref="BG65:BH65"/>
    <mergeCell ref="BI65:BK65"/>
    <mergeCell ref="BL65:BM65"/>
    <mergeCell ref="BN65:BP65"/>
    <mergeCell ref="BQ65:BR65"/>
    <mergeCell ref="BS65:BV65"/>
    <mergeCell ref="Y66:Z66"/>
    <mergeCell ref="AA66:AC66"/>
    <mergeCell ref="AD66:AE66"/>
    <mergeCell ref="AF66:AH66"/>
    <mergeCell ref="AI66:AJ66"/>
    <mergeCell ref="AK66:AN66"/>
    <mergeCell ref="AP66:AQ66"/>
    <mergeCell ref="AR66:AT66"/>
    <mergeCell ref="AU66:AV66"/>
    <mergeCell ref="AW66:AY66"/>
    <mergeCell ref="AZ66:BA66"/>
    <mergeCell ref="BB66:BE66"/>
    <mergeCell ref="BG66:BH66"/>
    <mergeCell ref="BI66:BK66"/>
    <mergeCell ref="BL66:BM66"/>
    <mergeCell ref="BN66:BP66"/>
    <mergeCell ref="BQ66:BR66"/>
    <mergeCell ref="BS66:BV66"/>
    <mergeCell ref="Y67:Z67"/>
    <mergeCell ref="AA67:AC67"/>
    <mergeCell ref="AD67:AE67"/>
    <mergeCell ref="AF67:AH67"/>
    <mergeCell ref="AI67:AJ67"/>
    <mergeCell ref="AK67:AN67"/>
    <mergeCell ref="AP67:AQ67"/>
    <mergeCell ref="AR67:AT67"/>
    <mergeCell ref="AU67:AV67"/>
    <mergeCell ref="AW67:AY67"/>
    <mergeCell ref="AZ67:BA67"/>
    <mergeCell ref="BB67:BE67"/>
    <mergeCell ref="BG67:BH67"/>
    <mergeCell ref="BI67:BK67"/>
    <mergeCell ref="BL67:BM67"/>
    <mergeCell ref="BN67:BP67"/>
    <mergeCell ref="BQ67:BR67"/>
    <mergeCell ref="BS67:BV67"/>
    <mergeCell ref="Y68:Z68"/>
    <mergeCell ref="AA68:AC68"/>
    <mergeCell ref="AD68:AE68"/>
    <mergeCell ref="AF68:AH68"/>
    <mergeCell ref="AI68:AJ68"/>
    <mergeCell ref="AK68:AN68"/>
    <mergeCell ref="AP68:AQ68"/>
    <mergeCell ref="AR68:AT68"/>
    <mergeCell ref="AU68:AV68"/>
    <mergeCell ref="AW68:AY68"/>
    <mergeCell ref="AZ68:BA68"/>
    <mergeCell ref="BB68:BE68"/>
    <mergeCell ref="BG68:BH68"/>
    <mergeCell ref="BI68:BK68"/>
    <mergeCell ref="BL68:BM68"/>
    <mergeCell ref="BN68:BP68"/>
    <mergeCell ref="BQ68:BR68"/>
    <mergeCell ref="BS68:BV68"/>
    <mergeCell ref="Y69:Z69"/>
    <mergeCell ref="AA69:AC69"/>
    <mergeCell ref="AD69:AE69"/>
    <mergeCell ref="AF69:AH69"/>
    <mergeCell ref="AI69:AJ69"/>
    <mergeCell ref="AK69:AN69"/>
    <mergeCell ref="AP69:AQ69"/>
    <mergeCell ref="AR69:AT69"/>
    <mergeCell ref="AU69:AV69"/>
    <mergeCell ref="AW69:AY69"/>
    <mergeCell ref="AZ69:BA69"/>
    <mergeCell ref="BB69:BE69"/>
    <mergeCell ref="BG69:BH69"/>
    <mergeCell ref="BI69:BK69"/>
    <mergeCell ref="BL69:BM69"/>
    <mergeCell ref="BN69:BP69"/>
    <mergeCell ref="BQ69:BR69"/>
    <mergeCell ref="BS69:BV69"/>
    <mergeCell ref="Y70:Z70"/>
    <mergeCell ref="AA70:AC70"/>
    <mergeCell ref="AD70:AE70"/>
    <mergeCell ref="AF70:AH70"/>
    <mergeCell ref="AI70:AJ70"/>
    <mergeCell ref="AK70:AN70"/>
    <mergeCell ref="AP70:AQ70"/>
    <mergeCell ref="AR70:AT70"/>
    <mergeCell ref="AU70:AV70"/>
    <mergeCell ref="AW70:AY70"/>
    <mergeCell ref="AZ70:BA70"/>
    <mergeCell ref="BB70:BE70"/>
    <mergeCell ref="BG70:BH70"/>
    <mergeCell ref="BI70:BK70"/>
    <mergeCell ref="BL70:BM70"/>
    <mergeCell ref="BN70:BP70"/>
    <mergeCell ref="BQ70:BR70"/>
    <mergeCell ref="BS70:BV70"/>
    <mergeCell ref="Y71:Z71"/>
    <mergeCell ref="AA71:AC71"/>
    <mergeCell ref="AD71:AE71"/>
    <mergeCell ref="AF71:AH71"/>
    <mergeCell ref="AI71:AJ71"/>
    <mergeCell ref="AK71:AN71"/>
    <mergeCell ref="AP71:AQ71"/>
    <mergeCell ref="AR71:AT71"/>
    <mergeCell ref="AU71:AV71"/>
    <mergeCell ref="AW71:AY71"/>
    <mergeCell ref="AZ71:BA71"/>
    <mergeCell ref="BB71:BE71"/>
    <mergeCell ref="BG71:BH71"/>
    <mergeCell ref="BI71:BK71"/>
    <mergeCell ref="BL71:BM71"/>
    <mergeCell ref="BN71:BP71"/>
    <mergeCell ref="BQ71:BR71"/>
    <mergeCell ref="BS71:BV71"/>
    <mergeCell ref="Y72:Z72"/>
    <mergeCell ref="AA72:AC72"/>
    <mergeCell ref="AD72:AE72"/>
    <mergeCell ref="AF72:AH72"/>
    <mergeCell ref="AI72:AJ72"/>
    <mergeCell ref="AK72:AN72"/>
    <mergeCell ref="AP72:AQ72"/>
    <mergeCell ref="AR72:AT72"/>
    <mergeCell ref="AU72:AV72"/>
    <mergeCell ref="AW72:AY72"/>
    <mergeCell ref="AZ72:BA72"/>
    <mergeCell ref="BB72:BE72"/>
    <mergeCell ref="BG72:BH72"/>
    <mergeCell ref="BI72:BK72"/>
    <mergeCell ref="BL72:BM72"/>
    <mergeCell ref="BN72:BP72"/>
    <mergeCell ref="BQ72:BR72"/>
    <mergeCell ref="BS72:BV72"/>
    <mergeCell ref="Y73:Z73"/>
    <mergeCell ref="AA73:AC73"/>
    <mergeCell ref="AD73:AE73"/>
    <mergeCell ref="AF73:AH73"/>
    <mergeCell ref="AI73:AJ73"/>
    <mergeCell ref="AK73:AN73"/>
    <mergeCell ref="AP73:AQ73"/>
    <mergeCell ref="AR73:AT73"/>
    <mergeCell ref="AU73:AV73"/>
    <mergeCell ref="AW73:AY73"/>
    <mergeCell ref="AZ73:BA73"/>
    <mergeCell ref="BB73:BE73"/>
    <mergeCell ref="BG73:BH73"/>
    <mergeCell ref="BI73:BK73"/>
    <mergeCell ref="BL73:BM73"/>
    <mergeCell ref="BN73:BP73"/>
    <mergeCell ref="BQ73:BR73"/>
    <mergeCell ref="BS73:BV73"/>
    <mergeCell ref="Y74:Z74"/>
    <mergeCell ref="AA74:AC74"/>
    <mergeCell ref="AD74:AE74"/>
    <mergeCell ref="AF74:AH74"/>
    <mergeCell ref="AI74:AJ74"/>
    <mergeCell ref="AK74:AN74"/>
    <mergeCell ref="AP74:AQ74"/>
    <mergeCell ref="AR74:AT74"/>
    <mergeCell ref="AU74:AV74"/>
    <mergeCell ref="AW74:AY74"/>
    <mergeCell ref="AZ74:BA74"/>
    <mergeCell ref="BB74:BE74"/>
    <mergeCell ref="BG74:BH74"/>
    <mergeCell ref="BI74:BK74"/>
    <mergeCell ref="BL74:BM74"/>
    <mergeCell ref="BN74:BP74"/>
    <mergeCell ref="BQ74:BR74"/>
    <mergeCell ref="BS74:BV74"/>
    <mergeCell ref="Y75:Z75"/>
    <mergeCell ref="AA75:AC75"/>
    <mergeCell ref="AD75:AE75"/>
    <mergeCell ref="AF75:AH75"/>
    <mergeCell ref="AI75:AJ75"/>
    <mergeCell ref="AK75:AN75"/>
    <mergeCell ref="AP75:AQ75"/>
    <mergeCell ref="AR75:AT75"/>
    <mergeCell ref="AU75:AV75"/>
    <mergeCell ref="AW75:AY75"/>
    <mergeCell ref="AZ75:BA75"/>
    <mergeCell ref="BB75:BE75"/>
    <mergeCell ref="BG75:BH75"/>
    <mergeCell ref="BI75:BK75"/>
    <mergeCell ref="BL75:BM75"/>
    <mergeCell ref="BN75:BP75"/>
    <mergeCell ref="BQ75:BR75"/>
    <mergeCell ref="BS75:BV75"/>
    <mergeCell ref="Y76:Z76"/>
    <mergeCell ref="AA76:AC76"/>
    <mergeCell ref="AD76:AE76"/>
    <mergeCell ref="AF76:AH76"/>
    <mergeCell ref="AI76:AJ76"/>
    <mergeCell ref="AK76:AN76"/>
    <mergeCell ref="AP76:AQ76"/>
    <mergeCell ref="AR76:AT76"/>
    <mergeCell ref="AU76:AV76"/>
    <mergeCell ref="AW76:AY76"/>
    <mergeCell ref="AZ76:BA76"/>
    <mergeCell ref="BB76:BE76"/>
    <mergeCell ref="BG76:BH76"/>
    <mergeCell ref="BI76:BK76"/>
    <mergeCell ref="BL76:BM76"/>
    <mergeCell ref="BN76:BP76"/>
    <mergeCell ref="BQ76:BR76"/>
    <mergeCell ref="BS76:BV76"/>
    <mergeCell ref="Y77:Z77"/>
    <mergeCell ref="AA77:AC77"/>
    <mergeCell ref="AD77:AE77"/>
    <mergeCell ref="AF77:AH77"/>
    <mergeCell ref="AI77:AJ77"/>
    <mergeCell ref="AK77:AN77"/>
    <mergeCell ref="AP77:AQ77"/>
    <mergeCell ref="AR77:AT77"/>
    <mergeCell ref="AU77:AV77"/>
    <mergeCell ref="AW77:AY77"/>
    <mergeCell ref="AZ77:BA77"/>
    <mergeCell ref="BB77:BE77"/>
    <mergeCell ref="BG77:BH77"/>
    <mergeCell ref="BI77:BK77"/>
    <mergeCell ref="BL77:BM77"/>
    <mergeCell ref="BN77:BP77"/>
    <mergeCell ref="BQ77:BR77"/>
    <mergeCell ref="BS77:BV77"/>
  </mergeCells>
  <dataValidations count="3">
    <dataValidation allowBlank="true" operator="between" showDropDown="false" showErrorMessage="true" showInputMessage="false" sqref="B3:B50 Y3:Y77 AD3:AD77" type="list">
      <formula1>Transactions!$BY$2:$BY$9</formula1>
      <formula2>0</formula2>
    </dataValidation>
    <dataValidation allowBlank="true" operator="between" showDropDown="false" showErrorMessage="true" showInputMessage="false" sqref="D3:D50 G3:G50 AA3:AA77 AF3:AF77" type="list">
      <formula1>Pokedex!$B$2:$B$610</formula1>
      <formula2>0</formula2>
    </dataValidation>
    <dataValidation allowBlank="true" operator="between" showDropDown="false" showErrorMessage="true" showInputMessage="false" sqref="J3:J50 AI3:AI77" type="list">
      <formula1>Transactions!$BY$11:$BY$27</formula1>
      <formula2>0</formula2>
    </dataValidation>
  </dataValidations>
  <printOptions headings="false" gridLines="false" gridLinesSet="true" horizontalCentered="false" verticalCentered="false"/>
  <pageMargins left="0.747916666666667" right="0.747916666666667" top="0.984027777777778" bottom="0.984027777777778" header="0.511805555555555" footer="0.511805555555555"/>
  <pageSetup paperSize="1" scale="100" firstPageNumber="0" fitToWidth="1" fitToHeight="1" pageOrder="downThenOver" orientation="portrait" usePrinterDefaults="false" blackAndWhite="false" draft="false" cellComments="none" useFirstPageNumber="false" horizontalDpi="300" verticalDpi="300" copies="1"/>
  <headerFooter differentFirst="false" differentOddEven="false">
    <oddHeader/>
    <oddFooter/>
  </headerFooter>
</worksheet>
</file>

<file path=xl/worksheets/sheet12.xml><?xml version="1.0" encoding="utf-8"?>
<worksheet xmlns="http://schemas.openxmlformats.org/spreadsheetml/2006/main" xmlns:r="http://schemas.openxmlformats.org/officeDocument/2006/relationships">
  <sheetPr filterMode="false">
    <tabColor rgb="FFC27BA0"/>
    <pageSetUpPr fitToPage="false"/>
  </sheetPr>
  <dimension ref="A1:AE100"/>
  <sheetViews>
    <sheetView windowProtection="false"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A1" activeCellId="0" sqref="A1"/>
    </sheetView>
  </sheetViews>
  <sheetFormatPr defaultRowHeight="15.75"/>
  <cols>
    <col collapsed="false" hidden="false" max="2" min="1" style="0" width="10.6632653061225"/>
    <col collapsed="false" hidden="false" max="14" min="3" style="0" width="7.1530612244898"/>
    <col collapsed="false" hidden="false" max="15" min="15" style="0" width="1.48469387755102"/>
    <col collapsed="false" hidden="true" max="31" min="16" style="0" width="0"/>
    <col collapsed="false" hidden="false" max="1025" min="32" style="0" width="14.1734693877551"/>
  </cols>
  <sheetData>
    <row r="1" customFormat="false" ht="15.75" hidden="false" customHeight="false" outlineLevel="0" collapsed="false">
      <c r="A1" s="765" t="s">
        <v>466</v>
      </c>
      <c r="B1" s="765"/>
      <c r="C1" s="765"/>
      <c r="D1" s="765"/>
      <c r="E1" s="766" t="s">
        <v>2038</v>
      </c>
      <c r="F1" s="766"/>
      <c r="G1" s="767" t="s">
        <v>2039</v>
      </c>
      <c r="H1" s="767"/>
      <c r="I1" s="767"/>
      <c r="J1" s="767"/>
      <c r="K1" s="768" t="s">
        <v>2040</v>
      </c>
      <c r="L1" s="769" t="s">
        <v>711</v>
      </c>
      <c r="M1" s="769"/>
      <c r="N1" s="769"/>
      <c r="O1" s="44"/>
      <c r="P1" s="44"/>
      <c r="Q1" s="770" t="e">
        <f aca="false">flg!$l$1</f>
        <v>#NAME?</v>
      </c>
      <c r="R1" s="341" t="s">
        <v>1681</v>
      </c>
      <c r="S1" s="341"/>
      <c r="T1" s="771"/>
      <c r="U1" s="771"/>
      <c r="V1" s="771"/>
      <c r="W1" s="771"/>
      <c r="X1" s="771"/>
      <c r="Y1" s="771"/>
      <c r="Z1" s="771"/>
      <c r="AA1" s="771"/>
      <c r="AB1" s="771"/>
      <c r="AC1" s="771"/>
      <c r="AD1" s="771"/>
      <c r="AE1" s="771"/>
    </row>
    <row r="2" customFormat="false" ht="15.75" hidden="false" customHeight="false" outlineLevel="0" collapsed="false">
      <c r="A2" s="765"/>
      <c r="B2" s="765"/>
      <c r="C2" s="765"/>
      <c r="D2" s="765"/>
      <c r="E2" s="772" t="s">
        <v>2041</v>
      </c>
      <c r="F2" s="772"/>
      <c r="G2" s="773" t="s">
        <v>2042</v>
      </c>
      <c r="H2" s="773"/>
      <c r="I2" s="773"/>
      <c r="J2" s="773"/>
      <c r="K2" s="773"/>
      <c r="L2" s="773"/>
      <c r="M2" s="773"/>
      <c r="N2" s="773"/>
      <c r="O2" s="44"/>
      <c r="P2" s="44"/>
      <c r="Q2" s="774" t="e">
        <f aca="false">fst!$l$1</f>
        <v>#NAME?</v>
      </c>
      <c r="R2" s="775" t="str">
        <f aca="false">IFERROR(__xludf.dummyfunction("{ if(isna(FILTER(MoveDex!$T:$T,MoveDex!$S:$S=$L$1)),,FILTER(MoveDex!$T:$T,MoveDex!$S:$S=$L$1)) ; if(isna(FILTER(MoveDex!$X:$X,MoveDex!$W:$W=$L$1)),,FILTER(MoveDex!$X:$X,MoveDex!$W:$W=$L$1)) ; if(isna(FILTER(MoveDex!$AB:$AB,MoveDex!$AA:$AA=$L$1)),,FILTER(M"&amp;"oveDex!$AB:$AB,MoveDex!$AA:$AA=$L$1)) ; if(isna(FILTER(MoveDex!$AF:$AF,MoveDex!$AE:$AE=$L$1)),,FILTER(MoveDex!$AF:$AF,MoveDex!$AE:$AE=$L$1)) }"),"Excadrill")</f>
        <v>Excadrill</v>
      </c>
      <c r="S2" s="776" t="str">
        <f aca="false">IFERROR(__xludf.dummyfunction("{ if(isna(FILTER(MoveDex!$U:$U,MoveDex!$S:$S=$L$1)),,FILTER(MoveDex!$U:$U,MoveDex!$S:$S=$L$1)) ; if(isna(FILTER(MoveDex!$Y:$Y,MoveDex!$W:$W=$L$1)),,FILTER(MoveDex!$Y:$Y,MoveDex!$W:$W=$L$1)) ; if(isna(FILTER(MoveDex!$AC:$AC,MoveDex!$AA:$AA=$L$1)),,FILTER(M"&amp;"oveDex!$AC:$AC,MoveDex!$AA:$AA=$L$1)) ; if(isna(FILTER(MoveDex!$AG:$AG,MoveDex!$AE:$AE=$L$1)),,FILTER(MoveDex!$AG:$AG,MoveDex!$AE:$AE=$L$1)) }"),"Stealth Rock")</f>
        <v>Stealth Rock</v>
      </c>
      <c r="T2" s="777"/>
      <c r="U2" s="777"/>
      <c r="V2" s="777"/>
      <c r="W2" s="777"/>
      <c r="X2" s="777"/>
      <c r="Y2" s="777"/>
      <c r="Z2" s="777"/>
      <c r="AA2" s="777"/>
      <c r="AB2" s="777"/>
      <c r="AC2" s="777"/>
      <c r="AD2" s="777"/>
      <c r="AE2" s="777"/>
    </row>
    <row r="3" customFormat="false" ht="15.75" hidden="false" customHeight="false" outlineLevel="0" collapsed="false">
      <c r="A3" s="765"/>
      <c r="B3" s="765"/>
      <c r="C3" s="765"/>
      <c r="D3" s="765"/>
      <c r="E3" s="772" t="s">
        <v>2043</v>
      </c>
      <c r="F3" s="772"/>
      <c r="G3" s="773" t="s">
        <v>269</v>
      </c>
      <c r="H3" s="773"/>
      <c r="I3" s="773"/>
      <c r="J3" s="773"/>
      <c r="K3" s="773"/>
      <c r="L3" s="773"/>
      <c r="M3" s="773"/>
      <c r="N3" s="773"/>
      <c r="O3" s="44"/>
      <c r="P3" s="44"/>
      <c r="Q3" s="774" t="e">
        <f aca="false">phi!$l$1</f>
        <v>#NAME?</v>
      </c>
      <c r="R3" s="778" t="s">
        <v>84</v>
      </c>
      <c r="S3" s="511" t="s">
        <v>1106</v>
      </c>
      <c r="T3" s="638"/>
      <c r="U3" s="638"/>
      <c r="V3" s="638"/>
      <c r="W3" s="638"/>
      <c r="X3" s="638"/>
      <c r="Y3" s="638"/>
      <c r="Z3" s="638"/>
      <c r="AA3" s="638"/>
      <c r="AB3" s="638"/>
      <c r="AC3" s="638"/>
      <c r="AD3" s="638"/>
      <c r="AE3" s="638"/>
    </row>
    <row r="4" customFormat="false" ht="15.75" hidden="false" customHeight="false" outlineLevel="0" collapsed="false">
      <c r="A4" s="765"/>
      <c r="B4" s="765"/>
      <c r="C4" s="765"/>
      <c r="D4" s="765"/>
      <c r="E4" s="772" t="s">
        <v>2044</v>
      </c>
      <c r="F4" s="772"/>
      <c r="G4" s="773" t="s">
        <v>2045</v>
      </c>
      <c r="H4" s="773"/>
      <c r="I4" s="773"/>
      <c r="J4" s="773"/>
      <c r="K4" s="773"/>
      <c r="L4" s="773"/>
      <c r="M4" s="773"/>
      <c r="N4" s="773"/>
      <c r="O4" s="44"/>
      <c r="P4" s="44"/>
      <c r="Q4" s="774" t="e">
        <f aca="false">stl!$l$1</f>
        <v>#NAME?</v>
      </c>
      <c r="R4" s="778" t="s">
        <v>85</v>
      </c>
      <c r="S4" s="511" t="s">
        <v>1106</v>
      </c>
      <c r="T4" s="638"/>
      <c r="U4" s="638"/>
      <c r="V4" s="638"/>
      <c r="W4" s="638"/>
      <c r="X4" s="638"/>
      <c r="Y4" s="638"/>
      <c r="Z4" s="638"/>
      <c r="AA4" s="638"/>
      <c r="AB4" s="638"/>
      <c r="AC4" s="638"/>
      <c r="AD4" s="638"/>
      <c r="AE4" s="638"/>
    </row>
    <row r="5" customFormat="false" ht="15.75" hidden="false" customHeight="false" outlineLevel="0" collapsed="false">
      <c r="A5" s="765"/>
      <c r="B5" s="765"/>
      <c r="C5" s="765"/>
      <c r="D5" s="765"/>
      <c r="E5" s="772" t="s">
        <v>2046</v>
      </c>
      <c r="F5" s="772"/>
      <c r="G5" s="773" t="s">
        <v>2047</v>
      </c>
      <c r="H5" s="773"/>
      <c r="I5" s="773"/>
      <c r="J5" s="773"/>
      <c r="K5" s="773"/>
      <c r="L5" s="773"/>
      <c r="M5" s="773"/>
      <c r="N5" s="773"/>
      <c r="O5" s="44"/>
      <c r="P5" s="44"/>
      <c r="Q5" s="779" t="e">
        <f aca="false">bor!$l$1</f>
        <v>#NAME?</v>
      </c>
      <c r="R5" s="778" t="s">
        <v>111</v>
      </c>
      <c r="S5" s="511" t="s">
        <v>1106</v>
      </c>
      <c r="T5" s="638"/>
      <c r="U5" s="638"/>
      <c r="V5" s="638"/>
      <c r="W5" s="638"/>
      <c r="X5" s="638"/>
      <c r="Y5" s="638"/>
      <c r="Z5" s="638"/>
      <c r="AA5" s="638"/>
      <c r="AB5" s="638"/>
      <c r="AC5" s="638"/>
      <c r="AD5" s="638"/>
      <c r="AE5" s="638"/>
    </row>
    <row r="6" customFormat="false" ht="15.75" hidden="false" customHeight="false" outlineLevel="0" collapsed="false">
      <c r="A6" s="765"/>
      <c r="B6" s="765"/>
      <c r="C6" s="765"/>
      <c r="D6" s="765"/>
      <c r="E6" s="772" t="s">
        <v>2048</v>
      </c>
      <c r="F6" s="772"/>
      <c r="G6" s="773" t="s">
        <v>2049</v>
      </c>
      <c r="H6" s="773"/>
      <c r="I6" s="773"/>
      <c r="J6" s="773"/>
      <c r="K6" s="773"/>
      <c r="L6" s="773"/>
      <c r="M6" s="773"/>
      <c r="N6" s="773"/>
      <c r="O6" s="44"/>
      <c r="P6" s="44"/>
      <c r="Q6" s="779" t="e">
        <f aca="false">pit!$l$1</f>
        <v>#NAME?</v>
      </c>
      <c r="R6" s="778"/>
      <c r="S6" s="511"/>
      <c r="T6" s="638"/>
      <c r="U6" s="638"/>
      <c r="V6" s="638"/>
      <c r="W6" s="638"/>
      <c r="X6" s="638"/>
      <c r="Y6" s="638"/>
      <c r="Z6" s="638"/>
      <c r="AA6" s="638"/>
      <c r="AB6" s="638"/>
      <c r="AC6" s="638"/>
      <c r="AD6" s="638"/>
      <c r="AE6" s="638"/>
    </row>
    <row r="7" customFormat="false" ht="15.75" hidden="false" customHeight="false" outlineLevel="0" collapsed="false">
      <c r="A7" s="765"/>
      <c r="B7" s="765"/>
      <c r="C7" s="765"/>
      <c r="D7" s="765"/>
      <c r="E7" s="780" t="s">
        <v>2050</v>
      </c>
      <c r="F7" s="780"/>
      <c r="G7" s="781" t="s">
        <v>2047</v>
      </c>
      <c r="H7" s="781"/>
      <c r="I7" s="781"/>
      <c r="J7" s="781"/>
      <c r="K7" s="781"/>
      <c r="L7" s="781"/>
      <c r="M7" s="781"/>
      <c r="N7" s="781"/>
      <c r="O7" s="44"/>
      <c r="P7" s="44"/>
      <c r="Q7" s="779" t="e">
        <f aca="false">sfa!$l$1</f>
        <v>#NAME?</v>
      </c>
      <c r="R7" s="778"/>
      <c r="S7" s="511"/>
      <c r="T7" s="638"/>
      <c r="U7" s="638"/>
      <c r="V7" s="638"/>
      <c r="W7" s="638"/>
      <c r="X7" s="638"/>
      <c r="Y7" s="638"/>
      <c r="Z7" s="638"/>
      <c r="AA7" s="638"/>
      <c r="AB7" s="638"/>
      <c r="AC7" s="638"/>
      <c r="AD7" s="638"/>
      <c r="AE7" s="638"/>
    </row>
    <row r="8" customFormat="false" ht="15.75" hidden="false" customHeight="false" outlineLevel="0" collapsed="false">
      <c r="A8" s="765"/>
      <c r="B8" s="765"/>
      <c r="C8" s="765"/>
      <c r="D8" s="765"/>
      <c r="E8" s="782" t="s">
        <v>2051</v>
      </c>
      <c r="F8" s="783" t="n">
        <f aca="false">COUNTIF(MatchSource!R3:R19, "WIN")</f>
        <v>14</v>
      </c>
      <c r="G8" s="784" t="s">
        <v>2052</v>
      </c>
      <c r="H8" s="785" t="n">
        <f aca="false">COUNTIF(MatchSource!R3:R19, "LOSE")</f>
        <v>2</v>
      </c>
      <c r="I8" s="786" t="s">
        <v>2053</v>
      </c>
      <c r="J8" s="787" t="n">
        <f aca="false">MatchSource!R44</f>
        <v>20</v>
      </c>
      <c r="K8" s="88" t="s">
        <v>2054</v>
      </c>
      <c r="L8" s="788" t="n">
        <f aca="false">COUNTIF(MatchSource!R3:R19, "DNP")</f>
        <v>1</v>
      </c>
      <c r="M8" s="562" t="s">
        <v>2055</v>
      </c>
      <c r="N8" s="789" t="str">
        <f aca="false">MatchSource!R23</f>
        <v>Win-5</v>
      </c>
      <c r="O8" s="44"/>
      <c r="P8" s="44"/>
      <c r="Q8" s="779" t="e">
        <f aca="false">tbl!$l$1</f>
        <v>#NAME?</v>
      </c>
      <c r="R8" s="790" t="s">
        <v>19</v>
      </c>
      <c r="S8" s="791" t="s">
        <v>1109</v>
      </c>
      <c r="T8" s="792"/>
      <c r="U8" s="792"/>
      <c r="V8" s="792"/>
      <c r="W8" s="792"/>
      <c r="X8" s="792"/>
      <c r="Y8" s="792"/>
      <c r="Z8" s="792"/>
      <c r="AA8" s="792"/>
      <c r="AB8" s="792"/>
      <c r="AC8" s="792"/>
      <c r="AD8" s="792"/>
      <c r="AE8" s="792"/>
    </row>
    <row r="9" customFormat="false" ht="15.75" hidden="false" customHeight="false" outlineLevel="0" collapsed="false">
      <c r="A9" s="793" t="str">
        <f aca="false">$G$1</f>
        <v>Kingston Kecleons</v>
      </c>
      <c r="B9" s="793"/>
      <c r="C9" s="793"/>
      <c r="D9" s="793"/>
      <c r="E9" s="794" t="s">
        <v>171</v>
      </c>
      <c r="F9" s="795" t="n">
        <v>7</v>
      </c>
      <c r="G9" s="794" t="s">
        <v>172</v>
      </c>
      <c r="H9" s="795" t="n">
        <v>7</v>
      </c>
      <c r="I9" s="796" t="e">
        <f aca="false">CONCATENATE("Currently #",MATCH($G$1,Main!$A$3:$A$6,0)," in Sun/Moon Division")</f>
        <v>#N/A</v>
      </c>
      <c r="J9" s="796"/>
      <c r="K9" s="796"/>
      <c r="L9" s="796"/>
      <c r="M9" s="797" t="s">
        <v>2056</v>
      </c>
      <c r="N9" s="798" t="e">
        <f aca="false" t="array" ref="N9:N9">INDEX(Main!$L$3:$O$11,MATCH($G$1,Main!$M$3:$M$11,0),1)</f>
        <v>#N/A</v>
      </c>
      <c r="O9" s="44"/>
      <c r="P9" s="44"/>
      <c r="Q9" s="799" t="str">
        <f aca="false">BBG!$L$1</f>
        <v>BBG</v>
      </c>
      <c r="R9" s="790"/>
      <c r="S9" s="791"/>
      <c r="T9" s="792"/>
      <c r="U9" s="792"/>
      <c r="V9" s="792"/>
      <c r="W9" s="792"/>
      <c r="X9" s="792"/>
      <c r="Y9" s="792"/>
      <c r="Z9" s="792"/>
      <c r="AA9" s="792"/>
      <c r="AB9" s="792"/>
      <c r="AC9" s="792"/>
      <c r="AD9" s="792"/>
      <c r="AE9" s="792"/>
    </row>
    <row r="10" customFormat="false" ht="15.75" hidden="false" customHeight="false" outlineLevel="0" collapsed="false">
      <c r="A10" s="800" t="s">
        <v>2057</v>
      </c>
      <c r="B10" s="800"/>
      <c r="C10" s="801" t="s">
        <v>2058</v>
      </c>
      <c r="D10" s="801"/>
      <c r="E10" s="801"/>
      <c r="F10" s="801"/>
      <c r="G10" s="801"/>
      <c r="H10" s="801"/>
      <c r="I10" s="801"/>
      <c r="J10" s="802" t="s">
        <v>264</v>
      </c>
      <c r="K10" s="802"/>
      <c r="L10" s="802"/>
      <c r="M10" s="802"/>
      <c r="N10" s="44"/>
      <c r="O10" s="44"/>
      <c r="P10" s="44"/>
      <c r="Q10" s="799" t="str">
        <f aca="false">SEA!$L$1</f>
        <v>SEA</v>
      </c>
      <c r="R10" s="790"/>
      <c r="S10" s="791"/>
      <c r="T10" s="792"/>
      <c r="U10" s="792"/>
      <c r="V10" s="792"/>
      <c r="W10" s="792"/>
      <c r="X10" s="792"/>
      <c r="Y10" s="792"/>
      <c r="Z10" s="792"/>
      <c r="AA10" s="792"/>
      <c r="AB10" s="792"/>
      <c r="AC10" s="792"/>
      <c r="AD10" s="792"/>
    </row>
    <row r="11" customFormat="false" ht="15.75" hidden="false" customHeight="false" outlineLevel="0" collapsed="false">
      <c r="A11" s="800"/>
      <c r="B11" s="800"/>
      <c r="C11" s="803" t="s">
        <v>2059</v>
      </c>
      <c r="D11" s="804" t="s">
        <v>5</v>
      </c>
      <c r="E11" s="805" t="s">
        <v>6</v>
      </c>
      <c r="F11" s="806" t="s">
        <v>170</v>
      </c>
      <c r="G11" s="807" t="s">
        <v>191</v>
      </c>
      <c r="H11" s="808" t="s">
        <v>7</v>
      </c>
      <c r="I11" s="809" t="s">
        <v>2060</v>
      </c>
      <c r="J11" s="810" t="str">
        <f aca="false">DraftRosters!$B$16</f>
        <v>Mew</v>
      </c>
      <c r="K11" s="810"/>
      <c r="L11" s="810"/>
      <c r="M11" s="810"/>
      <c r="N11" s="44"/>
      <c r="O11" s="44"/>
      <c r="P11" s="44"/>
      <c r="Q11" s="799" t="str">
        <f aca="false">JVJ!$L$1</f>
        <v>JVJ</v>
      </c>
      <c r="R11" s="790"/>
      <c r="S11" s="791"/>
      <c r="T11" s="792"/>
      <c r="U11" s="792"/>
      <c r="V11" s="792"/>
      <c r="W11" s="792"/>
      <c r="X11" s="792"/>
      <c r="Y11" s="792"/>
      <c r="Z11" s="792"/>
      <c r="AA11" s="792"/>
      <c r="AB11" s="792"/>
      <c r="AC11" s="792"/>
      <c r="AD11" s="792"/>
    </row>
    <row r="12" customFormat="false" ht="15.75" hidden="false" customHeight="false" outlineLevel="0" collapsed="false">
      <c r="A12" s="811" t="str">
        <f aca="false">IFERROR(__xludf.dummyfunction("if(isna(filter(DraftRosters!$B$4:$B$14,not(isblank(DraftRosters!$B$4:$B$14)))), ""NONE DRAFTED"", filter(DraftRosters!$B$4:$B$14,not(isblank(DraftRosters!$B$4:$B$14))))"),"Mew")</f>
        <v>Mew</v>
      </c>
      <c r="B12" s="811"/>
      <c r="C12" s="812" t="str">
        <f aca="false" t="array" ref="C12:C12">IF(ISNA(INDEX(Pokedex!J$2:J$610,MATCH($A12,Pokedex!$B$2:$B$610,0))),"-",INDEX(Pokedex!J$2:J$610,MATCH($A12,Pokedex!$B$2:$B$610,0)))</f>
        <v>Tier 1</v>
      </c>
      <c r="D12" s="813" t="n">
        <f aca="false" t="array" ref="D12:D12">IF(ISNA(INDEX(Pokedex!E$2:E$610,MATCH($A12,Pokedex!$B$2:$B$610,0))),"-",INDEX(Pokedex!E$2:E$610,MATCH($A12,Pokedex!$B$2:$B$610,0)))</f>
        <v>0</v>
      </c>
      <c r="E12" s="813" t="n">
        <f aca="false" t="array" ref="E12:E12">IF(ISNA(INDEX(Pokedex!F$2:F$610,MATCH($A12,Pokedex!$B$2:$B$610,0))),"-",INDEX(Pokedex!F$2:F$610,MATCH($A12,Pokedex!$B$2:$B$610,0)))</f>
        <v>0</v>
      </c>
      <c r="F12" s="814" t="e">
        <f aca="false" t="array" ref="F12:F12">IF(ISNA(INDEX(Pokedex!G$2:G$610,MATCH($A12,Pokedex!$B$2:$B$610,0))),"-",INDEX(Pokedex!G$2:G$610,MATCH($A12,Pokedex!$B$2:$B$610,0)))</f>
        <v>#NAME?</v>
      </c>
      <c r="G12" s="814" t="n">
        <f aca="false" t="array" ref="G12:G12">IF(ISNA(INDEX(Pokedex!H$2:H$610,MATCH($A12,Pokedex!$B$2:$B$610,0))),"-",INDEX(Pokedex!H$2:H$610,MATCH($A12,Pokedex!$B$2:$B$610,0)))</f>
        <v>11</v>
      </c>
      <c r="H12" s="813" t="n">
        <f aca="false" t="array" ref="H12:H12">IF(ISNA(INDEX(Pokedex!I$2:I$610,MATCH($A12,Pokedex!$B$2:$B$610,0))),"-",INDEX(Pokedex!I$2:I$610,MATCH($A12,Pokedex!$B$2:$B$610,0)))</f>
        <v>0</v>
      </c>
      <c r="I12" s="815" t="n">
        <f aca="false" t="array" ref="I12:I12">IF(ISNA(INDEX(ExpandedStats!$A$3:$A$240,MATCH($A12,ExpandedStats!$C$3:$C$240,0))),"-",INDEX(ExpandedStats!$A$3:$A$240,MATCH($A12,ExpandedStats!$C$3:$C$240,0)))</f>
        <v>5</v>
      </c>
      <c r="J12" s="816" t="s">
        <v>2061</v>
      </c>
      <c r="K12" s="816"/>
      <c r="L12" s="816"/>
      <c r="M12" s="816"/>
      <c r="N12" s="44"/>
      <c r="O12" s="44"/>
      <c r="P12" s="44"/>
      <c r="Q12" s="799" t="str">
        <f aca="false">KKS!$L$1</f>
        <v>KKS</v>
      </c>
      <c r="R12" s="790"/>
      <c r="S12" s="791"/>
      <c r="T12" s="792"/>
      <c r="U12" s="792"/>
      <c r="V12" s="792"/>
      <c r="W12" s="792"/>
      <c r="X12" s="792"/>
      <c r="Y12" s="792"/>
      <c r="Z12" s="792"/>
      <c r="AA12" s="792"/>
      <c r="AB12" s="792"/>
      <c r="AC12" s="792"/>
      <c r="AD12" s="792"/>
    </row>
    <row r="13" customFormat="false" ht="15.75" hidden="false" customHeight="false" outlineLevel="0" collapsed="false">
      <c r="A13" s="817" t="s">
        <v>124</v>
      </c>
      <c r="B13" s="817"/>
      <c r="C13" s="818" t="str">
        <f aca="false" t="array" ref="C13:C13">IF(ISNA(INDEX(Pokedex!J$2:J$610,MATCH($A13,Pokedex!$B$2:$B$610,0))),"-",INDEX(Pokedex!J$2:J$610,MATCH($A13,Pokedex!$B$2:$B$610,0)))</f>
        <v>Tier 2</v>
      </c>
      <c r="D13" s="50" t="n">
        <f aca="false" t="array" ref="D13:D13">IF(ISNA(INDEX(Pokedex!E$2:E$610,MATCH($A13,Pokedex!$B$2:$B$610,0))),"-",INDEX(Pokedex!E$2:E$610,MATCH($A13,Pokedex!$B$2:$B$610,0)))</f>
        <v>0</v>
      </c>
      <c r="E13" s="50" t="n">
        <f aca="false" t="array" ref="E13:E13">IF(ISNA(INDEX(Pokedex!F$2:F$610,MATCH($A13,Pokedex!$B$2:$B$610,0))),"-",INDEX(Pokedex!F$2:F$610,MATCH($A13,Pokedex!$B$2:$B$610,0)))</f>
        <v>0</v>
      </c>
      <c r="F13" s="469" t="e">
        <f aca="false" t="array" ref="F13:F13">IF(ISNA(INDEX(Pokedex!G$2:G$610,MATCH($A13,Pokedex!$B$2:$B$610,0))),"-",INDEX(Pokedex!G$2:G$610,MATCH($A13,Pokedex!$B$2:$B$610,0)))</f>
        <v>#NAME?</v>
      </c>
      <c r="G13" s="50" t="n">
        <f aca="false" t="array" ref="G13:G13">IF(ISNA(INDEX(Pokedex!H$2:H$610,MATCH($A13,Pokedex!$B$2:$B$610,0))),"-",INDEX(Pokedex!H$2:H$610,MATCH($A13,Pokedex!$B$2:$B$610,0)))</f>
        <v>4</v>
      </c>
      <c r="H13" s="477" t="n">
        <f aca="false" t="array" ref="H13:H13">IF(ISNA(INDEX(Pokedex!I$2:I$610,MATCH($A13,Pokedex!$B$2:$B$610,0))),"-",INDEX(Pokedex!I$2:I$610,MATCH($A13,Pokedex!$B$2:$B$610,0)))</f>
        <v>0</v>
      </c>
      <c r="I13" s="477" t="n">
        <f aca="false" t="array" ref="I13:I13">IF(ISNA(INDEX(ExpandedStats!$A$3:$A$240,MATCH($A13,ExpandedStats!$C$3:$C$240,0))),"-",INDEX(ExpandedStats!$A$3:$A$240,MATCH($A13,ExpandedStats!$C$3:$C$240,0)))</f>
        <v>24</v>
      </c>
      <c r="J13" s="819" t="str">
        <f aca="false">DraftRosters!$B$18</f>
        <v>Excadrill</v>
      </c>
      <c r="K13" s="819"/>
      <c r="L13" s="819"/>
      <c r="M13" s="819"/>
      <c r="N13" s="44"/>
      <c r="O13" s="44"/>
      <c r="P13" s="44"/>
      <c r="Q13" s="83" t="str">
        <f aca="false">LVC!$L$1</f>
        <v>LVC</v>
      </c>
      <c r="R13" s="820"/>
      <c r="S13" s="821"/>
      <c r="T13" s="792"/>
      <c r="U13" s="792"/>
      <c r="V13" s="792"/>
      <c r="W13" s="792"/>
      <c r="X13" s="792"/>
      <c r="Y13" s="792"/>
      <c r="Z13" s="792"/>
      <c r="AA13" s="792"/>
      <c r="AB13" s="792"/>
      <c r="AC13" s="792"/>
      <c r="AD13" s="792"/>
    </row>
    <row r="14" customFormat="false" ht="15.75" hidden="false" customHeight="false" outlineLevel="0" collapsed="false">
      <c r="A14" s="817" t="s">
        <v>19</v>
      </c>
      <c r="B14" s="817"/>
      <c r="C14" s="818" t="str">
        <f aca="false" t="array" ref="C14:C14">IF(ISNA(INDEX(Pokedex!J$2:J$610,MATCH($A14,Pokedex!$B$2:$B$610,0))),"-",INDEX(Pokedex!J$2:J$610,MATCH($A14,Pokedex!$B$2:$B$610,0)))</f>
        <v>Tier 3</v>
      </c>
      <c r="D14" s="51" t="n">
        <f aca="false" t="array" ref="D14:D14">IF(ISNA(INDEX(Pokedex!E$2:E$610,MATCH($A14,Pokedex!$B$2:$B$610,0))),"-",INDEX(Pokedex!E$2:E$610,MATCH($A14,Pokedex!$B$2:$B$610,0)))</f>
        <v>0</v>
      </c>
      <c r="E14" s="50" t="n">
        <f aca="false" t="array" ref="E14:E14">IF(ISNA(INDEX(Pokedex!F$2:F$610,MATCH($A14,Pokedex!$B$2:$B$610,0))),"-",INDEX(Pokedex!F$2:F$610,MATCH($A14,Pokedex!$B$2:$B$610,0)))</f>
        <v>0</v>
      </c>
      <c r="F14" s="469" t="e">
        <f aca="false" t="array" ref="F14:F14">IF(ISNA(INDEX(Pokedex!G$2:G$610,MATCH($A14,Pokedex!$B$2:$B$610,0))),"-",INDEX(Pokedex!G$2:G$610,MATCH($A14,Pokedex!$B$2:$B$610,0)))</f>
        <v>#NAME?</v>
      </c>
      <c r="G14" s="50" t="n">
        <f aca="false" t="array" ref="G14:G14">IF(ISNA(INDEX(Pokedex!H$2:H$610,MATCH($A14,Pokedex!$B$2:$B$610,0))),"-",INDEX(Pokedex!H$2:H$610,MATCH($A14,Pokedex!$B$2:$B$610,0)))</f>
        <v>9</v>
      </c>
      <c r="H14" s="477" t="n">
        <f aca="false" t="array" ref="H14:H14">IF(ISNA(INDEX(Pokedex!I$2:I$610,MATCH($A14,Pokedex!$B$2:$B$610,0))),"-",INDEX(Pokedex!I$2:I$610,MATCH($A14,Pokedex!$B$2:$B$610,0)))</f>
        <v>0</v>
      </c>
      <c r="I14" s="727" t="n">
        <f aca="false" t="array" ref="I14:I14">IF(ISNA(INDEX(ExpandedStats!$A$3:$A$240,MATCH($A14,ExpandedStats!$C$3:$C$240,0))),"-",INDEX(ExpandedStats!$A$3:$A$240,MATCH($A14,ExpandedStats!$C$3:$C$240,0)))</f>
        <v>16</v>
      </c>
      <c r="J14" s="810" t="str">
        <f aca="false">DraftRosters!$B$19</f>
        <v>Noivern</v>
      </c>
      <c r="K14" s="810"/>
      <c r="L14" s="810"/>
      <c r="M14" s="810"/>
      <c r="N14" s="44"/>
      <c r="O14" s="44"/>
      <c r="P14" s="44"/>
      <c r="Q14" s="331" t="str">
        <f aca="false">BTB!$L$1</f>
        <v>BTB</v>
      </c>
      <c r="R14" s="822"/>
      <c r="S14" s="792"/>
      <c r="T14" s="792"/>
      <c r="U14" s="792"/>
      <c r="V14" s="792"/>
      <c r="W14" s="792"/>
      <c r="X14" s="792"/>
      <c r="Y14" s="792"/>
      <c r="Z14" s="792"/>
      <c r="AA14" s="792"/>
      <c r="AB14" s="792"/>
      <c r="AC14" s="792"/>
      <c r="AD14" s="792"/>
    </row>
    <row r="15" customFormat="false" ht="15.75" hidden="false" customHeight="false" outlineLevel="0" collapsed="false">
      <c r="A15" s="817" t="s">
        <v>118</v>
      </c>
      <c r="B15" s="817"/>
      <c r="C15" s="818" t="str">
        <f aca="false" t="array" ref="C15:C15">IF(ISNA(INDEX(Pokedex!J$2:J$610,MATCH($A15,Pokedex!$B$2:$B$610,0))),"-",INDEX(Pokedex!J$2:J$610,MATCH($A15,Pokedex!$B$2:$B$610,0)))</f>
        <v>Tier 3</v>
      </c>
      <c r="D15" s="50" t="n">
        <f aca="false" t="array" ref="D15:D15">IF(ISNA(INDEX(Pokedex!E$2:E$610,MATCH($A15,Pokedex!$B$2:$B$610,0))),"-",INDEX(Pokedex!E$2:E$610,MATCH($A15,Pokedex!$B$2:$B$610,0)))</f>
        <v>0</v>
      </c>
      <c r="E15" s="50" t="n">
        <f aca="false" t="array" ref="E15:E15">IF(ISNA(INDEX(Pokedex!F$2:F$610,MATCH($A15,Pokedex!$B$2:$B$610,0))),"-",INDEX(Pokedex!F$2:F$610,MATCH($A15,Pokedex!$B$2:$B$610,0)))</f>
        <v>0</v>
      </c>
      <c r="F15" s="469" t="e">
        <f aca="false" t="array" ref="F15:F15">IF(ISNA(INDEX(Pokedex!G$2:G$610,MATCH($A15,Pokedex!$B$2:$B$610,0))),"-",INDEX(Pokedex!G$2:G$610,MATCH($A15,Pokedex!$B$2:$B$610,0)))</f>
        <v>#NAME?</v>
      </c>
      <c r="G15" s="50" t="n">
        <f aca="false" t="array" ref="G15:G15">IF(ISNA(INDEX(Pokedex!H$2:H$610,MATCH($A15,Pokedex!$B$2:$B$610,0))),"-",INDEX(Pokedex!H$2:H$610,MATCH($A15,Pokedex!$B$2:$B$610,0)))</f>
        <v>2</v>
      </c>
      <c r="H15" s="477" t="n">
        <f aca="false" t="array" ref="H15:H15">IF(ISNA(INDEX(Pokedex!I$2:I$610,MATCH($A15,Pokedex!$B$2:$B$610,0))),"-",INDEX(Pokedex!I$2:I$610,MATCH($A15,Pokedex!$B$2:$B$610,0)))</f>
        <v>0</v>
      </c>
      <c r="I15" s="50" t="n">
        <f aca="false" t="array" ref="I15:I15">IF(ISNA(INDEX(ExpandedStats!$A$3:$A$240,MATCH($A15,ExpandedStats!$C$3:$C$240,0))),"-",INDEX(ExpandedStats!$A$3:$A$240,MATCH($A15,ExpandedStats!$C$3:$C$240,0)))</f>
        <v>54</v>
      </c>
      <c r="J15" s="823"/>
      <c r="K15" s="111"/>
      <c r="L15" s="111"/>
      <c r="M15" s="111"/>
      <c r="N15" s="44"/>
      <c r="O15" s="44"/>
      <c r="P15" s="44"/>
      <c r="Q15" s="331" t="str">
        <f aca="false">SGP!$L$1</f>
        <v>SGP</v>
      </c>
      <c r="R15" s="822"/>
      <c r="S15" s="792"/>
      <c r="T15" s="792"/>
      <c r="U15" s="792"/>
      <c r="V15" s="792"/>
      <c r="W15" s="792"/>
      <c r="X15" s="792"/>
      <c r="Y15" s="792"/>
      <c r="Z15" s="792"/>
      <c r="AA15" s="792"/>
      <c r="AB15" s="792"/>
      <c r="AC15" s="792"/>
      <c r="AD15" s="792"/>
    </row>
    <row r="16" customFormat="false" ht="15.75" hidden="false" customHeight="false" outlineLevel="0" collapsed="false">
      <c r="A16" s="817" t="s">
        <v>103</v>
      </c>
      <c r="B16" s="817"/>
      <c r="C16" s="818" t="str">
        <f aca="false" t="array" ref="C16:C16">IF(ISNA(INDEX(Pokedex!J$2:J$610,MATCH($A16,Pokedex!$B$2:$B$610,0))),"-",INDEX(Pokedex!J$2:J$610,MATCH($A16,Pokedex!$B$2:$B$610,0)))</f>
        <v>Tier 4</v>
      </c>
      <c r="D16" s="51" t="n">
        <f aca="false" t="array" ref="D16:D16">IF(ISNA(INDEX(Pokedex!E$2:E$610,MATCH($A16,Pokedex!$B$2:$B$610,0))),"-",INDEX(Pokedex!E$2:E$610,MATCH($A16,Pokedex!$B$2:$B$610,0)))</f>
        <v>0</v>
      </c>
      <c r="E16" s="50" t="n">
        <f aca="false" t="array" ref="E16:E16">IF(ISNA(INDEX(Pokedex!F$2:F$610,MATCH($A16,Pokedex!$B$2:$B$610,0))),"-",INDEX(Pokedex!F$2:F$610,MATCH($A16,Pokedex!$B$2:$B$610,0)))</f>
        <v>0</v>
      </c>
      <c r="F16" s="469" t="e">
        <f aca="false" t="array" ref="F16:F16">IF(ISNA(INDEX(Pokedex!G$2:G$610,MATCH($A16,Pokedex!$B$2:$B$610,0))),"-",INDEX(Pokedex!G$2:G$610,MATCH($A16,Pokedex!$B$2:$B$610,0)))</f>
        <v>#NAME?</v>
      </c>
      <c r="G16" s="50" t="n">
        <f aca="false" t="array" ref="G16:G16">IF(ISNA(INDEX(Pokedex!H$2:H$610,MATCH($A16,Pokedex!$B$2:$B$610,0))),"-",INDEX(Pokedex!H$2:H$610,MATCH($A16,Pokedex!$B$2:$B$610,0)))</f>
        <v>6</v>
      </c>
      <c r="H16" s="477" t="n">
        <f aca="false" t="array" ref="H16:H16">IF(ISNA(INDEX(Pokedex!I$2:I$610,MATCH($A16,Pokedex!$B$2:$B$610,0))),"-",INDEX(Pokedex!I$2:I$610,MATCH($A16,Pokedex!$B$2:$B$610,0)))</f>
        <v>0</v>
      </c>
      <c r="I16" s="51" t="n">
        <f aca="false" t="array" ref="I16:I16">IF(ISNA(INDEX(ExpandedStats!$A$3:$A$240,MATCH($A16,ExpandedStats!$C$3:$C$240,0))),"-",INDEX(ExpandedStats!$A$3:$A$240,MATCH($A16,ExpandedStats!$C$3:$C$240,0)))</f>
        <v>13</v>
      </c>
      <c r="J16" s="823"/>
      <c r="K16" s="111"/>
      <c r="L16" s="111"/>
      <c r="M16" s="111"/>
      <c r="N16" s="44"/>
      <c r="O16" s="44"/>
      <c r="P16" s="44"/>
      <c r="Q16" s="340" t="str">
        <f aca="false">FTT!$L$1</f>
        <v>FTT</v>
      </c>
      <c r="R16" s="822"/>
      <c r="S16" s="792"/>
      <c r="T16" s="792"/>
      <c r="U16" s="792"/>
      <c r="V16" s="792"/>
      <c r="W16" s="792"/>
      <c r="X16" s="792"/>
      <c r="Y16" s="792"/>
      <c r="Z16" s="792"/>
      <c r="AA16" s="792"/>
      <c r="AB16" s="792"/>
      <c r="AC16" s="792"/>
      <c r="AD16" s="792"/>
    </row>
    <row r="17" customFormat="false" ht="15.75" hidden="false" customHeight="false" outlineLevel="0" collapsed="false">
      <c r="A17" s="817" t="s">
        <v>111</v>
      </c>
      <c r="B17" s="817"/>
      <c r="C17" s="818" t="str">
        <f aca="false" t="array" ref="C17:C17">IF(ISNA(INDEX(Pokedex!J$2:J$610,MATCH($A17,Pokedex!$B$2:$B$610,0))),"-",INDEX(Pokedex!J$2:J$610,MATCH($A17,Pokedex!$B$2:$B$610,0)))</f>
        <v>Tier 5</v>
      </c>
      <c r="D17" s="50" t="n">
        <f aca="false" t="array" ref="D17:D17">IF(ISNA(INDEX(Pokedex!E$2:E$610,MATCH($A17,Pokedex!$B$2:$B$610,0))),"-",INDEX(Pokedex!E$2:E$610,MATCH($A17,Pokedex!$B$2:$B$610,0)))</f>
        <v>0</v>
      </c>
      <c r="E17" s="50" t="n">
        <f aca="false" t="array" ref="E17:E17">IF(ISNA(INDEX(Pokedex!F$2:F$610,MATCH($A17,Pokedex!$B$2:$B$610,0))),"-",INDEX(Pokedex!F$2:F$610,MATCH($A17,Pokedex!$B$2:$B$610,0)))</f>
        <v>0</v>
      </c>
      <c r="F17" s="469" t="e">
        <f aca="false" t="array" ref="F17:F17">IF(ISNA(INDEX(Pokedex!G$2:G$610,MATCH($A17,Pokedex!$B$2:$B$610,0))),"-",INDEX(Pokedex!G$2:G$610,MATCH($A17,Pokedex!$B$2:$B$610,0)))</f>
        <v>#NAME?</v>
      </c>
      <c r="G17" s="50" t="n">
        <f aca="false" t="array" ref="G17:G17">IF(ISNA(INDEX(Pokedex!H$2:H$610,MATCH($A17,Pokedex!$B$2:$B$610,0))),"-",INDEX(Pokedex!H$2:H$610,MATCH($A17,Pokedex!$B$2:$B$610,0)))</f>
        <v>3</v>
      </c>
      <c r="H17" s="477" t="n">
        <f aca="false" t="array" ref="H17:H17">IF(ISNA(INDEX(Pokedex!I$2:I$610,MATCH($A17,Pokedex!$B$2:$B$610,0))),"-",INDEX(Pokedex!I$2:I$610,MATCH($A17,Pokedex!$B$2:$B$610,0)))</f>
        <v>0</v>
      </c>
      <c r="I17" s="50" t="n">
        <f aca="false" t="array" ref="I17:I17">IF(ISNA(INDEX(ExpandedStats!$A$3:$A$240,MATCH($A17,ExpandedStats!$C$3:$C$240,0))),"-",INDEX(ExpandedStats!$A$3:$A$240,MATCH($A17,ExpandedStats!$C$3:$C$240,0)))</f>
        <v>74</v>
      </c>
      <c r="J17" s="823"/>
      <c r="K17" s="111"/>
      <c r="L17" s="111"/>
      <c r="M17" s="111"/>
      <c r="N17" s="44"/>
      <c r="O17" s="44"/>
      <c r="P17" s="44"/>
      <c r="Q17" s="93"/>
      <c r="R17" s="824"/>
      <c r="S17" s="638"/>
      <c r="T17" s="638"/>
      <c r="U17" s="638"/>
      <c r="V17" s="638"/>
      <c r="W17" s="638"/>
      <c r="X17" s="638"/>
      <c r="Y17" s="638"/>
      <c r="Z17" s="638"/>
      <c r="AA17" s="638"/>
      <c r="AB17" s="638"/>
      <c r="AC17" s="638"/>
      <c r="AD17" s="638"/>
    </row>
    <row r="18" customFormat="false" ht="15.75" hidden="false" customHeight="false" outlineLevel="0" collapsed="false">
      <c r="A18" s="817" t="s">
        <v>23</v>
      </c>
      <c r="B18" s="817"/>
      <c r="C18" s="818" t="str">
        <f aca="false" t="array" ref="C18:C18">IF(ISNA(INDEX(Pokedex!J$2:J$610,MATCH($A18,Pokedex!$B$2:$B$610,0))),"-",INDEX(Pokedex!J$2:J$610,MATCH($A18,Pokedex!$B$2:$B$610,0)))</f>
        <v>M1</v>
      </c>
      <c r="D18" s="51" t="n">
        <f aca="false" t="array" ref="D18:D18">IF(ISNA(INDEX(Pokedex!E$2:E$610,MATCH($A18,Pokedex!$B$2:$B$610,0))),"-",INDEX(Pokedex!E$2:E$610,MATCH($A18,Pokedex!$B$2:$B$610,0)))</f>
        <v>0</v>
      </c>
      <c r="E18" s="50" t="n">
        <f aca="false" t="array" ref="E18:E18">IF(ISNA(INDEX(Pokedex!F$2:F$610,MATCH($A18,Pokedex!$B$2:$B$610,0))),"-",INDEX(Pokedex!F$2:F$610,MATCH($A18,Pokedex!$B$2:$B$610,0)))</f>
        <v>0</v>
      </c>
      <c r="F18" s="469" t="e">
        <f aca="false" t="array" ref="F18:F18">IF(ISNA(INDEX(Pokedex!G$2:G$610,MATCH($A18,Pokedex!$B$2:$B$610,0))),"-",INDEX(Pokedex!G$2:G$610,MATCH($A18,Pokedex!$B$2:$B$610,0)))</f>
        <v>#NAME?</v>
      </c>
      <c r="G18" s="50" t="n">
        <f aca="false" t="array" ref="G18:G18">IF(ISNA(INDEX(Pokedex!H$2:H$610,MATCH($A18,Pokedex!$B$2:$B$610,0))),"-",INDEX(Pokedex!H$2:H$610,MATCH($A18,Pokedex!$B$2:$B$610,0)))</f>
        <v>7</v>
      </c>
      <c r="H18" s="477" t="n">
        <f aca="false" t="array" ref="H18:H18">IF(ISNA(INDEX(Pokedex!I$2:I$610,MATCH($A18,Pokedex!$B$2:$B$610,0))),"-",INDEX(Pokedex!I$2:I$610,MATCH($A18,Pokedex!$B$2:$B$610,0)))</f>
        <v>0</v>
      </c>
      <c r="I18" s="51" t="n">
        <f aca="false" t="array" ref="I18:I18">IF(ISNA(INDEX(ExpandedStats!$A$3:$A$240,MATCH($A18,ExpandedStats!$C$3:$C$240,0))),"-",INDEX(ExpandedStats!$A$3:$A$240,MATCH($A18,ExpandedStats!$C$3:$C$240,0)))</f>
        <v>4</v>
      </c>
      <c r="J18" s="823"/>
      <c r="K18" s="111"/>
      <c r="L18" s="111"/>
      <c r="M18" s="111"/>
      <c r="N18" s="44"/>
      <c r="O18" s="44"/>
      <c r="P18" s="44"/>
      <c r="Q18" s="93"/>
      <c r="T18" s="825"/>
      <c r="U18" s="825"/>
      <c r="V18" s="825"/>
      <c r="W18" s="825"/>
      <c r="X18" s="825"/>
      <c r="Y18" s="825"/>
      <c r="Z18" s="825"/>
      <c r="AA18" s="825"/>
      <c r="AB18" s="825"/>
      <c r="AC18" s="825"/>
      <c r="AD18" s="825"/>
    </row>
    <row r="19" customFormat="false" ht="15.75" hidden="false" customHeight="false" outlineLevel="0" collapsed="false">
      <c r="A19" s="817" t="s">
        <v>88</v>
      </c>
      <c r="B19" s="817"/>
      <c r="C19" s="818" t="str">
        <f aca="false" t="array" ref="C19:C19">IF(ISNA(INDEX(Pokedex!J$2:J$610,MATCH($A19,Pokedex!$B$2:$B$610,0))),"-",INDEX(Pokedex!J$2:J$610,MATCH($A19,Pokedex!$B$2:$B$610,0)))</f>
        <v>Tier 1</v>
      </c>
      <c r="D19" s="50" t="n">
        <f aca="false" t="array" ref="D19:D19">IF(ISNA(INDEX(Pokedex!E$2:E$610,MATCH($A19,Pokedex!$B$2:$B$610,0))),"-",INDEX(Pokedex!E$2:E$610,MATCH($A19,Pokedex!$B$2:$B$610,0)))</f>
        <v>0</v>
      </c>
      <c r="E19" s="50" t="n">
        <f aca="false" t="array" ref="E19:E19">IF(ISNA(INDEX(Pokedex!F$2:F$610,MATCH($A19,Pokedex!$B$2:$B$610,0))),"-",INDEX(Pokedex!F$2:F$610,MATCH($A19,Pokedex!$B$2:$B$610,0)))</f>
        <v>0</v>
      </c>
      <c r="F19" s="469" t="e">
        <f aca="false" t="array" ref="F19:F19">IF(ISNA(INDEX(Pokedex!G$2:G$610,MATCH($A19,Pokedex!$B$2:$B$610,0))),"-",INDEX(Pokedex!G$2:G$610,MATCH($A19,Pokedex!$B$2:$B$610,0)))</f>
        <v>#NAME?</v>
      </c>
      <c r="G19" s="50" t="n">
        <f aca="false" t="array" ref="G19:G19">IF(ISNA(INDEX(Pokedex!H$2:H$610,MATCH($A19,Pokedex!$B$2:$B$610,0))),"-",INDEX(Pokedex!H$2:H$610,MATCH($A19,Pokedex!$B$2:$B$610,0)))</f>
        <v>8</v>
      </c>
      <c r="H19" s="477" t="n">
        <f aca="false" t="array" ref="H19:H19">IF(ISNA(INDEX(Pokedex!I$2:I$610,MATCH($A19,Pokedex!$B$2:$B$610,0))),"-",INDEX(Pokedex!I$2:I$610,MATCH($A19,Pokedex!$B$2:$B$610,0)))</f>
        <v>0</v>
      </c>
      <c r="I19" s="50" t="n">
        <f aca="false" t="array" ref="I19:I19">IF(ISNA(INDEX(ExpandedStats!$A$3:$A$240,MATCH($A19,ExpandedStats!$C$3:$C$240,0))),"-",INDEX(ExpandedStats!$A$3:$A$240,MATCH($A19,ExpandedStats!$C$3:$C$240,0)))</f>
        <v>1</v>
      </c>
      <c r="J19" s="823"/>
      <c r="K19" s="111"/>
      <c r="L19" s="111"/>
      <c r="M19" s="111"/>
      <c r="N19" s="44"/>
      <c r="O19" s="44"/>
      <c r="P19" s="44"/>
      <c r="Q19" s="93"/>
      <c r="R19" s="341" t="s">
        <v>2062</v>
      </c>
      <c r="S19" s="341"/>
      <c r="T19" s="771"/>
      <c r="U19" s="771"/>
      <c r="V19" s="771"/>
      <c r="W19" s="771"/>
      <c r="X19" s="771"/>
      <c r="Y19" s="771"/>
      <c r="Z19" s="771"/>
      <c r="AA19" s="771"/>
      <c r="AB19" s="771"/>
      <c r="AC19" s="771"/>
      <c r="AD19" s="771"/>
    </row>
    <row r="20" customFormat="false" ht="15.75" hidden="false" customHeight="false" outlineLevel="0" collapsed="false">
      <c r="A20" s="817" t="s">
        <v>87</v>
      </c>
      <c r="B20" s="817"/>
      <c r="C20" s="818" t="str">
        <f aca="false" t="array" ref="C20:C20">IF(ISNA(INDEX(Pokedex!J$2:J$610,MATCH($A20,Pokedex!$B$2:$B$610,0))),"-",INDEX(Pokedex!J$2:J$610,MATCH($A20,Pokedex!$B$2:$B$610,0)))</f>
        <v>Tier 3</v>
      </c>
      <c r="D20" s="51" t="n">
        <f aca="false" t="array" ref="D20:D20">IF(ISNA(INDEX(Pokedex!E$2:E$610,MATCH($A20,Pokedex!$B$2:$B$610,0))),"-",INDEX(Pokedex!E$2:E$610,MATCH($A20,Pokedex!$B$2:$B$610,0)))</f>
        <v>0</v>
      </c>
      <c r="E20" s="50" t="n">
        <f aca="false" t="array" ref="E20:E20">IF(ISNA(INDEX(Pokedex!F$2:F$610,MATCH($A20,Pokedex!$B$2:$B$610,0))),"-",INDEX(Pokedex!F$2:F$610,MATCH($A20,Pokedex!$B$2:$B$610,0)))</f>
        <v>0</v>
      </c>
      <c r="F20" s="469" t="e">
        <f aca="false" t="array" ref="F20:F20">IF(ISNA(INDEX(Pokedex!G$2:G$610,MATCH($A20,Pokedex!$B$2:$B$610,0))),"-",INDEX(Pokedex!G$2:G$610,MATCH($A20,Pokedex!$B$2:$B$610,0)))</f>
        <v>#NAME?</v>
      </c>
      <c r="G20" s="50" t="n">
        <f aca="false" t="array" ref="G20:G20">IF(ISNA(INDEX(Pokedex!H$2:H$610,MATCH($A20,Pokedex!$B$2:$B$610,0))),"-",INDEX(Pokedex!H$2:H$610,MATCH($A20,Pokedex!$B$2:$B$610,0)))</f>
        <v>5</v>
      </c>
      <c r="H20" s="477" t="n">
        <f aca="false" t="array" ref="H20:H20">IF(ISNA(INDEX(Pokedex!I$2:I$610,MATCH($A20,Pokedex!$B$2:$B$610,0))),"-",INDEX(Pokedex!I$2:I$610,MATCH($A20,Pokedex!$B$2:$B$610,0)))</f>
        <v>0</v>
      </c>
      <c r="I20" s="727" t="n">
        <f aca="false" t="array" ref="I20:I20">IF(ISNA(INDEX(ExpandedStats!$A$3:$A$240,MATCH($A20,ExpandedStats!$C$3:$C$240,0))),"-",INDEX(ExpandedStats!$A$3:$A$240,MATCH($A20,ExpandedStats!$C$3:$C$240,0)))</f>
        <v>47</v>
      </c>
      <c r="K20" s="44"/>
      <c r="L20" s="44"/>
      <c r="M20" s="44"/>
      <c r="N20" s="44"/>
      <c r="O20" s="44"/>
      <c r="P20" s="44"/>
      <c r="Q20" s="93"/>
      <c r="R20" s="400" t="str">
        <f aca="false">IFERROR(__xludf.dummyfunction("{ if(isna(FILTER(MoveDex!$AJ:$AJ,MoveDex!$AI:$AI=$L$1)),,FILTER(MoveDex!$AJ:$AJ,MoveDex!$AI:$AI=$L$1)) ; if(isna(FILTER(MoveDex!$AN:$AN,MoveDex!$AM:$AM=$L$1)),,FILTER(MoveDex!$AN:$AN,MoveDex!$AM:$AM=$L$1)) }"),"Mew")</f>
        <v>Mew</v>
      </c>
      <c r="S20" s="400" t="str">
        <f aca="false">IFERROR(__xludf.dummyfunction("{ if(isna(FILTER(MoveDex!$AK:$AK,MoveDex!$AI:$AI=$L$1)),,FILTER(MoveDex!$AK:$AK,MoveDex!$AI:$AI=$L$1)) ; if(isna(FILTER(MoveDex!$AO:$AO,MoveDex!$AM:$AM=$L$1)),,FILTER(MoveDex!$AO:$AO,MoveDex!$AM:$AM=$L$1)) }"),"Defog")</f>
        <v>Defog</v>
      </c>
      <c r="T20" s="825"/>
      <c r="U20" s="825"/>
      <c r="V20" s="825"/>
      <c r="W20" s="825"/>
      <c r="X20" s="825"/>
      <c r="Y20" s="825"/>
      <c r="Z20" s="825"/>
      <c r="AA20" s="825"/>
      <c r="AB20" s="825"/>
      <c r="AC20" s="825"/>
      <c r="AD20" s="825"/>
    </row>
    <row r="21" customFormat="false" ht="15.75" hidden="false" customHeight="false" outlineLevel="0" collapsed="false">
      <c r="A21" s="817" t="s">
        <v>84</v>
      </c>
      <c r="B21" s="817"/>
      <c r="C21" s="818" t="str">
        <f aca="false" t="array" ref="C21:C21">IF(ISNA(INDEX(Pokedex!J$2:J$610,MATCH($A21,Pokedex!$B$2:$B$610,0))),"-",INDEX(Pokedex!J$2:J$610,MATCH($A21,Pokedex!$B$2:$B$610,0)))</f>
        <v>Tier 4</v>
      </c>
      <c r="D21" s="50" t="n">
        <f aca="false" t="array" ref="D21:D21">IF(ISNA(INDEX(Pokedex!E$2:E$610,MATCH($A21,Pokedex!$B$2:$B$610,0))),"-",INDEX(Pokedex!E$2:E$610,MATCH($A21,Pokedex!$B$2:$B$610,0)))</f>
        <v>0</v>
      </c>
      <c r="E21" s="50" t="n">
        <f aca="false" t="array" ref="E21:E21">IF(ISNA(INDEX(Pokedex!F$2:F$610,MATCH($A21,Pokedex!$B$2:$B$610,0))),"-",INDEX(Pokedex!F$2:F$610,MATCH($A21,Pokedex!$B$2:$B$610,0)))</f>
        <v>0</v>
      </c>
      <c r="F21" s="469" t="e">
        <f aca="false" t="array" ref="F21:F21">IF(ISNA(INDEX(Pokedex!G$2:G$610,MATCH($A21,Pokedex!$B$2:$B$610,0))),"-",INDEX(Pokedex!G$2:G$610,MATCH($A21,Pokedex!$B$2:$B$610,0)))</f>
        <v>#NAME?</v>
      </c>
      <c r="G21" s="50" t="n">
        <f aca="false" t="array" ref="G21:G21">IF(ISNA(INDEX(Pokedex!H$2:H$610,MATCH($A21,Pokedex!$B$2:$B$610,0))),"-",INDEX(Pokedex!H$2:H$610,MATCH($A21,Pokedex!$B$2:$B$610,0)))</f>
        <v>4</v>
      </c>
      <c r="H21" s="477" t="n">
        <f aca="false" t="array" ref="H21:H21">IF(ISNA(INDEX(Pokedex!I$2:I$610,MATCH($A21,Pokedex!$B$2:$B$610,0))),"-",INDEX(Pokedex!I$2:I$610,MATCH($A21,Pokedex!$B$2:$B$610,0)))</f>
        <v>0</v>
      </c>
      <c r="I21" s="50" t="n">
        <f aca="false" t="array" ref="I21:I21">IF(ISNA(INDEX(ExpandedStats!$A$3:$A$240,MATCH($A21,ExpandedStats!$C$3:$C$240,0))),"-",INDEX(ExpandedStats!$A$3:$A$240,MATCH($A21,ExpandedStats!$C$3:$C$240,0)))</f>
        <v>28</v>
      </c>
      <c r="J21" s="823"/>
      <c r="K21" s="111"/>
      <c r="L21" s="111"/>
      <c r="M21" s="111"/>
      <c r="N21" s="44"/>
      <c r="O21" s="44"/>
      <c r="P21" s="44"/>
      <c r="Q21" s="93"/>
      <c r="R21" s="778" t="s">
        <v>103</v>
      </c>
      <c r="S21" s="511" t="s">
        <v>1110</v>
      </c>
      <c r="T21" s="638"/>
      <c r="U21" s="638"/>
      <c r="V21" s="638"/>
      <c r="W21" s="638"/>
      <c r="X21" s="638"/>
      <c r="Y21" s="638"/>
      <c r="Z21" s="638"/>
      <c r="AA21" s="638"/>
      <c r="AB21" s="638"/>
      <c r="AC21" s="638"/>
      <c r="AD21" s="638"/>
    </row>
    <row r="22" customFormat="false" ht="15.75" hidden="false" customHeight="false" outlineLevel="0" collapsed="false">
      <c r="A22" s="826" t="s">
        <v>122</v>
      </c>
      <c r="B22" s="826"/>
      <c r="C22" s="827" t="str">
        <f aca="false" t="array" ref="C22:C22">IF(ISNA(INDEX(Pokedex!J$2:J$610,MATCH($A22,Pokedex!$B$2:$B$610,0))),"-",INDEX(Pokedex!J$2:J$610,MATCH($A22,Pokedex!$B$2:$B$610,0)))</f>
        <v>Tier 5</v>
      </c>
      <c r="D22" s="828" t="n">
        <f aca="false" t="array" ref="D22:D22">IF(ISNA(INDEX(Pokedex!E$2:E$610,MATCH($A22,Pokedex!$B$2:$B$610,0))),"-",INDEX(Pokedex!E$2:E$610,MATCH($A22,Pokedex!$B$2:$B$610,0)))</f>
        <v>0</v>
      </c>
      <c r="E22" s="50" t="n">
        <f aca="false" t="array" ref="E22:E22">IF(ISNA(INDEX(Pokedex!F$2:F$610,MATCH($A22,Pokedex!$B$2:$B$610,0))),"-",INDEX(Pokedex!F$2:F$610,MATCH($A22,Pokedex!$B$2:$B$610,0)))</f>
        <v>0</v>
      </c>
      <c r="F22" s="829" t="e">
        <f aca="false" t="array" ref="F22:F22">IF(ISNA(INDEX(Pokedex!G$2:G$610,MATCH($A22,Pokedex!$B$2:$B$610,0))),"-",INDEX(Pokedex!G$2:G$610,MATCH($A22,Pokedex!$B$2:$B$610,0)))</f>
        <v>#NAME?</v>
      </c>
      <c r="G22" s="830" t="n">
        <f aca="false" t="array" ref="G22:G22">IF(ISNA(INDEX(Pokedex!H$2:H$610,MATCH($A22,Pokedex!$B$2:$B$610,0))),"-",INDEX(Pokedex!H$2:H$610,MATCH($A22,Pokedex!$B$2:$B$610,0)))</f>
        <v>1</v>
      </c>
      <c r="H22" s="831" t="n">
        <f aca="false" t="array" ref="H22:H22">IF(ISNA(INDEX(Pokedex!I$2:I$610,MATCH($A22,Pokedex!$B$2:$B$610,0))),"-",INDEX(Pokedex!I$2:I$610,MATCH($A22,Pokedex!$B$2:$B$610,0)))</f>
        <v>0</v>
      </c>
      <c r="I22" s="828" t="n">
        <f aca="false" t="array" ref="I22:I22">IF(ISNA(INDEX(ExpandedStats!$A$3:$A$240,MATCH($A22,ExpandedStats!$C$3:$C$240,0))),"-",INDEX(ExpandedStats!$A$3:$A$240,MATCH($A22,ExpandedStats!$C$3:$C$240,0)))</f>
        <v>51</v>
      </c>
      <c r="J22" s="823"/>
      <c r="K22" s="111"/>
      <c r="L22" s="111"/>
      <c r="M22" s="111"/>
      <c r="N22" s="44"/>
      <c r="O22" s="44"/>
      <c r="P22" s="44"/>
      <c r="Q22" s="93"/>
      <c r="R22" s="778" t="s">
        <v>87</v>
      </c>
      <c r="S22" s="511" t="s">
        <v>1112</v>
      </c>
      <c r="T22" s="638"/>
      <c r="U22" s="638"/>
      <c r="V22" s="638"/>
      <c r="W22" s="638"/>
      <c r="X22" s="638"/>
      <c r="Y22" s="638"/>
      <c r="Z22" s="638"/>
      <c r="AA22" s="638"/>
      <c r="AB22" s="638"/>
      <c r="AC22" s="638"/>
      <c r="AD22" s="638"/>
    </row>
    <row r="23" customFormat="false" ht="15.75" hidden="false" customHeight="false" outlineLevel="0" collapsed="false">
      <c r="A23" s="832" t="s">
        <v>2063</v>
      </c>
      <c r="B23" s="832"/>
      <c r="C23" s="832"/>
      <c r="D23" s="833" t="n">
        <f aca="false">SUM(D12:D22)</f>
        <v>0</v>
      </c>
      <c r="E23" s="834" t="n">
        <f aca="false">SUM(E12:E22)</f>
        <v>0</v>
      </c>
      <c r="F23" s="111"/>
      <c r="G23" s="111"/>
      <c r="H23" s="111"/>
      <c r="I23" s="111"/>
      <c r="J23" s="111"/>
      <c r="K23" s="111"/>
      <c r="L23" s="111"/>
      <c r="M23" s="111"/>
      <c r="N23" s="44"/>
      <c r="O23" s="44"/>
      <c r="P23" s="44"/>
      <c r="Q23" s="44"/>
      <c r="R23" s="778" t="s">
        <v>88</v>
      </c>
      <c r="S23" s="511" t="s">
        <v>1112</v>
      </c>
      <c r="T23" s="638"/>
      <c r="U23" s="638"/>
      <c r="V23" s="638"/>
      <c r="W23" s="638"/>
      <c r="X23" s="638"/>
      <c r="Y23" s="638"/>
      <c r="Z23" s="638"/>
      <c r="AA23" s="638"/>
      <c r="AB23" s="638"/>
      <c r="AC23" s="638"/>
      <c r="AD23" s="638"/>
    </row>
    <row r="24" customFormat="false" ht="15.75" hidden="false" customHeight="false" outlineLevel="0" collapsed="false">
      <c r="A24" s="400"/>
      <c r="B24" s="400"/>
      <c r="C24" s="400"/>
      <c r="D24" s="835"/>
      <c r="E24" s="835"/>
      <c r="F24" s="111"/>
      <c r="G24" s="111"/>
      <c r="H24" s="111"/>
      <c r="I24" s="111"/>
      <c r="J24" s="111"/>
      <c r="K24" s="111"/>
      <c r="L24" s="111"/>
      <c r="M24" s="111"/>
      <c r="N24" s="44"/>
      <c r="O24" s="44"/>
      <c r="P24" s="44"/>
      <c r="Q24" s="44"/>
      <c r="R24" s="778" t="s">
        <v>111</v>
      </c>
      <c r="S24" s="511" t="s">
        <v>1112</v>
      </c>
      <c r="T24" s="638"/>
      <c r="U24" s="638"/>
      <c r="V24" s="638"/>
      <c r="W24" s="638"/>
      <c r="X24" s="638"/>
      <c r="Y24" s="638"/>
      <c r="Z24" s="638"/>
      <c r="AA24" s="638"/>
      <c r="AB24" s="638"/>
      <c r="AC24" s="638"/>
      <c r="AD24" s="638"/>
    </row>
    <row r="25" customFormat="false" ht="15.75" hidden="false" customHeight="false" outlineLevel="0" collapsed="false">
      <c r="A25" s="400"/>
      <c r="B25" s="400"/>
      <c r="C25" s="400"/>
      <c r="D25" s="44"/>
      <c r="E25" s="44"/>
      <c r="F25" s="44"/>
      <c r="G25" s="44"/>
      <c r="H25" s="44"/>
      <c r="I25" s="44"/>
      <c r="J25" s="111"/>
      <c r="K25" s="111"/>
      <c r="L25" s="111"/>
      <c r="M25" s="111"/>
      <c r="N25" s="44"/>
      <c r="O25" s="44"/>
      <c r="P25" s="44"/>
      <c r="Q25" s="44"/>
      <c r="R25" s="778"/>
      <c r="S25" s="511"/>
      <c r="T25" s="638"/>
      <c r="U25" s="638"/>
      <c r="V25" s="638"/>
      <c r="W25" s="638"/>
      <c r="X25" s="638"/>
      <c r="Y25" s="638"/>
      <c r="Z25" s="638"/>
      <c r="AA25" s="638"/>
      <c r="AB25" s="638"/>
      <c r="AC25" s="638"/>
      <c r="AD25" s="638"/>
      <c r="AE25" s="638"/>
    </row>
    <row r="26" customFormat="false" ht="15.75" hidden="false" customHeight="false" outlineLevel="0" collapsed="false">
      <c r="A26" s="400"/>
      <c r="B26" s="400"/>
      <c r="C26" s="400"/>
      <c r="D26" s="44"/>
      <c r="E26" s="44"/>
      <c r="F26" s="44"/>
      <c r="G26" s="44"/>
      <c r="H26" s="44"/>
      <c r="I26" s="44"/>
      <c r="J26" s="400"/>
      <c r="K26" s="400"/>
      <c r="L26" s="400"/>
      <c r="M26" s="400"/>
      <c r="N26" s="44"/>
      <c r="O26" s="44"/>
      <c r="P26" s="44"/>
      <c r="Q26" s="44"/>
      <c r="R26" s="790"/>
      <c r="S26" s="791"/>
      <c r="T26" s="792"/>
      <c r="U26" s="792"/>
      <c r="V26" s="792"/>
      <c r="W26" s="792"/>
      <c r="X26" s="792"/>
      <c r="Y26" s="792"/>
      <c r="Z26" s="792"/>
      <c r="AA26" s="792"/>
      <c r="AB26" s="792"/>
      <c r="AC26" s="792"/>
      <c r="AD26" s="792"/>
      <c r="AE26" s="792"/>
    </row>
    <row r="27" customFormat="false" ht="15.75" hidden="false" customHeight="false" outlineLevel="0" collapsed="false">
      <c r="A27" s="118" t="s">
        <v>208</v>
      </c>
      <c r="B27" s="118"/>
      <c r="C27" s="118"/>
      <c r="D27" s="836" t="s">
        <v>207</v>
      </c>
      <c r="E27" s="836"/>
      <c r="F27" s="836"/>
      <c r="G27" s="837" t="s">
        <v>209</v>
      </c>
      <c r="H27" s="837"/>
      <c r="I27" s="44"/>
      <c r="J27" s="838" t="s">
        <v>2064</v>
      </c>
      <c r="K27" s="838"/>
      <c r="L27" s="838"/>
      <c r="M27" s="839" t="e">
        <f aca="false">IF($A$28="CHECK ERROR BLOCK",0,IF(NOT($A$28="NONE"),minus(3,COUNTIF(A28:A30,"*")), 3))</f>
        <v>#NAME?</v>
      </c>
      <c r="N27" s="44"/>
      <c r="O27" s="44"/>
      <c r="P27" s="44"/>
      <c r="Q27" s="44"/>
      <c r="R27" s="790"/>
      <c r="S27" s="791"/>
      <c r="T27" s="792"/>
      <c r="U27" s="792"/>
      <c r="V27" s="792"/>
      <c r="W27" s="792"/>
      <c r="X27" s="792"/>
      <c r="Y27" s="792"/>
      <c r="Z27" s="792"/>
      <c r="AA27" s="792"/>
      <c r="AB27" s="792"/>
      <c r="AC27" s="792"/>
      <c r="AD27" s="792"/>
      <c r="AE27" s="792"/>
    </row>
    <row r="28" customFormat="false" ht="15.75" hidden="false" customHeight="false" outlineLevel="0" collapsed="false">
      <c r="A28" s="840" t="str">
        <f aca="false">IFERROR(__xludf.dummyfunction("if(ISNA(filter(Transactions!$O$3:$V$100,Transactions!$M$3:$M$100=$L$1)),""NONE"",if(countif(Transactions!$M$3:$M$100,$L$1)&gt;3,""CHECK ERROR BLOCK"",(filter(Transactions!$O$3:$V$100,Transactions!$M$3:$M$100=$L$1))))"),"Dusknoir")</f>
        <v>Dusknoir</v>
      </c>
      <c r="B28" s="840"/>
      <c r="C28" s="840"/>
      <c r="D28" s="841" t="s">
        <v>122</v>
      </c>
      <c r="E28" s="841"/>
      <c r="F28" s="841"/>
      <c r="G28" s="842" t="s">
        <v>102</v>
      </c>
      <c r="H28" s="842"/>
      <c r="I28" s="44"/>
      <c r="J28" s="843" t="s">
        <v>2065</v>
      </c>
      <c r="K28" s="843"/>
      <c r="L28" s="843"/>
      <c r="M28" s="844" t="s">
        <v>2066</v>
      </c>
      <c r="N28" s="44"/>
      <c r="O28" s="44"/>
      <c r="P28" s="44"/>
      <c r="Q28" s="44"/>
      <c r="R28" s="790"/>
      <c r="S28" s="791"/>
      <c r="T28" s="792"/>
      <c r="U28" s="792"/>
      <c r="V28" s="792"/>
      <c r="W28" s="792"/>
      <c r="X28" s="792"/>
      <c r="Y28" s="792"/>
      <c r="Z28" s="792"/>
      <c r="AA28" s="792"/>
      <c r="AB28" s="792"/>
      <c r="AC28" s="792"/>
      <c r="AD28" s="792"/>
      <c r="AE28" s="792"/>
    </row>
    <row r="29" customFormat="false" ht="15.75" hidden="false" customHeight="true" outlineLevel="0" collapsed="false">
      <c r="A29" s="840" t="s">
        <v>269</v>
      </c>
      <c r="B29" s="840"/>
      <c r="C29" s="840"/>
      <c r="D29" s="841" t="s">
        <v>98</v>
      </c>
      <c r="E29" s="841"/>
      <c r="F29" s="841"/>
      <c r="G29" s="845" t="s">
        <v>83</v>
      </c>
      <c r="H29" s="845"/>
      <c r="I29" s="44"/>
      <c r="J29" s="846" t="s">
        <v>2067</v>
      </c>
      <c r="K29" s="846"/>
      <c r="L29" s="846"/>
      <c r="M29" s="847" t="n">
        <v>1</v>
      </c>
      <c r="N29" s="44"/>
      <c r="O29" s="44"/>
      <c r="P29" s="44"/>
      <c r="Q29" s="44"/>
      <c r="R29" s="790"/>
      <c r="S29" s="791"/>
      <c r="T29" s="792"/>
      <c r="U29" s="792"/>
      <c r="V29" s="792"/>
      <c r="W29" s="792"/>
      <c r="X29" s="792"/>
      <c r="Y29" s="792"/>
      <c r="Z29" s="792"/>
      <c r="AA29" s="792"/>
      <c r="AB29" s="792"/>
      <c r="AC29" s="792"/>
      <c r="AD29" s="792"/>
      <c r="AE29" s="792"/>
    </row>
    <row r="30" customFormat="false" ht="15.75" hidden="false" customHeight="false" outlineLevel="0" collapsed="false">
      <c r="A30" s="848" t="s">
        <v>27</v>
      </c>
      <c r="B30" s="848"/>
      <c r="C30" s="848"/>
      <c r="D30" s="849" t="s">
        <v>87</v>
      </c>
      <c r="E30" s="849"/>
      <c r="F30" s="849"/>
      <c r="G30" s="850" t="s">
        <v>83</v>
      </c>
      <c r="H30" s="850"/>
      <c r="I30" s="44"/>
      <c r="J30" s="851" t="str">
        <f aca="false">IF($A$28="CHECK ERROR BLOCK","ERROR - MAXIMUM NUMBER OF FREE AGENCY TRANSACTIONS LOGGED IN TRANSACTIONS TAB","")</f>
        <v/>
      </c>
      <c r="K30" s="851"/>
      <c r="L30" s="851"/>
      <c r="M30" s="851"/>
      <c r="N30" s="44"/>
      <c r="O30" s="44"/>
      <c r="P30" s="44"/>
      <c r="Q30" s="44"/>
      <c r="R30" s="790"/>
      <c r="S30" s="791"/>
      <c r="T30" s="792"/>
      <c r="U30" s="792"/>
      <c r="V30" s="792"/>
      <c r="W30" s="792"/>
      <c r="X30" s="792"/>
      <c r="Y30" s="792"/>
      <c r="Z30" s="792"/>
      <c r="AA30" s="792"/>
      <c r="AB30" s="792"/>
      <c r="AC30" s="792"/>
      <c r="AD30" s="792"/>
      <c r="AE30" s="792"/>
    </row>
    <row r="31" customFormat="false" ht="15.75" hidden="false" customHeight="false" outlineLevel="0" collapsed="false">
      <c r="A31" s="44"/>
      <c r="B31" s="44"/>
      <c r="C31" s="44"/>
      <c r="D31" s="44"/>
      <c r="E31" s="44"/>
      <c r="F31" s="44"/>
      <c r="G31" s="44"/>
      <c r="H31" s="44"/>
      <c r="I31" s="44"/>
      <c r="J31" s="44"/>
      <c r="K31" s="44"/>
      <c r="L31" s="44"/>
      <c r="M31" s="44"/>
      <c r="N31" s="44"/>
      <c r="O31" s="44"/>
      <c r="P31" s="44"/>
      <c r="Q31" s="44"/>
      <c r="R31" s="820"/>
      <c r="S31" s="821"/>
      <c r="T31" s="792"/>
      <c r="U31" s="792"/>
      <c r="V31" s="792"/>
      <c r="W31" s="792"/>
      <c r="X31" s="792"/>
      <c r="Y31" s="792"/>
      <c r="Z31" s="792"/>
      <c r="AA31" s="792"/>
      <c r="AB31" s="792"/>
      <c r="AC31" s="792"/>
      <c r="AD31" s="792"/>
      <c r="AE31" s="792"/>
    </row>
    <row r="32" customFormat="false" ht="15.75" hidden="false" customHeight="false" outlineLevel="0" collapsed="false">
      <c r="A32" s="118" t="s">
        <v>2068</v>
      </c>
      <c r="B32" s="118"/>
      <c r="C32" s="118"/>
      <c r="D32" s="852" t="s">
        <v>2069</v>
      </c>
      <c r="E32" s="852"/>
      <c r="F32" s="852"/>
      <c r="G32" s="837" t="s">
        <v>209</v>
      </c>
      <c r="H32" s="837"/>
      <c r="I32" s="272" t="s">
        <v>2070</v>
      </c>
      <c r="J32" s="272"/>
      <c r="K32" s="363" t="s">
        <v>213</v>
      </c>
      <c r="L32" s="363"/>
      <c r="M32" s="363"/>
      <c r="N32" s="363"/>
      <c r="O32" s="44"/>
      <c r="P32" s="44"/>
      <c r="Q32" s="44"/>
      <c r="R32" s="824"/>
      <c r="S32" s="638"/>
      <c r="T32" s="638"/>
      <c r="U32" s="638"/>
      <c r="V32" s="638"/>
      <c r="W32" s="638"/>
      <c r="X32" s="638"/>
      <c r="Y32" s="638"/>
      <c r="Z32" s="638"/>
      <c r="AA32" s="638"/>
      <c r="AB32" s="638"/>
      <c r="AC32" s="638"/>
      <c r="AD32" s="638"/>
      <c r="AE32" s="638"/>
    </row>
    <row r="33" customFormat="false" ht="15.75" hidden="false" customHeight="false" outlineLevel="0" collapsed="false">
      <c r="A33" s="840" t="str">
        <f aca="false">IFERROR(__xludf.dummyfunction("if(isna(filter($Q$55:$AD$70,not(isblank($Q$55:$Q$70)))),""NONE"",filter($Q$55:$AD$70,not(isblank($Q$55:$Q$70))))"),"Mamoswine")</f>
        <v>Mamoswine</v>
      </c>
      <c r="B33" s="840"/>
      <c r="C33" s="840"/>
      <c r="D33" s="853" t="s">
        <v>124</v>
      </c>
      <c r="E33" s="853"/>
      <c r="F33" s="853"/>
      <c r="G33" s="854" t="s">
        <v>2031</v>
      </c>
      <c r="H33" s="854"/>
      <c r="I33" s="855" t="s">
        <v>715</v>
      </c>
      <c r="J33" s="855"/>
      <c r="K33" s="856"/>
      <c r="L33" s="856"/>
      <c r="M33" s="856"/>
      <c r="N33" s="856"/>
      <c r="O33" s="44"/>
      <c r="P33" s="44"/>
      <c r="Q33" s="44"/>
      <c r="R33" s="824"/>
      <c r="S33" s="638"/>
      <c r="T33" s="638"/>
      <c r="U33" s="638"/>
      <c r="V33" s="638"/>
      <c r="W33" s="638"/>
      <c r="X33" s="638"/>
      <c r="Y33" s="638"/>
      <c r="Z33" s="638"/>
      <c r="AA33" s="638"/>
      <c r="AB33" s="638"/>
      <c r="AC33" s="638"/>
      <c r="AD33" s="638"/>
      <c r="AE33" s="638"/>
    </row>
    <row r="34" customFormat="false" ht="15.75" hidden="false" customHeight="false" outlineLevel="0" collapsed="false">
      <c r="A34" s="840" t="s">
        <v>98</v>
      </c>
      <c r="B34" s="840"/>
      <c r="C34" s="840"/>
      <c r="D34" s="857" t="s">
        <v>84</v>
      </c>
      <c r="E34" s="857"/>
      <c r="F34" s="857"/>
      <c r="G34" s="854" t="s">
        <v>83</v>
      </c>
      <c r="H34" s="854"/>
      <c r="I34" s="855" t="s">
        <v>705</v>
      </c>
      <c r="J34" s="855"/>
      <c r="K34" s="479" t="s">
        <v>2030</v>
      </c>
      <c r="L34" s="479"/>
      <c r="M34" s="479"/>
      <c r="N34" s="479"/>
      <c r="O34" s="44"/>
      <c r="P34" s="44"/>
      <c r="Q34" s="44"/>
      <c r="R34" s="824"/>
      <c r="S34" s="638"/>
      <c r="T34" s="638"/>
      <c r="U34" s="638"/>
      <c r="V34" s="638"/>
      <c r="W34" s="638"/>
      <c r="X34" s="638"/>
      <c r="Y34" s="638"/>
      <c r="Z34" s="638"/>
      <c r="AA34" s="638"/>
      <c r="AB34" s="638"/>
      <c r="AC34" s="638"/>
      <c r="AD34" s="638"/>
      <c r="AE34" s="638"/>
    </row>
    <row r="35" customFormat="false" ht="15.75" hidden="false" customHeight="false" outlineLevel="0" collapsed="false">
      <c r="A35" s="817" t="s">
        <v>94</v>
      </c>
      <c r="B35" s="817"/>
      <c r="C35" s="817"/>
      <c r="D35" s="858" t="s">
        <v>88</v>
      </c>
      <c r="E35" s="858"/>
      <c r="F35" s="858"/>
      <c r="G35" s="859" t="s">
        <v>83</v>
      </c>
      <c r="H35" s="859"/>
      <c r="I35" s="860" t="s">
        <v>705</v>
      </c>
      <c r="J35" s="860"/>
      <c r="K35" s="856" t="s">
        <v>2030</v>
      </c>
      <c r="L35" s="856"/>
      <c r="M35" s="856"/>
      <c r="N35" s="856"/>
      <c r="O35" s="44"/>
      <c r="P35" s="44"/>
      <c r="Q35" s="44"/>
      <c r="R35" s="824"/>
      <c r="S35" s="638"/>
      <c r="T35" s="638"/>
      <c r="U35" s="638"/>
      <c r="V35" s="638"/>
      <c r="W35" s="638"/>
      <c r="X35" s="638"/>
      <c r="Y35" s="638"/>
      <c r="Z35" s="638"/>
      <c r="AA35" s="638"/>
      <c r="AB35" s="638"/>
      <c r="AC35" s="638"/>
      <c r="AD35" s="638"/>
      <c r="AE35" s="638"/>
    </row>
    <row r="36" customFormat="false" ht="15.75" hidden="false" customHeight="false" outlineLevel="0" collapsed="false">
      <c r="A36" s="840"/>
      <c r="B36" s="840"/>
      <c r="C36" s="840"/>
      <c r="D36" s="857"/>
      <c r="E36" s="857"/>
      <c r="F36" s="857"/>
      <c r="G36" s="854"/>
      <c r="H36" s="854"/>
      <c r="I36" s="855"/>
      <c r="J36" s="855"/>
      <c r="K36" s="479"/>
      <c r="L36" s="479"/>
      <c r="M36" s="479"/>
      <c r="N36" s="479"/>
      <c r="O36" s="44"/>
      <c r="P36" s="44"/>
      <c r="Q36" s="44"/>
      <c r="R36" s="824"/>
      <c r="S36" s="638"/>
      <c r="T36" s="638"/>
      <c r="U36" s="638"/>
      <c r="V36" s="638"/>
      <c r="W36" s="638"/>
      <c r="X36" s="638"/>
      <c r="Y36" s="638"/>
      <c r="Z36" s="638"/>
      <c r="AA36" s="638"/>
      <c r="AB36" s="638"/>
      <c r="AC36" s="638"/>
      <c r="AD36" s="638"/>
      <c r="AE36" s="638"/>
    </row>
    <row r="37" customFormat="false" ht="15.75" hidden="false" customHeight="false" outlineLevel="0" collapsed="false">
      <c r="A37" s="817"/>
      <c r="B37" s="817"/>
      <c r="C37" s="817"/>
      <c r="D37" s="858"/>
      <c r="E37" s="858"/>
      <c r="F37" s="858"/>
      <c r="G37" s="859"/>
      <c r="H37" s="859"/>
      <c r="I37" s="860"/>
      <c r="J37" s="860"/>
      <c r="K37" s="856"/>
      <c r="L37" s="856"/>
      <c r="M37" s="856"/>
      <c r="N37" s="856"/>
      <c r="O37" s="44"/>
      <c r="P37" s="44"/>
      <c r="Q37" s="44"/>
      <c r="R37" s="824"/>
      <c r="S37" s="638"/>
      <c r="T37" s="638"/>
      <c r="U37" s="638"/>
      <c r="V37" s="638"/>
      <c r="W37" s="638"/>
      <c r="X37" s="638"/>
      <c r="Y37" s="638"/>
      <c r="Z37" s="638"/>
      <c r="AA37" s="638"/>
      <c r="AB37" s="638"/>
      <c r="AC37" s="638"/>
      <c r="AD37" s="638"/>
      <c r="AE37" s="638"/>
    </row>
    <row r="38" customFormat="false" ht="15.75" hidden="false" customHeight="false" outlineLevel="0" collapsed="false">
      <c r="A38" s="840"/>
      <c r="B38" s="840"/>
      <c r="C38" s="840"/>
      <c r="D38" s="857"/>
      <c r="E38" s="857"/>
      <c r="F38" s="857"/>
      <c r="G38" s="854"/>
      <c r="H38" s="854"/>
      <c r="I38" s="855"/>
      <c r="J38" s="855"/>
      <c r="K38" s="479"/>
      <c r="L38" s="479"/>
      <c r="M38" s="479"/>
      <c r="N38" s="479"/>
      <c r="O38" s="44"/>
      <c r="P38" s="44"/>
      <c r="Q38" s="44"/>
      <c r="R38" s="824"/>
      <c r="S38" s="638"/>
      <c r="T38" s="638"/>
      <c r="U38" s="638"/>
      <c r="V38" s="638"/>
      <c r="W38" s="638"/>
      <c r="X38" s="638"/>
      <c r="Y38" s="638"/>
      <c r="Z38" s="638"/>
      <c r="AA38" s="638"/>
      <c r="AB38" s="638"/>
      <c r="AC38" s="638"/>
      <c r="AD38" s="638"/>
      <c r="AE38" s="638"/>
    </row>
    <row r="39" customFormat="false" ht="15.75" hidden="false" customHeight="false" outlineLevel="0" collapsed="false">
      <c r="A39" s="817"/>
      <c r="B39" s="817"/>
      <c r="C39" s="817"/>
      <c r="D39" s="858"/>
      <c r="E39" s="858"/>
      <c r="F39" s="858"/>
      <c r="G39" s="859"/>
      <c r="H39" s="859"/>
      <c r="I39" s="860"/>
      <c r="J39" s="860"/>
      <c r="K39" s="856"/>
      <c r="L39" s="856"/>
      <c r="M39" s="856"/>
      <c r="N39" s="856"/>
      <c r="O39" s="44"/>
      <c r="P39" s="44"/>
      <c r="Q39" s="44"/>
      <c r="R39" s="341" t="s">
        <v>2071</v>
      </c>
      <c r="S39" s="341"/>
      <c r="T39" s="771"/>
      <c r="U39" s="771"/>
      <c r="V39" s="771"/>
      <c r="W39" s="771"/>
      <c r="X39" s="771"/>
      <c r="Y39" s="771"/>
      <c r="Z39" s="771"/>
      <c r="AA39" s="771"/>
      <c r="AB39" s="771"/>
      <c r="AC39" s="771"/>
      <c r="AD39" s="771"/>
      <c r="AE39" s="771"/>
    </row>
    <row r="40" customFormat="false" ht="15.75" hidden="false" customHeight="false" outlineLevel="0" collapsed="false">
      <c r="A40" s="840"/>
      <c r="B40" s="840"/>
      <c r="C40" s="840"/>
      <c r="D40" s="857"/>
      <c r="E40" s="857"/>
      <c r="F40" s="857"/>
      <c r="G40" s="854"/>
      <c r="H40" s="854"/>
      <c r="I40" s="855"/>
      <c r="J40" s="855"/>
      <c r="K40" s="479"/>
      <c r="L40" s="479"/>
      <c r="M40" s="479"/>
      <c r="N40" s="479"/>
      <c r="O40" s="44"/>
      <c r="P40" s="44"/>
      <c r="Q40" s="44"/>
      <c r="R40" s="775" t="str">
        <f aca="false">IFERROR(__xludf.dummyfunction("{ if(isna(FILTER(MoveDex!$AR:$AR,MoveDex!$AQ:$AQ=$L$1)),,FILTER(MoveDex!$AR:$AR,MoveDex!$AQ:$AQ=$L$1)) ; if(isna(FILTER(MoveDex!$AV:$AV,MoveDex!$AU:$AU=$L$1)),,FILTER(MoveDex!$AV:$AV,MoveDex!$AU:$AU=$L$1)) ; if(isna(FILTER(MoveDex!$AZ:$AZ,MoveDex!$AY:$AY="&amp;"$L$1)),,FILTER(MoveDex!$AZ:$AZ,MoveDex!$AY:$AY=$L$1)) }"),"")</f>
        <v/>
      </c>
      <c r="S40" s="776" t="str">
        <f aca="false">IFERROR(__xludf.dummyfunction("{ if(isna(FILTER(MoveDex!$AS:$AS,MoveDex!$AQ:$AQ=$L$1)),,FILTER(MoveDex!$AS:$AS,MoveDex!$AQ:$AQ=$L$1)) ; if(isna(FILTER(MoveDex!$AW:$AW,MoveDex!$AU:$AU=$L$1)),,FILTER(MoveDex!$AW:$AW,MoveDex!$AU:$AU=$L$1)) ; if(isna(FILTER(MoveDex!$BA:$BA,MoveDex!$AY:$AY="&amp;"$L$1)),,FILTER(MoveDex!$BA:$BA,MoveDex!$AY:$AY=$L$1)) }"),"")</f>
        <v/>
      </c>
      <c r="T40" s="777"/>
      <c r="U40" s="777"/>
      <c r="V40" s="777"/>
      <c r="W40" s="777"/>
      <c r="X40" s="777"/>
      <c r="Y40" s="777"/>
      <c r="Z40" s="777"/>
      <c r="AA40" s="777"/>
      <c r="AB40" s="777"/>
      <c r="AC40" s="777"/>
      <c r="AD40" s="777"/>
      <c r="AE40" s="777"/>
    </row>
    <row r="41" customFormat="false" ht="15.75" hidden="false" customHeight="false" outlineLevel="0" collapsed="false">
      <c r="A41" s="826"/>
      <c r="B41" s="826"/>
      <c r="C41" s="826"/>
      <c r="D41" s="861"/>
      <c r="E41" s="861"/>
      <c r="F41" s="861"/>
      <c r="G41" s="830"/>
      <c r="H41" s="830"/>
      <c r="I41" s="862"/>
      <c r="J41" s="862"/>
      <c r="K41" s="863"/>
      <c r="L41" s="863"/>
      <c r="M41" s="863"/>
      <c r="N41" s="863"/>
      <c r="O41" s="44"/>
      <c r="P41" s="44"/>
      <c r="Q41" s="44"/>
      <c r="R41" s="778" t="s">
        <v>23</v>
      </c>
      <c r="S41" s="511" t="s">
        <v>1114</v>
      </c>
      <c r="T41" s="638"/>
      <c r="U41" s="638"/>
      <c r="V41" s="638"/>
      <c r="W41" s="638"/>
      <c r="X41" s="638"/>
      <c r="Y41" s="638"/>
      <c r="Z41" s="638"/>
      <c r="AA41" s="638"/>
      <c r="AB41" s="638"/>
      <c r="AC41" s="638"/>
      <c r="AD41" s="638"/>
      <c r="AE41" s="638"/>
    </row>
    <row r="42" customFormat="false" ht="15.75" hidden="false" customHeight="false" outlineLevel="0" collapsed="false">
      <c r="A42" s="44"/>
      <c r="B42" s="44"/>
      <c r="C42" s="44"/>
      <c r="D42" s="44"/>
      <c r="E42" s="44"/>
      <c r="F42" s="44"/>
      <c r="G42" s="44"/>
      <c r="H42" s="44"/>
      <c r="I42" s="44"/>
      <c r="J42" s="44"/>
      <c r="K42" s="44"/>
      <c r="L42" s="44"/>
      <c r="M42" s="44"/>
      <c r="N42" s="44"/>
      <c r="O42" s="44"/>
      <c r="P42" s="44"/>
      <c r="Q42" s="44"/>
      <c r="R42" s="778" t="s">
        <v>85</v>
      </c>
      <c r="S42" s="511" t="s">
        <v>1114</v>
      </c>
      <c r="T42" s="638"/>
      <c r="U42" s="638"/>
      <c r="V42" s="638"/>
      <c r="W42" s="638"/>
      <c r="X42" s="638"/>
      <c r="Y42" s="638"/>
      <c r="Z42" s="638"/>
      <c r="AA42" s="638"/>
      <c r="AB42" s="638"/>
      <c r="AC42" s="638"/>
      <c r="AD42" s="638"/>
      <c r="AE42" s="638"/>
    </row>
    <row r="43" customFormat="false" ht="15.75" hidden="false" customHeight="false" outlineLevel="0" collapsed="false">
      <c r="A43" s="864" t="s">
        <v>2072</v>
      </c>
      <c r="B43" s="864"/>
      <c r="C43" s="864"/>
      <c r="D43" s="562" t="s">
        <v>777</v>
      </c>
      <c r="E43" s="865" t="s">
        <v>778</v>
      </c>
      <c r="F43" s="865" t="s">
        <v>779</v>
      </c>
      <c r="G43" s="865" t="s">
        <v>780</v>
      </c>
      <c r="H43" s="865" t="s">
        <v>781</v>
      </c>
      <c r="I43" s="865" t="s">
        <v>782</v>
      </c>
      <c r="J43" s="363" t="s">
        <v>2063</v>
      </c>
      <c r="K43" s="562" t="s">
        <v>2073</v>
      </c>
      <c r="L43" s="562"/>
      <c r="M43" s="866" t="s">
        <v>2074</v>
      </c>
      <c r="N43" s="866"/>
      <c r="O43" s="44"/>
      <c r="P43" s="44"/>
      <c r="Q43" s="44"/>
      <c r="R43" s="778" t="s">
        <v>124</v>
      </c>
      <c r="S43" s="511" t="s">
        <v>1114</v>
      </c>
      <c r="T43" s="638"/>
      <c r="U43" s="638"/>
      <c r="V43" s="638"/>
      <c r="W43" s="638"/>
      <c r="X43" s="638"/>
      <c r="Y43" s="638"/>
      <c r="Z43" s="638"/>
      <c r="AA43" s="638"/>
      <c r="AB43" s="638"/>
      <c r="AC43" s="638"/>
      <c r="AD43" s="638"/>
      <c r="AE43" s="638"/>
    </row>
    <row r="44" customFormat="false" ht="15.75" hidden="false" customHeight="false" outlineLevel="0" collapsed="false">
      <c r="A44" s="811" t="str">
        <f aca="false">$A$12</f>
        <v>Mew</v>
      </c>
      <c r="B44" s="811"/>
      <c r="C44" s="811"/>
      <c r="D44" s="867" t="n">
        <f aca="false" t="array" ref="D44:D44">IF(ISNA(INDEX(Pokedex!L$2:L$610,MATCH($A44,Pokedex!$B$2:$B$610,0))),"-",INDEX(Pokedex!L$2:L$610,MATCH($A44,Pokedex!$B$2:$B$610,0)))</f>
        <v>100</v>
      </c>
      <c r="E44" s="868" t="n">
        <f aca="false" t="array" ref="E44:E44">IF(ISNA(INDEX(Pokedex!M$2:M$610,MATCH($A44,Pokedex!$B$2:$B$610,0))),"-",INDEX(Pokedex!M$2:M$610,MATCH($A44,Pokedex!$B$2:$B$610,0)))</f>
        <v>100</v>
      </c>
      <c r="F44" s="868" t="n">
        <f aca="false" t="array" ref="F44:F44">IF(ISNA(INDEX(Pokedex!N$2:N$610,MATCH($A44,Pokedex!$B$2:$B$610,0))),"-",INDEX(Pokedex!N$2:N$610,MATCH($A44,Pokedex!$B$2:$B$610,0)))</f>
        <v>100</v>
      </c>
      <c r="G44" s="868" t="n">
        <f aca="false" t="array" ref="G44:G44">IF(ISNA(INDEX(Pokedex!O$2:O$610,MATCH($A44,Pokedex!$B$2:$B$610,0))),"-",INDEX(Pokedex!O$2:O$610,MATCH($A44,Pokedex!$B$2:$B$610,0)))</f>
        <v>100</v>
      </c>
      <c r="H44" s="868" t="n">
        <f aca="false" t="array" ref="H44:H44">IF(ISNA(INDEX(Pokedex!P$2:P$610,MATCH($A44,Pokedex!$B$2:$B$610,0))),"-",INDEX(Pokedex!P$2:P$610,MATCH($A44,Pokedex!$B$2:$B$610,0)))</f>
        <v>100</v>
      </c>
      <c r="I44" s="869" t="n">
        <f aca="false" t="array" ref="I44:I44">IF(ISNA(INDEX(Pokedex!Q$2:Q$610,MATCH($A44,Pokedex!$B$2:$B$610,0))),"-",INDEX(Pokedex!Q$2:Q$610,MATCH($A44,Pokedex!$B$2:$B$610,0)))</f>
        <v>100</v>
      </c>
      <c r="J44" s="868" t="n">
        <f aca="false">SUM(D44:I44)</f>
        <v>600</v>
      </c>
      <c r="K44" s="867" t="str">
        <f aca="false" t="array" ref="K44:K44">IF(ISNA(INDEX(Pokedex!R$2:R$610,MATCH($A44,Pokedex!$B$2:$B$610,0))),"-",INDEX(Pokedex!R$2:R$610,MATCH($A44,Pokedex!$B$2:$B$610,0)))</f>
        <v>Psychic</v>
      </c>
      <c r="L44" s="867"/>
      <c r="M44" s="869" t="n">
        <f aca="false">IF(ISNA(INDEX(Pokedex!S$2:S$610,MATCH($A44,Pokedex!$B$2:$B$610,0))),"-",INDEX(Pokedex!S$2:S$610,MATCH($A44,Pokedex!$B$2:$B$610,0)))</f>
        <v>0</v>
      </c>
      <c r="N44" s="869"/>
      <c r="O44" s="44"/>
      <c r="P44" s="44"/>
      <c r="Q44" s="44"/>
      <c r="R44" s="778" t="s">
        <v>23</v>
      </c>
      <c r="S44" s="511" t="s">
        <v>1115</v>
      </c>
      <c r="T44" s="638"/>
      <c r="U44" s="638"/>
      <c r="V44" s="638"/>
      <c r="W44" s="638"/>
      <c r="X44" s="638"/>
      <c r="Y44" s="638"/>
      <c r="Z44" s="638"/>
      <c r="AA44" s="638"/>
      <c r="AB44" s="638"/>
      <c r="AC44" s="638"/>
      <c r="AD44" s="638"/>
      <c r="AE44" s="638"/>
    </row>
    <row r="45" customFormat="false" ht="15.75" hidden="false" customHeight="false" outlineLevel="0" collapsed="false">
      <c r="A45" s="817" t="str">
        <f aca="false">$A$13</f>
        <v>Sylveon</v>
      </c>
      <c r="B45" s="817"/>
      <c r="C45" s="817"/>
      <c r="D45" s="855" t="n">
        <f aca="false" t="array" ref="D45:D45">IF(ISNA(INDEX(Pokedex!L$2:L$610,MATCH($A45,Pokedex!$B$2:$B$610,0))),"-",INDEX(Pokedex!L$2:L$610,MATCH($A45,Pokedex!$B$2:$B$610,0)))</f>
        <v>95</v>
      </c>
      <c r="E45" s="51" t="n">
        <f aca="false" t="array" ref="E45:E45">IF(ISNA(INDEX(Pokedex!M$2:M$610,MATCH($A45,Pokedex!$B$2:$B$610,0))),"-",INDEX(Pokedex!M$2:M$610,MATCH($A45,Pokedex!$B$2:$B$610,0)))</f>
        <v>65</v>
      </c>
      <c r="F45" s="51" t="n">
        <f aca="false" t="array" ref="F45:F45">IF(ISNA(INDEX(Pokedex!N$2:N$610,MATCH($A45,Pokedex!$B$2:$B$610,0))),"-",INDEX(Pokedex!N$2:N$610,MATCH($A45,Pokedex!$B$2:$B$610,0)))</f>
        <v>65</v>
      </c>
      <c r="G45" s="51" t="n">
        <f aca="false" t="array" ref="G45:G45">IF(ISNA(INDEX(Pokedex!O$2:O$610,MATCH($A45,Pokedex!$B$2:$B$610,0))),"-",INDEX(Pokedex!O$2:O$610,MATCH($A45,Pokedex!$B$2:$B$610,0)))</f>
        <v>110</v>
      </c>
      <c r="H45" s="51" t="n">
        <f aca="false" t="array" ref="H45:H45">IF(ISNA(INDEX(Pokedex!P$2:P$610,MATCH($A45,Pokedex!$B$2:$B$610,0))),"-",INDEX(Pokedex!P$2:P$610,MATCH($A45,Pokedex!$B$2:$B$610,0)))</f>
        <v>130</v>
      </c>
      <c r="I45" s="727" t="n">
        <f aca="false" t="array" ref="I45:I45">IF(ISNA(INDEX(Pokedex!Q$2:Q$610,MATCH($A45,Pokedex!$B$2:$B$610,0))),"-",INDEX(Pokedex!Q$2:Q$610,MATCH($A45,Pokedex!$B$2:$B$610,0)))</f>
        <v>60</v>
      </c>
      <c r="J45" s="51" t="n">
        <f aca="false">SUM(D45:I45)</f>
        <v>525</v>
      </c>
      <c r="K45" s="855" t="str">
        <f aca="false" t="array" ref="K45:K45">IF(ISNA(INDEX(Pokedex!R$2:R$610,MATCH($A45,Pokedex!$B$2:$B$610,0))),"-",INDEX(Pokedex!R$2:R$610,MATCH($A45,Pokedex!$B$2:$B$610,0)))</f>
        <v>Fairy</v>
      </c>
      <c r="L45" s="855"/>
      <c r="M45" s="727" t="n">
        <f aca="false">IF(ISNA(INDEX(Pokedex!S$2:S$610,MATCH($A45,Pokedex!$B$2:$B$610,0))),"-",INDEX(Pokedex!S$2:S$610,MATCH($A45,Pokedex!$B$2:$B$610,0)))</f>
        <v>0</v>
      </c>
      <c r="N45" s="727"/>
      <c r="O45" s="44"/>
      <c r="P45" s="44"/>
      <c r="Q45" s="44"/>
      <c r="R45" s="778" t="s">
        <v>85</v>
      </c>
      <c r="S45" s="511" t="s">
        <v>1115</v>
      </c>
      <c r="T45" s="638"/>
      <c r="U45" s="638"/>
      <c r="V45" s="638"/>
      <c r="W45" s="638"/>
      <c r="X45" s="638"/>
      <c r="Y45" s="638"/>
      <c r="Z45" s="638"/>
      <c r="AA45" s="638"/>
      <c r="AB45" s="638"/>
      <c r="AC45" s="638"/>
      <c r="AD45" s="638"/>
      <c r="AE45" s="638"/>
    </row>
    <row r="46" customFormat="false" ht="15.75" hidden="false" customHeight="false" outlineLevel="0" collapsed="false">
      <c r="A46" s="817" t="str">
        <f aca="false">$A$14</f>
        <v>Galvantula</v>
      </c>
      <c r="B46" s="817"/>
      <c r="C46" s="817"/>
      <c r="D46" s="855" t="n">
        <f aca="false" t="array" ref="D46:D46">IF(ISNA(INDEX(Pokedex!L$2:L$610,MATCH($A46,Pokedex!$B$2:$B$610,0))),"-",INDEX(Pokedex!L$2:L$610,MATCH($A46,Pokedex!$B$2:$B$610,0)))</f>
        <v>70</v>
      </c>
      <c r="E46" s="51" t="n">
        <f aca="false" t="array" ref="E46:E46">IF(ISNA(INDEX(Pokedex!M$2:M$610,MATCH($A46,Pokedex!$B$2:$B$610,0))),"-",INDEX(Pokedex!M$2:M$610,MATCH($A46,Pokedex!$B$2:$B$610,0)))</f>
        <v>77</v>
      </c>
      <c r="F46" s="51" t="n">
        <f aca="false" t="array" ref="F46:F46">IF(ISNA(INDEX(Pokedex!N$2:N$610,MATCH($A46,Pokedex!$B$2:$B$610,0))),"-",INDEX(Pokedex!N$2:N$610,MATCH($A46,Pokedex!$B$2:$B$610,0)))</f>
        <v>60</v>
      </c>
      <c r="G46" s="51" t="n">
        <f aca="false" t="array" ref="G46:G46">IF(ISNA(INDEX(Pokedex!O$2:O$610,MATCH($A46,Pokedex!$B$2:$B$610,0))),"-",INDEX(Pokedex!O$2:O$610,MATCH($A46,Pokedex!$B$2:$B$610,0)))</f>
        <v>97</v>
      </c>
      <c r="H46" s="51" t="n">
        <f aca="false" t="array" ref="H46:H46">IF(ISNA(INDEX(Pokedex!P$2:P$610,MATCH($A46,Pokedex!$B$2:$B$610,0))),"-",INDEX(Pokedex!P$2:P$610,MATCH($A46,Pokedex!$B$2:$B$610,0)))</f>
        <v>60</v>
      </c>
      <c r="I46" s="727" t="n">
        <f aca="false" t="array" ref="I46:I46">IF(ISNA(INDEX(Pokedex!Q$2:Q$610,MATCH($A46,Pokedex!$B$2:$B$610,0))),"-",INDEX(Pokedex!Q$2:Q$610,MATCH($A46,Pokedex!$B$2:$B$610,0)))</f>
        <v>108</v>
      </c>
      <c r="J46" s="51" t="n">
        <f aca="false">SUM(D46:I46)</f>
        <v>472</v>
      </c>
      <c r="K46" s="855" t="str">
        <f aca="false" t="array" ref="K46:K46">IF(ISNA(INDEX(Pokedex!R$2:R$610,MATCH($A46,Pokedex!$B$2:$B$610,0))),"-",INDEX(Pokedex!R$2:R$610,MATCH($A46,Pokedex!$B$2:$B$610,0)))</f>
        <v>Bug</v>
      </c>
      <c r="L46" s="855"/>
      <c r="M46" s="727" t="str">
        <f aca="false" t="array" ref="M46:M46">IF(ISNA(INDEX(Pokedex!S$2:S$610,MATCH($A46,Pokedex!$B$2:$B$610,0))),"-",INDEX(Pokedex!S$2:S$610,MATCH($A46,Pokedex!$B$2:$B$610,0)))</f>
        <v>Electric</v>
      </c>
      <c r="N46" s="727"/>
      <c r="O46" s="44"/>
      <c r="P46" s="44"/>
      <c r="Q46" s="44"/>
      <c r="R46" s="790" t="s">
        <v>124</v>
      </c>
      <c r="S46" s="791" t="s">
        <v>1115</v>
      </c>
      <c r="T46" s="792"/>
      <c r="U46" s="792"/>
      <c r="V46" s="792"/>
      <c r="W46" s="792"/>
      <c r="X46" s="792"/>
      <c r="Y46" s="792"/>
      <c r="Z46" s="792"/>
      <c r="AA46" s="792"/>
      <c r="AB46" s="792"/>
      <c r="AC46" s="792"/>
      <c r="AD46" s="792"/>
      <c r="AE46" s="792"/>
    </row>
    <row r="47" customFormat="false" ht="15.75" hidden="false" customHeight="false" outlineLevel="0" collapsed="false">
      <c r="A47" s="817" t="str">
        <f aca="false">$A$15</f>
        <v>Muk-Alola</v>
      </c>
      <c r="B47" s="817"/>
      <c r="C47" s="817"/>
      <c r="D47" s="855" t="n">
        <f aca="false" t="array" ref="D47:D47">IF(ISNA(INDEX(Pokedex!L$2:L$610,MATCH($A47,Pokedex!$B$2:$B$610,0))),"-",INDEX(Pokedex!L$2:L$610,MATCH($A47,Pokedex!$B$2:$B$610,0)))</f>
        <v>105</v>
      </c>
      <c r="E47" s="51" t="n">
        <f aca="false" t="array" ref="E47:E47">IF(ISNA(INDEX(Pokedex!M$2:M$610,MATCH($A47,Pokedex!$B$2:$B$610,0))),"-",INDEX(Pokedex!M$2:M$610,MATCH($A47,Pokedex!$B$2:$B$610,0)))</f>
        <v>105</v>
      </c>
      <c r="F47" s="51" t="n">
        <f aca="false" t="array" ref="F47:F47">IF(ISNA(INDEX(Pokedex!N$2:N$610,MATCH($A47,Pokedex!$B$2:$B$610,0))),"-",INDEX(Pokedex!N$2:N$610,MATCH($A47,Pokedex!$B$2:$B$610,0)))</f>
        <v>75</v>
      </c>
      <c r="G47" s="51" t="n">
        <f aca="false" t="array" ref="G47:G47">IF(ISNA(INDEX(Pokedex!O$2:O$610,MATCH($A47,Pokedex!$B$2:$B$610,0))),"-",INDEX(Pokedex!O$2:O$610,MATCH($A47,Pokedex!$B$2:$B$610,0)))</f>
        <v>55</v>
      </c>
      <c r="H47" s="51" t="n">
        <f aca="false" t="array" ref="H47:H47">IF(ISNA(INDEX(Pokedex!P$2:P$610,MATCH($A47,Pokedex!$B$2:$B$610,0))),"-",INDEX(Pokedex!P$2:P$610,MATCH($A47,Pokedex!$B$2:$B$610,0)))</f>
        <v>100</v>
      </c>
      <c r="I47" s="727" t="n">
        <f aca="false" t="array" ref="I47:I47">IF(ISNA(INDEX(Pokedex!Q$2:Q$610,MATCH($A47,Pokedex!$B$2:$B$610,0))),"-",INDEX(Pokedex!Q$2:Q$610,MATCH($A47,Pokedex!$B$2:$B$610,0)))</f>
        <v>50</v>
      </c>
      <c r="J47" s="51" t="n">
        <f aca="false">SUM(D47:I47)</f>
        <v>490</v>
      </c>
      <c r="K47" s="855" t="str">
        <f aca="false" t="array" ref="K47:K47">IF(ISNA(INDEX(Pokedex!R$2:R$610,MATCH($A47,Pokedex!$B$2:$B$610,0))),"-",INDEX(Pokedex!R$2:R$610,MATCH($A47,Pokedex!$B$2:$B$610,0)))</f>
        <v>Dark</v>
      </c>
      <c r="L47" s="855"/>
      <c r="M47" s="727" t="str">
        <f aca="false" t="array" ref="M47:M47">IF(ISNA(INDEX(Pokedex!S$2:S$610,MATCH($A47,Pokedex!$B$2:$B$610,0))),"-",INDEX(Pokedex!S$2:S$610,MATCH($A47,Pokedex!$B$2:$B$610,0)))</f>
        <v>Poison</v>
      </c>
      <c r="N47" s="727"/>
      <c r="O47" s="44"/>
      <c r="P47" s="44"/>
      <c r="Q47" s="44"/>
      <c r="R47" s="790"/>
      <c r="S47" s="791"/>
      <c r="T47" s="792"/>
      <c r="U47" s="792"/>
      <c r="V47" s="792"/>
      <c r="W47" s="792"/>
      <c r="X47" s="792"/>
      <c r="Y47" s="792"/>
      <c r="Z47" s="792"/>
      <c r="AA47" s="792"/>
      <c r="AB47" s="792"/>
      <c r="AC47" s="792"/>
      <c r="AD47" s="792"/>
      <c r="AE47" s="792"/>
    </row>
    <row r="48" customFormat="false" ht="15.75" hidden="false" customHeight="false" outlineLevel="0" collapsed="false">
      <c r="A48" s="817" t="str">
        <f aca="false">$A$16</f>
        <v>Noivern</v>
      </c>
      <c r="B48" s="817"/>
      <c r="C48" s="817"/>
      <c r="D48" s="855" t="n">
        <f aca="false" t="array" ref="D48:D48">IF(ISNA(INDEX(Pokedex!L$2:L$610,MATCH($A48,Pokedex!$B$2:$B$610,0))),"-",INDEX(Pokedex!L$2:L$610,MATCH($A48,Pokedex!$B$2:$B$610,0)))</f>
        <v>85</v>
      </c>
      <c r="E48" s="51" t="n">
        <f aca="false" t="array" ref="E48:E48">IF(ISNA(INDEX(Pokedex!M$2:M$610,MATCH($A48,Pokedex!$B$2:$B$610,0))),"-",INDEX(Pokedex!M$2:M$610,MATCH($A48,Pokedex!$B$2:$B$610,0)))</f>
        <v>70</v>
      </c>
      <c r="F48" s="51" t="n">
        <f aca="false" t="array" ref="F48:F48">IF(ISNA(INDEX(Pokedex!N$2:N$610,MATCH($A48,Pokedex!$B$2:$B$610,0))),"-",INDEX(Pokedex!N$2:N$610,MATCH($A48,Pokedex!$B$2:$B$610,0)))</f>
        <v>80</v>
      </c>
      <c r="G48" s="51" t="n">
        <f aca="false" t="array" ref="G48:G48">IF(ISNA(INDEX(Pokedex!O$2:O$610,MATCH($A48,Pokedex!$B$2:$B$610,0))),"-",INDEX(Pokedex!O$2:O$610,MATCH($A48,Pokedex!$B$2:$B$610,0)))</f>
        <v>97</v>
      </c>
      <c r="H48" s="51" t="n">
        <f aca="false" t="array" ref="H48:H48">IF(ISNA(INDEX(Pokedex!P$2:P$610,MATCH($A48,Pokedex!$B$2:$B$610,0))),"-",INDEX(Pokedex!P$2:P$610,MATCH($A48,Pokedex!$B$2:$B$610,0)))</f>
        <v>80</v>
      </c>
      <c r="I48" s="727" t="n">
        <f aca="false" t="array" ref="I48:I48">IF(ISNA(INDEX(Pokedex!Q$2:Q$610,MATCH($A48,Pokedex!$B$2:$B$610,0))),"-",INDEX(Pokedex!Q$2:Q$610,MATCH($A48,Pokedex!$B$2:$B$610,0)))</f>
        <v>123</v>
      </c>
      <c r="J48" s="51" t="n">
        <f aca="false">SUM(D48:I48)</f>
        <v>535</v>
      </c>
      <c r="K48" s="855" t="str">
        <f aca="false" t="array" ref="K48:K48">IF(ISNA(INDEX(Pokedex!R$2:R$610,MATCH($A48,Pokedex!$B$2:$B$610,0))),"-",INDEX(Pokedex!R$2:R$610,MATCH($A48,Pokedex!$B$2:$B$610,0)))</f>
        <v>Dragon</v>
      </c>
      <c r="L48" s="855"/>
      <c r="M48" s="727" t="str">
        <f aca="false" t="array" ref="M48:M48">IF(ISNA(INDEX(Pokedex!S$2:S$610,MATCH($A48,Pokedex!$B$2:$B$610,0))),"-",INDEX(Pokedex!S$2:S$610,MATCH($A48,Pokedex!$B$2:$B$610,0)))</f>
        <v>Flying</v>
      </c>
      <c r="N48" s="727"/>
      <c r="O48" s="44"/>
      <c r="P48" s="44"/>
      <c r="Q48" s="44"/>
      <c r="R48" s="790"/>
      <c r="S48" s="791"/>
      <c r="T48" s="792"/>
      <c r="U48" s="792"/>
      <c r="V48" s="792"/>
      <c r="W48" s="792"/>
      <c r="X48" s="792"/>
      <c r="Y48" s="792"/>
      <c r="Z48" s="792"/>
      <c r="AA48" s="792"/>
      <c r="AB48" s="792"/>
      <c r="AC48" s="792"/>
      <c r="AD48" s="792"/>
      <c r="AE48" s="792"/>
    </row>
    <row r="49" customFormat="false" ht="15.75" hidden="false" customHeight="false" outlineLevel="0" collapsed="false">
      <c r="A49" s="817" t="str">
        <f aca="false">$A$17</f>
        <v>Sandslash</v>
      </c>
      <c r="B49" s="817"/>
      <c r="C49" s="817"/>
      <c r="D49" s="855" t="n">
        <f aca="false" t="array" ref="D49:D49">IF(ISNA(INDEX(Pokedex!L$2:L$610,MATCH($A49,Pokedex!$B$2:$B$610,0))),"-",INDEX(Pokedex!L$2:L$610,MATCH($A49,Pokedex!$B$2:$B$610,0)))</f>
        <v>75</v>
      </c>
      <c r="E49" s="51" t="n">
        <f aca="false" t="array" ref="E49:E49">IF(ISNA(INDEX(Pokedex!M$2:M$610,MATCH($A49,Pokedex!$B$2:$B$610,0))),"-",INDEX(Pokedex!M$2:M$610,MATCH($A49,Pokedex!$B$2:$B$610,0)))</f>
        <v>100</v>
      </c>
      <c r="F49" s="51" t="n">
        <f aca="false" t="array" ref="F49:F49">IF(ISNA(INDEX(Pokedex!N$2:N$610,MATCH($A49,Pokedex!$B$2:$B$610,0))),"-",INDEX(Pokedex!N$2:N$610,MATCH($A49,Pokedex!$B$2:$B$610,0)))</f>
        <v>110</v>
      </c>
      <c r="G49" s="51" t="n">
        <f aca="false" t="array" ref="G49:G49">IF(ISNA(INDEX(Pokedex!O$2:O$610,MATCH($A49,Pokedex!$B$2:$B$610,0))),"-",INDEX(Pokedex!O$2:O$610,MATCH($A49,Pokedex!$B$2:$B$610,0)))</f>
        <v>45</v>
      </c>
      <c r="H49" s="51" t="n">
        <f aca="false" t="array" ref="H49:H49">IF(ISNA(INDEX(Pokedex!P$2:P$610,MATCH($A49,Pokedex!$B$2:$B$610,0))),"-",INDEX(Pokedex!P$2:P$610,MATCH($A49,Pokedex!$B$2:$B$610,0)))</f>
        <v>55</v>
      </c>
      <c r="I49" s="727" t="n">
        <f aca="false" t="array" ref="I49:I49">IF(ISNA(INDEX(Pokedex!Q$2:Q$610,MATCH($A49,Pokedex!$B$2:$B$610,0))),"-",INDEX(Pokedex!Q$2:Q$610,MATCH($A49,Pokedex!$B$2:$B$610,0)))</f>
        <v>65</v>
      </c>
      <c r="J49" s="51" t="n">
        <f aca="false">SUM(D49:I49)</f>
        <v>450</v>
      </c>
      <c r="K49" s="855" t="str">
        <f aca="false" t="array" ref="K49:K49">IF(ISNA(INDEX(Pokedex!R$2:R$610,MATCH($A49,Pokedex!$B$2:$B$610,0))),"-",INDEX(Pokedex!R$2:R$610,MATCH($A49,Pokedex!$B$2:$B$610,0)))</f>
        <v>Ground</v>
      </c>
      <c r="L49" s="855"/>
      <c r="M49" s="727" t="n">
        <f aca="false">IF(ISNA(INDEX(Pokedex!S$2:S$610,MATCH($A49,Pokedex!$B$2:$B$610,0))),"-",INDEX(Pokedex!S$2:S$610,MATCH($A49,Pokedex!$B$2:$B$610,0)))</f>
        <v>0</v>
      </c>
      <c r="N49" s="727"/>
      <c r="O49" s="44"/>
      <c r="P49" s="44"/>
      <c r="Q49" s="44"/>
      <c r="R49" s="790"/>
      <c r="S49" s="791"/>
      <c r="T49" s="792"/>
      <c r="U49" s="792"/>
      <c r="V49" s="792"/>
      <c r="W49" s="792"/>
      <c r="X49" s="792"/>
      <c r="Y49" s="792"/>
      <c r="Z49" s="792"/>
      <c r="AA49" s="792"/>
      <c r="AB49" s="792"/>
      <c r="AC49" s="792"/>
      <c r="AD49" s="792"/>
      <c r="AE49" s="792"/>
    </row>
    <row r="50" customFormat="false" ht="15.75" hidden="false" customHeight="false" outlineLevel="0" collapsed="false">
      <c r="A50" s="817" t="str">
        <f aca="false">$A$18</f>
        <v>Lopunny-Mega</v>
      </c>
      <c r="B50" s="817"/>
      <c r="C50" s="817"/>
      <c r="D50" s="855" t="n">
        <f aca="false" t="array" ref="D50:D50">IF(ISNA(INDEX(Pokedex!L$2:L$610,MATCH($A50,Pokedex!$B$2:$B$610,0))),"-",INDEX(Pokedex!L$2:L$610,MATCH($A50,Pokedex!$B$2:$B$610,0)))</f>
        <v>65</v>
      </c>
      <c r="E50" s="51" t="n">
        <f aca="false" t="array" ref="E50:E50">IF(ISNA(INDEX(Pokedex!M$2:M$610,MATCH($A50,Pokedex!$B$2:$B$610,0))),"-",INDEX(Pokedex!M$2:M$610,MATCH($A50,Pokedex!$B$2:$B$610,0)))</f>
        <v>136</v>
      </c>
      <c r="F50" s="51" t="n">
        <f aca="false" t="array" ref="F50:F50">IF(ISNA(INDEX(Pokedex!N$2:N$610,MATCH($A50,Pokedex!$B$2:$B$610,0))),"-",INDEX(Pokedex!N$2:N$610,MATCH($A50,Pokedex!$B$2:$B$610,0)))</f>
        <v>94</v>
      </c>
      <c r="G50" s="51" t="n">
        <f aca="false" t="array" ref="G50:G50">IF(ISNA(INDEX(Pokedex!O$2:O$610,MATCH($A50,Pokedex!$B$2:$B$610,0))),"-",INDEX(Pokedex!O$2:O$610,MATCH($A50,Pokedex!$B$2:$B$610,0)))</f>
        <v>54</v>
      </c>
      <c r="H50" s="51" t="n">
        <f aca="false" t="array" ref="H50:H50">IF(ISNA(INDEX(Pokedex!P$2:P$610,MATCH($A50,Pokedex!$B$2:$B$610,0))),"-",INDEX(Pokedex!P$2:P$610,MATCH($A50,Pokedex!$B$2:$B$610,0)))</f>
        <v>96</v>
      </c>
      <c r="I50" s="727" t="n">
        <f aca="false" t="array" ref="I50:I50">IF(ISNA(INDEX(Pokedex!Q$2:Q$610,MATCH($A50,Pokedex!$B$2:$B$610,0))),"-",INDEX(Pokedex!Q$2:Q$610,MATCH($A50,Pokedex!$B$2:$B$610,0)))</f>
        <v>135</v>
      </c>
      <c r="J50" s="51" t="n">
        <f aca="false">SUM(D50:I50)</f>
        <v>580</v>
      </c>
      <c r="K50" s="855" t="str">
        <f aca="false" t="array" ref="K50:K50">IF(ISNA(INDEX(Pokedex!R$2:R$610,MATCH($A50,Pokedex!$B$2:$B$610,0))),"-",INDEX(Pokedex!R$2:R$610,MATCH($A50,Pokedex!$B$2:$B$610,0)))</f>
        <v>Fighting</v>
      </c>
      <c r="L50" s="855"/>
      <c r="M50" s="727" t="str">
        <f aca="false" t="array" ref="M50:M50">IF(ISNA(INDEX(Pokedex!S$2:S$610,MATCH($A50,Pokedex!$B$2:$B$610,0))),"-",INDEX(Pokedex!S$2:S$610,MATCH($A50,Pokedex!$B$2:$B$610,0)))</f>
        <v>Normal</v>
      </c>
      <c r="N50" s="727"/>
      <c r="O50" s="44"/>
      <c r="P50" s="44"/>
      <c r="Q50" s="44"/>
      <c r="R50" s="790"/>
      <c r="S50" s="791"/>
      <c r="T50" s="792"/>
      <c r="U50" s="792"/>
      <c r="V50" s="792"/>
      <c r="W50" s="792"/>
      <c r="X50" s="792"/>
      <c r="Y50" s="792"/>
      <c r="Z50" s="792"/>
      <c r="AA50" s="792"/>
      <c r="AB50" s="792"/>
      <c r="AC50" s="792"/>
      <c r="AD50" s="792"/>
      <c r="AE50" s="792"/>
    </row>
    <row r="51" customFormat="false" ht="15.75" hidden="false" customHeight="false" outlineLevel="0" collapsed="false">
      <c r="A51" s="817" t="str">
        <f aca="false">$A$19</f>
        <v>Excadrill</v>
      </c>
      <c r="B51" s="817"/>
      <c r="C51" s="817"/>
      <c r="D51" s="855" t="n">
        <f aca="false" t="array" ref="D51:D51">IF(ISNA(INDEX(Pokedex!L$2:L$610,MATCH($A51,Pokedex!$B$2:$B$610,0))),"-",INDEX(Pokedex!L$2:L$610,MATCH($A51,Pokedex!$B$2:$B$610,0)))</f>
        <v>110</v>
      </c>
      <c r="E51" s="51" t="n">
        <f aca="false" t="array" ref="E51:E51">IF(ISNA(INDEX(Pokedex!M$2:M$610,MATCH($A51,Pokedex!$B$2:$B$610,0))),"-",INDEX(Pokedex!M$2:M$610,MATCH($A51,Pokedex!$B$2:$B$610,0)))</f>
        <v>135</v>
      </c>
      <c r="F51" s="51" t="n">
        <f aca="false" t="array" ref="F51:F51">IF(ISNA(INDEX(Pokedex!N$2:N$610,MATCH($A51,Pokedex!$B$2:$B$610,0))),"-",INDEX(Pokedex!N$2:N$610,MATCH($A51,Pokedex!$B$2:$B$610,0)))</f>
        <v>60</v>
      </c>
      <c r="G51" s="51" t="n">
        <f aca="false" t="array" ref="G51:G51">IF(ISNA(INDEX(Pokedex!O$2:O$610,MATCH($A51,Pokedex!$B$2:$B$610,0))),"-",INDEX(Pokedex!O$2:O$610,MATCH($A51,Pokedex!$B$2:$B$610,0)))</f>
        <v>50</v>
      </c>
      <c r="H51" s="51" t="n">
        <f aca="false" t="array" ref="H51:H51">IF(ISNA(INDEX(Pokedex!P$2:P$610,MATCH($A51,Pokedex!$B$2:$B$610,0))),"-",INDEX(Pokedex!P$2:P$610,MATCH($A51,Pokedex!$B$2:$B$610,0)))</f>
        <v>65</v>
      </c>
      <c r="I51" s="727" t="n">
        <f aca="false" t="array" ref="I51:I51">IF(ISNA(INDEX(Pokedex!Q$2:Q$610,MATCH($A51,Pokedex!$B$2:$B$610,0))),"-",INDEX(Pokedex!Q$2:Q$610,MATCH($A51,Pokedex!$B$2:$B$610,0)))</f>
        <v>88</v>
      </c>
      <c r="J51" s="51" t="n">
        <f aca="false">SUM(D51:I51)</f>
        <v>508</v>
      </c>
      <c r="K51" s="855" t="str">
        <f aca="false" t="array" ref="K51:K51">IF(ISNA(INDEX(Pokedex!R$2:R$610,MATCH($A51,Pokedex!$B$2:$B$610,0))),"-",INDEX(Pokedex!R$2:R$610,MATCH($A51,Pokedex!$B$2:$B$610,0)))</f>
        <v>Ground</v>
      </c>
      <c r="L51" s="855"/>
      <c r="M51" s="727" t="str">
        <f aca="false" t="array" ref="M51:M51">IF(ISNA(INDEX(Pokedex!S$2:S$610,MATCH($A51,Pokedex!$B$2:$B$610,0))),"-",INDEX(Pokedex!S$2:S$610,MATCH($A51,Pokedex!$B$2:$B$610,0)))</f>
        <v>Steel</v>
      </c>
      <c r="N51" s="727"/>
      <c r="O51" s="44"/>
      <c r="P51" s="44"/>
      <c r="Q51" s="44"/>
      <c r="R51" s="820"/>
      <c r="S51" s="821"/>
      <c r="T51" s="792"/>
      <c r="U51" s="792"/>
      <c r="V51" s="792"/>
      <c r="W51" s="792"/>
      <c r="X51" s="792"/>
      <c r="Y51" s="792"/>
      <c r="Z51" s="792"/>
      <c r="AA51" s="792"/>
      <c r="AB51" s="792"/>
      <c r="AC51" s="792"/>
      <c r="AD51" s="792"/>
      <c r="AE51" s="792"/>
    </row>
    <row r="52" customFormat="false" ht="15.75" hidden="false" customHeight="false" outlineLevel="0" collapsed="false">
      <c r="A52" s="817" t="str">
        <f aca="false">$A$20</f>
        <v>Blastoise</v>
      </c>
      <c r="B52" s="817"/>
      <c r="C52" s="817"/>
      <c r="D52" s="855" t="n">
        <f aca="false" t="array" ref="D52:D52">IF(ISNA(INDEX(Pokedex!L$2:L$610,MATCH($A52,Pokedex!$B$2:$B$610,0))),"-",INDEX(Pokedex!L$2:L$610,MATCH($A52,Pokedex!$B$2:$B$610,0)))</f>
        <v>79</v>
      </c>
      <c r="E52" s="51" t="n">
        <f aca="false" t="array" ref="E52:E52">IF(ISNA(INDEX(Pokedex!M$2:M$610,MATCH($A52,Pokedex!$B$2:$B$610,0))),"-",INDEX(Pokedex!M$2:M$610,MATCH($A52,Pokedex!$B$2:$B$610,0)))</f>
        <v>83</v>
      </c>
      <c r="F52" s="51" t="n">
        <f aca="false" t="array" ref="F52:F52">IF(ISNA(INDEX(Pokedex!N$2:N$610,MATCH($A52,Pokedex!$B$2:$B$610,0))),"-",INDEX(Pokedex!N$2:N$610,MATCH($A52,Pokedex!$B$2:$B$610,0)))</f>
        <v>100</v>
      </c>
      <c r="G52" s="51" t="n">
        <f aca="false" t="array" ref="G52:G52">IF(ISNA(INDEX(Pokedex!O$2:O$610,MATCH($A52,Pokedex!$B$2:$B$610,0))),"-",INDEX(Pokedex!O$2:O$610,MATCH($A52,Pokedex!$B$2:$B$610,0)))</f>
        <v>85</v>
      </c>
      <c r="H52" s="51" t="n">
        <f aca="false" t="array" ref="H52:H52">IF(ISNA(INDEX(Pokedex!P$2:P$610,MATCH($A52,Pokedex!$B$2:$B$610,0))),"-",INDEX(Pokedex!P$2:P$610,MATCH($A52,Pokedex!$B$2:$B$610,0)))</f>
        <v>105</v>
      </c>
      <c r="I52" s="727" t="n">
        <f aca="false" t="array" ref="I52:I52">IF(ISNA(INDEX(Pokedex!Q$2:Q$610,MATCH($A52,Pokedex!$B$2:$B$610,0))),"-",INDEX(Pokedex!Q$2:Q$610,MATCH($A52,Pokedex!$B$2:$B$610,0)))</f>
        <v>78</v>
      </c>
      <c r="J52" s="51" t="n">
        <f aca="false">SUM(D52:I52)</f>
        <v>530</v>
      </c>
      <c r="K52" s="855" t="str">
        <f aca="false" t="array" ref="K52:K52">IF(ISNA(INDEX(Pokedex!R$2:R$610,MATCH($A52,Pokedex!$B$2:$B$610,0))),"-",INDEX(Pokedex!R$2:R$610,MATCH($A52,Pokedex!$B$2:$B$610,0)))</f>
        <v>Water</v>
      </c>
      <c r="L52" s="855"/>
      <c r="M52" s="727" t="n">
        <f aca="false">IF(ISNA(INDEX(Pokedex!S$2:S$610,MATCH($A52,Pokedex!$B$2:$B$610,0))),"-",INDEX(Pokedex!S$2:S$610,MATCH($A52,Pokedex!$B$2:$B$610,0)))</f>
        <v>0</v>
      </c>
      <c r="N52" s="727"/>
      <c r="O52" s="44"/>
      <c r="P52" s="44"/>
      <c r="Q52" s="44"/>
      <c r="R52" s="824"/>
      <c r="S52" s="638"/>
      <c r="T52" s="638"/>
      <c r="U52" s="638"/>
      <c r="V52" s="638"/>
      <c r="W52" s="638"/>
      <c r="X52" s="638"/>
      <c r="Y52" s="638"/>
      <c r="Z52" s="638"/>
      <c r="AA52" s="638"/>
      <c r="AB52" s="638"/>
      <c r="AC52" s="638"/>
      <c r="AD52" s="638"/>
      <c r="AE52" s="638"/>
    </row>
    <row r="53" customFormat="false" ht="15.75" hidden="false" customHeight="false" outlineLevel="0" collapsed="false">
      <c r="A53" s="817" t="str">
        <f aca="false">$A$21</f>
        <v>Marowak-Alola</v>
      </c>
      <c r="B53" s="817"/>
      <c r="C53" s="817"/>
      <c r="D53" s="855" t="n">
        <f aca="false" t="array" ref="D53:D53">IF(ISNA(INDEX(Pokedex!L$2:L$610,MATCH($A53,Pokedex!$B$2:$B$610,0))),"-",INDEX(Pokedex!L$2:L$610,MATCH($A53,Pokedex!$B$2:$B$610,0)))</f>
        <v>60</v>
      </c>
      <c r="E53" s="51" t="n">
        <f aca="false" t="array" ref="E53:E53">IF(ISNA(INDEX(Pokedex!M$2:M$610,MATCH($A53,Pokedex!$B$2:$B$610,0))),"-",INDEX(Pokedex!M$2:M$610,MATCH($A53,Pokedex!$B$2:$B$610,0)))</f>
        <v>80</v>
      </c>
      <c r="F53" s="51" t="n">
        <f aca="false" t="array" ref="F53:F53">IF(ISNA(INDEX(Pokedex!N$2:N$610,MATCH($A53,Pokedex!$B$2:$B$610,0))),"-",INDEX(Pokedex!N$2:N$610,MATCH($A53,Pokedex!$B$2:$B$610,0)))</f>
        <v>110</v>
      </c>
      <c r="G53" s="51" t="n">
        <f aca="false" t="array" ref="G53:G53">IF(ISNA(INDEX(Pokedex!O$2:O$610,MATCH($A53,Pokedex!$B$2:$B$610,0))),"-",INDEX(Pokedex!O$2:O$610,MATCH($A53,Pokedex!$B$2:$B$610,0)))</f>
        <v>50</v>
      </c>
      <c r="H53" s="51" t="n">
        <f aca="false" t="array" ref="H53:H53">IF(ISNA(INDEX(Pokedex!P$2:P$610,MATCH($A53,Pokedex!$B$2:$B$610,0))),"-",INDEX(Pokedex!P$2:P$610,MATCH($A53,Pokedex!$B$2:$B$610,0)))</f>
        <v>80</v>
      </c>
      <c r="I53" s="727" t="n">
        <f aca="false" t="array" ref="I53:I53">IF(ISNA(INDEX(Pokedex!Q$2:Q$610,MATCH($A53,Pokedex!$B$2:$B$610,0))),"-",INDEX(Pokedex!Q$2:Q$610,MATCH($A53,Pokedex!$B$2:$B$610,0)))</f>
        <v>45</v>
      </c>
      <c r="J53" s="51" t="n">
        <f aca="false">SUM(D53:I53)</f>
        <v>425</v>
      </c>
      <c r="K53" s="855" t="str">
        <f aca="false" t="array" ref="K53:K53">IF(ISNA(INDEX(Pokedex!R$2:R$610,MATCH($A53,Pokedex!$B$2:$B$610,0))),"-",INDEX(Pokedex!R$2:R$610,MATCH($A53,Pokedex!$B$2:$B$610,0)))</f>
        <v>Fire</v>
      </c>
      <c r="L53" s="855"/>
      <c r="M53" s="727" t="str">
        <f aca="false" t="array" ref="M53:M53">IF(ISNA(INDEX(Pokedex!S$2:S$610,MATCH($A53,Pokedex!$B$2:$B$610,0))),"-",INDEX(Pokedex!S$2:S$610,MATCH($A53,Pokedex!$B$2:$B$610,0)))</f>
        <v>Ghost</v>
      </c>
      <c r="N53" s="727"/>
      <c r="O53" s="44"/>
      <c r="P53" s="44"/>
      <c r="Q53" s="44"/>
      <c r="R53" s="824"/>
      <c r="S53" s="638"/>
      <c r="T53" s="638"/>
      <c r="U53" s="638"/>
      <c r="V53" s="638"/>
      <c r="W53" s="638"/>
      <c r="X53" s="638"/>
      <c r="Y53" s="638"/>
      <c r="Z53" s="638"/>
      <c r="AA53" s="638"/>
      <c r="AB53" s="638"/>
      <c r="AC53" s="638"/>
      <c r="AD53" s="638"/>
      <c r="AE53" s="638"/>
    </row>
    <row r="54" customFormat="false" ht="15.75" hidden="false" customHeight="false" outlineLevel="0" collapsed="false">
      <c r="A54" s="826" t="str">
        <f aca="false">$A$22</f>
        <v>Mantyke</v>
      </c>
      <c r="B54" s="826"/>
      <c r="C54" s="826"/>
      <c r="D54" s="870" t="n">
        <f aca="false" t="array" ref="D54:D54">IF(ISNA(INDEX(Pokedex!L$2:L$610,MATCH($A54,Pokedex!$B$2:$B$610,0))),"-",INDEX(Pokedex!L$2:L$610,MATCH($A54,Pokedex!$B$2:$B$610,0)))</f>
        <v>45</v>
      </c>
      <c r="E54" s="828" t="n">
        <f aca="false" t="array" ref="E54:E54">IF(ISNA(INDEX(Pokedex!M$2:M$610,MATCH($A54,Pokedex!$B$2:$B$610,0))),"-",INDEX(Pokedex!M$2:M$610,MATCH($A54,Pokedex!$B$2:$B$610,0)))</f>
        <v>20</v>
      </c>
      <c r="F54" s="828" t="n">
        <f aca="false" t="array" ref="F54:F54">IF(ISNA(INDEX(Pokedex!N$2:N$610,MATCH($A54,Pokedex!$B$2:$B$610,0))),"-",INDEX(Pokedex!N$2:N$610,MATCH($A54,Pokedex!$B$2:$B$610,0)))</f>
        <v>50</v>
      </c>
      <c r="G54" s="828" t="n">
        <f aca="false" t="array" ref="G54:G54">IF(ISNA(INDEX(Pokedex!O$2:O$610,MATCH($A54,Pokedex!$B$2:$B$610,0))),"-",INDEX(Pokedex!O$2:O$610,MATCH($A54,Pokedex!$B$2:$B$610,0)))</f>
        <v>60</v>
      </c>
      <c r="H54" s="828" t="n">
        <f aca="false" t="array" ref="H54:H54">IF(ISNA(INDEX(Pokedex!P$2:P$610,MATCH($A54,Pokedex!$B$2:$B$610,0))),"-",INDEX(Pokedex!P$2:P$610,MATCH($A54,Pokedex!$B$2:$B$610,0)))</f>
        <v>120</v>
      </c>
      <c r="I54" s="744" t="n">
        <f aca="false" t="array" ref="I54:I54">IF(ISNA(INDEX(Pokedex!Q$2:Q$610,MATCH($A54,Pokedex!$B$2:$B$610,0))),"-",INDEX(Pokedex!Q$2:Q$610,MATCH($A54,Pokedex!$B$2:$B$610,0)))</f>
        <v>50</v>
      </c>
      <c r="J54" s="828" t="n">
        <f aca="false">SUM(D54:I54)</f>
        <v>345</v>
      </c>
      <c r="K54" s="870" t="str">
        <f aca="false" t="array" ref="K54:K54">IF(ISNA(INDEX(Pokedex!R$2:R$610,MATCH($A54,Pokedex!$B$2:$B$610,0))),"-",INDEX(Pokedex!R$2:R$610,MATCH($A54,Pokedex!$B$2:$B$610,0)))</f>
        <v>Flying</v>
      </c>
      <c r="L54" s="870"/>
      <c r="M54" s="744" t="str">
        <f aca="false" t="array" ref="M54:M54">IF(ISNA(INDEX(Pokedex!S$2:S$610,MATCH($A54,Pokedex!$B$2:$B$610,0))),"-",INDEX(Pokedex!S$2:S$610,MATCH($A54,Pokedex!$B$2:$B$610,0)))</f>
        <v>Water</v>
      </c>
      <c r="N54" s="744"/>
      <c r="O54" s="44"/>
      <c r="P54" s="44"/>
      <c r="Q54" s="871" t="s">
        <v>2068</v>
      </c>
      <c r="R54" s="871"/>
      <c r="S54" s="871"/>
      <c r="T54" s="871" t="s">
        <v>2069</v>
      </c>
      <c r="U54" s="871"/>
      <c r="V54" s="871"/>
      <c r="W54" s="872" t="s">
        <v>209</v>
      </c>
      <c r="X54" s="872"/>
      <c r="Y54" s="332" t="s">
        <v>2070</v>
      </c>
      <c r="Z54" s="332"/>
      <c r="AA54" s="172" t="s">
        <v>213</v>
      </c>
      <c r="AB54" s="172"/>
      <c r="AC54" s="172"/>
      <c r="AD54" s="172"/>
      <c r="AE54" s="873"/>
    </row>
    <row r="55" customFormat="false" ht="15.75" hidden="false" customHeight="false" outlineLevel="0" collapsed="false">
      <c r="A55" s="874" t="s">
        <v>2075</v>
      </c>
      <c r="B55" s="874"/>
      <c r="C55" s="874"/>
      <c r="D55" s="875" t="n">
        <f aca="false">IF(ISERROR(AVERAGE(D44:D54)),"-",AVERAGE(D44:D54))</f>
        <v>80.8181818181818</v>
      </c>
      <c r="E55" s="876" t="n">
        <f aca="false">IF(ISERROR(AVERAGE(E44:E54)),"-",AVERAGE(E44:E54))</f>
        <v>88.2727272727273</v>
      </c>
      <c r="F55" s="876" t="n">
        <f aca="false">IF(ISERROR(AVERAGE(F44:F54)),"-",AVERAGE(F44:F54))</f>
        <v>82.1818181818182</v>
      </c>
      <c r="G55" s="876" t="n">
        <f aca="false">IF(ISERROR(AVERAGE(G44:G54)),"-",AVERAGE(G44:G54))</f>
        <v>73</v>
      </c>
      <c r="H55" s="876" t="n">
        <f aca="false">IF(ISERROR(AVERAGE(H44:H54)),"-",AVERAGE(H44:H54))</f>
        <v>90.0909090909091</v>
      </c>
      <c r="I55" s="877" t="n">
        <f aca="false">IF(ISERROR(AVERAGE(I44:I54)),"-",AVERAGE(I44:I54))</f>
        <v>82</v>
      </c>
      <c r="J55" s="877" t="n">
        <f aca="false">IF(ISERROR(AVERAGE(J44:J54)),"-",AVERAGE(J44:J54))</f>
        <v>496.363636363636</v>
      </c>
      <c r="K55" s="44"/>
      <c r="L55" s="44"/>
      <c r="M55" s="44"/>
      <c r="N55" s="44"/>
      <c r="O55" s="44"/>
      <c r="P55" s="44"/>
      <c r="Q55" s="878" t="str">
        <f aca="false">IFERROR(__xludf.dummyfunction("{if(isna(filter(Transactions!$AR$3:$AR$100,Transactions!$AU$3:$AU$100=$L$1)),,filter(Transactions!$AR$3:$AR$100,Transactions!$AU$3:$AU$100=$L$1));if(isna(filter(Transactions!$AW$3:$AW$100,Transactions!$AP$3:$AP$100=$L$1)),,filter(Transactions!$AW$3:$AW$10"&amp;"0,Transactions!$AP$3:$AP$100=$L$1))}"),"Mamoswine")</f>
        <v>Mamoswine</v>
      </c>
      <c r="R55" s="878"/>
      <c r="S55" s="878"/>
      <c r="T55" s="878" t="str">
        <f aca="false">IFERROR(__xludf.dummyfunction("{if(isna(filter(Transactions!$AW$3:$AW$100,Transactions!$AU$3:$AU$100=$L$1)),,filter(Transactions!$AW$3:$AW$100,Transactions!$AU$3:$AU$100=$L$1));if(isna(filter(Transactions!$AR$3:$AR$100,Transactions!$AP$3:$AP$100=$L$1)),,filter(Transactions!$AR$3:$AR$10"&amp;"0,Transactions!$AP$3:$AP$100=$L$1))}"),"Sylveon")</f>
        <v>Sylveon</v>
      </c>
      <c r="U55" s="878"/>
      <c r="V55" s="878"/>
      <c r="W55" s="879" t="str">
        <f aca="false">IFERROR(__xludf.dummyfunction("{if(isna(filter(Transactions!$AZ$3:$AZ$100,Transactions!$AU$3:$AU$100=$L$1)),,filter(Transactions!$AZ$3:$AZ$100,Transactions!$AU$3:$AU$100=$L$1));if(isna(filter(Transactions!$AZ$3:$AZ$100,Transactions!$AP$3:$AP$100=$L$1)),,filter(Transactions!$AZ$3:$AZ$10"&amp;"0,Transactions!$AP$3:$AP$100=$L$1))}"),"Week11")</f>
        <v>Week11</v>
      </c>
      <c r="X55" s="879"/>
      <c r="Y55" s="879" t="str">
        <f aca="false">IFERROR(__xludf.dummyfunction("{if(isna(filter(Transactions!$AP$3:$AP$100,Transactions!$AU$3:$AU$100=$L$1)),,filter(Transactions!$AP$3:$AP$100,Transactions!$AU$3:$AU$100=$L$1));if(isna(filter(Transactions!$AU$3:$AU$100,Transactions!$AP$3:$AP$100=$L$1)),,filter(Transactions!$AU$3:$AU$10"&amp;"0,Transactions!$AP$3:$AP$100=$L$1))}"),"SGP")</f>
        <v>SGP</v>
      </c>
      <c r="Z55" s="879"/>
      <c r="AA55" s="880" t="str">
        <f aca="false">IFERROR(__xludf.dummyfunction("{if(isna(filter(Transactions!$BB$3:$BB$100,Transactions!$AU$3:$AU$100=$L$1)),,filter(Transactions!$BB$3:$BB$100,Transactions!$AU$3:$AU$100=$L$1));if(isna(filter(Transactions!$BB$3:$BB$100,Transactions!$AP$3:$AP$100=$L$1)),,filter(Transactions!$BB$3:$BB$10"&amp;"0,Transactions!$AP$3:$AP$100=$L$1))}"),"")</f>
        <v/>
      </c>
      <c r="AB55" s="880"/>
      <c r="AC55" s="880"/>
      <c r="AD55" s="880"/>
      <c r="AE55" s="881"/>
    </row>
    <row r="56" customFormat="false" ht="15.75" hidden="false" customHeight="false" outlineLevel="0" collapsed="false">
      <c r="A56" s="832" t="s">
        <v>2063</v>
      </c>
      <c r="B56" s="832"/>
      <c r="C56" s="832"/>
      <c r="D56" s="882" t="n">
        <f aca="false">SUM(D44:D54)</f>
        <v>889</v>
      </c>
      <c r="E56" s="883" t="n">
        <f aca="false">SUM(E44:E54)</f>
        <v>971</v>
      </c>
      <c r="F56" s="883" t="n">
        <f aca="false">SUM(F44:F54)</f>
        <v>904</v>
      </c>
      <c r="G56" s="883" t="n">
        <f aca="false">SUM(G44:G54)</f>
        <v>803</v>
      </c>
      <c r="H56" s="883" t="n">
        <f aca="false">SUM(H44:H54)</f>
        <v>991</v>
      </c>
      <c r="I56" s="783" t="n">
        <f aca="false">SUM(I44:I54)</f>
        <v>902</v>
      </c>
      <c r="J56" s="783" t="n">
        <f aca="false">SUM(J44:J54)</f>
        <v>5460</v>
      </c>
      <c r="K56" s="44"/>
      <c r="L56" s="44"/>
      <c r="M56" s="44"/>
      <c r="N56" s="44"/>
      <c r="O56" s="44"/>
      <c r="P56" s="44"/>
      <c r="Q56" s="884" t="s">
        <v>98</v>
      </c>
      <c r="R56" s="884"/>
      <c r="S56" s="884"/>
      <c r="T56" s="884" t="s">
        <v>84</v>
      </c>
      <c r="U56" s="884"/>
      <c r="V56" s="884"/>
      <c r="W56" s="885" t="s">
        <v>83</v>
      </c>
      <c r="X56" s="885"/>
      <c r="Y56" s="885" t="s">
        <v>705</v>
      </c>
      <c r="Z56" s="885"/>
      <c r="AA56" s="757" t="s">
        <v>2030</v>
      </c>
      <c r="AB56" s="757"/>
      <c r="AC56" s="757"/>
      <c r="AD56" s="757"/>
      <c r="AE56" s="886"/>
    </row>
    <row r="57" customFormat="false" ht="15.75" hidden="false" customHeight="false" outlineLevel="0" collapsed="false">
      <c r="A57" s="44"/>
      <c r="B57" s="44"/>
      <c r="C57" s="44"/>
      <c r="D57" s="44"/>
      <c r="E57" s="44"/>
      <c r="F57" s="44"/>
      <c r="G57" s="44"/>
      <c r="H57" s="44"/>
      <c r="I57" s="44"/>
      <c r="J57" s="44"/>
      <c r="K57" s="44"/>
      <c r="L57" s="44"/>
      <c r="M57" s="44"/>
      <c r="N57" s="44"/>
      <c r="O57" s="44"/>
      <c r="P57" s="44"/>
      <c r="Q57" s="887" t="s">
        <v>94</v>
      </c>
      <c r="R57" s="887"/>
      <c r="S57" s="887"/>
      <c r="T57" s="887" t="s">
        <v>88</v>
      </c>
      <c r="U57" s="887"/>
      <c r="V57" s="887"/>
      <c r="W57" s="888" t="s">
        <v>83</v>
      </c>
      <c r="X57" s="888"/>
      <c r="Y57" s="888" t="s">
        <v>705</v>
      </c>
      <c r="Z57" s="888"/>
      <c r="AA57" s="889" t="s">
        <v>2030</v>
      </c>
      <c r="AB57" s="889"/>
      <c r="AC57" s="889"/>
      <c r="AD57" s="889"/>
      <c r="AE57" s="881"/>
    </row>
    <row r="58" customFormat="false" ht="15.75" hidden="false" customHeight="false" outlineLevel="0" collapsed="false">
      <c r="A58" s="852" t="s">
        <v>773</v>
      </c>
      <c r="B58" s="852"/>
      <c r="C58" s="852"/>
      <c r="D58" s="342" t="s">
        <v>2076</v>
      </c>
      <c r="E58" s="342"/>
      <c r="F58" s="342"/>
      <c r="G58" s="342"/>
      <c r="H58" s="342"/>
      <c r="I58" s="342"/>
      <c r="J58" s="50"/>
      <c r="K58" s="341" t="s">
        <v>2077</v>
      </c>
      <c r="L58" s="341"/>
      <c r="M58" s="341"/>
      <c r="N58" s="341"/>
      <c r="O58" s="44"/>
      <c r="P58" s="44"/>
      <c r="Q58" s="884"/>
      <c r="R58" s="884"/>
      <c r="S58" s="884"/>
      <c r="T58" s="884"/>
      <c r="U58" s="884"/>
      <c r="V58" s="884"/>
      <c r="W58" s="885"/>
      <c r="X58" s="885"/>
      <c r="Y58" s="885"/>
      <c r="Z58" s="885"/>
      <c r="AA58" s="757"/>
      <c r="AB58" s="757"/>
      <c r="AC58" s="757"/>
      <c r="AD58" s="757"/>
      <c r="AE58" s="886"/>
    </row>
    <row r="59" customFormat="false" ht="15.75" hidden="false" customHeight="false" outlineLevel="0" collapsed="false">
      <c r="A59" s="890" t="str">
        <f aca="false">$A$12</f>
        <v>Mew</v>
      </c>
      <c r="B59" s="890"/>
      <c r="C59" s="890"/>
      <c r="D59" s="867" t="str">
        <f aca="false" t="array" ref="D59:D59">IF(ISNA(INDEX(Pokedex!T$2:T$610,MATCH($A59,Pokedex!$B$2:$B$610,0))),"-",INDEX(Pokedex!T$2:T$610,MATCH($A59,Pokedex!$B$2:$B$610,0)))</f>
        <v>Synchronize</v>
      </c>
      <c r="E59" s="867"/>
      <c r="F59" s="868" t="n">
        <f aca="false">IF(ISNA(INDEX(Pokedex!U$2:U$610,MATCH($A59,Pokedex!$B$2:$B$610,0))),"-",INDEX(Pokedex!U$2:U$610,MATCH($A59,Pokedex!$B$2:$B$610,0)))</f>
        <v>0</v>
      </c>
      <c r="G59" s="868"/>
      <c r="H59" s="869" t="n">
        <f aca="false">IF(ISNA(INDEX(Pokedex!V$2:V$610,MATCH($A59,Pokedex!$B$2:$B$610,0))),"-",INDEX(Pokedex!V$2:V$610,MATCH($A59,Pokedex!$B$2:$B$610,0)))</f>
        <v>0</v>
      </c>
      <c r="I59" s="869"/>
      <c r="J59" s="44"/>
      <c r="K59" s="891" t="str">
        <f aca="false">IFERROR(__xludf.dummyfunction("if(isna(filter($R$2:$R$13,isblank($R$2:$R$13)=FALSE)),""NONE"",filter($R$2:$R$13,isblank($R$2:$R$13)=FALSE))"),"Excadrill")</f>
        <v>Excadrill</v>
      </c>
      <c r="L59" s="891"/>
      <c r="M59" s="892" t="str">
        <f aca="false">IFERROR(__xludf.dummyfunction("if(isna(filter($S$2:$S$13,isblank($S$2:$S$13)=FALSE)),""N/A"",filter($S$2:$S$13,isblank($S$2:$S$13)=FALSE))"),"Stealth Rock")</f>
        <v>Stealth Rock</v>
      </c>
      <c r="N59" s="892"/>
      <c r="O59" s="44"/>
      <c r="P59" s="44"/>
      <c r="Q59" s="887"/>
      <c r="R59" s="887"/>
      <c r="S59" s="887"/>
      <c r="T59" s="887"/>
      <c r="U59" s="887"/>
      <c r="V59" s="887"/>
      <c r="W59" s="888"/>
      <c r="X59" s="888"/>
      <c r="Y59" s="888"/>
      <c r="Z59" s="888"/>
      <c r="AA59" s="889"/>
      <c r="AB59" s="889"/>
      <c r="AC59" s="889"/>
      <c r="AD59" s="889"/>
      <c r="AE59" s="881"/>
    </row>
    <row r="60" customFormat="false" ht="15.75" hidden="false" customHeight="false" outlineLevel="0" collapsed="false">
      <c r="A60" s="840" t="str">
        <f aca="false">$A$13</f>
        <v>Sylveon</v>
      </c>
      <c r="B60" s="840"/>
      <c r="C60" s="840"/>
      <c r="D60" s="855" t="str">
        <f aca="false" t="array" ref="D60:D60">IF(ISNA(INDEX(Pokedex!T$2:T$610,MATCH($A60,Pokedex!$B$2:$B$610,0))),"-",INDEX(Pokedex!T$2:T$610,MATCH($A60,Pokedex!$B$2:$B$610,0)))</f>
        <v>Cute Charm</v>
      </c>
      <c r="E60" s="855"/>
      <c r="F60" s="854" t="str">
        <f aca="false" t="array" ref="F60:F60">IF(ISNA(INDEX(Pokedex!U$2:U$610,MATCH($A60,Pokedex!$B$2:$B$610,0))),"-",INDEX(Pokedex!U$2:U$610,MATCH($A60,Pokedex!$B$2:$B$610,0)))</f>
        <v>Pixilate</v>
      </c>
      <c r="G60" s="854"/>
      <c r="H60" s="727" t="n">
        <f aca="false">IF(ISNA(INDEX(Pokedex!V$2:V$610,MATCH($A60,Pokedex!$B$2:$B$610,0))),"-",INDEX(Pokedex!V$2:V$610,MATCH($A60,Pokedex!$B$2:$B$610,0)))</f>
        <v>0</v>
      </c>
      <c r="I60" s="727"/>
      <c r="J60" s="44"/>
      <c r="K60" s="823" t="s">
        <v>84</v>
      </c>
      <c r="L60" s="823"/>
      <c r="M60" s="477" t="s">
        <v>1106</v>
      </c>
      <c r="N60" s="477"/>
      <c r="O60" s="44"/>
      <c r="P60" s="44"/>
      <c r="Q60" s="884"/>
      <c r="R60" s="884"/>
      <c r="S60" s="884"/>
      <c r="T60" s="884"/>
      <c r="U60" s="884"/>
      <c r="V60" s="884"/>
      <c r="W60" s="885"/>
      <c r="X60" s="885"/>
      <c r="Y60" s="885"/>
      <c r="Z60" s="885"/>
      <c r="AA60" s="757"/>
      <c r="AB60" s="757"/>
      <c r="AC60" s="757"/>
      <c r="AD60" s="757"/>
      <c r="AE60" s="886"/>
    </row>
    <row r="61" customFormat="false" ht="15.75" hidden="false" customHeight="false" outlineLevel="0" collapsed="false">
      <c r="A61" s="840" t="str">
        <f aca="false">$A$14</f>
        <v>Galvantula</v>
      </c>
      <c r="B61" s="840"/>
      <c r="C61" s="840"/>
      <c r="D61" s="855" t="str">
        <f aca="false" t="array" ref="D61:D61">IF(ISNA(INDEX(Pokedex!T$2:T$610,MATCH($A61,Pokedex!$B$2:$B$610,0))),"-",INDEX(Pokedex!T$2:T$610,MATCH($A61,Pokedex!$B$2:$B$610,0)))</f>
        <v>Compound Eyes</v>
      </c>
      <c r="E61" s="855"/>
      <c r="F61" s="854" t="str">
        <f aca="false" t="array" ref="F61:F61">IF(ISNA(INDEX(Pokedex!U$2:U$610,MATCH($A61,Pokedex!$B$2:$B$610,0))),"-",INDEX(Pokedex!U$2:U$610,MATCH($A61,Pokedex!$B$2:$B$610,0)))</f>
        <v>Unnerve</v>
      </c>
      <c r="G61" s="854"/>
      <c r="H61" s="727" t="str">
        <f aca="false" t="array" ref="H61:H61">IF(ISNA(INDEX(Pokedex!V$2:V$610,MATCH($A61,Pokedex!$B$2:$B$610,0))),"-",INDEX(Pokedex!V$2:V$610,MATCH($A61,Pokedex!$B$2:$B$610,0)))</f>
        <v>Swarm</v>
      </c>
      <c r="I61" s="727"/>
      <c r="J61" s="44"/>
      <c r="K61" s="823" t="s">
        <v>85</v>
      </c>
      <c r="L61" s="823"/>
      <c r="M61" s="477" t="s">
        <v>1106</v>
      </c>
      <c r="N61" s="477"/>
      <c r="O61" s="44"/>
      <c r="P61" s="44"/>
      <c r="Q61" s="887"/>
      <c r="R61" s="887"/>
      <c r="S61" s="887"/>
      <c r="T61" s="887"/>
      <c r="U61" s="887"/>
      <c r="V61" s="887"/>
      <c r="W61" s="888"/>
      <c r="X61" s="888"/>
      <c r="Y61" s="888"/>
      <c r="Z61" s="888"/>
      <c r="AA61" s="889"/>
      <c r="AB61" s="889"/>
      <c r="AC61" s="889"/>
      <c r="AD61" s="889"/>
      <c r="AE61" s="881"/>
    </row>
    <row r="62" customFormat="false" ht="15.75" hidden="false" customHeight="false" outlineLevel="0" collapsed="false">
      <c r="A62" s="840" t="str">
        <f aca="false">$A$15</f>
        <v>Muk-Alola</v>
      </c>
      <c r="B62" s="840"/>
      <c r="C62" s="840"/>
      <c r="D62" s="855" t="str">
        <f aca="false" t="array" ref="D62:D62">IF(ISNA(INDEX(Pokedex!T$2:T$610,MATCH($A62,Pokedex!$B$2:$B$610,0))),"-",INDEX(Pokedex!T$2:T$610,MATCH($A62,Pokedex!$B$2:$B$610,0)))</f>
        <v>Power of Alchemy</v>
      </c>
      <c r="E62" s="855"/>
      <c r="F62" s="854" t="str">
        <f aca="false" t="array" ref="F62:F62">IF(ISNA(INDEX(Pokedex!U$2:U$610,MATCH($A62,Pokedex!$B$2:$B$610,0))),"-",INDEX(Pokedex!U$2:U$610,MATCH($A62,Pokedex!$B$2:$B$610,0)))</f>
        <v>Gluttony</v>
      </c>
      <c r="G62" s="854"/>
      <c r="H62" s="727" t="str">
        <f aca="false" t="array" ref="H62:H62">IF(ISNA(INDEX(Pokedex!V$2:V$610,MATCH($A62,Pokedex!$B$2:$B$610,0))),"-",INDEX(Pokedex!V$2:V$610,MATCH($A62,Pokedex!$B$2:$B$610,0)))</f>
        <v>Poison Touch</v>
      </c>
      <c r="I62" s="727"/>
      <c r="J62" s="44"/>
      <c r="K62" s="823" t="s">
        <v>111</v>
      </c>
      <c r="L62" s="823"/>
      <c r="M62" s="477" t="s">
        <v>1106</v>
      </c>
      <c r="N62" s="477"/>
      <c r="O62" s="44"/>
      <c r="P62" s="44"/>
      <c r="Q62" s="884"/>
      <c r="R62" s="884"/>
      <c r="S62" s="884"/>
      <c r="T62" s="884"/>
      <c r="U62" s="884"/>
      <c r="V62" s="884"/>
      <c r="W62" s="885"/>
      <c r="X62" s="885"/>
      <c r="Y62" s="885"/>
      <c r="Z62" s="885"/>
      <c r="AA62" s="757"/>
      <c r="AB62" s="757"/>
      <c r="AC62" s="757"/>
      <c r="AD62" s="757"/>
      <c r="AE62" s="886"/>
    </row>
    <row r="63" customFormat="false" ht="15.75" hidden="false" customHeight="false" outlineLevel="0" collapsed="false">
      <c r="A63" s="840" t="str">
        <f aca="false">$A$16</f>
        <v>Noivern</v>
      </c>
      <c r="B63" s="840"/>
      <c r="C63" s="840"/>
      <c r="D63" s="855" t="str">
        <f aca="false" t="array" ref="D63:D63">IF(ISNA(INDEX(Pokedex!T$2:T$610,MATCH($A63,Pokedex!$B$2:$B$610,0))),"-",INDEX(Pokedex!T$2:T$610,MATCH($A63,Pokedex!$B$2:$B$610,0)))</f>
        <v>Frisk</v>
      </c>
      <c r="E63" s="855"/>
      <c r="F63" s="854" t="str">
        <f aca="false" t="array" ref="F63:F63">IF(ISNA(INDEX(Pokedex!U$2:U$610,MATCH($A63,Pokedex!$B$2:$B$610,0))),"-",INDEX(Pokedex!U$2:U$610,MATCH($A63,Pokedex!$B$2:$B$610,0)))</f>
        <v>Telepathy</v>
      </c>
      <c r="G63" s="854"/>
      <c r="H63" s="727" t="str">
        <f aca="false" t="array" ref="H63:H63">IF(ISNA(INDEX(Pokedex!V$2:V$610,MATCH($A63,Pokedex!$B$2:$B$610,0))),"-",INDEX(Pokedex!V$2:V$610,MATCH($A63,Pokedex!$B$2:$B$610,0)))</f>
        <v>Infiltrator</v>
      </c>
      <c r="I63" s="727"/>
      <c r="J63" s="44"/>
      <c r="K63" s="823" t="s">
        <v>19</v>
      </c>
      <c r="L63" s="823"/>
      <c r="M63" s="477" t="s">
        <v>1109</v>
      </c>
      <c r="N63" s="477"/>
      <c r="O63" s="44"/>
      <c r="P63" s="44"/>
      <c r="Q63" s="887"/>
      <c r="R63" s="887"/>
      <c r="S63" s="887"/>
      <c r="T63" s="887"/>
      <c r="U63" s="887"/>
      <c r="V63" s="887"/>
      <c r="W63" s="888"/>
      <c r="X63" s="888"/>
      <c r="Y63" s="888"/>
      <c r="Z63" s="888"/>
      <c r="AA63" s="889"/>
      <c r="AB63" s="889"/>
      <c r="AC63" s="889"/>
      <c r="AD63" s="889"/>
      <c r="AE63" s="881"/>
    </row>
    <row r="64" customFormat="false" ht="15.75" hidden="false" customHeight="false" outlineLevel="0" collapsed="false">
      <c r="A64" s="840" t="str">
        <f aca="false">$A$17</f>
        <v>Sandslash</v>
      </c>
      <c r="B64" s="840"/>
      <c r="C64" s="840"/>
      <c r="D64" s="855" t="str">
        <f aca="false" t="array" ref="D64:D64">IF(ISNA(INDEX(Pokedex!T$2:T$610,MATCH($A64,Pokedex!$B$2:$B$610,0))),"-",INDEX(Pokedex!T$2:T$610,MATCH($A64,Pokedex!$B$2:$B$610,0)))</f>
        <v>Sand Rush</v>
      </c>
      <c r="E64" s="855"/>
      <c r="F64" s="854" t="str">
        <f aca="false" t="array" ref="F64:F64">IF(ISNA(INDEX(Pokedex!U$2:U$610,MATCH($A64,Pokedex!$B$2:$B$610,0))),"-",INDEX(Pokedex!U$2:U$610,MATCH($A64,Pokedex!$B$2:$B$610,0)))</f>
        <v>Sand Veil</v>
      </c>
      <c r="G64" s="854"/>
      <c r="H64" s="727" t="n">
        <f aca="false">IF(ISNA(INDEX(Pokedex!V$2:V$610,MATCH($A64,Pokedex!$B$2:$B$610,0))),"-",INDEX(Pokedex!V$2:V$610,MATCH($A64,Pokedex!$B$2:$B$610,0)))</f>
        <v>0</v>
      </c>
      <c r="I64" s="727"/>
      <c r="J64" s="44"/>
      <c r="K64" s="823"/>
      <c r="L64" s="823"/>
      <c r="M64" s="477"/>
      <c r="N64" s="477"/>
      <c r="O64" s="44"/>
      <c r="P64" s="44"/>
      <c r="Q64" s="884"/>
      <c r="R64" s="884"/>
      <c r="S64" s="884"/>
      <c r="T64" s="884"/>
      <c r="U64" s="884"/>
      <c r="V64" s="884"/>
      <c r="W64" s="885"/>
      <c r="X64" s="885"/>
      <c r="Y64" s="885"/>
      <c r="Z64" s="885"/>
      <c r="AA64" s="757"/>
      <c r="AB64" s="757"/>
      <c r="AC64" s="757"/>
      <c r="AD64" s="757"/>
      <c r="AE64" s="886"/>
    </row>
    <row r="65" customFormat="false" ht="15.75" hidden="false" customHeight="false" outlineLevel="0" collapsed="false">
      <c r="A65" s="840" t="str">
        <f aca="false">$A$18</f>
        <v>Lopunny-Mega</v>
      </c>
      <c r="B65" s="840"/>
      <c r="C65" s="840"/>
      <c r="D65" s="855" t="str">
        <f aca="false" t="array" ref="D65:D65">IF(ISNA(INDEX(Pokedex!T$2:T$610,MATCH($A65,Pokedex!$B$2:$B$610,0))),"-",INDEX(Pokedex!T$2:T$610,MATCH($A65,Pokedex!$B$2:$B$610,0)))</f>
        <v>Scrappy</v>
      </c>
      <c r="E65" s="855"/>
      <c r="F65" s="854" t="n">
        <f aca="false">IF(ISNA(INDEX(Pokedex!U$2:U$610,MATCH($A65,Pokedex!$B$2:$B$610,0))),"-",INDEX(Pokedex!U$2:U$610,MATCH($A65,Pokedex!$B$2:$B$610,0)))</f>
        <v>0</v>
      </c>
      <c r="G65" s="854"/>
      <c r="H65" s="727" t="n">
        <f aca="false">IF(ISNA(INDEX(Pokedex!V$2:V$610,MATCH($A65,Pokedex!$B$2:$B$610,0))),"-",INDEX(Pokedex!V$2:V$610,MATCH($A65,Pokedex!$B$2:$B$610,0)))</f>
        <v>0</v>
      </c>
      <c r="I65" s="727"/>
      <c r="J65" s="44"/>
      <c r="K65" s="823"/>
      <c r="L65" s="823"/>
      <c r="M65" s="477"/>
      <c r="N65" s="477"/>
      <c r="O65" s="44"/>
      <c r="P65" s="44"/>
      <c r="Q65" s="887"/>
      <c r="R65" s="887"/>
      <c r="S65" s="887"/>
      <c r="T65" s="887"/>
      <c r="U65" s="887"/>
      <c r="V65" s="887"/>
      <c r="W65" s="888"/>
      <c r="X65" s="888"/>
      <c r="Y65" s="888"/>
      <c r="Z65" s="888"/>
      <c r="AA65" s="889"/>
      <c r="AB65" s="889"/>
      <c r="AC65" s="889"/>
      <c r="AD65" s="889"/>
      <c r="AE65" s="881"/>
    </row>
    <row r="66" customFormat="false" ht="15.75" hidden="false" customHeight="false" outlineLevel="0" collapsed="false">
      <c r="A66" s="840" t="str">
        <f aca="false">$A$19</f>
        <v>Excadrill</v>
      </c>
      <c r="B66" s="840"/>
      <c r="C66" s="840"/>
      <c r="D66" s="855" t="str">
        <f aca="false" t="array" ref="D66:D66">IF(ISNA(INDEX(Pokedex!T$2:T$610,MATCH($A66,Pokedex!$B$2:$B$610,0))),"-",INDEX(Pokedex!T$2:T$610,MATCH($A66,Pokedex!$B$2:$B$610,0)))</f>
        <v>Mold Breaker</v>
      </c>
      <c r="E66" s="855"/>
      <c r="F66" s="854" t="str">
        <f aca="false" t="array" ref="F66:F66">IF(ISNA(INDEX(Pokedex!U$2:U$610,MATCH($A66,Pokedex!$B$2:$B$610,0))),"-",INDEX(Pokedex!U$2:U$610,MATCH($A66,Pokedex!$B$2:$B$610,0)))</f>
        <v>Sand Rush</v>
      </c>
      <c r="G66" s="854"/>
      <c r="H66" s="727" t="str">
        <f aca="false" t="array" ref="H66:H66">IF(ISNA(INDEX(Pokedex!V$2:V$610,MATCH($A66,Pokedex!$B$2:$B$610,0))),"-",INDEX(Pokedex!V$2:V$610,MATCH($A66,Pokedex!$B$2:$B$610,0)))</f>
        <v>Sand Force</v>
      </c>
      <c r="I66" s="727"/>
      <c r="J66" s="44"/>
      <c r="K66" s="823"/>
      <c r="L66" s="823"/>
      <c r="M66" s="477"/>
      <c r="N66" s="477"/>
      <c r="O66" s="44"/>
      <c r="P66" s="44"/>
      <c r="Q66" s="884"/>
      <c r="R66" s="884"/>
      <c r="S66" s="884"/>
      <c r="T66" s="884"/>
      <c r="U66" s="884"/>
      <c r="V66" s="884"/>
      <c r="W66" s="885"/>
      <c r="X66" s="885"/>
      <c r="Y66" s="885"/>
      <c r="Z66" s="885"/>
      <c r="AA66" s="757"/>
      <c r="AB66" s="757"/>
      <c r="AC66" s="757"/>
      <c r="AD66" s="757"/>
      <c r="AE66" s="886"/>
    </row>
    <row r="67" customFormat="false" ht="15.75" hidden="false" customHeight="false" outlineLevel="0" collapsed="false">
      <c r="A67" s="840" t="str">
        <f aca="false">$A$20</f>
        <v>Blastoise</v>
      </c>
      <c r="B67" s="840"/>
      <c r="C67" s="840"/>
      <c r="D67" s="855" t="str">
        <f aca="false" t="array" ref="D67:D67">IF(ISNA(INDEX(Pokedex!T$2:T$610,MATCH($A67,Pokedex!$B$2:$B$610,0))),"-",INDEX(Pokedex!T$2:T$610,MATCH($A67,Pokedex!$B$2:$B$610,0)))</f>
        <v>Torrent</v>
      </c>
      <c r="E67" s="855"/>
      <c r="F67" s="854" t="str">
        <f aca="false" t="array" ref="F67:F67">IF(ISNA(INDEX(Pokedex!U$2:U$610,MATCH($A67,Pokedex!$B$2:$B$610,0))),"-",INDEX(Pokedex!U$2:U$610,MATCH($A67,Pokedex!$B$2:$B$610,0)))</f>
        <v>Rain Dish</v>
      </c>
      <c r="G67" s="854"/>
      <c r="H67" s="727" t="n">
        <f aca="false">IF(ISNA(INDEX(Pokedex!V$2:V$610,MATCH($A67,Pokedex!$B$2:$B$610,0))),"-",INDEX(Pokedex!V$2:V$610,MATCH($A67,Pokedex!$B$2:$B$610,0)))</f>
        <v>0</v>
      </c>
      <c r="I67" s="727"/>
      <c r="J67" s="44"/>
      <c r="K67" s="823"/>
      <c r="L67" s="823"/>
      <c r="M67" s="477"/>
      <c r="N67" s="477"/>
      <c r="O67" s="44"/>
      <c r="P67" s="44"/>
      <c r="Q67" s="887"/>
      <c r="R67" s="887"/>
      <c r="S67" s="887"/>
      <c r="T67" s="887"/>
      <c r="U67" s="887"/>
      <c r="V67" s="887"/>
      <c r="W67" s="888"/>
      <c r="X67" s="888"/>
      <c r="Y67" s="888"/>
      <c r="Z67" s="888"/>
      <c r="AA67" s="889"/>
      <c r="AB67" s="889"/>
      <c r="AC67" s="889"/>
      <c r="AD67" s="889"/>
      <c r="AE67" s="881"/>
    </row>
    <row r="68" customFormat="false" ht="15.75" hidden="false" customHeight="false" outlineLevel="0" collapsed="false">
      <c r="A68" s="840" t="str">
        <f aca="false">$A$21</f>
        <v>Marowak-Alola</v>
      </c>
      <c r="B68" s="840"/>
      <c r="C68" s="840"/>
      <c r="D68" s="855" t="str">
        <f aca="false" t="array" ref="D68:D68">IF(ISNA(INDEX(Pokedex!T$2:T$610,MATCH($A68,Pokedex!$B$2:$B$610,0))),"-",INDEX(Pokedex!T$2:T$610,MATCH($A68,Pokedex!$B$2:$B$610,0)))</f>
        <v>Cursed Body</v>
      </c>
      <c r="E68" s="855"/>
      <c r="F68" s="854" t="str">
        <f aca="false" t="array" ref="F68:F68">IF(ISNA(INDEX(Pokedex!U$2:U$610,MATCH($A68,Pokedex!$B$2:$B$610,0))),"-",INDEX(Pokedex!U$2:U$610,MATCH($A68,Pokedex!$B$2:$B$610,0)))</f>
        <v>Lightning Rod</v>
      </c>
      <c r="G68" s="854"/>
      <c r="H68" s="727" t="str">
        <f aca="false" t="array" ref="H68:H68">IF(ISNA(INDEX(Pokedex!V$2:V$610,MATCH($A68,Pokedex!$B$2:$B$610,0))),"-",INDEX(Pokedex!V$2:V$610,MATCH($A68,Pokedex!$B$2:$B$610,0)))</f>
        <v>Rock Head</v>
      </c>
      <c r="I68" s="727"/>
      <c r="J68" s="44"/>
      <c r="K68" s="823"/>
      <c r="L68" s="823"/>
      <c r="M68" s="477"/>
      <c r="N68" s="477"/>
      <c r="O68" s="44"/>
      <c r="P68" s="44"/>
      <c r="Q68" s="884"/>
      <c r="R68" s="884"/>
      <c r="S68" s="884"/>
      <c r="T68" s="884"/>
      <c r="U68" s="884"/>
      <c r="V68" s="884"/>
      <c r="W68" s="885"/>
      <c r="X68" s="885"/>
      <c r="Y68" s="885"/>
      <c r="Z68" s="885"/>
      <c r="AA68" s="757"/>
      <c r="AB68" s="757"/>
      <c r="AC68" s="757"/>
      <c r="AD68" s="757"/>
      <c r="AE68" s="886"/>
    </row>
    <row r="69" customFormat="false" ht="15.75" hidden="false" customHeight="false" outlineLevel="0" collapsed="false">
      <c r="A69" s="848" t="str">
        <f aca="false">$A$22</f>
        <v>Mantyke</v>
      </c>
      <c r="B69" s="848"/>
      <c r="C69" s="848"/>
      <c r="D69" s="870" t="str">
        <f aca="false" t="array" ref="D69:D69">IF(ISNA(INDEX(Pokedex!T$2:T$610,MATCH($A69,Pokedex!$B$2:$B$610,0))),"-",INDEX(Pokedex!T$2:T$610,MATCH($A69,Pokedex!$B$2:$B$610,0)))</f>
        <v>Swift Swim</v>
      </c>
      <c r="E69" s="870"/>
      <c r="F69" s="828" t="str">
        <f aca="false" t="array" ref="F69:F69">IF(ISNA(INDEX(Pokedex!U$2:U$610,MATCH($A69,Pokedex!$B$2:$B$610,0))),"-",INDEX(Pokedex!U$2:U$610,MATCH($A69,Pokedex!$B$2:$B$610,0)))</f>
        <v>Water Veil</v>
      </c>
      <c r="G69" s="828"/>
      <c r="H69" s="744" t="str">
        <f aca="false" t="array" ref="H69:H69">IF(ISNA(INDEX(Pokedex!V$2:V$610,MATCH($A69,Pokedex!$B$2:$B$610,0))),"-",INDEX(Pokedex!V$2:V$610,MATCH($A69,Pokedex!$B$2:$B$610,0)))</f>
        <v>Water Absorb</v>
      </c>
      <c r="I69" s="744"/>
      <c r="J69" s="44"/>
      <c r="K69" s="893"/>
      <c r="L69" s="893"/>
      <c r="M69" s="831"/>
      <c r="N69" s="831"/>
      <c r="O69" s="44"/>
      <c r="P69" s="44"/>
      <c r="Q69" s="887"/>
      <c r="R69" s="887"/>
      <c r="S69" s="887"/>
      <c r="T69" s="887"/>
      <c r="U69" s="887"/>
      <c r="V69" s="887"/>
      <c r="W69" s="888"/>
      <c r="X69" s="888"/>
      <c r="Y69" s="888"/>
      <c r="Z69" s="888"/>
      <c r="AA69" s="889"/>
      <c r="AB69" s="889"/>
      <c r="AC69" s="889"/>
      <c r="AD69" s="889"/>
      <c r="AE69" s="881"/>
    </row>
    <row r="70" customFormat="false" ht="15.75" hidden="false" customHeight="false" outlineLevel="0" collapsed="false">
      <c r="A70" s="44"/>
      <c r="B70" s="44"/>
      <c r="C70" s="44"/>
      <c r="D70" s="44"/>
      <c r="E70" s="44"/>
      <c r="F70" s="44"/>
      <c r="G70" s="44"/>
      <c r="H70" s="44"/>
      <c r="I70" s="44"/>
      <c r="J70" s="44"/>
      <c r="K70" s="7"/>
      <c r="L70" s="7"/>
      <c r="M70" s="7"/>
      <c r="N70" s="7"/>
      <c r="O70" s="44"/>
      <c r="P70" s="44"/>
      <c r="Q70" s="884"/>
      <c r="R70" s="884"/>
      <c r="S70" s="884"/>
      <c r="T70" s="884"/>
      <c r="U70" s="884"/>
      <c r="V70" s="884"/>
      <c r="W70" s="885"/>
      <c r="X70" s="885"/>
      <c r="Y70" s="885"/>
      <c r="Z70" s="885"/>
      <c r="AA70" s="757"/>
      <c r="AB70" s="757"/>
      <c r="AC70" s="757"/>
      <c r="AD70" s="757"/>
      <c r="AE70" s="886"/>
    </row>
    <row r="71" customFormat="false" ht="15.75" hidden="false" customHeight="true" outlineLevel="0" collapsed="false">
      <c r="A71" s="894" t="s">
        <v>2078</v>
      </c>
      <c r="B71" s="894"/>
      <c r="C71" s="895" t="s">
        <v>2079</v>
      </c>
      <c r="D71" s="895"/>
      <c r="E71" s="895"/>
      <c r="F71" s="896" t="s">
        <v>2080</v>
      </c>
      <c r="G71" s="896"/>
      <c r="H71" s="896"/>
      <c r="I71" s="896"/>
      <c r="J71" s="44"/>
      <c r="K71" s="341" t="s">
        <v>2081</v>
      </c>
      <c r="L71" s="341"/>
      <c r="M71" s="341"/>
      <c r="N71" s="341"/>
      <c r="O71" s="44"/>
      <c r="P71" s="44"/>
      <c r="Q71" s="897"/>
      <c r="R71" s="897"/>
      <c r="S71" s="897"/>
      <c r="T71" s="897"/>
      <c r="U71" s="897"/>
      <c r="V71" s="897"/>
      <c r="W71" s="898"/>
      <c r="X71" s="898"/>
      <c r="Y71" s="898"/>
      <c r="Z71" s="898"/>
      <c r="AA71" s="899"/>
      <c r="AB71" s="899"/>
      <c r="AC71" s="899"/>
      <c r="AD71" s="899"/>
      <c r="AE71" s="881"/>
    </row>
    <row r="72" customFormat="false" ht="15.75" hidden="false" customHeight="false" outlineLevel="0" collapsed="false">
      <c r="A72" s="894"/>
      <c r="B72" s="894"/>
      <c r="C72" s="900" t="s">
        <v>2082</v>
      </c>
      <c r="D72" s="901" t="s">
        <v>2083</v>
      </c>
      <c r="E72" s="901" t="s">
        <v>2063</v>
      </c>
      <c r="F72" s="902" t="s">
        <v>2084</v>
      </c>
      <c r="G72" s="903" t="s">
        <v>2085</v>
      </c>
      <c r="H72" s="904" t="s">
        <v>2086</v>
      </c>
      <c r="I72" s="904" t="s">
        <v>2063</v>
      </c>
      <c r="J72" s="44"/>
      <c r="K72" s="891" t="str">
        <f aca="false">IFERROR(__xludf.dummyfunction("if(isna(filter($R$20:$R$31,isblank($R$20:$R$31)=FALSE)),""NONE"",filter($R$20:$R$31,isblank($R$20:$R$31)=FALSE))"),"Mew")</f>
        <v>Mew</v>
      </c>
      <c r="L72" s="891"/>
      <c r="M72" s="892" t="str">
        <f aca="false">IFERROR(__xludf.dummyfunction("if(isna(filter($S$20:$S$31,isblank($S$20:$S$31)=FALSE)),""N/A"",filter($S$20:$S$31,isblank($S$20:$S$31)=FALSE))"),"Defog")</f>
        <v>Defog</v>
      </c>
      <c r="N72" s="892"/>
      <c r="O72" s="44"/>
      <c r="P72" s="44"/>
      <c r="Q72" s="44"/>
      <c r="R72" s="824"/>
      <c r="S72" s="638"/>
      <c r="T72" s="638"/>
      <c r="U72" s="638"/>
      <c r="V72" s="638"/>
      <c r="W72" s="638"/>
      <c r="X72" s="638"/>
      <c r="Y72" s="638"/>
      <c r="Z72" s="638"/>
      <c r="AA72" s="638"/>
      <c r="AB72" s="638"/>
      <c r="AC72" s="638"/>
      <c r="AD72" s="638"/>
      <c r="AE72" s="638"/>
    </row>
    <row r="73" customFormat="false" ht="15.75" hidden="false" customHeight="false" outlineLevel="0" collapsed="false">
      <c r="A73" s="905" t="s">
        <v>794</v>
      </c>
      <c r="B73" s="905"/>
      <c r="C73" s="906" t="str">
        <f aca="false">IFERROR(__xludf.dummyfunction("countif(FILTER(Pokedex!$AC:$AC,Pokedex!$A:$A=$L$1,Pokedex!$AC:$AC=0-2),0-2)"),"0")</f>
        <v>0</v>
      </c>
      <c r="D73" s="907" t="str">
        <f aca="false">IFERROR(__xludf.dummyfunction("countif(FILTER(Pokedex!$AC:$AC,Pokedex!$A:$A=$L$1,Pokedex!$AC:$AC=0-1),0-1)"),"1")</f>
        <v>1</v>
      </c>
      <c r="E73" s="907" t="n">
        <f aca="false">SUM(C73:D73)</f>
        <v>0</v>
      </c>
      <c r="F73" s="908" t="str">
        <f aca="false">IFERROR(__xludf.dummyfunction("countif(FILTER(Pokedex!$AC:$AC,Pokedex!$A:$A=$L$1,Pokedex!$AC:$AC=4),4)"),"0")</f>
        <v>0</v>
      </c>
      <c r="G73" s="909" t="str">
        <f aca="false">IFERROR(__xludf.dummyfunction("countif(FILTER(Pokedex!$AC:$AC,Pokedex!$A:$A=$L$1,Pokedex!$AC:$AC=1),1)"),"5")</f>
        <v>5</v>
      </c>
      <c r="H73" s="908" t="str">
        <f aca="false">IFERROR(__xludf.dummyfunction("countif(FILTER(Pokedex!$AC:$AC,Pokedex!$A:$A=$L$1,Pokedex!$AC:$AC=2),2)"),"1")</f>
        <v>1</v>
      </c>
      <c r="I73" s="908" t="n">
        <f aca="false">SUM(F73:H73)</f>
        <v>0</v>
      </c>
      <c r="J73" s="44"/>
      <c r="K73" s="823" t="s">
        <v>103</v>
      </c>
      <c r="L73" s="823"/>
      <c r="M73" s="477" t="s">
        <v>1110</v>
      </c>
      <c r="N73" s="477"/>
      <c r="O73" s="44"/>
      <c r="P73" s="44"/>
      <c r="Q73" s="44"/>
      <c r="R73" s="824"/>
      <c r="S73" s="638"/>
      <c r="T73" s="638"/>
      <c r="U73" s="638"/>
      <c r="V73" s="638"/>
      <c r="W73" s="638"/>
      <c r="X73" s="638"/>
      <c r="Y73" s="638"/>
      <c r="Z73" s="638"/>
      <c r="AA73" s="638"/>
      <c r="AB73" s="638"/>
      <c r="AC73" s="638"/>
      <c r="AD73" s="638"/>
      <c r="AE73" s="638"/>
    </row>
    <row r="74" customFormat="false" ht="15.75" hidden="false" customHeight="false" outlineLevel="0" collapsed="false">
      <c r="A74" s="910" t="s">
        <v>795</v>
      </c>
      <c r="B74" s="910"/>
      <c r="C74" s="911" t="str">
        <f aca="false">IFERROR(__xludf.dummyfunction("countif(FILTER(Pokedex!$AD:$AD,Pokedex!$A:$A=$L$1,Pokedex!$AD:$AD=0-2),0-2)"),"0")</f>
        <v>0</v>
      </c>
      <c r="D74" s="912" t="str">
        <f aca="false">IFERROR(__xludf.dummyfunction("countif(FILTER(Pokedex!$AD:$AD,Pokedex!$A:$A=$L$1,Pokedex!$AD:$AD=0-1),0-1)"),"2")</f>
        <v>2</v>
      </c>
      <c r="E74" s="912" t="n">
        <f aca="false">SUM(C74:D74)</f>
        <v>0</v>
      </c>
      <c r="F74" s="913" t="str">
        <f aca="false">IFERROR(__xludf.dummyfunction("countif(FILTER(Pokedex!$AD:$AD,Pokedex!$A:$A=$L$1,Pokedex!$AD:$AD=4),4)"),"0")</f>
        <v>0</v>
      </c>
      <c r="G74" s="914" t="str">
        <f aca="false">IFERROR(__xludf.dummyfunction("countif(FILTER(Pokedex!$AD:$AD,Pokedex!$A:$A=$L$1,Pokedex!$AD:$AD=1),1)"),"3")</f>
        <v>3</v>
      </c>
      <c r="H74" s="913" t="str">
        <f aca="false">IFERROR(__xludf.dummyfunction("countif(FILTER(Pokedex!$AD:$AD,Pokedex!$A:$A=$L$1,Pokedex!$AD:$AD=2),2)"),"0")</f>
        <v>0</v>
      </c>
      <c r="I74" s="913" t="n">
        <f aca="false">SUM(F74:H74)</f>
        <v>0</v>
      </c>
      <c r="J74" s="44"/>
      <c r="K74" s="823" t="s">
        <v>87</v>
      </c>
      <c r="L74" s="823"/>
      <c r="M74" s="477" t="s">
        <v>1112</v>
      </c>
      <c r="N74" s="477"/>
      <c r="O74" s="44"/>
      <c r="P74" s="44"/>
      <c r="Q74" s="44"/>
      <c r="R74" s="824"/>
      <c r="S74" s="638"/>
      <c r="T74" s="638"/>
      <c r="U74" s="638"/>
      <c r="V74" s="638"/>
      <c r="W74" s="638"/>
      <c r="X74" s="638"/>
      <c r="Y74" s="638"/>
      <c r="Z74" s="638"/>
      <c r="AA74" s="638"/>
      <c r="AB74" s="638"/>
      <c r="AC74" s="638"/>
      <c r="AD74" s="638"/>
      <c r="AE74" s="638"/>
    </row>
    <row r="75" customFormat="false" ht="15.75" hidden="false" customHeight="false" outlineLevel="0" collapsed="false">
      <c r="A75" s="915" t="s">
        <v>835</v>
      </c>
      <c r="B75" s="915"/>
      <c r="C75" s="906" t="str">
        <f aca="false">IFERROR(__xludf.dummyfunction("countif(FILTER(Pokedex!$AE:$AE,Pokedex!$A:$A=$L$1,Pokedex!$AE:$AE=0-2),0-2)"),"0")</f>
        <v>0</v>
      </c>
      <c r="D75" s="907" t="str">
        <f aca="false">IFERROR(__xludf.dummyfunction("countif(FILTER(Pokedex!$AE:$AE,Pokedex!$A:$A=$L$1,Pokedex!$AE:$AE=0-1),0-1)"),"1")</f>
        <v>1</v>
      </c>
      <c r="E75" s="907" t="n">
        <f aca="false">SUM(C75:D75)</f>
        <v>0</v>
      </c>
      <c r="F75" s="908" t="str">
        <f aca="false">IFERROR(__xludf.dummyfunction("countif(FILTER(Pokedex!$AE:$AE,Pokedex!$A:$A=$L$1,Pokedex!$AE:$AE=4),4)"),"1")</f>
        <v>1</v>
      </c>
      <c r="G75" s="909" t="str">
        <f aca="false">IFERROR(__xludf.dummyfunction("countif(FILTER(Pokedex!$AE:$AE,Pokedex!$A:$A=$L$1,Pokedex!$AE:$AE=1),1)"),"1")</f>
        <v>1</v>
      </c>
      <c r="H75" s="908" t="str">
        <f aca="false">IFERROR(__xludf.dummyfunction("countif(FILTER(Pokedex!$AE:$AE,Pokedex!$A:$A=$L$1,Pokedex!$AE:$AE=2),2)"),"0")</f>
        <v>0</v>
      </c>
      <c r="I75" s="908" t="n">
        <f aca="false">SUM(F75:H75)</f>
        <v>0</v>
      </c>
      <c r="J75" s="44"/>
      <c r="K75" s="823" t="s">
        <v>88</v>
      </c>
      <c r="L75" s="823"/>
      <c r="M75" s="477" t="s">
        <v>1112</v>
      </c>
      <c r="N75" s="477"/>
      <c r="O75" s="44"/>
      <c r="P75" s="44"/>
      <c r="Q75" s="44"/>
      <c r="R75" s="824"/>
      <c r="S75" s="638"/>
      <c r="T75" s="638"/>
      <c r="U75" s="638"/>
      <c r="V75" s="638"/>
      <c r="W75" s="638"/>
      <c r="X75" s="638"/>
      <c r="Y75" s="638"/>
      <c r="Z75" s="638"/>
      <c r="AA75" s="638"/>
      <c r="AB75" s="638"/>
      <c r="AC75" s="638"/>
      <c r="AD75" s="638"/>
      <c r="AE75" s="638"/>
    </row>
    <row r="76" customFormat="false" ht="15.75" hidden="false" customHeight="false" outlineLevel="0" collapsed="false">
      <c r="A76" s="916" t="s">
        <v>845</v>
      </c>
      <c r="B76" s="916"/>
      <c r="C76" s="911" t="str">
        <f aca="false">IFERROR(__xludf.dummyfunction("countif(FILTER(Pokedex!$AF:$AF,Pokedex!$A:$A=$L$1,Pokedex!$AF:$AF=0-2),0-2)"),"1")</f>
        <v>1</v>
      </c>
      <c r="D76" s="912" t="str">
        <f aca="false">IFERROR(__xludf.dummyfunction("countif(FILTER(Pokedex!$AF:$AF,Pokedex!$A:$A=$L$1,Pokedex!$AF:$AF=0-1),0-1)"),"1")</f>
        <v>1</v>
      </c>
      <c r="E76" s="912" t="n">
        <f aca="false">SUM(C76:D76)</f>
        <v>0</v>
      </c>
      <c r="F76" s="913" t="str">
        <f aca="false">IFERROR(__xludf.dummyfunction("countif(FILTER(Pokedex!$AF:$AF,Pokedex!$A:$A=$L$1,Pokedex!$AF:$AF=4),4)"),"2")</f>
        <v>2</v>
      </c>
      <c r="G76" s="914" t="str">
        <f aca="false">IFERROR(__xludf.dummyfunction("countif(FILTER(Pokedex!$AF:$AF,Pokedex!$A:$A=$L$1,Pokedex!$AF:$AF=1),1)"),"1")</f>
        <v>1</v>
      </c>
      <c r="H76" s="913" t="str">
        <f aca="false">IFERROR(__xludf.dummyfunction("countif(FILTER(Pokedex!$AF:$AF,Pokedex!$A:$A=$L$1,Pokedex!$AF:$AF=2),2)"),"0")</f>
        <v>0</v>
      </c>
      <c r="I76" s="913" t="n">
        <f aca="false">SUM(F76:H76)</f>
        <v>0</v>
      </c>
      <c r="J76" s="44"/>
      <c r="K76" s="823" t="s">
        <v>111</v>
      </c>
      <c r="L76" s="823"/>
      <c r="M76" s="477" t="s">
        <v>1112</v>
      </c>
      <c r="N76" s="477"/>
      <c r="O76" s="44"/>
      <c r="P76" s="44"/>
      <c r="Q76" s="44"/>
      <c r="R76" s="824"/>
      <c r="S76" s="638"/>
      <c r="T76" s="638"/>
      <c r="U76" s="638"/>
      <c r="V76" s="638"/>
      <c r="W76" s="638"/>
      <c r="X76" s="638"/>
      <c r="Y76" s="638"/>
      <c r="Z76" s="638"/>
      <c r="AA76" s="638"/>
      <c r="AB76" s="638"/>
      <c r="AC76" s="638"/>
      <c r="AD76" s="638"/>
      <c r="AE76" s="638"/>
    </row>
    <row r="77" customFormat="false" ht="15.75" hidden="false" customHeight="false" outlineLevel="0" collapsed="false">
      <c r="A77" s="915" t="s">
        <v>798</v>
      </c>
      <c r="B77" s="915"/>
      <c r="C77" s="906" t="str">
        <f aca="false">IFERROR(__xludf.dummyfunction("countif(FILTER(Pokedex!$AG:$AG,Pokedex!$A:$A=$L$1,Pokedex!$AG:$AG=0-2),0-2)"),"0")</f>
        <v>0</v>
      </c>
      <c r="D77" s="907" t="str">
        <f aca="false">IFERROR(__xludf.dummyfunction("countif(FILTER(Pokedex!$AG:$AG,Pokedex!$A:$A=$L$1,Pokedex!$AG:$AG=0-1),0-1)"),"2")</f>
        <v>2</v>
      </c>
      <c r="E77" s="907" t="n">
        <f aca="false">SUM(C77:D77)</f>
        <v>0</v>
      </c>
      <c r="F77" s="908" t="str">
        <f aca="false">IFERROR(__xludf.dummyfunction("countif(FILTER(Pokedex!$AG:$AG,Pokedex!$A:$A=$L$1,Pokedex!$AG:$AG=4),4)"),"0")</f>
        <v>0</v>
      </c>
      <c r="G77" s="909" t="str">
        <f aca="false">IFERROR(__xludf.dummyfunction("countif(FILTER(Pokedex!$AG:$AG,Pokedex!$A:$A=$L$1,Pokedex!$AG:$AG=1),1)"),"2")</f>
        <v>2</v>
      </c>
      <c r="H77" s="908" t="str">
        <f aca="false">IFERROR(__xludf.dummyfunction("countif(FILTER(Pokedex!$AG:$AG,Pokedex!$A:$A=$L$1,Pokedex!$AG:$AG=2),2)"),"0")</f>
        <v>0</v>
      </c>
      <c r="I77" s="908" t="n">
        <f aca="false">SUM(F77:H77)</f>
        <v>0</v>
      </c>
      <c r="J77" s="44"/>
      <c r="K77" s="823"/>
      <c r="L77" s="823"/>
      <c r="M77" s="477"/>
      <c r="N77" s="477"/>
      <c r="O77" s="44"/>
      <c r="P77" s="44"/>
      <c r="Q77" s="44"/>
      <c r="R77" s="824"/>
      <c r="S77" s="638"/>
      <c r="T77" s="638"/>
      <c r="U77" s="638"/>
      <c r="V77" s="638"/>
      <c r="W77" s="638"/>
      <c r="X77" s="638"/>
      <c r="Y77" s="638"/>
      <c r="Z77" s="638"/>
      <c r="AA77" s="638"/>
      <c r="AB77" s="638"/>
      <c r="AC77" s="638"/>
      <c r="AD77" s="638"/>
      <c r="AE77" s="638"/>
    </row>
    <row r="78" customFormat="false" ht="15.75" hidden="false" customHeight="false" outlineLevel="0" collapsed="false">
      <c r="A78" s="916" t="s">
        <v>881</v>
      </c>
      <c r="B78" s="916"/>
      <c r="C78" s="911" t="str">
        <f aca="false">IFERROR(__xludf.dummyfunction("countif(FILTER(Pokedex!$AH:$AH,Pokedex!$A:$A=$L$1,Pokedex!$AH:$AH=0-2),0-2)"),"0")</f>
        <v>0</v>
      </c>
      <c r="D78" s="912" t="str">
        <f aca="false">IFERROR(__xludf.dummyfunction("countif(FILTER(Pokedex!$AH:$AH,Pokedex!$A:$A=$L$1,Pokedex!$AH:$AH=0-1),0-1)"),"2")</f>
        <v>2</v>
      </c>
      <c r="E78" s="912" t="n">
        <f aca="false">SUM(C78:D78)</f>
        <v>0</v>
      </c>
      <c r="F78" s="913" t="str">
        <f aca="false">IFERROR(__xludf.dummyfunction("countif(FILTER(Pokedex!$AH:$AH,Pokedex!$A:$A=$L$1,Pokedex!$AH:$AH=4),4)"),"1")</f>
        <v>1</v>
      </c>
      <c r="G78" s="914" t="str">
        <f aca="false">IFERROR(__xludf.dummyfunction("countif(FILTER(Pokedex!$AH:$AH,Pokedex!$A:$A=$L$1,Pokedex!$AH:$AH=1),1)"),"5")</f>
        <v>5</v>
      </c>
      <c r="H78" s="913" t="str">
        <f aca="false">IFERROR(__xludf.dummyfunction("countif(FILTER(Pokedex!$AH:$AH,Pokedex!$A:$A=$L$1,Pokedex!$AH:$AH=2),2)"),"0")</f>
        <v>0</v>
      </c>
      <c r="I78" s="913" t="n">
        <f aca="false">SUM(F78:H78)</f>
        <v>0</v>
      </c>
      <c r="J78" s="44"/>
      <c r="K78" s="823"/>
      <c r="L78" s="823"/>
      <c r="M78" s="477"/>
      <c r="N78" s="477"/>
      <c r="O78" s="44"/>
      <c r="P78" s="44"/>
      <c r="Q78" s="44"/>
      <c r="R78" s="824"/>
      <c r="S78" s="638"/>
      <c r="T78" s="638"/>
      <c r="U78" s="638"/>
      <c r="V78" s="638"/>
      <c r="W78" s="638"/>
      <c r="X78" s="638"/>
      <c r="Y78" s="638"/>
      <c r="Z78" s="638"/>
      <c r="AA78" s="638"/>
      <c r="AB78" s="638"/>
      <c r="AC78" s="638"/>
      <c r="AD78" s="638"/>
      <c r="AE78" s="638"/>
    </row>
    <row r="79" customFormat="false" ht="15.75" hidden="false" customHeight="false" outlineLevel="0" collapsed="false">
      <c r="A79" s="915" t="s">
        <v>800</v>
      </c>
      <c r="B79" s="915"/>
      <c r="C79" s="906" t="str">
        <f aca="false">IFERROR(__xludf.dummyfunction("countif(FILTER(Pokedex!$AI:$AI,Pokedex!$A:$A=$L$1,Pokedex!$AI:$AI=0-2),0-2)"),"0")</f>
        <v>0</v>
      </c>
      <c r="D79" s="907" t="str">
        <f aca="false">IFERROR(__xludf.dummyfunction("countif(FILTER(Pokedex!$AI:$AI,Pokedex!$A:$A=$L$1,Pokedex!$AI:$AI=0-1),0-1)"),"2")</f>
        <v>2</v>
      </c>
      <c r="E79" s="907" t="n">
        <f aca="false">SUM(C79:D79)</f>
        <v>0</v>
      </c>
      <c r="F79" s="908" t="str">
        <f aca="false">IFERROR(__xludf.dummyfunction("countif(FILTER(Pokedex!$AI:$AI,Pokedex!$A:$A=$L$1,Pokedex!$AI:$AI=4),4)"),"0")</f>
        <v>0</v>
      </c>
      <c r="G79" s="909" t="str">
        <f aca="false">IFERROR(__xludf.dummyfunction("countif(FILTER(Pokedex!$AI:$AI,Pokedex!$A:$A=$L$1,Pokedex!$AI:$AI=1),1)"),"4")</f>
        <v>4</v>
      </c>
      <c r="H79" s="908" t="str">
        <f aca="false">IFERROR(__xludf.dummyfunction("countif(FILTER(Pokedex!$AI:$AI,Pokedex!$A:$A=$L$1,Pokedex!$AI:$AI=2),2)"),"0")</f>
        <v>0</v>
      </c>
      <c r="I79" s="908" t="n">
        <f aca="false">SUM(F79:H79)</f>
        <v>0</v>
      </c>
      <c r="J79" s="44"/>
      <c r="K79" s="823"/>
      <c r="L79" s="823"/>
      <c r="M79" s="477"/>
      <c r="N79" s="477"/>
      <c r="O79" s="44"/>
      <c r="P79" s="44"/>
      <c r="Q79" s="44"/>
      <c r="R79" s="824"/>
      <c r="S79" s="638"/>
      <c r="T79" s="638"/>
      <c r="U79" s="638"/>
      <c r="V79" s="638"/>
      <c r="W79" s="638"/>
      <c r="X79" s="638"/>
      <c r="Y79" s="638"/>
      <c r="Z79" s="638"/>
      <c r="AA79" s="638"/>
      <c r="AB79" s="638"/>
      <c r="AC79" s="638"/>
      <c r="AD79" s="638"/>
      <c r="AE79" s="638"/>
    </row>
    <row r="80" customFormat="false" ht="15.75" hidden="false" customHeight="false" outlineLevel="0" collapsed="false">
      <c r="A80" s="916" t="s">
        <v>801</v>
      </c>
      <c r="B80" s="916"/>
      <c r="C80" s="911" t="str">
        <f aca="false">IFERROR(__xludf.dummyfunction("countif(FILTER(Pokedex!$AJ:$AJ,Pokedex!$A:$A=$L$1,Pokedex!$AJ:$AJ=0-2),0-2)"),"0")</f>
        <v>0</v>
      </c>
      <c r="D80" s="912" t="str">
        <f aca="false">IFERROR(__xludf.dummyfunction("countif(FILTER(Pokedex!$AJ:$AJ,Pokedex!$A:$A=$L$1,Pokedex!$AJ:$AJ=0-1),0-1)"),"1")</f>
        <v>1</v>
      </c>
      <c r="E80" s="912" t="n">
        <f aca="false">SUM(C80:D80)</f>
        <v>0</v>
      </c>
      <c r="F80" s="913" t="str">
        <f aca="false">IFERROR(__xludf.dummyfunction("countif(FILTER(Pokedex!$AJ:$AJ,Pokedex!$A:$A=$L$1,Pokedex!$AJ:$AJ=4),4)"),"0")</f>
        <v>0</v>
      </c>
      <c r="G80" s="914" t="str">
        <f aca="false">IFERROR(__xludf.dummyfunction("countif(FILTER(Pokedex!$AJ:$AJ,Pokedex!$A:$A=$L$1,Pokedex!$AJ:$AJ=1),1)"),"1")</f>
        <v>1</v>
      </c>
      <c r="H80" s="913" t="str">
        <f aca="false">IFERROR(__xludf.dummyfunction("countif(FILTER(Pokedex!$AJ:$AJ,Pokedex!$A:$A=$L$1,Pokedex!$AJ:$AJ=2),2)"),"0")</f>
        <v>0</v>
      </c>
      <c r="I80" s="913" t="n">
        <f aca="false">SUM(F80:H80)</f>
        <v>0</v>
      </c>
      <c r="J80" s="44"/>
      <c r="K80" s="823"/>
      <c r="L80" s="823"/>
      <c r="M80" s="477"/>
      <c r="N80" s="477"/>
      <c r="O80" s="44"/>
      <c r="P80" s="44"/>
      <c r="Q80" s="44"/>
      <c r="R80" s="824"/>
      <c r="S80" s="638"/>
      <c r="T80" s="638"/>
      <c r="U80" s="638"/>
      <c r="V80" s="638"/>
      <c r="W80" s="638"/>
      <c r="X80" s="638"/>
      <c r="Y80" s="638"/>
      <c r="Z80" s="638"/>
      <c r="AA80" s="638"/>
      <c r="AB80" s="638"/>
      <c r="AC80" s="638"/>
      <c r="AD80" s="638"/>
      <c r="AE80" s="638"/>
    </row>
    <row r="81" customFormat="false" ht="15.75" hidden="false" customHeight="false" outlineLevel="0" collapsed="false">
      <c r="A81" s="915" t="s">
        <v>802</v>
      </c>
      <c r="B81" s="915"/>
      <c r="C81" s="906" t="str">
        <f aca="false">IFERROR(__xludf.dummyfunction("countif(FILTER(Pokedex!$AK:$AK,Pokedex!$A:$A=$L$1,Pokedex!$AK:$AK=0-2),0-2)"),"0")</f>
        <v>0</v>
      </c>
      <c r="D81" s="907" t="str">
        <f aca="false">IFERROR(__xludf.dummyfunction("countif(FILTER(Pokedex!$AK:$AK,Pokedex!$A:$A=$L$1,Pokedex!$AK:$AK=0-1),0-1)"),"2")</f>
        <v>2</v>
      </c>
      <c r="E81" s="907" t="n">
        <f aca="false">SUM(C81:D81)</f>
        <v>0</v>
      </c>
      <c r="F81" s="908" t="str">
        <f aca="false">IFERROR(__xludf.dummyfunction("countif(FILTER(Pokedex!$AK:$AK,Pokedex!$A:$A=$L$1,Pokedex!$AK:$AK=4),4)"),"1")</f>
        <v>1</v>
      </c>
      <c r="G81" s="909" t="str">
        <f aca="false">IFERROR(__xludf.dummyfunction("countif(FILTER(Pokedex!$AK:$AK,Pokedex!$A:$A=$L$1,Pokedex!$AK:$AK=1),1)"),"1")</f>
        <v>1</v>
      </c>
      <c r="H81" s="908" t="str">
        <f aca="false">IFERROR(__xludf.dummyfunction("countif(FILTER(Pokedex!$AK:$AK,Pokedex!$A:$A=$L$1,Pokedex!$AK:$AK=2),2)"),"0")</f>
        <v>0</v>
      </c>
      <c r="I81" s="908" t="n">
        <f aca="false">SUM(F81:H81)</f>
        <v>0</v>
      </c>
      <c r="J81" s="44"/>
      <c r="K81" s="823"/>
      <c r="L81" s="823"/>
      <c r="M81" s="477"/>
      <c r="N81" s="477"/>
      <c r="O81" s="44"/>
      <c r="P81" s="44"/>
      <c r="Q81" s="44"/>
      <c r="R81" s="824"/>
      <c r="S81" s="638"/>
      <c r="T81" s="638"/>
      <c r="U81" s="638"/>
      <c r="V81" s="638"/>
      <c r="W81" s="638"/>
      <c r="X81" s="638"/>
      <c r="Y81" s="638"/>
      <c r="Z81" s="638"/>
      <c r="AA81" s="638"/>
      <c r="AB81" s="638"/>
      <c r="AC81" s="638"/>
      <c r="AD81" s="638"/>
      <c r="AE81" s="638"/>
    </row>
    <row r="82" customFormat="false" ht="15.75" hidden="false" customHeight="false" outlineLevel="0" collapsed="false">
      <c r="A82" s="916" t="s">
        <v>803</v>
      </c>
      <c r="B82" s="916"/>
      <c r="C82" s="911" t="str">
        <f aca="false">IFERROR(__xludf.dummyfunction("countif(FILTER(Pokedex!$AL:$AL,Pokedex!$A:$A=$L$1,Pokedex!$AL:$AL=0-2),0-2)"),"0")</f>
        <v>0</v>
      </c>
      <c r="D82" s="912" t="str">
        <f aca="false">IFERROR(__xludf.dummyfunction("countif(FILTER(Pokedex!$AL:$AL,Pokedex!$A:$A=$L$1,Pokedex!$AL:$AL=0-1),0-1)"),"2")</f>
        <v>2</v>
      </c>
      <c r="E82" s="912" t="n">
        <f aca="false">SUM(C82:D82)</f>
        <v>0</v>
      </c>
      <c r="F82" s="913" t="str">
        <f aca="false">IFERROR(__xludf.dummyfunction("countif(FILTER(Pokedex!$AL:$AL,Pokedex!$A:$A=$L$1,Pokedex!$AL:$AL=4),4)"),"0")</f>
        <v>0</v>
      </c>
      <c r="G82" s="914" t="str">
        <f aca="false">IFERROR(__xludf.dummyfunction("countif(FILTER(Pokedex!$AL:$AL,Pokedex!$A:$A=$L$1,Pokedex!$AL:$AL=1),1)"),"3")</f>
        <v>3</v>
      </c>
      <c r="H82" s="913" t="str">
        <f aca="false">IFERROR(__xludf.dummyfunction("countif(FILTER(Pokedex!$AL:$AL,Pokedex!$A:$A=$L$1,Pokedex!$AL:$AL=2),2)"),"1")</f>
        <v>1</v>
      </c>
      <c r="I82" s="913" t="n">
        <f aca="false">SUM(F82:H82)</f>
        <v>0</v>
      </c>
      <c r="J82" s="44"/>
      <c r="K82" s="893"/>
      <c r="L82" s="893"/>
      <c r="M82" s="831"/>
      <c r="N82" s="831"/>
      <c r="O82" s="44"/>
      <c r="P82" s="44"/>
      <c r="Q82" s="44"/>
      <c r="R82" s="824"/>
      <c r="S82" s="638"/>
      <c r="T82" s="638"/>
      <c r="U82" s="638"/>
      <c r="V82" s="638"/>
      <c r="W82" s="638"/>
      <c r="X82" s="638"/>
      <c r="Y82" s="638"/>
      <c r="Z82" s="638"/>
      <c r="AA82" s="638"/>
      <c r="AB82" s="638"/>
      <c r="AC82" s="638"/>
      <c r="AD82" s="638"/>
      <c r="AE82" s="638"/>
    </row>
    <row r="83" customFormat="false" ht="15.75" hidden="false" customHeight="false" outlineLevel="0" collapsed="false">
      <c r="A83" s="915" t="s">
        <v>907</v>
      </c>
      <c r="B83" s="915"/>
      <c r="C83" s="906" t="str">
        <f aca="false">IFERROR(__xludf.dummyfunction("countif(FILTER(Pokedex!$AM:$AM,Pokedex!$A:$A=$L$1,Pokedex!$AM:$AM=0-2),0-2)"),"0")</f>
        <v>0</v>
      </c>
      <c r="D83" s="907" t="str">
        <f aca="false">IFERROR(__xludf.dummyfunction("countif(FILTER(Pokedex!$AM:$AM,Pokedex!$A:$A=$L$1,Pokedex!$AM:$AM=0-1),0-1)"),"3")</f>
        <v>3</v>
      </c>
      <c r="E83" s="907" t="n">
        <f aca="false">SUM(C83:D83)</f>
        <v>0</v>
      </c>
      <c r="F83" s="908" t="str">
        <f aca="false">IFERROR(__xludf.dummyfunction("countif(FILTER(Pokedex!$AM:$AM,Pokedex!$A:$A=$L$1,Pokedex!$AM:$AM=4),4)"),"2")</f>
        <v>2</v>
      </c>
      <c r="G83" s="909" t="str">
        <f aca="false">IFERROR(__xludf.dummyfunction("countif(FILTER(Pokedex!$AM:$AM,Pokedex!$A:$A=$L$1,Pokedex!$AM:$AM=1),1)"),"0")</f>
        <v>0</v>
      </c>
      <c r="H83" s="908" t="str">
        <f aca="false">IFERROR(__xludf.dummyfunction("countif(FILTER(Pokedex!$AM:$AM,Pokedex!$A:$A=$L$1,Pokedex!$AM:$AM=2),2)"),"0")</f>
        <v>0</v>
      </c>
      <c r="I83" s="908" t="n">
        <f aca="false">SUM(F83:H83)</f>
        <v>0</v>
      </c>
      <c r="J83" s="44"/>
      <c r="K83" s="7"/>
      <c r="L83" s="7"/>
      <c r="M83" s="7"/>
      <c r="N83" s="7"/>
      <c r="O83" s="44"/>
      <c r="P83" s="44"/>
      <c r="Q83" s="44"/>
      <c r="R83" s="824"/>
      <c r="S83" s="638"/>
      <c r="T83" s="638"/>
      <c r="U83" s="638"/>
      <c r="V83" s="638"/>
      <c r="W83" s="638"/>
      <c r="X83" s="638"/>
      <c r="Y83" s="638"/>
      <c r="Z83" s="638"/>
      <c r="AA83" s="638"/>
      <c r="AB83" s="638"/>
      <c r="AC83" s="638"/>
      <c r="AD83" s="638"/>
      <c r="AE83" s="638"/>
    </row>
    <row r="84" customFormat="false" ht="15.75" hidden="false" customHeight="false" outlineLevel="0" collapsed="false">
      <c r="A84" s="916" t="s">
        <v>805</v>
      </c>
      <c r="B84" s="916"/>
      <c r="C84" s="911" t="str">
        <f aca="false">IFERROR(__xludf.dummyfunction("countif(FILTER(Pokedex!$AN:$AN,Pokedex!$A:$A=$L$1,Pokedex!$AN:$AN=0-2),0-2)"),"1")</f>
        <v>1</v>
      </c>
      <c r="D84" s="912" t="str">
        <f aca="false">IFERROR(__xludf.dummyfunction("countif(FILTER(Pokedex!$AN:$AN,Pokedex!$A:$A=$L$1,Pokedex!$AN:$AN=0-1),0-1)"),"1")</f>
        <v>1</v>
      </c>
      <c r="E84" s="912" t="n">
        <f aca="false">SUM(C84:D84)</f>
        <v>0</v>
      </c>
      <c r="F84" s="913" t="str">
        <f aca="false">IFERROR(__xludf.dummyfunction("countif(FILTER(Pokedex!$AN:$AN,Pokedex!$A:$A=$L$1,Pokedex!$AN:$AN=4),4)"),"0")</f>
        <v>0</v>
      </c>
      <c r="G84" s="914" t="str">
        <f aca="false">IFERROR(__xludf.dummyfunction("countif(FILTER(Pokedex!$AN:$AN,Pokedex!$A:$A=$L$1,Pokedex!$AN:$AN=1),1)"),"2")</f>
        <v>2</v>
      </c>
      <c r="H84" s="913" t="str">
        <f aca="false">IFERROR(__xludf.dummyfunction("countif(FILTER(Pokedex!$AN:$AN,Pokedex!$A:$A=$L$1,Pokedex!$AN:$AN=2),2)"),"0")</f>
        <v>0</v>
      </c>
      <c r="I84" s="913" t="n">
        <f aca="false">SUM(F84:H84)</f>
        <v>0</v>
      </c>
      <c r="J84" s="44"/>
      <c r="K84" s="341" t="s">
        <v>2087</v>
      </c>
      <c r="L84" s="341"/>
      <c r="M84" s="341"/>
      <c r="N84" s="341"/>
      <c r="O84" s="44"/>
      <c r="P84" s="44"/>
      <c r="Q84" s="44"/>
      <c r="R84" s="824"/>
      <c r="S84" s="638"/>
      <c r="T84" s="638"/>
      <c r="U84" s="638"/>
      <c r="V84" s="638"/>
      <c r="W84" s="638"/>
      <c r="X84" s="638"/>
      <c r="Y84" s="638"/>
      <c r="Z84" s="638"/>
      <c r="AA84" s="638"/>
      <c r="AB84" s="638"/>
      <c r="AC84" s="638"/>
      <c r="AD84" s="638"/>
      <c r="AE84" s="638"/>
    </row>
    <row r="85" customFormat="false" ht="15.75" hidden="false" customHeight="false" outlineLevel="0" collapsed="false">
      <c r="A85" s="915" t="s">
        <v>839</v>
      </c>
      <c r="B85" s="915"/>
      <c r="C85" s="906" t="str">
        <f aca="false">IFERROR(__xludf.dummyfunction("countif(FILTER(Pokedex!$AO:$AO,Pokedex!$A:$A=$L$1,Pokedex!$AO:$AO=0-2),0-2)"),"0")</f>
        <v>0</v>
      </c>
      <c r="D85" s="907" t="str">
        <f aca="false">IFERROR(__xludf.dummyfunction("countif(FILTER(Pokedex!$AO:$AO,Pokedex!$A:$A=$L$1,Pokedex!$AO:$AO=0-1),0-1)"),"0")</f>
        <v>0</v>
      </c>
      <c r="E85" s="907" t="n">
        <f aca="false">SUM(C85:D85)</f>
        <v>0</v>
      </c>
      <c r="F85" s="908" t="str">
        <f aca="false">IFERROR(__xludf.dummyfunction("countif(FILTER(Pokedex!$AO:$AO,Pokedex!$A:$A=$L$1,Pokedex!$AO:$AO=4),4)"),"1")</f>
        <v>1</v>
      </c>
      <c r="G85" s="909" t="str">
        <f aca="false">IFERROR(__xludf.dummyfunction("countif(FILTER(Pokedex!$AO:$AO,Pokedex!$A:$A=$L$1,Pokedex!$AO:$AO=1),1)"),"1")</f>
        <v>1</v>
      </c>
      <c r="H85" s="908" t="str">
        <f aca="false">IFERROR(__xludf.dummyfunction("countif(FILTER(Pokedex!$AO:$AO,Pokedex!$A:$A=$L$1,Pokedex!$AO:$AO=2),2)"),"0")</f>
        <v>0</v>
      </c>
      <c r="I85" s="908" t="n">
        <f aca="false">SUM(F85:H85)</f>
        <v>0</v>
      </c>
      <c r="J85" s="44"/>
      <c r="K85" s="891" t="str">
        <f aca="false">IFERROR(__xludf.dummyfunction("if(isna(filter($R$40:$R$51,isblank($R$40:$R$51)=FALSE)),""NONE"",filter($R$40:$R$51,isblank($R$40:$R$51)=FALSE))"),"Lopunny-Mega")</f>
        <v>Lopunny-Mega</v>
      </c>
      <c r="L85" s="891"/>
      <c r="M85" s="892" t="str">
        <f aca="false">IFERROR(__xludf.dummyfunction("if(isna(filter($S$40:$S$51,isblank($S$40:$S$51)=FALSE)),""N/A"",filter($S$40:$S$51,isblank($S$40:$S$51)=FALSE))"),"Heal Bell")</f>
        <v>Heal Bell</v>
      </c>
      <c r="N85" s="892"/>
      <c r="O85" s="44"/>
      <c r="P85" s="44"/>
      <c r="Q85" s="44"/>
      <c r="R85" s="824"/>
      <c r="S85" s="638"/>
      <c r="T85" s="638"/>
      <c r="U85" s="638"/>
      <c r="V85" s="638"/>
      <c r="W85" s="638"/>
      <c r="X85" s="638"/>
      <c r="Y85" s="638"/>
      <c r="Z85" s="638"/>
      <c r="AA85" s="638"/>
      <c r="AB85" s="638"/>
      <c r="AC85" s="638"/>
      <c r="AD85" s="638"/>
      <c r="AE85" s="638"/>
    </row>
    <row r="86" customFormat="false" ht="15.75" hidden="false" customHeight="false" outlineLevel="0" collapsed="false">
      <c r="A86" s="916" t="s">
        <v>843</v>
      </c>
      <c r="B86" s="916"/>
      <c r="C86" s="911" t="str">
        <f aca="false">IFERROR(__xludf.dummyfunction("countif(FILTER(Pokedex!$AP:$AP,Pokedex!$A:$A=$L$1,Pokedex!$AP:$AP=0-2),0-2)"),"0")</f>
        <v>0</v>
      </c>
      <c r="D86" s="912" t="str">
        <f aca="false">IFERROR(__xludf.dummyfunction("countif(FILTER(Pokedex!$AP:$AP,Pokedex!$A:$A=$L$1,Pokedex!$AP:$AP=0-1),0-1)"),"1")</f>
        <v>1</v>
      </c>
      <c r="E86" s="912" t="n">
        <f aca="false">SUM(C86:D86)</f>
        <v>0</v>
      </c>
      <c r="F86" s="913" t="str">
        <f aca="false">IFERROR(__xludf.dummyfunction("countif(FILTER(Pokedex!$AP:$AP,Pokedex!$A:$A=$L$1,Pokedex!$AP:$AP=4),4)"),"1")</f>
        <v>1</v>
      </c>
      <c r="G86" s="914" t="str">
        <f aca="false">IFERROR(__xludf.dummyfunction("countif(FILTER(Pokedex!$AP:$AP,Pokedex!$A:$A=$L$1,Pokedex!$AP:$AP=1),1)"),"3")</f>
        <v>3</v>
      </c>
      <c r="H86" s="913" t="str">
        <f aca="false">IFERROR(__xludf.dummyfunction("countif(FILTER(Pokedex!$AP:$AP,Pokedex!$A:$A=$L$1,Pokedex!$AP:$AP=2),2)"),"0")</f>
        <v>0</v>
      </c>
      <c r="I86" s="913" t="n">
        <f aca="false">SUM(F86:H86)</f>
        <v>0</v>
      </c>
      <c r="J86" s="44"/>
      <c r="K86" s="823" t="s">
        <v>85</v>
      </c>
      <c r="L86" s="823"/>
      <c r="M86" s="477" t="s">
        <v>1114</v>
      </c>
      <c r="N86" s="477"/>
      <c r="O86" s="44"/>
      <c r="P86" s="44"/>
      <c r="Q86" s="44"/>
      <c r="R86" s="824"/>
      <c r="S86" s="638"/>
      <c r="T86" s="638"/>
      <c r="U86" s="638"/>
      <c r="V86" s="638"/>
      <c r="W86" s="638"/>
      <c r="X86" s="638"/>
      <c r="Y86" s="638"/>
      <c r="Z86" s="638"/>
      <c r="AA86" s="638"/>
      <c r="AB86" s="638"/>
      <c r="AC86" s="638"/>
      <c r="AD86" s="638"/>
      <c r="AE86" s="638"/>
    </row>
    <row r="87" customFormat="false" ht="15.75" hidden="false" customHeight="false" outlineLevel="0" collapsed="false">
      <c r="A87" s="915" t="s">
        <v>828</v>
      </c>
      <c r="B87" s="915"/>
      <c r="C87" s="906" t="str">
        <f aca="false">IFERROR(__xludf.dummyfunction("countif(FILTER(Pokedex!$AQ:$AQ,Pokedex!$A:$A=$L$1,Pokedex!$AQ:$AQ=0-2),0-2)"),"0")</f>
        <v>0</v>
      </c>
      <c r="D87" s="907" t="str">
        <f aca="false">IFERROR(__xludf.dummyfunction("countif(FILTER(Pokedex!$AQ:$AQ,Pokedex!$A:$A=$L$1,Pokedex!$AQ:$AQ=0-1),0-1)"),"1")</f>
        <v>1</v>
      </c>
      <c r="E87" s="907" t="n">
        <f aca="false">SUM(C87:D87)</f>
        <v>0</v>
      </c>
      <c r="F87" s="908" t="str">
        <f aca="false">IFERROR(__xludf.dummyfunction("countif(FILTER(Pokedex!$AQ:$AQ,Pokedex!$A:$A=$L$1,Pokedex!$AQ:$AQ=4),4)"),"1")</f>
        <v>1</v>
      </c>
      <c r="G87" s="909" t="str">
        <f aca="false">IFERROR(__xludf.dummyfunction("countif(FILTER(Pokedex!$AQ:$AQ,Pokedex!$A:$A=$L$1,Pokedex!$AQ:$AQ=1),1)"),"2")</f>
        <v>2</v>
      </c>
      <c r="H87" s="908" t="str">
        <f aca="false">IFERROR(__xludf.dummyfunction("countif(FILTER(Pokedex!$AQ:$AQ,Pokedex!$A:$A=$L$1,Pokedex!$AQ:$AQ=2),2)"),"0")</f>
        <v>0</v>
      </c>
      <c r="I87" s="908" t="n">
        <f aca="false">SUM(F87:H87)</f>
        <v>0</v>
      </c>
      <c r="J87" s="44"/>
      <c r="K87" s="823" t="s">
        <v>124</v>
      </c>
      <c r="L87" s="823"/>
      <c r="M87" s="477" t="s">
        <v>1114</v>
      </c>
      <c r="N87" s="477"/>
      <c r="O87" s="44"/>
      <c r="P87" s="44"/>
      <c r="Q87" s="44"/>
      <c r="R87" s="824"/>
      <c r="S87" s="638"/>
      <c r="T87" s="638"/>
      <c r="U87" s="638"/>
      <c r="V87" s="638"/>
      <c r="W87" s="638"/>
      <c r="X87" s="638"/>
      <c r="Y87" s="638"/>
      <c r="Z87" s="638"/>
      <c r="AA87" s="638"/>
      <c r="AB87" s="638"/>
      <c r="AC87" s="638"/>
      <c r="AD87" s="638"/>
      <c r="AE87" s="638"/>
    </row>
    <row r="88" customFormat="false" ht="15.75" hidden="false" customHeight="false" outlineLevel="0" collapsed="false">
      <c r="A88" s="916" t="s">
        <v>809</v>
      </c>
      <c r="B88" s="916"/>
      <c r="C88" s="911" t="str">
        <f aca="false">IFERROR(__xludf.dummyfunction("countif(FILTER(Pokedex!$AR:$AR,Pokedex!$A:$A=$L$1,Pokedex!$AR:$AR=0-2),0-2)"),"0")</f>
        <v>0</v>
      </c>
      <c r="D88" s="912" t="str">
        <f aca="false">IFERROR(__xludf.dummyfunction("countif(FILTER(Pokedex!$AR:$AR,Pokedex!$A:$A=$L$1,Pokedex!$AR:$AR=0-1),0-1)"),"4")</f>
        <v>4</v>
      </c>
      <c r="E88" s="912" t="n">
        <f aca="false">SUM(C88:D88)</f>
        <v>0</v>
      </c>
      <c r="F88" s="913" t="str">
        <f aca="false">IFERROR(__xludf.dummyfunction("countif(FILTER(Pokedex!$AR:$AR,Pokedex!$A:$A=$L$1,Pokedex!$AR:$AR=4),4)"),"0")</f>
        <v>0</v>
      </c>
      <c r="G88" s="914" t="str">
        <f aca="false">IFERROR(__xludf.dummyfunction("countif(FILTER(Pokedex!$AR:$AR,Pokedex!$A:$A=$L$1,Pokedex!$AR:$AR=1),1)"),"2")</f>
        <v>2</v>
      </c>
      <c r="H88" s="913" t="str">
        <f aca="false">IFERROR(__xludf.dummyfunction("countif(FILTER(Pokedex!$AR:$AR,Pokedex!$A:$A=$L$1,Pokedex!$AR:$AR=2),2)"),"1")</f>
        <v>1</v>
      </c>
      <c r="I88" s="913" t="n">
        <f aca="false">SUM(F88:H88)</f>
        <v>0</v>
      </c>
      <c r="J88" s="44"/>
      <c r="K88" s="823" t="s">
        <v>23</v>
      </c>
      <c r="L88" s="823"/>
      <c r="M88" s="477" t="s">
        <v>1115</v>
      </c>
      <c r="N88" s="477"/>
      <c r="O88" s="44"/>
      <c r="P88" s="44"/>
      <c r="Q88" s="44"/>
      <c r="R88" s="824"/>
      <c r="S88" s="638"/>
      <c r="T88" s="638"/>
      <c r="U88" s="638"/>
      <c r="V88" s="638"/>
      <c r="W88" s="638"/>
      <c r="X88" s="638"/>
      <c r="Y88" s="638"/>
      <c r="Z88" s="638"/>
      <c r="AA88" s="638"/>
      <c r="AB88" s="638"/>
      <c r="AC88" s="638"/>
      <c r="AD88" s="638"/>
      <c r="AE88" s="638"/>
    </row>
    <row r="89" customFormat="false" ht="15.75" hidden="false" customHeight="false" outlineLevel="0" collapsed="false">
      <c r="A89" s="915" t="s">
        <v>810</v>
      </c>
      <c r="B89" s="915"/>
      <c r="C89" s="906" t="str">
        <f aca="false">IFERROR(__xludf.dummyfunction("countif(FILTER(Pokedex!$AS:$AS,Pokedex!$A:$A=$L$1,Pokedex!$AS:$AS=0-2),0-2)"),"0")</f>
        <v>0</v>
      </c>
      <c r="D89" s="907" t="str">
        <f aca="false">IFERROR(__xludf.dummyfunction("countif(FILTER(Pokedex!$AS:$AS,Pokedex!$A:$A=$L$1,Pokedex!$AS:$AS=0-1),0-1)"),"1")</f>
        <v>1</v>
      </c>
      <c r="E89" s="907" t="n">
        <f aca="false">SUM(C89:D89)</f>
        <v>0</v>
      </c>
      <c r="F89" s="908" t="str">
        <f aca="false">IFERROR(__xludf.dummyfunction("countif(FILTER(Pokedex!$AS:$AS,Pokedex!$A:$A=$L$1,Pokedex!$AS:$AS=4),4)"),"0")</f>
        <v>0</v>
      </c>
      <c r="G89" s="909" t="str">
        <f aca="false">IFERROR(__xludf.dummyfunction("countif(FILTER(Pokedex!$AS:$AS,Pokedex!$A:$A=$L$1,Pokedex!$AS:$AS=1),1)"),"5")</f>
        <v>5</v>
      </c>
      <c r="H89" s="908" t="str">
        <f aca="false">IFERROR(__xludf.dummyfunction("countif(FILTER(Pokedex!$AS:$AS,Pokedex!$A:$A=$L$1,Pokedex!$AS:$AS=2),2)"),"0")</f>
        <v>0</v>
      </c>
      <c r="I89" s="908" t="n">
        <f aca="false">SUM(F89:H89)</f>
        <v>0</v>
      </c>
      <c r="J89" s="44"/>
      <c r="K89" s="823" t="s">
        <v>85</v>
      </c>
      <c r="L89" s="823"/>
      <c r="M89" s="477" t="s">
        <v>1115</v>
      </c>
      <c r="N89" s="477"/>
      <c r="O89" s="44"/>
      <c r="P89" s="44"/>
      <c r="Q89" s="44"/>
      <c r="R89" s="824"/>
      <c r="S89" s="638"/>
      <c r="T89" s="638"/>
      <c r="U89" s="638"/>
      <c r="V89" s="638"/>
      <c r="W89" s="638"/>
      <c r="X89" s="638"/>
      <c r="Y89" s="638"/>
      <c r="Z89" s="638"/>
      <c r="AA89" s="638"/>
      <c r="AB89" s="638"/>
      <c r="AC89" s="638"/>
      <c r="AD89" s="638"/>
      <c r="AE89" s="638"/>
    </row>
    <row r="90" customFormat="false" ht="15.75" hidden="false" customHeight="false" outlineLevel="0" collapsed="false">
      <c r="A90" s="917" t="s">
        <v>811</v>
      </c>
      <c r="B90" s="917"/>
      <c r="C90" s="918" t="str">
        <f aca="false">IFERROR(__xludf.dummyfunction("countif(FILTER(Pokedex!$AT:$AT,Pokedex!$A:$A=$L$1,Pokedex!$AT:$AT=0-2),0-2)"),"0")</f>
        <v>0</v>
      </c>
      <c r="D90" s="919" t="str">
        <f aca="false">IFERROR(__xludf.dummyfunction("countif(FILTER(Pokedex!$AT:$AT,Pokedex!$A:$A=$L$1,Pokedex!$AT:$AT=0-1),0-1)"),"3")</f>
        <v>3</v>
      </c>
      <c r="E90" s="919" t="n">
        <f aca="false">SUM(C90:D90)</f>
        <v>0</v>
      </c>
      <c r="F90" s="920" t="str">
        <f aca="false">IFERROR(__xludf.dummyfunction("countif(FILTER(Pokedex!$AT:$AT,Pokedex!$A:$A=$L$1,Pokedex!$AT:$AT=4),4)"),"0")</f>
        <v>0</v>
      </c>
      <c r="G90" s="921" t="str">
        <f aca="false">IFERROR(__xludf.dummyfunction("countif(FILTER(Pokedex!$AT:$AT,Pokedex!$A:$A=$L$1,Pokedex!$AT:$AT=1),1)"),"3")</f>
        <v>3</v>
      </c>
      <c r="H90" s="920" t="str">
        <f aca="false">IFERROR(__xludf.dummyfunction("countif(FILTER(Pokedex!$AT:$AT,Pokedex!$A:$A=$L$1,Pokedex!$AT:$AT=2),2)"),"0")</f>
        <v>0</v>
      </c>
      <c r="I90" s="920" t="n">
        <f aca="false">SUM(F90:H90)</f>
        <v>0</v>
      </c>
      <c r="J90" s="44"/>
      <c r="K90" s="823" t="s">
        <v>124</v>
      </c>
      <c r="L90" s="823"/>
      <c r="M90" s="477" t="s">
        <v>1115</v>
      </c>
      <c r="N90" s="477"/>
      <c r="O90" s="44"/>
      <c r="P90" s="44"/>
      <c r="Q90" s="44"/>
      <c r="R90" s="824"/>
      <c r="S90" s="638"/>
      <c r="T90" s="638"/>
      <c r="U90" s="638"/>
      <c r="V90" s="638"/>
      <c r="W90" s="638"/>
      <c r="X90" s="638"/>
      <c r="Y90" s="638"/>
      <c r="Z90" s="638"/>
      <c r="AA90" s="638"/>
      <c r="AB90" s="638"/>
      <c r="AC90" s="638"/>
      <c r="AD90" s="638"/>
      <c r="AE90" s="638"/>
    </row>
    <row r="91" customFormat="false" ht="15.75" hidden="false" customHeight="false" outlineLevel="0" collapsed="false">
      <c r="A91" s="922" t="s">
        <v>2088</v>
      </c>
      <c r="B91" s="922"/>
      <c r="C91" s="923" t="n">
        <f aca="false">SUM(C73:C90)</f>
        <v>0</v>
      </c>
      <c r="D91" s="924" t="n">
        <f aca="false">SUM(D73:D90)</f>
        <v>0</v>
      </c>
      <c r="E91" s="924" t="n">
        <f aca="false">SUM(E73:E90)</f>
        <v>0</v>
      </c>
      <c r="F91" s="925" t="n">
        <f aca="false">SUM(F73:F90)</f>
        <v>0</v>
      </c>
      <c r="G91" s="926" t="n">
        <f aca="false">SUM(G73:G90)</f>
        <v>0</v>
      </c>
      <c r="H91" s="925" t="n">
        <f aca="false">SUM(H73:H90)</f>
        <v>0</v>
      </c>
      <c r="I91" s="925" t="n">
        <f aca="false">SUM(I73:I90)</f>
        <v>0</v>
      </c>
      <c r="J91" s="44"/>
      <c r="K91" s="823"/>
      <c r="L91" s="823"/>
      <c r="M91" s="477"/>
      <c r="N91" s="477"/>
      <c r="O91" s="44"/>
      <c r="P91" s="44"/>
      <c r="Q91" s="44"/>
      <c r="R91" s="824"/>
      <c r="S91" s="638"/>
      <c r="T91" s="638"/>
      <c r="U91" s="638"/>
      <c r="V91" s="638"/>
      <c r="W91" s="638"/>
      <c r="X91" s="638"/>
      <c r="Y91" s="638"/>
      <c r="Z91" s="638"/>
      <c r="AA91" s="638"/>
      <c r="AB91" s="638"/>
      <c r="AC91" s="638"/>
      <c r="AD91" s="638"/>
      <c r="AE91" s="638"/>
    </row>
    <row r="92" customFormat="false" ht="15.75" hidden="false" customHeight="false" outlineLevel="0" collapsed="false">
      <c r="A92" s="245"/>
      <c r="B92" s="738"/>
      <c r="C92" s="927" t="s">
        <v>2082</v>
      </c>
      <c r="D92" s="928" t="s">
        <v>2083</v>
      </c>
      <c r="E92" s="928" t="s">
        <v>2063</v>
      </c>
      <c r="F92" s="902" t="s">
        <v>2084</v>
      </c>
      <c r="G92" s="903" t="s">
        <v>2085</v>
      </c>
      <c r="H92" s="904" t="s">
        <v>2086</v>
      </c>
      <c r="I92" s="904" t="s">
        <v>2063</v>
      </c>
      <c r="J92" s="44"/>
      <c r="K92" s="823"/>
      <c r="L92" s="823"/>
      <c r="M92" s="477"/>
      <c r="N92" s="477"/>
      <c r="O92" s="44"/>
      <c r="P92" s="44"/>
      <c r="Q92" s="44"/>
      <c r="R92" s="824"/>
      <c r="S92" s="638"/>
      <c r="T92" s="638"/>
      <c r="U92" s="638"/>
      <c r="V92" s="638"/>
      <c r="W92" s="638"/>
      <c r="X92" s="638"/>
      <c r="Y92" s="638"/>
      <c r="Z92" s="638"/>
      <c r="AA92" s="638"/>
      <c r="AB92" s="638"/>
      <c r="AC92" s="638"/>
      <c r="AD92" s="638"/>
      <c r="AE92" s="638"/>
    </row>
    <row r="93" customFormat="false" ht="15.75" hidden="false" customHeight="false" outlineLevel="0" collapsed="false">
      <c r="A93" s="245"/>
      <c r="B93" s="245"/>
      <c r="C93" s="929" t="s">
        <v>2079</v>
      </c>
      <c r="D93" s="929"/>
      <c r="E93" s="929"/>
      <c r="F93" s="930" t="s">
        <v>2080</v>
      </c>
      <c r="G93" s="930"/>
      <c r="H93" s="930"/>
      <c r="I93" s="930"/>
      <c r="J93" s="44"/>
      <c r="K93" s="823"/>
      <c r="L93" s="823"/>
      <c r="M93" s="477"/>
      <c r="N93" s="477"/>
      <c r="O93" s="44"/>
      <c r="P93" s="44"/>
      <c r="Q93" s="44"/>
      <c r="R93" s="824"/>
      <c r="S93" s="638"/>
      <c r="T93" s="638"/>
      <c r="U93" s="638"/>
      <c r="V93" s="638"/>
      <c r="W93" s="638"/>
      <c r="X93" s="638"/>
      <c r="Y93" s="638"/>
      <c r="Z93" s="638"/>
      <c r="AA93" s="638"/>
      <c r="AB93" s="638"/>
      <c r="AC93" s="638"/>
      <c r="AD93" s="638"/>
      <c r="AE93" s="638"/>
    </row>
    <row r="94" customFormat="false" ht="15.75" hidden="false" customHeight="false" outlineLevel="0" collapsed="false">
      <c r="A94" s="44"/>
      <c r="B94" s="44"/>
      <c r="C94" s="44"/>
      <c r="D94" s="44"/>
      <c r="E94" s="44"/>
      <c r="F94" s="44"/>
      <c r="G94" s="44"/>
      <c r="H94" s="44"/>
      <c r="I94" s="44"/>
      <c r="J94" s="44"/>
      <c r="K94" s="823"/>
      <c r="L94" s="823"/>
      <c r="M94" s="477"/>
      <c r="N94" s="477"/>
      <c r="O94" s="44"/>
      <c r="P94" s="44"/>
      <c r="Q94" s="44"/>
      <c r="R94" s="824"/>
      <c r="S94" s="638"/>
      <c r="T94" s="638"/>
      <c r="U94" s="638"/>
      <c r="V94" s="638"/>
      <c r="W94" s="638"/>
      <c r="X94" s="638"/>
      <c r="Y94" s="638"/>
      <c r="Z94" s="638"/>
      <c r="AA94" s="638"/>
      <c r="AB94" s="638"/>
      <c r="AC94" s="638"/>
      <c r="AD94" s="638"/>
      <c r="AE94" s="638"/>
    </row>
    <row r="95" customFormat="false" ht="15.75" hidden="false" customHeight="false" outlineLevel="0" collapsed="false">
      <c r="A95" s="44"/>
      <c r="B95" s="44"/>
      <c r="C95" s="44"/>
      <c r="D95" s="44"/>
      <c r="E95" s="44"/>
      <c r="F95" s="44"/>
      <c r="G95" s="44"/>
      <c r="H95" s="44"/>
      <c r="I95" s="44"/>
      <c r="J95" s="93"/>
      <c r="K95" s="893"/>
      <c r="L95" s="893"/>
      <c r="M95" s="831"/>
      <c r="N95" s="831"/>
      <c r="O95" s="44"/>
      <c r="P95" s="44"/>
      <c r="Q95" s="44"/>
      <c r="R95" s="824"/>
      <c r="S95" s="638"/>
      <c r="T95" s="638"/>
      <c r="U95" s="638"/>
      <c r="V95" s="638"/>
      <c r="W95" s="638"/>
      <c r="X95" s="638"/>
      <c r="Y95" s="638"/>
      <c r="Z95" s="638"/>
      <c r="AA95" s="638"/>
      <c r="AB95" s="638"/>
      <c r="AC95" s="638"/>
      <c r="AD95" s="638"/>
      <c r="AE95" s="638"/>
    </row>
    <row r="96" customFormat="false" ht="15.75" hidden="false" customHeight="false" outlineLevel="0" collapsed="false">
      <c r="O96" s="44"/>
      <c r="P96" s="44"/>
      <c r="Q96" s="44"/>
      <c r="R96" s="824"/>
      <c r="S96" s="638"/>
      <c r="T96" s="638"/>
      <c r="U96" s="638"/>
      <c r="V96" s="638"/>
      <c r="W96" s="638"/>
      <c r="X96" s="638"/>
      <c r="Y96" s="638"/>
      <c r="Z96" s="638"/>
      <c r="AA96" s="638"/>
      <c r="AB96" s="638"/>
      <c r="AC96" s="638"/>
      <c r="AD96" s="638"/>
      <c r="AE96" s="638"/>
    </row>
    <row r="97" customFormat="false" ht="15.75" hidden="false" customHeight="false" outlineLevel="0" collapsed="false">
      <c r="A97" s="44"/>
      <c r="B97" s="44"/>
      <c r="C97" s="44"/>
      <c r="D97" s="44"/>
      <c r="E97" s="44"/>
      <c r="F97" s="44"/>
      <c r="G97" s="44"/>
      <c r="H97" s="44"/>
      <c r="I97" s="44"/>
      <c r="J97" s="44"/>
      <c r="K97" s="44"/>
      <c r="L97" s="44"/>
      <c r="M97" s="44"/>
      <c r="N97" s="44"/>
      <c r="O97" s="44"/>
      <c r="P97" s="44"/>
      <c r="Q97" s="44"/>
      <c r="R97" s="824"/>
      <c r="S97" s="638"/>
      <c r="T97" s="638"/>
      <c r="U97" s="638"/>
      <c r="V97" s="638"/>
      <c r="W97" s="638"/>
      <c r="X97" s="638"/>
      <c r="Y97" s="638"/>
      <c r="Z97" s="638"/>
      <c r="AA97" s="638"/>
      <c r="AB97" s="638"/>
      <c r="AC97" s="638"/>
      <c r="AD97" s="638"/>
      <c r="AE97" s="638"/>
    </row>
    <row r="98" customFormat="false" ht="15.75" hidden="false" customHeight="false" outlineLevel="0" collapsed="false">
      <c r="A98" s="44"/>
      <c r="B98" s="44"/>
      <c r="C98" s="44"/>
      <c r="D98" s="44"/>
      <c r="E98" s="44"/>
      <c r="F98" s="44"/>
      <c r="G98" s="44"/>
      <c r="H98" s="44"/>
      <c r="I98" s="44"/>
      <c r="J98" s="44"/>
      <c r="K98" s="44"/>
      <c r="L98" s="44"/>
      <c r="M98" s="44"/>
      <c r="N98" s="44"/>
      <c r="O98" s="44"/>
      <c r="P98" s="44"/>
      <c r="Q98" s="44"/>
      <c r="R98" s="824"/>
      <c r="S98" s="638"/>
      <c r="T98" s="638"/>
      <c r="U98" s="638"/>
      <c r="V98" s="638"/>
      <c r="W98" s="638"/>
      <c r="X98" s="638"/>
      <c r="Y98" s="638"/>
      <c r="Z98" s="638"/>
      <c r="AA98" s="638"/>
      <c r="AB98" s="638"/>
      <c r="AC98" s="638"/>
      <c r="AD98" s="638"/>
      <c r="AE98" s="638"/>
    </row>
    <row r="99" customFormat="false" ht="15.75" hidden="false" customHeight="false" outlineLevel="0" collapsed="false">
      <c r="A99" s="245"/>
      <c r="B99" s="245"/>
      <c r="C99" s="2"/>
      <c r="D99" s="2"/>
      <c r="E99" s="2"/>
      <c r="F99" s="2"/>
      <c r="G99" s="2"/>
      <c r="H99" s="2"/>
      <c r="I99" s="2"/>
      <c r="J99" s="93"/>
      <c r="K99" s="931"/>
      <c r="L99" s="931"/>
      <c r="M99" s="93"/>
      <c r="N99" s="931"/>
      <c r="O99" s="44"/>
      <c r="P99" s="44"/>
      <c r="Q99" s="44"/>
      <c r="R99" s="824"/>
      <c r="S99" s="638"/>
      <c r="T99" s="638"/>
      <c r="U99" s="638"/>
      <c r="V99" s="638"/>
      <c r="W99" s="638"/>
      <c r="X99" s="638"/>
      <c r="Y99" s="638"/>
      <c r="Z99" s="638"/>
      <c r="AA99" s="638"/>
      <c r="AB99" s="638"/>
      <c r="AC99" s="638"/>
      <c r="AD99" s="638"/>
      <c r="AE99" s="638"/>
    </row>
    <row r="100" customFormat="false" ht="15.75" hidden="false" customHeight="false" outlineLevel="0" collapsed="false">
      <c r="A100" s="245"/>
      <c r="B100" s="245"/>
      <c r="C100" s="931"/>
      <c r="D100" s="93"/>
      <c r="E100" s="931"/>
      <c r="F100" s="931"/>
      <c r="G100" s="93"/>
      <c r="H100" s="931"/>
      <c r="I100" s="931"/>
      <c r="J100" s="93"/>
      <c r="K100" s="931"/>
      <c r="L100" s="931"/>
      <c r="M100" s="93"/>
      <c r="N100" s="931"/>
      <c r="O100" s="44"/>
      <c r="P100" s="44"/>
      <c r="Q100" s="44"/>
      <c r="R100" s="824"/>
      <c r="S100" s="638"/>
      <c r="T100" s="638"/>
      <c r="U100" s="638"/>
      <c r="V100" s="638"/>
      <c r="W100" s="638"/>
      <c r="X100" s="638"/>
      <c r="Y100" s="638"/>
      <c r="Z100" s="638"/>
      <c r="AA100" s="638"/>
      <c r="AB100" s="638"/>
      <c r="AC100" s="638"/>
      <c r="AD100" s="638"/>
      <c r="AE100" s="638"/>
    </row>
  </sheetData>
  <mergeCells count="373">
    <mergeCell ref="A1:D8"/>
    <mergeCell ref="E1:F1"/>
    <mergeCell ref="G1:J1"/>
    <mergeCell ref="L1:N1"/>
    <mergeCell ref="R1:S1"/>
    <mergeCell ref="E2:F2"/>
    <mergeCell ref="G2:N2"/>
    <mergeCell ref="E3:F3"/>
    <mergeCell ref="G3:N3"/>
    <mergeCell ref="E4:F4"/>
    <mergeCell ref="G4:N4"/>
    <mergeCell ref="E5:F5"/>
    <mergeCell ref="G5:N5"/>
    <mergeCell ref="E6:F6"/>
    <mergeCell ref="G6:N6"/>
    <mergeCell ref="E7:F7"/>
    <mergeCell ref="G7:N7"/>
    <mergeCell ref="A9:D9"/>
    <mergeCell ref="I9:L9"/>
    <mergeCell ref="A10:B11"/>
    <mergeCell ref="C10:I10"/>
    <mergeCell ref="J10:M10"/>
    <mergeCell ref="J11:M11"/>
    <mergeCell ref="A12:B12"/>
    <mergeCell ref="J12:M12"/>
    <mergeCell ref="A13:B13"/>
    <mergeCell ref="J13:M13"/>
    <mergeCell ref="A14:B14"/>
    <mergeCell ref="J14:M14"/>
    <mergeCell ref="A15:B15"/>
    <mergeCell ref="A16:B16"/>
    <mergeCell ref="A17:B17"/>
    <mergeCell ref="A18:B18"/>
    <mergeCell ref="A19:B19"/>
    <mergeCell ref="R19:S19"/>
    <mergeCell ref="A20:B20"/>
    <mergeCell ref="A21:B21"/>
    <mergeCell ref="A22:B22"/>
    <mergeCell ref="A23:C23"/>
    <mergeCell ref="A27:C27"/>
    <mergeCell ref="D27:F27"/>
    <mergeCell ref="G27:H27"/>
    <mergeCell ref="J27:L27"/>
    <mergeCell ref="A28:C28"/>
    <mergeCell ref="D28:F28"/>
    <mergeCell ref="G28:H28"/>
    <mergeCell ref="J28:L28"/>
    <mergeCell ref="A29:C29"/>
    <mergeCell ref="D29:F29"/>
    <mergeCell ref="G29:H29"/>
    <mergeCell ref="J29:L29"/>
    <mergeCell ref="A30:C30"/>
    <mergeCell ref="D30:F30"/>
    <mergeCell ref="G30:H30"/>
    <mergeCell ref="J30:M30"/>
    <mergeCell ref="A32:C32"/>
    <mergeCell ref="D32:F32"/>
    <mergeCell ref="G32:H32"/>
    <mergeCell ref="I32:J32"/>
    <mergeCell ref="K32:N32"/>
    <mergeCell ref="A33:C33"/>
    <mergeCell ref="D33:F33"/>
    <mergeCell ref="G33:H33"/>
    <mergeCell ref="I33:J33"/>
    <mergeCell ref="K33:N33"/>
    <mergeCell ref="A34:C34"/>
    <mergeCell ref="D34:F34"/>
    <mergeCell ref="G34:H34"/>
    <mergeCell ref="I34:J34"/>
    <mergeCell ref="K34:N34"/>
    <mergeCell ref="A35:C35"/>
    <mergeCell ref="D35:F35"/>
    <mergeCell ref="G35:H35"/>
    <mergeCell ref="I35:J35"/>
    <mergeCell ref="K35:N35"/>
    <mergeCell ref="A36:C36"/>
    <mergeCell ref="D36:F36"/>
    <mergeCell ref="G36:H36"/>
    <mergeCell ref="I36:J36"/>
    <mergeCell ref="K36:N36"/>
    <mergeCell ref="A37:C37"/>
    <mergeCell ref="D37:F37"/>
    <mergeCell ref="G37:H37"/>
    <mergeCell ref="I37:J37"/>
    <mergeCell ref="K37:N37"/>
    <mergeCell ref="A38:C38"/>
    <mergeCell ref="D38:F38"/>
    <mergeCell ref="G38:H38"/>
    <mergeCell ref="I38:J38"/>
    <mergeCell ref="K38:N38"/>
    <mergeCell ref="A39:C39"/>
    <mergeCell ref="D39:F39"/>
    <mergeCell ref="G39:H39"/>
    <mergeCell ref="I39:J39"/>
    <mergeCell ref="K39:N39"/>
    <mergeCell ref="R39:S39"/>
    <mergeCell ref="A40:C40"/>
    <mergeCell ref="D40:F40"/>
    <mergeCell ref="G40:H40"/>
    <mergeCell ref="I40:J40"/>
    <mergeCell ref="K40:N40"/>
    <mergeCell ref="A41:C41"/>
    <mergeCell ref="D41:F41"/>
    <mergeCell ref="G41:H41"/>
    <mergeCell ref="I41:J41"/>
    <mergeCell ref="K41:N41"/>
    <mergeCell ref="A43:C43"/>
    <mergeCell ref="K43:L43"/>
    <mergeCell ref="M43:N43"/>
    <mergeCell ref="A44:C44"/>
    <mergeCell ref="K44:L44"/>
    <mergeCell ref="M44:N44"/>
    <mergeCell ref="A45:C45"/>
    <mergeCell ref="K45:L45"/>
    <mergeCell ref="M45:N45"/>
    <mergeCell ref="A46:C46"/>
    <mergeCell ref="K46:L46"/>
    <mergeCell ref="M46:N46"/>
    <mergeCell ref="A47:C47"/>
    <mergeCell ref="K47:L47"/>
    <mergeCell ref="M47:N47"/>
    <mergeCell ref="A48:C48"/>
    <mergeCell ref="K48:L48"/>
    <mergeCell ref="M48:N48"/>
    <mergeCell ref="A49:C49"/>
    <mergeCell ref="K49:L49"/>
    <mergeCell ref="M49:N49"/>
    <mergeCell ref="A50:C50"/>
    <mergeCell ref="K50:L50"/>
    <mergeCell ref="M50:N50"/>
    <mergeCell ref="A51:C51"/>
    <mergeCell ref="K51:L51"/>
    <mergeCell ref="M51:N51"/>
    <mergeCell ref="A52:C52"/>
    <mergeCell ref="K52:L52"/>
    <mergeCell ref="M52:N52"/>
    <mergeCell ref="A53:C53"/>
    <mergeCell ref="K53:L53"/>
    <mergeCell ref="M53:N53"/>
    <mergeCell ref="A54:C54"/>
    <mergeCell ref="K54:L54"/>
    <mergeCell ref="M54:N54"/>
    <mergeCell ref="Q54:S54"/>
    <mergeCell ref="T54:V54"/>
    <mergeCell ref="W54:X54"/>
    <mergeCell ref="Y54:Z54"/>
    <mergeCell ref="AA54:AD54"/>
    <mergeCell ref="A55:C55"/>
    <mergeCell ref="Q55:S55"/>
    <mergeCell ref="T55:V55"/>
    <mergeCell ref="W55:X55"/>
    <mergeCell ref="Y55:Z55"/>
    <mergeCell ref="AA55:AD55"/>
    <mergeCell ref="A56:C56"/>
    <mergeCell ref="Q56:S56"/>
    <mergeCell ref="T56:V56"/>
    <mergeCell ref="W56:X56"/>
    <mergeCell ref="Y56:Z56"/>
    <mergeCell ref="AA56:AD56"/>
    <mergeCell ref="Q57:S57"/>
    <mergeCell ref="T57:V57"/>
    <mergeCell ref="W57:X57"/>
    <mergeCell ref="Y57:Z57"/>
    <mergeCell ref="AA57:AD57"/>
    <mergeCell ref="A58:C58"/>
    <mergeCell ref="D58:I58"/>
    <mergeCell ref="K58:N58"/>
    <mergeCell ref="Q58:S58"/>
    <mergeCell ref="T58:V58"/>
    <mergeCell ref="W58:X58"/>
    <mergeCell ref="Y58:Z58"/>
    <mergeCell ref="AA58:AD58"/>
    <mergeCell ref="A59:C59"/>
    <mergeCell ref="D59:E59"/>
    <mergeCell ref="F59:G59"/>
    <mergeCell ref="H59:I59"/>
    <mergeCell ref="K59:L59"/>
    <mergeCell ref="M59:N59"/>
    <mergeCell ref="Q59:S59"/>
    <mergeCell ref="T59:V59"/>
    <mergeCell ref="W59:X59"/>
    <mergeCell ref="Y59:Z59"/>
    <mergeCell ref="AA59:AD59"/>
    <mergeCell ref="A60:C60"/>
    <mergeCell ref="D60:E60"/>
    <mergeCell ref="F60:G60"/>
    <mergeCell ref="H60:I60"/>
    <mergeCell ref="K60:L60"/>
    <mergeCell ref="M60:N60"/>
    <mergeCell ref="Q60:S60"/>
    <mergeCell ref="T60:V60"/>
    <mergeCell ref="W60:X60"/>
    <mergeCell ref="Y60:Z60"/>
    <mergeCell ref="AA60:AD60"/>
    <mergeCell ref="A61:C61"/>
    <mergeCell ref="D61:E61"/>
    <mergeCell ref="F61:G61"/>
    <mergeCell ref="H61:I61"/>
    <mergeCell ref="K61:L61"/>
    <mergeCell ref="M61:N61"/>
    <mergeCell ref="Q61:S61"/>
    <mergeCell ref="T61:V61"/>
    <mergeCell ref="W61:X61"/>
    <mergeCell ref="Y61:Z61"/>
    <mergeCell ref="AA61:AD61"/>
    <mergeCell ref="A62:C62"/>
    <mergeCell ref="D62:E62"/>
    <mergeCell ref="F62:G62"/>
    <mergeCell ref="H62:I62"/>
    <mergeCell ref="K62:L62"/>
    <mergeCell ref="M62:N62"/>
    <mergeCell ref="Q62:S62"/>
    <mergeCell ref="T62:V62"/>
    <mergeCell ref="W62:X62"/>
    <mergeCell ref="Y62:Z62"/>
    <mergeCell ref="AA62:AD62"/>
    <mergeCell ref="A63:C63"/>
    <mergeCell ref="D63:E63"/>
    <mergeCell ref="F63:G63"/>
    <mergeCell ref="H63:I63"/>
    <mergeCell ref="K63:L63"/>
    <mergeCell ref="M63:N63"/>
    <mergeCell ref="Q63:S63"/>
    <mergeCell ref="T63:V63"/>
    <mergeCell ref="W63:X63"/>
    <mergeCell ref="Y63:Z63"/>
    <mergeCell ref="AA63:AD63"/>
    <mergeCell ref="A64:C64"/>
    <mergeCell ref="D64:E64"/>
    <mergeCell ref="F64:G64"/>
    <mergeCell ref="H64:I64"/>
    <mergeCell ref="K64:L64"/>
    <mergeCell ref="M64:N64"/>
    <mergeCell ref="Q64:S64"/>
    <mergeCell ref="T64:V64"/>
    <mergeCell ref="W64:X64"/>
    <mergeCell ref="Y64:Z64"/>
    <mergeCell ref="AA64:AD64"/>
    <mergeCell ref="A65:C65"/>
    <mergeCell ref="D65:E65"/>
    <mergeCell ref="F65:G65"/>
    <mergeCell ref="H65:I65"/>
    <mergeCell ref="K65:L65"/>
    <mergeCell ref="M65:N65"/>
    <mergeCell ref="Q65:S65"/>
    <mergeCell ref="T65:V65"/>
    <mergeCell ref="W65:X65"/>
    <mergeCell ref="Y65:Z65"/>
    <mergeCell ref="AA65:AD65"/>
    <mergeCell ref="A66:C66"/>
    <mergeCell ref="D66:E66"/>
    <mergeCell ref="F66:G66"/>
    <mergeCell ref="H66:I66"/>
    <mergeCell ref="K66:L66"/>
    <mergeCell ref="M66:N66"/>
    <mergeCell ref="Q66:S66"/>
    <mergeCell ref="T66:V66"/>
    <mergeCell ref="W66:X66"/>
    <mergeCell ref="Y66:Z66"/>
    <mergeCell ref="AA66:AD66"/>
    <mergeCell ref="A67:C67"/>
    <mergeCell ref="D67:E67"/>
    <mergeCell ref="F67:G67"/>
    <mergeCell ref="H67:I67"/>
    <mergeCell ref="K67:L67"/>
    <mergeCell ref="M67:N67"/>
    <mergeCell ref="Q67:S67"/>
    <mergeCell ref="T67:V67"/>
    <mergeCell ref="W67:X67"/>
    <mergeCell ref="Y67:Z67"/>
    <mergeCell ref="AA67:AD67"/>
    <mergeCell ref="A68:C68"/>
    <mergeCell ref="D68:E68"/>
    <mergeCell ref="F68:G68"/>
    <mergeCell ref="H68:I68"/>
    <mergeCell ref="K68:L68"/>
    <mergeCell ref="M68:N68"/>
    <mergeCell ref="Q68:S68"/>
    <mergeCell ref="T68:V68"/>
    <mergeCell ref="W68:X68"/>
    <mergeCell ref="Y68:Z68"/>
    <mergeCell ref="AA68:AD68"/>
    <mergeCell ref="A69:C69"/>
    <mergeCell ref="D69:E69"/>
    <mergeCell ref="F69:G69"/>
    <mergeCell ref="H69:I69"/>
    <mergeCell ref="K69:L69"/>
    <mergeCell ref="M69:N69"/>
    <mergeCell ref="Q69:S69"/>
    <mergeCell ref="T69:V69"/>
    <mergeCell ref="W69:X69"/>
    <mergeCell ref="Y69:Z69"/>
    <mergeCell ref="AA69:AD69"/>
    <mergeCell ref="Q70:S70"/>
    <mergeCell ref="T70:V70"/>
    <mergeCell ref="W70:X70"/>
    <mergeCell ref="Y70:Z70"/>
    <mergeCell ref="AA70:AD70"/>
    <mergeCell ref="A71:B72"/>
    <mergeCell ref="C71:E71"/>
    <mergeCell ref="F71:I71"/>
    <mergeCell ref="K71:N71"/>
    <mergeCell ref="Q71:S71"/>
    <mergeCell ref="T71:V71"/>
    <mergeCell ref="W71:X71"/>
    <mergeCell ref="Y71:Z71"/>
    <mergeCell ref="AA71:AD71"/>
    <mergeCell ref="K72:L72"/>
    <mergeCell ref="M72:N72"/>
    <mergeCell ref="A73:B73"/>
    <mergeCell ref="K73:L73"/>
    <mergeCell ref="M73:N73"/>
    <mergeCell ref="A74:B74"/>
    <mergeCell ref="K74:L74"/>
    <mergeCell ref="M74:N74"/>
    <mergeCell ref="A75:B75"/>
    <mergeCell ref="K75:L75"/>
    <mergeCell ref="M75:N75"/>
    <mergeCell ref="A76:B76"/>
    <mergeCell ref="K76:L76"/>
    <mergeCell ref="M76:N76"/>
    <mergeCell ref="A77:B77"/>
    <mergeCell ref="K77:L77"/>
    <mergeCell ref="M77:N77"/>
    <mergeCell ref="A78:B78"/>
    <mergeCell ref="K78:L78"/>
    <mergeCell ref="M78:N78"/>
    <mergeCell ref="A79:B79"/>
    <mergeCell ref="K79:L79"/>
    <mergeCell ref="M79:N79"/>
    <mergeCell ref="A80:B80"/>
    <mergeCell ref="K80:L80"/>
    <mergeCell ref="M80:N80"/>
    <mergeCell ref="A81:B81"/>
    <mergeCell ref="K81:L81"/>
    <mergeCell ref="M81:N81"/>
    <mergeCell ref="A82:B82"/>
    <mergeCell ref="K82:L82"/>
    <mergeCell ref="M82:N82"/>
    <mergeCell ref="A83:B83"/>
    <mergeCell ref="A84:B84"/>
    <mergeCell ref="K84:N84"/>
    <mergeCell ref="A85:B85"/>
    <mergeCell ref="K85:L85"/>
    <mergeCell ref="M85:N85"/>
    <mergeCell ref="A86:B86"/>
    <mergeCell ref="K86:L86"/>
    <mergeCell ref="M86:N86"/>
    <mergeCell ref="A87:B87"/>
    <mergeCell ref="K87:L87"/>
    <mergeCell ref="M87:N87"/>
    <mergeCell ref="A88:B88"/>
    <mergeCell ref="K88:L88"/>
    <mergeCell ref="M88:N88"/>
    <mergeCell ref="A89:B89"/>
    <mergeCell ref="K89:L89"/>
    <mergeCell ref="M89:N89"/>
    <mergeCell ref="A90:B90"/>
    <mergeCell ref="K90:L90"/>
    <mergeCell ref="M90:N90"/>
    <mergeCell ref="A91:B91"/>
    <mergeCell ref="K91:L91"/>
    <mergeCell ref="M91:N91"/>
    <mergeCell ref="K92:L92"/>
    <mergeCell ref="M92:N92"/>
    <mergeCell ref="C93:E93"/>
    <mergeCell ref="F93:I93"/>
    <mergeCell ref="K93:L93"/>
    <mergeCell ref="M93:N93"/>
    <mergeCell ref="K94:L94"/>
    <mergeCell ref="M94:N94"/>
    <mergeCell ref="K95:L95"/>
    <mergeCell ref="M95:N95"/>
  </mergeCells>
  <conditionalFormatting sqref="J29:M30">
    <cfRule type="containsText" priority="2" aboveAverage="0" equalAverage="0" bottom="0" percent="0" rank="0" text="ERROR" dxfId="1"/>
  </conditionalFormatting>
  <conditionalFormatting sqref="N9">
    <cfRule type="notContainsText" priority="3" aboveAverage="0" equalAverage="0" bottom="0" percent="0" rank="0" text="OUT" dxfId="0"/>
  </conditionalFormatting>
  <conditionalFormatting sqref="N9">
    <cfRule type="containsText" priority="4" aboveAverage="0" equalAverage="0" bottom="0" percent="0" rank="0" text="OUT" dxfId="1"/>
  </conditionalFormatting>
  <conditionalFormatting sqref="N8">
    <cfRule type="containsText" priority="5" aboveAverage="0" equalAverage="0" bottom="0" percent="0" rank="0" text="Win" dxfId="3"/>
  </conditionalFormatting>
  <conditionalFormatting sqref="N8">
    <cfRule type="containsText" priority="6" aboveAverage="0" equalAverage="0" bottom="0" percent="0" rank="0" text="Lose" dxfId="4"/>
  </conditionalFormatting>
  <conditionalFormatting sqref="M27">
    <cfRule type="cellIs" priority="7" operator="lessThanOrEqual" aboveAverage="0" equalAverage="0" bottom="0" percent="0" rank="0" text="" dxfId="4">
      <formula>0</formula>
    </cfRule>
  </conditionalFormatting>
  <conditionalFormatting sqref="M27">
    <cfRule type="cellIs" priority="8" operator="greaterThan" aboveAverage="0" equalAverage="0" bottom="0" percent="0" rank="0" text="" dxfId="3">
      <formula>0</formula>
    </cfRule>
  </conditionalFormatting>
  <conditionalFormatting sqref="A12:I22,A44:N54,A59:I69">
    <cfRule type="expression" priority="9" aboveAverage="0" equalAverage="0" bottom="0" percent="0" rank="0" text="" dxfId="0">
      <formula>AND(NOT(ISBLANK($A:$A)),$A:$A=$J$11)</formula>
    </cfRule>
  </conditionalFormatting>
  <conditionalFormatting sqref="A12:I22,A44:N54,A59:I69">
    <cfRule type="expression" priority="10" aboveAverage="0" equalAverage="0" bottom="0" percent="0" rank="0" text="" dxfId="1">
      <formula>AND(NOT(ISBLANK($A:$A)),$A:$A=$J$13)</formula>
    </cfRule>
  </conditionalFormatting>
  <conditionalFormatting sqref="A12:I22,A44:N54,A59:I69">
    <cfRule type="expression" priority="11" aboveAverage="0" equalAverage="0" bottom="0" percent="0" rank="0" text="" dxfId="1">
      <formula>AND(NOT(ISBLANK($A:$A)),$A:$A=$J$14)</formula>
    </cfRule>
  </conditionalFormatting>
  <printOptions headings="false" gridLines="false" gridLinesSet="true" horizontalCentered="false" verticalCentered="false"/>
  <pageMargins left="0.747916666666667" right="0.747916666666667" top="0.984027777777778" bottom="0.984027777777778" header="0.511805555555555" footer="0.511805555555555"/>
  <pageSetup paperSize="1" scale="100" firstPageNumber="0" fitToWidth="1" fitToHeight="1" pageOrder="downThenOver" orientation="portrait" usePrinterDefaults="false" blackAndWhite="false" draft="false" cellComments="none" useFirstPageNumber="false" horizontalDpi="300" verticalDpi="300" copies="1"/>
  <headerFooter differentFirst="false" differentOddEven="false">
    <oddHeader/>
    <oddFooter/>
  </headerFooter>
  <drawing r:id="rId1"/>
</worksheet>
</file>

<file path=xl/worksheets/sheet13.xml><?xml version="1.0" encoding="utf-8"?>
<worksheet xmlns="http://schemas.openxmlformats.org/spreadsheetml/2006/main" xmlns:r="http://schemas.openxmlformats.org/officeDocument/2006/relationships">
  <sheetPr filterMode="false">
    <tabColor rgb="FFC27BA0"/>
    <pageSetUpPr fitToPage="false"/>
  </sheetPr>
  <dimension ref="A1:AE100"/>
  <sheetViews>
    <sheetView windowProtection="false"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A1" activeCellId="0" sqref="A1"/>
    </sheetView>
  </sheetViews>
  <sheetFormatPr defaultRowHeight="15.75"/>
  <cols>
    <col collapsed="false" hidden="false" max="2" min="1" style="0" width="10.6632653061225"/>
    <col collapsed="false" hidden="false" max="14" min="3" style="0" width="7.1530612244898"/>
    <col collapsed="false" hidden="false" max="15" min="15" style="0" width="1.48469387755102"/>
    <col collapsed="false" hidden="true" max="31" min="16" style="0" width="0"/>
    <col collapsed="false" hidden="false" max="1025" min="32" style="0" width="14.1734693877551"/>
  </cols>
  <sheetData>
    <row r="1" customFormat="false" ht="15.75" hidden="false" customHeight="false" outlineLevel="0" collapsed="false">
      <c r="A1" s="765" t="s">
        <v>466</v>
      </c>
      <c r="B1" s="765"/>
      <c r="C1" s="765"/>
      <c r="D1" s="765"/>
      <c r="E1" s="766" t="s">
        <v>2038</v>
      </c>
      <c r="F1" s="766"/>
      <c r="G1" s="767" t="s">
        <v>2089</v>
      </c>
      <c r="H1" s="767"/>
      <c r="I1" s="767"/>
      <c r="J1" s="767"/>
      <c r="K1" s="768" t="s">
        <v>2040</v>
      </c>
      <c r="L1" s="769" t="s">
        <v>714</v>
      </c>
      <c r="M1" s="769"/>
      <c r="N1" s="769"/>
      <c r="O1" s="44"/>
      <c r="P1" s="44"/>
      <c r="Q1" s="770" t="e">
        <f aca="false">flg!$l$1</f>
        <v>#NAME?</v>
      </c>
      <c r="R1" s="341" t="s">
        <v>1681</v>
      </c>
      <c r="S1" s="341"/>
      <c r="T1" s="771"/>
      <c r="U1" s="771"/>
      <c r="V1" s="771"/>
      <c r="W1" s="771"/>
      <c r="X1" s="771"/>
      <c r="Y1" s="771"/>
      <c r="Z1" s="771"/>
      <c r="AA1" s="771"/>
      <c r="AB1" s="771"/>
      <c r="AC1" s="771"/>
      <c r="AD1" s="771"/>
      <c r="AE1" s="771"/>
    </row>
    <row r="2" customFormat="false" ht="15.75" hidden="false" customHeight="false" outlineLevel="0" collapsed="false">
      <c r="A2" s="765"/>
      <c r="B2" s="765"/>
      <c r="C2" s="765"/>
      <c r="D2" s="765"/>
      <c r="E2" s="772" t="s">
        <v>2041</v>
      </c>
      <c r="F2" s="772"/>
      <c r="G2" s="773" t="s">
        <v>2090</v>
      </c>
      <c r="H2" s="773"/>
      <c r="I2" s="773"/>
      <c r="J2" s="773"/>
      <c r="K2" s="773"/>
      <c r="L2" s="773"/>
      <c r="M2" s="773"/>
      <c r="N2" s="773"/>
      <c r="O2" s="44"/>
      <c r="P2" s="44"/>
      <c r="Q2" s="774" t="e">
        <f aca="false">fst!$l$1</f>
        <v>#NAME?</v>
      </c>
      <c r="R2" s="386" t="str">
        <f aca="false">IFERROR(__xludf.dummyfunction("{ if(isna(FILTER(MoveDex!$T:$T,MoveDex!$S:$S=$L$1)),,FILTER(MoveDex!$T:$T,MoveDex!$S:$S=$L$1)) ; if(isna(FILTER(MoveDex!$X:$X,MoveDex!$W:$W=$L$1)),,FILTER(MoveDex!$X:$X,MoveDex!$W:$W=$L$1)) ; if(isna(FILTER(MoveDex!$AB:$AB,MoveDex!$AA:$AA=$L$1)),,FILTER(M"&amp;"oveDex!$AB:$AB,MoveDex!$AA:$AA=$L$1)) ; if(isna(FILTER(MoveDex!$AF:$AF,MoveDex!$AE:$AE=$L$1)),,FILTER(MoveDex!$AF:$AF,MoveDex!$AE:$AE=$L$1)) }"),"Donphan")</f>
        <v>Donphan</v>
      </c>
      <c r="S2" s="386" t="str">
        <f aca="false">IFERROR(__xludf.dummyfunction("{ if(isna(FILTER(MoveDex!$U:$U,MoveDex!$S:$S=$L$1)),,FILTER(MoveDex!$U:$U,MoveDex!$S:$S=$L$1)) ; if(isna(FILTER(MoveDex!$Y:$Y,MoveDex!$W:$W=$L$1)),,FILTER(MoveDex!$Y:$Y,MoveDex!$W:$W=$L$1)) ; if(isna(FILTER(MoveDex!$AC:$AC,MoveDex!$AA:$AA=$L$1)),,FILTER(M"&amp;"oveDex!$AC:$AC,MoveDex!$AA:$AA=$L$1)) ; if(isna(FILTER(MoveDex!$AG:$AG,MoveDex!$AE:$AE=$L$1)),,FILTER(MoveDex!$AG:$AG,MoveDex!$AE:$AE=$L$1)) }"),"Stealth Rock")</f>
        <v>Stealth Rock</v>
      </c>
      <c r="T2" s="777"/>
      <c r="U2" s="777"/>
      <c r="V2" s="777"/>
      <c r="W2" s="777"/>
      <c r="X2" s="777"/>
      <c r="Y2" s="777"/>
      <c r="Z2" s="777"/>
      <c r="AA2" s="777"/>
      <c r="AB2" s="777"/>
      <c r="AC2" s="777"/>
      <c r="AD2" s="777"/>
      <c r="AE2" s="777"/>
    </row>
    <row r="3" customFormat="false" ht="15.75" hidden="false" customHeight="false" outlineLevel="0" collapsed="false">
      <c r="A3" s="765"/>
      <c r="B3" s="765"/>
      <c r="C3" s="765"/>
      <c r="D3" s="765"/>
      <c r="E3" s="772" t="s">
        <v>2043</v>
      </c>
      <c r="F3" s="772"/>
      <c r="G3" s="773" t="s">
        <v>2091</v>
      </c>
      <c r="H3" s="773"/>
      <c r="I3" s="773"/>
      <c r="J3" s="773"/>
      <c r="K3" s="773"/>
      <c r="L3" s="773"/>
      <c r="M3" s="773"/>
      <c r="N3" s="773"/>
      <c r="O3" s="44"/>
      <c r="P3" s="44"/>
      <c r="Q3" s="774" t="e">
        <f aca="false">phi!$l$1</f>
        <v>#NAME?</v>
      </c>
      <c r="R3" s="778" t="s">
        <v>43</v>
      </c>
      <c r="S3" s="511" t="s">
        <v>1106</v>
      </c>
      <c r="T3" s="638"/>
      <c r="U3" s="638"/>
      <c r="V3" s="638"/>
      <c r="W3" s="638"/>
      <c r="X3" s="638"/>
      <c r="Y3" s="638"/>
      <c r="Z3" s="638"/>
      <c r="AA3" s="638"/>
      <c r="AB3" s="638"/>
      <c r="AC3" s="638"/>
      <c r="AD3" s="638"/>
      <c r="AE3" s="638"/>
    </row>
    <row r="4" customFormat="false" ht="15.75" hidden="false" customHeight="false" outlineLevel="0" collapsed="false">
      <c r="A4" s="765"/>
      <c r="B4" s="765"/>
      <c r="C4" s="765"/>
      <c r="D4" s="765"/>
      <c r="E4" s="772" t="s">
        <v>2044</v>
      </c>
      <c r="F4" s="772"/>
      <c r="G4" s="773" t="s">
        <v>2045</v>
      </c>
      <c r="H4" s="773"/>
      <c r="I4" s="773"/>
      <c r="J4" s="773"/>
      <c r="K4" s="773"/>
      <c r="L4" s="773"/>
      <c r="M4" s="773"/>
      <c r="N4" s="773"/>
      <c r="O4" s="44"/>
      <c r="P4" s="44"/>
      <c r="Q4" s="774" t="e">
        <f aca="false">stl!$l$1</f>
        <v>#NAME?</v>
      </c>
      <c r="R4" s="778"/>
      <c r="S4" s="511"/>
      <c r="T4" s="638"/>
      <c r="U4" s="638"/>
      <c r="V4" s="638"/>
      <c r="W4" s="638"/>
      <c r="X4" s="638"/>
      <c r="Y4" s="638"/>
      <c r="Z4" s="638"/>
      <c r="AA4" s="638"/>
      <c r="AB4" s="638"/>
      <c r="AC4" s="638"/>
      <c r="AD4" s="638"/>
      <c r="AE4" s="638"/>
    </row>
    <row r="5" customFormat="false" ht="15.75" hidden="false" customHeight="false" outlineLevel="0" collapsed="false">
      <c r="A5" s="765"/>
      <c r="B5" s="765"/>
      <c r="C5" s="765"/>
      <c r="D5" s="765"/>
      <c r="E5" s="772" t="s">
        <v>2046</v>
      </c>
      <c r="F5" s="772"/>
      <c r="G5" s="773" t="s">
        <v>2092</v>
      </c>
      <c r="H5" s="773"/>
      <c r="I5" s="773"/>
      <c r="J5" s="773"/>
      <c r="K5" s="773"/>
      <c r="L5" s="773"/>
      <c r="M5" s="773"/>
      <c r="N5" s="773"/>
      <c r="O5" s="44"/>
      <c r="P5" s="44"/>
      <c r="Q5" s="779" t="e">
        <f aca="false">bor!$l$1</f>
        <v>#NAME?</v>
      </c>
      <c r="R5" s="778" t="s">
        <v>89</v>
      </c>
      <c r="S5" s="511" t="s">
        <v>1108</v>
      </c>
      <c r="T5" s="638"/>
      <c r="U5" s="638"/>
      <c r="V5" s="638"/>
      <c r="W5" s="638"/>
      <c r="X5" s="638"/>
      <c r="Y5" s="638"/>
      <c r="Z5" s="638"/>
      <c r="AA5" s="638"/>
      <c r="AB5" s="638"/>
      <c r="AC5" s="638"/>
      <c r="AD5" s="638"/>
      <c r="AE5" s="638"/>
    </row>
    <row r="6" customFormat="false" ht="15.75" hidden="false" customHeight="false" outlineLevel="0" collapsed="false">
      <c r="A6" s="765"/>
      <c r="B6" s="765"/>
      <c r="C6" s="765"/>
      <c r="D6" s="765"/>
      <c r="E6" s="772" t="s">
        <v>2048</v>
      </c>
      <c r="F6" s="772"/>
      <c r="G6" s="773" t="s">
        <v>2093</v>
      </c>
      <c r="H6" s="773"/>
      <c r="I6" s="773"/>
      <c r="J6" s="773"/>
      <c r="K6" s="773"/>
      <c r="L6" s="773"/>
      <c r="M6" s="773"/>
      <c r="N6" s="773"/>
      <c r="O6" s="44"/>
      <c r="P6" s="44"/>
      <c r="Q6" s="779" t="e">
        <f aca="false">pit!$l$1</f>
        <v>#NAME?</v>
      </c>
      <c r="R6" s="778"/>
      <c r="S6" s="511"/>
      <c r="T6" s="638"/>
      <c r="U6" s="638"/>
      <c r="V6" s="638"/>
      <c r="W6" s="638"/>
      <c r="X6" s="638"/>
      <c r="Y6" s="638"/>
      <c r="Z6" s="638"/>
      <c r="AA6" s="638"/>
      <c r="AB6" s="638"/>
      <c r="AC6" s="638"/>
      <c r="AD6" s="638"/>
      <c r="AE6" s="638"/>
    </row>
    <row r="7" customFormat="false" ht="15.75" hidden="false" customHeight="false" outlineLevel="0" collapsed="false">
      <c r="A7" s="765"/>
      <c r="B7" s="765"/>
      <c r="C7" s="765"/>
      <c r="D7" s="765"/>
      <c r="E7" s="780" t="s">
        <v>2050</v>
      </c>
      <c r="F7" s="780"/>
      <c r="G7" s="781" t="s">
        <v>2094</v>
      </c>
      <c r="H7" s="781"/>
      <c r="I7" s="781"/>
      <c r="J7" s="781"/>
      <c r="K7" s="781"/>
      <c r="L7" s="781"/>
      <c r="M7" s="781"/>
      <c r="N7" s="781"/>
      <c r="O7" s="44"/>
      <c r="P7" s="44"/>
      <c r="Q7" s="779" t="e">
        <f aca="false">sfa!$l$1</f>
        <v>#NAME?</v>
      </c>
      <c r="R7" s="778"/>
      <c r="S7" s="511"/>
      <c r="T7" s="638"/>
      <c r="U7" s="638"/>
      <c r="V7" s="638"/>
      <c r="W7" s="638"/>
      <c r="X7" s="638"/>
      <c r="Y7" s="638"/>
      <c r="Z7" s="638"/>
      <c r="AA7" s="638"/>
      <c r="AB7" s="638"/>
      <c r="AC7" s="638"/>
      <c r="AD7" s="638"/>
      <c r="AE7" s="638"/>
    </row>
    <row r="8" customFormat="false" ht="15.75" hidden="false" customHeight="false" outlineLevel="0" collapsed="false">
      <c r="A8" s="765"/>
      <c r="B8" s="765"/>
      <c r="C8" s="765"/>
      <c r="D8" s="765"/>
      <c r="E8" s="782" t="s">
        <v>2051</v>
      </c>
      <c r="F8" s="783" t="n">
        <f aca="false">COUNTIF(MatchSource!S3:S19, "WIN")</f>
        <v>10</v>
      </c>
      <c r="G8" s="784" t="s">
        <v>2052</v>
      </c>
      <c r="H8" s="785" t="n">
        <f aca="false">COUNTIF(MatchSource!S3:S19, "LOSE")</f>
        <v>3</v>
      </c>
      <c r="I8" s="786" t="s">
        <v>2053</v>
      </c>
      <c r="J8" s="787" t="n">
        <f aca="false">MatchSource!S44</f>
        <v>15</v>
      </c>
      <c r="K8" s="88" t="s">
        <v>2054</v>
      </c>
      <c r="L8" s="788" t="n">
        <f aca="false">COUNTIF(MatchSource!S3:S19, "DNP")</f>
        <v>4</v>
      </c>
      <c r="M8" s="932" t="s">
        <v>2055</v>
      </c>
      <c r="N8" s="933" t="str">
        <f aca="false">MatchSource!S23</f>
        <v>DNP-2</v>
      </c>
      <c r="O8" s="44"/>
      <c r="P8" s="44"/>
      <c r="Q8" s="779" t="e">
        <f aca="false">tbl!$l$1</f>
        <v>#NAME?</v>
      </c>
      <c r="R8" s="790"/>
      <c r="S8" s="791"/>
      <c r="T8" s="792"/>
      <c r="U8" s="792"/>
      <c r="V8" s="792"/>
      <c r="W8" s="792"/>
      <c r="X8" s="792"/>
      <c r="Y8" s="792"/>
      <c r="Z8" s="792"/>
      <c r="AA8" s="792"/>
      <c r="AB8" s="792"/>
      <c r="AC8" s="792"/>
      <c r="AD8" s="792"/>
      <c r="AE8" s="792"/>
    </row>
    <row r="9" customFormat="false" ht="15.75" hidden="false" customHeight="false" outlineLevel="0" collapsed="false">
      <c r="A9" s="793" t="str">
        <f aca="false">$G$1</f>
        <v>Seattle Seadras</v>
      </c>
      <c r="B9" s="793"/>
      <c r="C9" s="793"/>
      <c r="D9" s="793"/>
      <c r="E9" s="794" t="s">
        <v>171</v>
      </c>
      <c r="F9" s="795" t="n">
        <v>4</v>
      </c>
      <c r="G9" s="794" t="s">
        <v>172</v>
      </c>
      <c r="H9" s="795" t="n">
        <v>6</v>
      </c>
      <c r="I9" s="796" t="e">
        <f aca="false">CONCATENATE("Currently #",MATCH($G$1,Main!$A$3:$A$6,0)," in Sun/Moon Division")</f>
        <v>#N/A</v>
      </c>
      <c r="J9" s="796"/>
      <c r="K9" s="796"/>
      <c r="L9" s="796"/>
      <c r="M9" s="797" t="s">
        <v>2056</v>
      </c>
      <c r="N9" s="798" t="e">
        <f aca="false" t="array" ref="N9:N9">INDEX(Main!$L$3:$O$11,MATCH($G$1,Main!$M$3:$M$11,0),1)</f>
        <v>#N/A</v>
      </c>
      <c r="O9" s="44"/>
      <c r="P9" s="44"/>
      <c r="Q9" s="799" t="str">
        <f aca="false">BBG!$L$1</f>
        <v>BBG</v>
      </c>
      <c r="R9" s="790"/>
      <c r="S9" s="791"/>
      <c r="T9" s="792"/>
      <c r="U9" s="792"/>
      <c r="V9" s="792"/>
      <c r="W9" s="792"/>
      <c r="X9" s="792"/>
      <c r="Y9" s="792"/>
      <c r="Z9" s="792"/>
      <c r="AA9" s="792"/>
      <c r="AB9" s="792"/>
      <c r="AC9" s="792"/>
      <c r="AD9" s="792"/>
      <c r="AE9" s="792"/>
    </row>
    <row r="10" customFormat="false" ht="15.75" hidden="false" customHeight="false" outlineLevel="0" collapsed="false">
      <c r="A10" s="800" t="s">
        <v>2057</v>
      </c>
      <c r="B10" s="800"/>
      <c r="C10" s="801" t="s">
        <v>2058</v>
      </c>
      <c r="D10" s="801"/>
      <c r="E10" s="801"/>
      <c r="F10" s="801"/>
      <c r="G10" s="801"/>
      <c r="H10" s="801"/>
      <c r="I10" s="801"/>
      <c r="J10" s="802" t="s">
        <v>264</v>
      </c>
      <c r="K10" s="802"/>
      <c r="L10" s="802"/>
      <c r="M10" s="802"/>
      <c r="N10" s="44"/>
      <c r="O10" s="44"/>
      <c r="P10" s="44"/>
      <c r="Q10" s="799" t="str">
        <f aca="false">SEA!$L$1</f>
        <v>SEA</v>
      </c>
      <c r="R10" s="790"/>
      <c r="S10" s="791"/>
      <c r="T10" s="792"/>
      <c r="U10" s="792"/>
      <c r="V10" s="792"/>
      <c r="W10" s="792"/>
      <c r="X10" s="792"/>
      <c r="Y10" s="792"/>
      <c r="Z10" s="792"/>
      <c r="AA10" s="792"/>
      <c r="AB10" s="792"/>
      <c r="AC10" s="792"/>
      <c r="AD10" s="792"/>
    </row>
    <row r="11" customFormat="false" ht="15.75" hidden="false" customHeight="false" outlineLevel="0" collapsed="false">
      <c r="A11" s="800"/>
      <c r="B11" s="800"/>
      <c r="C11" s="803" t="s">
        <v>2059</v>
      </c>
      <c r="D11" s="804" t="s">
        <v>5</v>
      </c>
      <c r="E11" s="805" t="s">
        <v>6</v>
      </c>
      <c r="F11" s="806" t="s">
        <v>170</v>
      </c>
      <c r="G11" s="807" t="s">
        <v>191</v>
      </c>
      <c r="H11" s="808" t="s">
        <v>7</v>
      </c>
      <c r="I11" s="809" t="s">
        <v>2060</v>
      </c>
      <c r="J11" s="810" t="str">
        <f aca="false">DraftRosters!$E$16</f>
        <v>Charizard</v>
      </c>
      <c r="K11" s="810"/>
      <c r="L11" s="810"/>
      <c r="M11" s="810"/>
      <c r="N11" s="44"/>
      <c r="O11" s="44"/>
      <c r="P11" s="44"/>
      <c r="Q11" s="799" t="str">
        <f aca="false">JVJ!$L$1</f>
        <v>JVJ</v>
      </c>
      <c r="R11" s="790"/>
      <c r="S11" s="791"/>
      <c r="T11" s="792"/>
      <c r="U11" s="792"/>
      <c r="V11" s="792"/>
      <c r="W11" s="792"/>
      <c r="X11" s="792"/>
      <c r="Y11" s="792"/>
      <c r="Z11" s="792"/>
      <c r="AA11" s="792"/>
      <c r="AB11" s="792"/>
      <c r="AC11" s="792"/>
      <c r="AD11" s="792"/>
    </row>
    <row r="12" customFormat="false" ht="15.75" hidden="false" customHeight="false" outlineLevel="0" collapsed="false">
      <c r="A12" s="811" t="str">
        <f aca="false">IFERROR(__xludf.dummyfunction("if(isna(filter(DraftRosters!$E$4:$E$14,not(isblank(DraftRosters!$E$4:$E$14)))), ""NONE DRAFTED"", filter(DraftRosters!$E$4:$E$14,not(isblank(DraftRosters!$E$4:$E$14))))"),"Salamence")</f>
        <v>Salamence</v>
      </c>
      <c r="B12" s="934"/>
      <c r="C12" s="812" t="str">
        <f aca="false" t="array" ref="C12:C12">IF(ISNA(INDEX(Pokedex!J$2:J$610,MATCH($A12,Pokedex!$B$2:$B$610,0))),"-",INDEX(Pokedex!J$2:J$610,MATCH($A12,Pokedex!$B$2:$B$610,0)))</f>
        <v>Tier 1</v>
      </c>
      <c r="D12" s="813" t="n">
        <f aca="false" t="array" ref="D12:D12">IF(ISNA(INDEX(Pokedex!E$2:E$610,MATCH($A12,Pokedex!$B$2:$B$610,0))),"-",INDEX(Pokedex!E$2:E$610,MATCH($A12,Pokedex!$B$2:$B$610,0)))</f>
        <v>0</v>
      </c>
      <c r="E12" s="813" t="n">
        <f aca="false" t="array" ref="E12:E12">IF(ISNA(INDEX(Pokedex!F$2:F$610,MATCH($A12,Pokedex!$B$2:$B$610,0))),"-",INDEX(Pokedex!F$2:F$610,MATCH($A12,Pokedex!$B$2:$B$610,0)))</f>
        <v>0</v>
      </c>
      <c r="F12" s="814" t="e">
        <f aca="false" t="array" ref="F12:F12">IF(ISNA(INDEX(Pokedex!G$2:G$610,MATCH($A12,Pokedex!$B$2:$B$610,0))),"-",INDEX(Pokedex!G$2:G$610,MATCH($A12,Pokedex!$B$2:$B$610,0)))</f>
        <v>#NAME?</v>
      </c>
      <c r="G12" s="814" t="n">
        <f aca="false" t="array" ref="G12:G12">IF(ISNA(INDEX(Pokedex!H$2:H$610,MATCH($A12,Pokedex!$B$2:$B$610,0))),"-",INDEX(Pokedex!H$2:H$610,MATCH($A12,Pokedex!$B$2:$B$610,0)))</f>
        <v>7</v>
      </c>
      <c r="H12" s="813" t="n">
        <f aca="false" t="array" ref="H12:H12">IF(ISNA(INDEX(Pokedex!I$2:I$610,MATCH($A12,Pokedex!$B$2:$B$610,0))),"-",INDEX(Pokedex!I$2:I$610,MATCH($A12,Pokedex!$B$2:$B$610,0)))</f>
        <v>0</v>
      </c>
      <c r="I12" s="815" t="n">
        <f aca="false" t="array" ref="I12:I12">IF(ISNA(INDEX(ExpandedStats!$A$3:$A$240,MATCH($A12,ExpandedStats!$C$3:$C$240,0))),"-",INDEX(ExpandedStats!$A$3:$A$240,MATCH($A12,ExpandedStats!$C$3:$C$240,0)))</f>
        <v>38</v>
      </c>
      <c r="J12" s="816" t="s">
        <v>2061</v>
      </c>
      <c r="K12" s="816"/>
      <c r="L12" s="816"/>
      <c r="M12" s="816"/>
      <c r="N12" s="44"/>
      <c r="O12" s="44"/>
      <c r="P12" s="44"/>
      <c r="Q12" s="799" t="str">
        <f aca="false">SEA!$L$1</f>
        <v>SEA</v>
      </c>
      <c r="R12" s="790"/>
      <c r="S12" s="791"/>
      <c r="T12" s="792"/>
      <c r="U12" s="792"/>
      <c r="V12" s="792"/>
      <c r="W12" s="792"/>
      <c r="X12" s="792"/>
      <c r="Y12" s="792"/>
      <c r="Z12" s="792"/>
      <c r="AA12" s="792"/>
      <c r="AB12" s="792"/>
      <c r="AC12" s="792"/>
      <c r="AD12" s="792"/>
    </row>
    <row r="13" customFormat="false" ht="15.75" hidden="false" customHeight="false" outlineLevel="0" collapsed="false">
      <c r="A13" s="817" t="s">
        <v>46</v>
      </c>
      <c r="B13" s="935"/>
      <c r="C13" s="818" t="str">
        <f aca="false" t="array" ref="C13:C13">IF(ISNA(INDEX(Pokedex!J$2:J$610,MATCH($A13,Pokedex!$B$2:$B$610,0))),"-",INDEX(Pokedex!J$2:J$610,MATCH($A13,Pokedex!$B$2:$B$610,0)))</f>
        <v>Tier 2</v>
      </c>
      <c r="D13" s="50" t="n">
        <f aca="false" t="array" ref="D13:D13">IF(ISNA(INDEX(Pokedex!E$2:E$610,MATCH($A13,Pokedex!$B$2:$B$610,0))),"-",INDEX(Pokedex!E$2:E$610,MATCH($A13,Pokedex!$B$2:$B$610,0)))</f>
        <v>0</v>
      </c>
      <c r="E13" s="50" t="n">
        <f aca="false" t="array" ref="E13:E13">IF(ISNA(INDEX(Pokedex!F$2:F$610,MATCH($A13,Pokedex!$B$2:$B$610,0))),"-",INDEX(Pokedex!F$2:F$610,MATCH($A13,Pokedex!$B$2:$B$610,0)))</f>
        <v>0</v>
      </c>
      <c r="F13" s="469" t="e">
        <f aca="false" t="array" ref="F13:F13">IF(ISNA(INDEX(Pokedex!G$2:G$610,MATCH($A13,Pokedex!$B$2:$B$610,0))),"-",INDEX(Pokedex!G$2:G$610,MATCH($A13,Pokedex!$B$2:$B$610,0)))</f>
        <v>#NAME?</v>
      </c>
      <c r="G13" s="50" t="n">
        <f aca="false" t="array" ref="G13:G13">IF(ISNA(INDEX(Pokedex!H$2:H$610,MATCH($A13,Pokedex!$B$2:$B$610,0))),"-",INDEX(Pokedex!H$2:H$610,MATCH($A13,Pokedex!$B$2:$B$610,0)))</f>
        <v>7</v>
      </c>
      <c r="H13" s="477" t="n">
        <f aca="false" t="array" ref="H13:H13">IF(ISNA(INDEX(Pokedex!I$2:I$610,MATCH($A13,Pokedex!$B$2:$B$610,0))),"-",INDEX(Pokedex!I$2:I$610,MATCH($A13,Pokedex!$B$2:$B$610,0)))</f>
        <v>0</v>
      </c>
      <c r="I13" s="477" t="n">
        <f aca="false" t="array" ref="I13:I13">IF(ISNA(INDEX(ExpandedStats!$A$3:$A$240,MATCH($A13,ExpandedStats!$C$3:$C$240,0))),"-",INDEX(ExpandedStats!$A$3:$A$240,MATCH($A13,ExpandedStats!$C$3:$C$240,0)))</f>
        <v>30</v>
      </c>
      <c r="J13" s="819" t="str">
        <f aca="false">DraftRosters!$E$18</f>
        <v>Salamence</v>
      </c>
      <c r="K13" s="819"/>
      <c r="L13" s="819"/>
      <c r="M13" s="819"/>
      <c r="N13" s="44"/>
      <c r="O13" s="44"/>
      <c r="P13" s="44"/>
      <c r="Q13" s="83" t="str">
        <f aca="false">LVC!$L$1</f>
        <v>LVC</v>
      </c>
      <c r="R13" s="820"/>
      <c r="S13" s="821"/>
      <c r="T13" s="792"/>
      <c r="U13" s="792"/>
      <c r="V13" s="792"/>
      <c r="W13" s="792"/>
      <c r="X13" s="792"/>
      <c r="Y13" s="792"/>
      <c r="Z13" s="792"/>
      <c r="AA13" s="792"/>
      <c r="AB13" s="792"/>
      <c r="AC13" s="792"/>
      <c r="AD13" s="792"/>
    </row>
    <row r="14" customFormat="false" ht="15.75" hidden="false" customHeight="false" outlineLevel="0" collapsed="false">
      <c r="A14" s="817" t="s">
        <v>91</v>
      </c>
      <c r="B14" s="935"/>
      <c r="C14" s="818" t="str">
        <f aca="false" t="array" ref="C14:C14">IF(ISNA(INDEX(Pokedex!J$2:J$610,MATCH($A14,Pokedex!$B$2:$B$610,0))),"-",INDEX(Pokedex!J$2:J$610,MATCH($A14,Pokedex!$B$2:$B$610,0)))</f>
        <v>Tier 3</v>
      </c>
      <c r="D14" s="51" t="n">
        <f aca="false" t="array" ref="D14:D14">IF(ISNA(INDEX(Pokedex!E$2:E$610,MATCH($A14,Pokedex!$B$2:$B$610,0))),"-",INDEX(Pokedex!E$2:E$610,MATCH($A14,Pokedex!$B$2:$B$610,0)))</f>
        <v>0</v>
      </c>
      <c r="E14" s="50" t="n">
        <f aca="false" t="array" ref="E14:E14">IF(ISNA(INDEX(Pokedex!F$2:F$610,MATCH($A14,Pokedex!$B$2:$B$610,0))),"-",INDEX(Pokedex!F$2:F$610,MATCH($A14,Pokedex!$B$2:$B$610,0)))</f>
        <v>0</v>
      </c>
      <c r="F14" s="469" t="e">
        <f aca="false" t="array" ref="F14:F14">IF(ISNA(INDEX(Pokedex!G$2:G$610,MATCH($A14,Pokedex!$B$2:$B$610,0))),"-",INDEX(Pokedex!G$2:G$610,MATCH($A14,Pokedex!$B$2:$B$610,0)))</f>
        <v>#NAME?</v>
      </c>
      <c r="G14" s="50" t="n">
        <f aca="false" t="array" ref="G14:G14">IF(ISNA(INDEX(Pokedex!H$2:H$610,MATCH($A14,Pokedex!$B$2:$B$610,0))),"-",INDEX(Pokedex!H$2:H$610,MATCH($A14,Pokedex!$B$2:$B$610,0)))</f>
        <v>6</v>
      </c>
      <c r="H14" s="477" t="n">
        <f aca="false" t="array" ref="H14:H14">IF(ISNA(INDEX(Pokedex!I$2:I$610,MATCH($A14,Pokedex!$B$2:$B$610,0))),"-",INDEX(Pokedex!I$2:I$610,MATCH($A14,Pokedex!$B$2:$B$610,0)))</f>
        <v>0</v>
      </c>
      <c r="I14" s="727" t="n">
        <f aca="false" t="array" ref="I14:I14">IF(ISNA(INDEX(ExpandedStats!$A$3:$A$240,MATCH($A14,ExpandedStats!$C$3:$C$240,0))),"-",INDEX(ExpandedStats!$A$3:$A$240,MATCH($A14,ExpandedStats!$C$3:$C$240,0)))</f>
        <v>20</v>
      </c>
      <c r="J14" s="810" t="str">
        <f aca="false">DraftRosters!$E$19</f>
        <v>Feraligatr</v>
      </c>
      <c r="K14" s="810"/>
      <c r="L14" s="810"/>
      <c r="M14" s="810"/>
      <c r="N14" s="44"/>
      <c r="O14" s="44"/>
      <c r="P14" s="44"/>
      <c r="Q14" s="331" t="str">
        <f aca="false">BTB!$L$1</f>
        <v>BTB</v>
      </c>
      <c r="R14" s="822"/>
      <c r="S14" s="792"/>
      <c r="T14" s="792"/>
      <c r="U14" s="792"/>
      <c r="V14" s="792"/>
      <c r="W14" s="792"/>
      <c r="X14" s="792"/>
      <c r="Y14" s="792"/>
      <c r="Z14" s="792"/>
      <c r="AA14" s="792"/>
      <c r="AB14" s="792"/>
      <c r="AC14" s="792"/>
      <c r="AD14" s="792"/>
    </row>
    <row r="15" customFormat="false" ht="15.75" hidden="false" customHeight="false" outlineLevel="0" collapsed="false">
      <c r="A15" s="817" t="s">
        <v>89</v>
      </c>
      <c r="B15" s="935"/>
      <c r="C15" s="818" t="str">
        <f aca="false" t="array" ref="C15:C15">IF(ISNA(INDEX(Pokedex!J$2:J$610,MATCH($A15,Pokedex!$B$2:$B$610,0))),"-",INDEX(Pokedex!J$2:J$610,MATCH($A15,Pokedex!$B$2:$B$610,0)))</f>
        <v>Tier 3</v>
      </c>
      <c r="D15" s="50" t="n">
        <f aca="false" t="array" ref="D15:D15">IF(ISNA(INDEX(Pokedex!E$2:E$610,MATCH($A15,Pokedex!$B$2:$B$610,0))),"-",INDEX(Pokedex!E$2:E$610,MATCH($A15,Pokedex!$B$2:$B$610,0)))</f>
        <v>0</v>
      </c>
      <c r="E15" s="50" t="n">
        <f aca="false" t="array" ref="E15:E15">IF(ISNA(INDEX(Pokedex!F$2:F$610,MATCH($A15,Pokedex!$B$2:$B$610,0))),"-",INDEX(Pokedex!F$2:F$610,MATCH($A15,Pokedex!$B$2:$B$610,0)))</f>
        <v>0</v>
      </c>
      <c r="F15" s="469" t="e">
        <f aca="false" t="array" ref="F15:F15">IF(ISNA(INDEX(Pokedex!G$2:G$610,MATCH($A15,Pokedex!$B$2:$B$610,0))),"-",INDEX(Pokedex!G$2:G$610,MATCH($A15,Pokedex!$B$2:$B$610,0)))</f>
        <v>#NAME?</v>
      </c>
      <c r="G15" s="50" t="n">
        <f aca="false" t="array" ref="G15:G15">IF(ISNA(INDEX(Pokedex!H$2:H$610,MATCH($A15,Pokedex!$B$2:$B$610,0))),"-",INDEX(Pokedex!H$2:H$610,MATCH($A15,Pokedex!$B$2:$B$610,0)))</f>
        <v>6</v>
      </c>
      <c r="H15" s="477" t="n">
        <f aca="false" t="array" ref="H15:H15">IF(ISNA(INDEX(Pokedex!I$2:I$610,MATCH($A15,Pokedex!$B$2:$B$610,0))),"-",INDEX(Pokedex!I$2:I$610,MATCH($A15,Pokedex!$B$2:$B$610,0)))</f>
        <v>0</v>
      </c>
      <c r="I15" s="50" t="n">
        <f aca="false" t="array" ref="I15:I15">IF(ISNA(INDEX(ExpandedStats!$A$3:$A$240,MATCH($A15,ExpandedStats!$C$3:$C$240,0))),"-",INDEX(ExpandedStats!$A$3:$A$240,MATCH($A15,ExpandedStats!$C$3:$C$240,0)))</f>
        <v>3</v>
      </c>
      <c r="J15" s="823"/>
      <c r="K15" s="111"/>
      <c r="L15" s="111"/>
      <c r="M15" s="111"/>
      <c r="N15" s="44"/>
      <c r="O15" s="44"/>
      <c r="P15" s="44"/>
      <c r="Q15" s="331" t="str">
        <f aca="false">SGP!$L$1</f>
        <v>SGP</v>
      </c>
      <c r="R15" s="822"/>
      <c r="S15" s="792"/>
      <c r="T15" s="792"/>
      <c r="U15" s="792"/>
      <c r="V15" s="792"/>
      <c r="W15" s="792"/>
      <c r="X15" s="792"/>
      <c r="Y15" s="792"/>
      <c r="Z15" s="792"/>
      <c r="AA15" s="792"/>
      <c r="AB15" s="792"/>
      <c r="AC15" s="792"/>
      <c r="AD15" s="792"/>
    </row>
    <row r="16" customFormat="false" ht="15.75" hidden="false" customHeight="false" outlineLevel="0" collapsed="false">
      <c r="A16" s="817" t="s">
        <v>43</v>
      </c>
      <c r="B16" s="935"/>
      <c r="C16" s="818" t="str">
        <f aca="false" t="array" ref="C16:C16">IF(ISNA(INDEX(Pokedex!J$2:J$610,MATCH($A16,Pokedex!$B$2:$B$610,0))),"-",INDEX(Pokedex!J$2:J$610,MATCH($A16,Pokedex!$B$2:$B$610,0)))</f>
        <v>Tier 4</v>
      </c>
      <c r="D16" s="51" t="n">
        <f aca="false" t="array" ref="D16:D16">IF(ISNA(INDEX(Pokedex!E$2:E$610,MATCH($A16,Pokedex!$B$2:$B$610,0))),"-",INDEX(Pokedex!E$2:E$610,MATCH($A16,Pokedex!$B$2:$B$610,0)))</f>
        <v>0</v>
      </c>
      <c r="E16" s="50" t="n">
        <f aca="false" t="array" ref="E16:E16">IF(ISNA(INDEX(Pokedex!F$2:F$610,MATCH($A16,Pokedex!$B$2:$B$610,0))),"-",INDEX(Pokedex!F$2:F$610,MATCH($A16,Pokedex!$B$2:$B$610,0)))</f>
        <v>0</v>
      </c>
      <c r="F16" s="469" t="e">
        <f aca="false" t="array" ref="F16:F16">IF(ISNA(INDEX(Pokedex!G$2:G$610,MATCH($A16,Pokedex!$B$2:$B$610,0))),"-",INDEX(Pokedex!G$2:G$610,MATCH($A16,Pokedex!$B$2:$B$610,0)))</f>
        <v>#NAME?</v>
      </c>
      <c r="G16" s="50" t="n">
        <f aca="false" t="array" ref="G16:G16">IF(ISNA(INDEX(Pokedex!H$2:H$610,MATCH($A16,Pokedex!$B$2:$B$610,0))),"-",INDEX(Pokedex!H$2:H$610,MATCH($A16,Pokedex!$B$2:$B$610,0)))</f>
        <v>6</v>
      </c>
      <c r="H16" s="477" t="n">
        <f aca="false" t="array" ref="H16:H16">IF(ISNA(INDEX(Pokedex!I$2:I$610,MATCH($A16,Pokedex!$B$2:$B$610,0))),"-",INDEX(Pokedex!I$2:I$610,MATCH($A16,Pokedex!$B$2:$B$610,0)))</f>
        <v>0</v>
      </c>
      <c r="I16" s="51" t="n">
        <f aca="false" t="array" ref="I16:I16">IF(ISNA(INDEX(ExpandedStats!$A$3:$A$240,MATCH($A16,ExpandedStats!$C$3:$C$240,0))),"-",INDEX(ExpandedStats!$A$3:$A$240,MATCH($A16,ExpandedStats!$C$3:$C$240,0)))</f>
        <v>49</v>
      </c>
      <c r="J16" s="823"/>
      <c r="K16" s="111"/>
      <c r="L16" s="111"/>
      <c r="M16" s="111"/>
      <c r="N16" s="44"/>
      <c r="O16" s="44"/>
      <c r="P16" s="44"/>
      <c r="Q16" s="340" t="str">
        <f aca="false">FTT!$L$1</f>
        <v>FTT</v>
      </c>
      <c r="R16" s="822"/>
      <c r="S16" s="792"/>
      <c r="T16" s="792"/>
      <c r="U16" s="792"/>
      <c r="V16" s="792"/>
      <c r="W16" s="792"/>
      <c r="X16" s="792"/>
      <c r="Y16" s="792"/>
      <c r="Z16" s="792"/>
      <c r="AA16" s="792"/>
      <c r="AB16" s="792"/>
      <c r="AC16" s="792"/>
      <c r="AD16" s="792"/>
    </row>
    <row r="17" customFormat="false" ht="15.75" hidden="false" customHeight="false" outlineLevel="0" collapsed="false">
      <c r="A17" s="817" t="s">
        <v>113</v>
      </c>
      <c r="B17" s="935"/>
      <c r="C17" s="818" t="str">
        <f aca="false" t="array" ref="C17:C17">IF(ISNA(INDEX(Pokedex!J$2:J$610,MATCH($A17,Pokedex!$B$2:$B$610,0))),"-",INDEX(Pokedex!J$2:J$610,MATCH($A17,Pokedex!$B$2:$B$610,0)))</f>
        <v>Tier 5</v>
      </c>
      <c r="D17" s="50" t="n">
        <f aca="false" t="array" ref="D17:D17">IF(ISNA(INDEX(Pokedex!E$2:E$610,MATCH($A17,Pokedex!$B$2:$B$610,0))),"-",INDEX(Pokedex!E$2:E$610,MATCH($A17,Pokedex!$B$2:$B$610,0)))</f>
        <v>0</v>
      </c>
      <c r="E17" s="50" t="n">
        <f aca="false" t="array" ref="E17:E17">IF(ISNA(INDEX(Pokedex!F$2:F$610,MATCH($A17,Pokedex!$B$2:$B$610,0))),"-",INDEX(Pokedex!F$2:F$610,MATCH($A17,Pokedex!$B$2:$B$610,0)))</f>
        <v>0</v>
      </c>
      <c r="F17" s="469" t="e">
        <f aca="false" t="array" ref="F17:F17">IF(ISNA(INDEX(Pokedex!G$2:G$610,MATCH($A17,Pokedex!$B$2:$B$610,0))),"-",INDEX(Pokedex!G$2:G$610,MATCH($A17,Pokedex!$B$2:$B$610,0)))</f>
        <v>#NAME?</v>
      </c>
      <c r="G17" s="50" t="n">
        <f aca="false" t="array" ref="G17:G17">IF(ISNA(INDEX(Pokedex!H$2:H$610,MATCH($A17,Pokedex!$B$2:$B$610,0))),"-",INDEX(Pokedex!H$2:H$610,MATCH($A17,Pokedex!$B$2:$B$610,0)))</f>
        <v>2</v>
      </c>
      <c r="H17" s="477" t="n">
        <f aca="false" t="array" ref="H17:H17">IF(ISNA(INDEX(Pokedex!I$2:I$610,MATCH($A17,Pokedex!$B$2:$B$610,0))),"-",INDEX(Pokedex!I$2:I$610,MATCH($A17,Pokedex!$B$2:$B$610,0)))</f>
        <v>0</v>
      </c>
      <c r="I17" s="50" t="n">
        <f aca="false" t="array" ref="I17:I17">IF(ISNA(INDEX(ExpandedStats!$A$3:$A$240,MATCH($A17,ExpandedStats!$C$3:$C$240,0))),"-",INDEX(ExpandedStats!$A$3:$A$240,MATCH($A17,ExpandedStats!$C$3:$C$240,0)))</f>
        <v>42</v>
      </c>
      <c r="J17" s="823"/>
      <c r="K17" s="111"/>
      <c r="L17" s="111"/>
      <c r="M17" s="111"/>
      <c r="N17" s="44"/>
      <c r="O17" s="44"/>
      <c r="P17" s="44"/>
      <c r="Q17" s="93"/>
      <c r="R17" s="824"/>
      <c r="S17" s="638"/>
      <c r="T17" s="638"/>
      <c r="U17" s="638"/>
      <c r="V17" s="638"/>
      <c r="W17" s="638"/>
      <c r="X17" s="638"/>
      <c r="Y17" s="638"/>
      <c r="Z17" s="638"/>
      <c r="AA17" s="638"/>
      <c r="AB17" s="638"/>
      <c r="AC17" s="638"/>
      <c r="AD17" s="638"/>
    </row>
    <row r="18" customFormat="false" ht="15.75" hidden="false" customHeight="false" outlineLevel="0" collapsed="false">
      <c r="A18" s="817" t="s">
        <v>52</v>
      </c>
      <c r="B18" s="935"/>
      <c r="C18" s="818" t="str">
        <f aca="false" t="array" ref="C18:C18">IF(ISNA(INDEX(Pokedex!J$2:J$610,MATCH($A18,Pokedex!$B$2:$B$610,0))),"-",INDEX(Pokedex!J$2:J$610,MATCH($A18,Pokedex!$B$2:$B$610,0)))</f>
        <v>M3</v>
      </c>
      <c r="D18" s="51" t="n">
        <f aca="false" t="array" ref="D18:D18">IF(ISNA(INDEX(Pokedex!E$2:E$610,MATCH($A18,Pokedex!$B$2:$B$610,0))),"-",INDEX(Pokedex!E$2:E$610,MATCH($A18,Pokedex!$B$2:$B$610,0)))</f>
        <v>0</v>
      </c>
      <c r="E18" s="50" t="n">
        <f aca="false" t="array" ref="E18:E18">IF(ISNA(INDEX(Pokedex!F$2:F$610,MATCH($A18,Pokedex!$B$2:$B$610,0))),"-",INDEX(Pokedex!F$2:F$610,MATCH($A18,Pokedex!$B$2:$B$610,0)))</f>
        <v>0</v>
      </c>
      <c r="F18" s="469" t="e">
        <f aca="false" t="array" ref="F18:F18">IF(ISNA(INDEX(Pokedex!G$2:G$610,MATCH($A18,Pokedex!$B$2:$B$610,0))),"-",INDEX(Pokedex!G$2:G$610,MATCH($A18,Pokedex!$B$2:$B$610,0)))</f>
        <v>#NAME?</v>
      </c>
      <c r="G18" s="50" t="n">
        <f aca="false" t="array" ref="G18:G18">IF(ISNA(INDEX(Pokedex!H$2:H$610,MATCH($A18,Pokedex!$B$2:$B$610,0))),"-",INDEX(Pokedex!H$2:H$610,MATCH($A18,Pokedex!$B$2:$B$610,0)))</f>
        <v>7</v>
      </c>
      <c r="H18" s="477" t="n">
        <f aca="false" t="array" ref="H18:H18">IF(ISNA(INDEX(Pokedex!I$2:I$610,MATCH($A18,Pokedex!$B$2:$B$610,0))),"-",INDEX(Pokedex!I$2:I$610,MATCH($A18,Pokedex!$B$2:$B$610,0)))</f>
        <v>0</v>
      </c>
      <c r="I18" s="51" t="n">
        <f aca="false" t="array" ref="I18:I18">IF(ISNA(INDEX(ExpandedStats!$A$3:$A$240,MATCH($A18,ExpandedStats!$C$3:$C$240,0))),"-",INDEX(ExpandedStats!$A$3:$A$240,MATCH($A18,ExpandedStats!$C$3:$C$240,0)))</f>
        <v>15</v>
      </c>
      <c r="J18" s="823"/>
      <c r="K18" s="111"/>
      <c r="L18" s="111"/>
      <c r="M18" s="111"/>
      <c r="N18" s="44"/>
      <c r="O18" s="44"/>
      <c r="P18" s="44"/>
      <c r="Q18" s="93"/>
      <c r="T18" s="825"/>
      <c r="U18" s="825"/>
      <c r="V18" s="825"/>
      <c r="W18" s="825"/>
      <c r="X18" s="825"/>
      <c r="Y18" s="825"/>
      <c r="Z18" s="825"/>
      <c r="AA18" s="825"/>
      <c r="AB18" s="825"/>
      <c r="AC18" s="825"/>
      <c r="AD18" s="825"/>
    </row>
    <row r="19" customFormat="false" ht="15.75" hidden="false" customHeight="false" outlineLevel="0" collapsed="false">
      <c r="A19" s="817" t="s">
        <v>92</v>
      </c>
      <c r="B19" s="935"/>
      <c r="C19" s="818" t="str">
        <f aca="false" t="array" ref="C19:C19">IF(ISNA(INDEX(Pokedex!J$2:J$610,MATCH($A19,Pokedex!$B$2:$B$610,0))),"-",INDEX(Pokedex!J$2:J$610,MATCH($A19,Pokedex!$B$2:$B$610,0)))</f>
        <v>Tier 5</v>
      </c>
      <c r="D19" s="50" t="n">
        <f aca="false" t="array" ref="D19:D19">IF(ISNA(INDEX(Pokedex!E$2:E$610,MATCH($A19,Pokedex!$B$2:$B$610,0))),"-",INDEX(Pokedex!E$2:E$610,MATCH($A19,Pokedex!$B$2:$B$610,0)))</f>
        <v>0</v>
      </c>
      <c r="E19" s="50" t="n">
        <f aca="false" t="array" ref="E19:E19">IF(ISNA(INDEX(Pokedex!F$2:F$610,MATCH($A19,Pokedex!$B$2:$B$610,0))),"-",INDEX(Pokedex!F$2:F$610,MATCH($A19,Pokedex!$B$2:$B$610,0)))</f>
        <v>0</v>
      </c>
      <c r="F19" s="469" t="e">
        <f aca="false" t="array" ref="F19:F19">IF(ISNA(INDEX(Pokedex!G$2:G$610,MATCH($A19,Pokedex!$B$2:$B$610,0))),"-",INDEX(Pokedex!G$2:G$610,MATCH($A19,Pokedex!$B$2:$B$610,0)))</f>
        <v>#NAME?</v>
      </c>
      <c r="G19" s="50" t="n">
        <f aca="false" t="array" ref="G19:G19">IF(ISNA(INDEX(Pokedex!H$2:H$610,MATCH($A19,Pokedex!$B$2:$B$610,0))),"-",INDEX(Pokedex!H$2:H$610,MATCH($A19,Pokedex!$B$2:$B$610,0)))</f>
        <v>4</v>
      </c>
      <c r="H19" s="477" t="n">
        <f aca="false" t="array" ref="H19:H19">IF(ISNA(INDEX(Pokedex!I$2:I$610,MATCH($A19,Pokedex!$B$2:$B$610,0))),"-",INDEX(Pokedex!I$2:I$610,MATCH($A19,Pokedex!$B$2:$B$610,0)))</f>
        <v>0</v>
      </c>
      <c r="I19" s="50" t="n">
        <f aca="false" t="array" ref="I19:I19">IF(ISNA(INDEX(ExpandedStats!$A$3:$A$240,MATCH($A19,ExpandedStats!$C$3:$C$240,0))),"-",INDEX(ExpandedStats!$A$3:$A$240,MATCH($A19,ExpandedStats!$C$3:$C$240,0)))</f>
        <v>35</v>
      </c>
      <c r="J19" s="823"/>
      <c r="K19" s="111"/>
      <c r="L19" s="111"/>
      <c r="M19" s="111"/>
      <c r="N19" s="44"/>
      <c r="O19" s="44"/>
      <c r="P19" s="44"/>
      <c r="Q19" s="93"/>
      <c r="R19" s="341" t="s">
        <v>2062</v>
      </c>
      <c r="S19" s="341"/>
      <c r="T19" s="771"/>
      <c r="U19" s="771"/>
      <c r="V19" s="771"/>
      <c r="W19" s="771"/>
      <c r="X19" s="771"/>
      <c r="Y19" s="771"/>
      <c r="Z19" s="771"/>
      <c r="AA19" s="771"/>
      <c r="AB19" s="771"/>
      <c r="AC19" s="771"/>
      <c r="AD19" s="771"/>
    </row>
    <row r="20" customFormat="false" ht="15.75" hidden="false" customHeight="false" outlineLevel="0" collapsed="false">
      <c r="A20" s="817" t="s">
        <v>49</v>
      </c>
      <c r="B20" s="935"/>
      <c r="C20" s="818" t="str">
        <f aca="false" t="array" ref="C20:C20">IF(ISNA(INDEX(Pokedex!J$2:J$610,MATCH($A20,Pokedex!$B$2:$B$610,0))),"-",INDEX(Pokedex!J$2:J$610,MATCH($A20,Pokedex!$B$2:$B$610,0)))</f>
        <v>Tier 2</v>
      </c>
      <c r="D20" s="51" t="n">
        <f aca="false" t="array" ref="D20:D20">IF(ISNA(INDEX(Pokedex!E$2:E$610,MATCH($A20,Pokedex!$B$2:$B$610,0))),"-",INDEX(Pokedex!E$2:E$610,MATCH($A20,Pokedex!$B$2:$B$610,0)))</f>
        <v>0</v>
      </c>
      <c r="E20" s="50" t="n">
        <f aca="false" t="array" ref="E20:E20">IF(ISNA(INDEX(Pokedex!F$2:F$610,MATCH($A20,Pokedex!$B$2:$B$610,0))),"-",INDEX(Pokedex!F$2:F$610,MATCH($A20,Pokedex!$B$2:$B$610,0)))</f>
        <v>0</v>
      </c>
      <c r="F20" s="469" t="e">
        <f aca="false" t="array" ref="F20:F20">IF(ISNA(INDEX(Pokedex!G$2:G$610,MATCH($A20,Pokedex!$B$2:$B$610,0))),"-",INDEX(Pokedex!G$2:G$610,MATCH($A20,Pokedex!$B$2:$B$610,0)))</f>
        <v>#NAME?</v>
      </c>
      <c r="G20" s="50" t="n">
        <f aca="false" t="array" ref="G20:G20">IF(ISNA(INDEX(Pokedex!H$2:H$610,MATCH($A20,Pokedex!$B$2:$B$610,0))),"-",INDEX(Pokedex!H$2:H$610,MATCH($A20,Pokedex!$B$2:$B$610,0)))</f>
        <v>7</v>
      </c>
      <c r="H20" s="477" t="n">
        <f aca="false" t="array" ref="H20:H20">IF(ISNA(INDEX(Pokedex!I$2:I$610,MATCH($A20,Pokedex!$B$2:$B$610,0))),"-",INDEX(Pokedex!I$2:I$610,MATCH($A20,Pokedex!$B$2:$B$610,0)))</f>
        <v>0</v>
      </c>
      <c r="I20" s="727" t="n">
        <f aca="false" t="array" ref="I20:I20">IF(ISNA(INDEX(ExpandedStats!$A$3:$A$240,MATCH($A20,ExpandedStats!$C$3:$C$240,0))),"-",INDEX(ExpandedStats!$A$3:$A$240,MATCH($A20,ExpandedStats!$C$3:$C$240,0)))</f>
        <v>14</v>
      </c>
      <c r="K20" s="44"/>
      <c r="L20" s="44"/>
      <c r="M20" s="44"/>
      <c r="N20" s="44"/>
      <c r="O20" s="44"/>
      <c r="P20" s="44"/>
      <c r="Q20" s="93"/>
      <c r="R20" s="386" t="str">
        <f aca="false">IFERROR(__xludf.dummyfunction("{ if(isna(FILTER(MoveDex!$AJ:$AJ,MoveDex!$AI:$AI=$L$1)),,FILTER(MoveDex!$AJ:$AJ,MoveDex!$AI:$AI=$L$1)) ; if(isna(FILTER(MoveDex!$AN:$AN,MoveDex!$AM:$AM=$L$1)),,FILTER(MoveDex!$AN:$AN,MoveDex!$AM:$AM=$L$1)) }"),"Charizard")</f>
        <v>Charizard</v>
      </c>
      <c r="S20" s="386" t="str">
        <f aca="false">IFERROR(__xludf.dummyfunction("{ if(isna(FILTER(MoveDex!$AK:$AK,MoveDex!$AI:$AI=$L$1)),,FILTER(MoveDex!$AK:$AK,MoveDex!$AI:$AI=$L$1)) ; if(isna(FILTER(MoveDex!$AO:$AO,MoveDex!$AM:$AM=$L$1)),,FILTER(MoveDex!$AO:$AO,MoveDex!$AM:$AM=$L$1)) }"),"Defog")</f>
        <v>Defog</v>
      </c>
      <c r="T20" s="825"/>
      <c r="U20" s="825"/>
      <c r="V20" s="825"/>
      <c r="W20" s="825"/>
      <c r="X20" s="825"/>
      <c r="Y20" s="825"/>
      <c r="Z20" s="825"/>
      <c r="AA20" s="825"/>
      <c r="AB20" s="825"/>
      <c r="AC20" s="825"/>
      <c r="AD20" s="825"/>
    </row>
    <row r="21" customFormat="false" ht="15.75" hidden="false" customHeight="false" outlineLevel="0" collapsed="false">
      <c r="A21" s="817" t="s">
        <v>90</v>
      </c>
      <c r="B21" s="935"/>
      <c r="C21" s="818" t="str">
        <f aca="false" t="array" ref="C21:C21">IF(ISNA(INDEX(Pokedex!J$2:J$610,MATCH($A21,Pokedex!$B$2:$B$610,0))),"-",INDEX(Pokedex!J$2:J$610,MATCH($A21,Pokedex!$B$2:$B$610,0)))</f>
        <v>Tier 2</v>
      </c>
      <c r="D21" s="50" t="n">
        <f aca="false" t="array" ref="D21:D21">IF(ISNA(INDEX(Pokedex!E$2:E$610,MATCH($A21,Pokedex!$B$2:$B$610,0))),"-",INDEX(Pokedex!E$2:E$610,MATCH($A21,Pokedex!$B$2:$B$610,0)))</f>
        <v>0</v>
      </c>
      <c r="E21" s="50" t="n">
        <f aca="false" t="array" ref="E21:E21">IF(ISNA(INDEX(Pokedex!F$2:F$610,MATCH($A21,Pokedex!$B$2:$B$610,0))),"-",INDEX(Pokedex!F$2:F$610,MATCH($A21,Pokedex!$B$2:$B$610,0)))</f>
        <v>0</v>
      </c>
      <c r="F21" s="469" t="e">
        <f aca="false" t="array" ref="F21:F21">IF(ISNA(INDEX(Pokedex!G$2:G$610,MATCH($A21,Pokedex!$B$2:$B$610,0))),"-",INDEX(Pokedex!G$2:G$610,MATCH($A21,Pokedex!$B$2:$B$610,0)))</f>
        <v>#NAME?</v>
      </c>
      <c r="G21" s="50" t="n">
        <f aca="false" t="array" ref="G21:G21">IF(ISNA(INDEX(Pokedex!H$2:H$610,MATCH($A21,Pokedex!$B$2:$B$610,0))),"-",INDEX(Pokedex!H$2:H$610,MATCH($A21,Pokedex!$B$2:$B$610,0)))</f>
        <v>4</v>
      </c>
      <c r="H21" s="477" t="n">
        <f aca="false" t="array" ref="H21:H21">IF(ISNA(INDEX(Pokedex!I$2:I$610,MATCH($A21,Pokedex!$B$2:$B$610,0))),"-",INDEX(Pokedex!I$2:I$610,MATCH($A21,Pokedex!$B$2:$B$610,0)))</f>
        <v>0</v>
      </c>
      <c r="I21" s="50" t="n">
        <f aca="false" t="array" ref="I21:I21">IF(ISNA(INDEX(ExpandedStats!$A$3:$A$240,MATCH($A21,ExpandedStats!$C$3:$C$240,0))),"-",INDEX(ExpandedStats!$A$3:$A$240,MATCH($A21,ExpandedStats!$C$3:$C$240,0)))</f>
        <v>12</v>
      </c>
      <c r="J21" s="823"/>
      <c r="K21" s="111"/>
      <c r="L21" s="111"/>
      <c r="M21" s="111"/>
      <c r="N21" s="44"/>
      <c r="O21" s="44"/>
      <c r="P21" s="44"/>
      <c r="Q21" s="93"/>
      <c r="R21" s="778" t="s">
        <v>49</v>
      </c>
      <c r="S21" s="511" t="s">
        <v>1110</v>
      </c>
      <c r="T21" s="638"/>
      <c r="U21" s="638"/>
      <c r="V21" s="638"/>
      <c r="W21" s="638"/>
      <c r="X21" s="638"/>
      <c r="Y21" s="638"/>
      <c r="Z21" s="638"/>
      <c r="AA21" s="638"/>
      <c r="AB21" s="638"/>
      <c r="AC21" s="638"/>
      <c r="AD21" s="638"/>
    </row>
    <row r="22" customFormat="false" ht="15.75" hidden="false" customHeight="false" outlineLevel="0" collapsed="false">
      <c r="A22" s="826" t="s">
        <v>119</v>
      </c>
      <c r="B22" s="936"/>
      <c r="C22" s="827" t="str">
        <f aca="false" t="array" ref="C22:C22">IF(ISNA(INDEX(Pokedex!J$2:J$610,MATCH($A22,Pokedex!$B$2:$B$610,0))),"-",INDEX(Pokedex!J$2:J$610,MATCH($A22,Pokedex!$B$2:$B$610,0)))</f>
        <v>Tier 3</v>
      </c>
      <c r="D22" s="828" t="n">
        <f aca="false" t="array" ref="D22:D22">IF(ISNA(INDEX(Pokedex!E$2:E$610,MATCH($A22,Pokedex!$B$2:$B$610,0))),"-",INDEX(Pokedex!E$2:E$610,MATCH($A22,Pokedex!$B$2:$B$610,0)))</f>
        <v>0</v>
      </c>
      <c r="E22" s="50" t="n">
        <f aca="false" t="array" ref="E22:E22">IF(ISNA(INDEX(Pokedex!F$2:F$610,MATCH($A22,Pokedex!$B$2:$B$610,0))),"-",INDEX(Pokedex!F$2:F$610,MATCH($A22,Pokedex!$B$2:$B$610,0)))</f>
        <v>0</v>
      </c>
      <c r="F22" s="829" t="e">
        <f aca="false" t="array" ref="F22:F22">IF(ISNA(INDEX(Pokedex!G$2:G$610,MATCH($A22,Pokedex!$B$2:$B$610,0))),"-",INDEX(Pokedex!G$2:G$610,MATCH($A22,Pokedex!$B$2:$B$610,0)))</f>
        <v>#NAME?</v>
      </c>
      <c r="G22" s="830" t="n">
        <f aca="false" t="array" ref="G22:G22">IF(ISNA(INDEX(Pokedex!H$2:H$610,MATCH($A22,Pokedex!$B$2:$B$610,0))),"-",INDEX(Pokedex!H$2:H$610,MATCH($A22,Pokedex!$B$2:$B$610,0)))</f>
        <v>2</v>
      </c>
      <c r="H22" s="831" t="n">
        <f aca="false" t="array" ref="H22:H22">IF(ISNA(INDEX(Pokedex!I$2:I$610,MATCH($A22,Pokedex!$B$2:$B$610,0))),"-",INDEX(Pokedex!I$2:I$610,MATCH($A22,Pokedex!$B$2:$B$610,0)))</f>
        <v>0</v>
      </c>
      <c r="I22" s="828" t="n">
        <f aca="false" t="array" ref="I22:I22">IF(ISNA(INDEX(ExpandedStats!$A$3:$A$240,MATCH($A22,ExpandedStats!$C$3:$C$240,0))),"-",INDEX(ExpandedStats!$A$3:$A$240,MATCH($A22,ExpandedStats!$C$3:$C$240,0)))</f>
        <v>23</v>
      </c>
      <c r="J22" s="823"/>
      <c r="K22" s="111"/>
      <c r="L22" s="111"/>
      <c r="M22" s="111"/>
      <c r="N22" s="44"/>
      <c r="O22" s="44"/>
      <c r="P22" s="44"/>
      <c r="Q22" s="93"/>
      <c r="R22" s="778" t="s">
        <v>46</v>
      </c>
      <c r="S22" s="511" t="s">
        <v>1110</v>
      </c>
      <c r="T22" s="638"/>
      <c r="U22" s="638"/>
      <c r="V22" s="638"/>
      <c r="W22" s="638"/>
      <c r="X22" s="638"/>
      <c r="Y22" s="638"/>
      <c r="Z22" s="638"/>
      <c r="AA22" s="638"/>
      <c r="AB22" s="638"/>
      <c r="AC22" s="638"/>
      <c r="AD22" s="638"/>
    </row>
    <row r="23" customFormat="false" ht="15.75" hidden="false" customHeight="false" outlineLevel="0" collapsed="false">
      <c r="A23" s="832" t="s">
        <v>2063</v>
      </c>
      <c r="B23" s="832"/>
      <c r="C23" s="832"/>
      <c r="D23" s="833" t="n">
        <f aca="false">SUM(D12:D22)</f>
        <v>0</v>
      </c>
      <c r="E23" s="834" t="n">
        <f aca="false">SUM(E12:E22)</f>
        <v>0</v>
      </c>
      <c r="F23" s="111"/>
      <c r="G23" s="111"/>
      <c r="H23" s="111"/>
      <c r="I23" s="111"/>
      <c r="J23" s="111"/>
      <c r="K23" s="111"/>
      <c r="L23" s="111"/>
      <c r="M23" s="111"/>
      <c r="N23" s="44"/>
      <c r="O23" s="44"/>
      <c r="P23" s="44"/>
      <c r="Q23" s="44"/>
      <c r="R23" s="778" t="s">
        <v>40</v>
      </c>
      <c r="S23" s="511" t="s">
        <v>1110</v>
      </c>
      <c r="T23" s="638"/>
      <c r="U23" s="638"/>
      <c r="V23" s="638"/>
      <c r="W23" s="638"/>
      <c r="X23" s="638"/>
      <c r="Y23" s="638"/>
      <c r="Z23" s="638"/>
      <c r="AA23" s="638"/>
      <c r="AB23" s="638"/>
      <c r="AC23" s="638"/>
      <c r="AD23" s="638"/>
    </row>
    <row r="24" customFormat="false" ht="15.75" hidden="false" customHeight="false" outlineLevel="0" collapsed="false">
      <c r="A24" s="400"/>
      <c r="B24" s="400"/>
      <c r="C24" s="400"/>
      <c r="D24" s="835"/>
      <c r="E24" s="835"/>
      <c r="F24" s="111"/>
      <c r="G24" s="111"/>
      <c r="H24" s="111"/>
      <c r="I24" s="111"/>
      <c r="J24" s="111"/>
      <c r="K24" s="111"/>
      <c r="L24" s="111"/>
      <c r="M24" s="111"/>
      <c r="N24" s="44"/>
      <c r="O24" s="44"/>
      <c r="P24" s="44"/>
      <c r="Q24" s="44"/>
      <c r="R24" s="778" t="s">
        <v>91</v>
      </c>
      <c r="S24" s="511" t="s">
        <v>1112</v>
      </c>
      <c r="T24" s="638"/>
      <c r="U24" s="638"/>
      <c r="V24" s="638"/>
      <c r="W24" s="638"/>
      <c r="X24" s="638"/>
      <c r="Y24" s="638"/>
      <c r="Z24" s="638"/>
      <c r="AA24" s="638"/>
      <c r="AB24" s="638"/>
      <c r="AC24" s="638"/>
      <c r="AD24" s="638"/>
    </row>
    <row r="25" customFormat="false" ht="15.75" hidden="false" customHeight="false" outlineLevel="0" collapsed="false">
      <c r="A25" s="400"/>
      <c r="B25" s="400"/>
      <c r="C25" s="400"/>
      <c r="D25" s="44"/>
      <c r="E25" s="44"/>
      <c r="F25" s="44"/>
      <c r="G25" s="44"/>
      <c r="H25" s="44"/>
      <c r="I25" s="44"/>
      <c r="J25" s="111"/>
      <c r="K25" s="111"/>
      <c r="L25" s="111"/>
      <c r="M25" s="111"/>
      <c r="N25" s="44"/>
      <c r="O25" s="44"/>
      <c r="P25" s="44"/>
      <c r="Q25" s="44"/>
      <c r="R25" s="778" t="s">
        <v>43</v>
      </c>
      <c r="S25" s="511" t="s">
        <v>1112</v>
      </c>
      <c r="T25" s="638"/>
      <c r="U25" s="638"/>
      <c r="V25" s="638"/>
      <c r="W25" s="638"/>
      <c r="X25" s="638"/>
      <c r="Y25" s="638"/>
      <c r="Z25" s="638"/>
      <c r="AA25" s="638"/>
      <c r="AB25" s="638"/>
      <c r="AC25" s="638"/>
      <c r="AD25" s="638"/>
      <c r="AE25" s="638"/>
    </row>
    <row r="26" customFormat="false" ht="15.75" hidden="false" customHeight="false" outlineLevel="0" collapsed="false">
      <c r="A26" s="400"/>
      <c r="B26" s="400"/>
      <c r="C26" s="400"/>
      <c r="D26" s="44"/>
      <c r="E26" s="44"/>
      <c r="F26" s="44"/>
      <c r="G26" s="44"/>
      <c r="H26" s="44"/>
      <c r="I26" s="44"/>
      <c r="J26" s="400"/>
      <c r="K26" s="400"/>
      <c r="L26" s="400"/>
      <c r="M26" s="400"/>
      <c r="N26" s="44"/>
      <c r="O26" s="44"/>
      <c r="P26" s="44"/>
      <c r="Q26" s="44"/>
      <c r="R26" s="790"/>
      <c r="S26" s="791"/>
      <c r="T26" s="792"/>
      <c r="U26" s="792"/>
      <c r="V26" s="792"/>
      <c r="W26" s="792"/>
      <c r="X26" s="792"/>
      <c r="Y26" s="792"/>
      <c r="Z26" s="792"/>
      <c r="AA26" s="792"/>
      <c r="AB26" s="792"/>
      <c r="AC26" s="792"/>
      <c r="AD26" s="792"/>
      <c r="AE26" s="792"/>
    </row>
    <row r="27" customFormat="false" ht="15.75" hidden="false" customHeight="false" outlineLevel="0" collapsed="false">
      <c r="A27" s="118" t="s">
        <v>208</v>
      </c>
      <c r="B27" s="118"/>
      <c r="C27" s="118"/>
      <c r="D27" s="836" t="s">
        <v>207</v>
      </c>
      <c r="E27" s="836"/>
      <c r="F27" s="836"/>
      <c r="G27" s="837" t="s">
        <v>209</v>
      </c>
      <c r="H27" s="837"/>
      <c r="I27" s="44"/>
      <c r="J27" s="838" t="s">
        <v>2064</v>
      </c>
      <c r="K27" s="838"/>
      <c r="L27" s="838"/>
      <c r="M27" s="839" t="e">
        <f aca="false">IF($A$28="CHECK ERROR BLOCK",0,IF(NOT($A$28="NONE"),minus(3,COUNTIF(A28:A30,"*")), 3))</f>
        <v>#NAME?</v>
      </c>
      <c r="N27" s="44"/>
      <c r="O27" s="44"/>
      <c r="P27" s="44"/>
      <c r="Q27" s="44"/>
      <c r="R27" s="790"/>
      <c r="S27" s="791"/>
      <c r="T27" s="792"/>
      <c r="U27" s="792"/>
      <c r="V27" s="792"/>
      <c r="W27" s="792"/>
      <c r="X27" s="792"/>
      <c r="Y27" s="792"/>
      <c r="Z27" s="792"/>
      <c r="AA27" s="792"/>
      <c r="AB27" s="792"/>
      <c r="AC27" s="792"/>
      <c r="AD27" s="792"/>
      <c r="AE27" s="792"/>
    </row>
    <row r="28" customFormat="false" ht="15.75" hidden="false" customHeight="false" outlineLevel="0" collapsed="false">
      <c r="A28" s="840" t="str">
        <f aca="false">IFERROR(__xludf.dummyfunction("if(ISNA(filter(Transactions!$O$3:$V$100,Transactions!$M$3:$M$100=$L$1)),""NONE"",if(countif(Transactions!$M$3:$M$100,$L$1)&gt;3,""CHECK ERROR BLOCK"",(filter(Transactions!$O$3:$V$100,Transactions!$M$3:$M$100=$L$1))))"),"Magnezone")</f>
        <v>Magnezone</v>
      </c>
      <c r="B28" s="840"/>
      <c r="C28" s="840"/>
      <c r="D28" s="841" t="s">
        <v>119</v>
      </c>
      <c r="E28" s="841"/>
      <c r="F28" s="841"/>
      <c r="G28" s="842" t="s">
        <v>2031</v>
      </c>
      <c r="H28" s="842"/>
      <c r="I28" s="44"/>
      <c r="J28" s="843" t="s">
        <v>2065</v>
      </c>
      <c r="K28" s="843"/>
      <c r="L28" s="843"/>
      <c r="M28" s="844" t="s">
        <v>2066</v>
      </c>
      <c r="N28" s="44"/>
      <c r="O28" s="44"/>
      <c r="P28" s="44"/>
      <c r="Q28" s="44"/>
      <c r="R28" s="790"/>
      <c r="S28" s="791"/>
      <c r="T28" s="792"/>
      <c r="U28" s="792"/>
      <c r="V28" s="792"/>
      <c r="W28" s="792"/>
      <c r="X28" s="792"/>
      <c r="Y28" s="792"/>
      <c r="Z28" s="792"/>
      <c r="AA28" s="792"/>
      <c r="AB28" s="792"/>
      <c r="AC28" s="792"/>
      <c r="AD28" s="792"/>
      <c r="AE28" s="792"/>
    </row>
    <row r="29" customFormat="false" ht="15.75" hidden="false" customHeight="true" outlineLevel="0" collapsed="false">
      <c r="A29" s="840" t="s">
        <v>270</v>
      </c>
      <c r="B29" s="840"/>
      <c r="C29" s="840"/>
      <c r="D29" s="841" t="s">
        <v>91</v>
      </c>
      <c r="E29" s="841"/>
      <c r="F29" s="841"/>
      <c r="G29" s="845" t="s">
        <v>83</v>
      </c>
      <c r="H29" s="845"/>
      <c r="I29" s="44"/>
      <c r="J29" s="846" t="s">
        <v>2067</v>
      </c>
      <c r="K29" s="846"/>
      <c r="L29" s="846"/>
      <c r="M29" s="847" t="n">
        <v>2</v>
      </c>
      <c r="N29" s="44"/>
      <c r="O29" s="44"/>
      <c r="P29" s="44"/>
      <c r="Q29" s="44"/>
      <c r="R29" s="790"/>
      <c r="S29" s="791"/>
      <c r="T29" s="792"/>
      <c r="U29" s="792"/>
      <c r="V29" s="792"/>
      <c r="W29" s="792"/>
      <c r="X29" s="792"/>
      <c r="Y29" s="792"/>
      <c r="Z29" s="792"/>
      <c r="AA29" s="792"/>
      <c r="AB29" s="792"/>
      <c r="AC29" s="792"/>
      <c r="AD29" s="792"/>
      <c r="AE29" s="792"/>
    </row>
    <row r="30" customFormat="false" ht="15.75" hidden="false" customHeight="false" outlineLevel="0" collapsed="false">
      <c r="A30" s="848"/>
      <c r="B30" s="848"/>
      <c r="C30" s="848"/>
      <c r="D30" s="849"/>
      <c r="E30" s="849"/>
      <c r="F30" s="849"/>
      <c r="G30" s="850"/>
      <c r="H30" s="850"/>
      <c r="I30" s="44"/>
      <c r="J30" s="851" t="str">
        <f aca="false">IF($A$28="CHECK ERROR BLOCK","ERROR - MAXIMUM NUMBER OF FREE AGENCY TRANSACTIONS LOGGED IN TRANSACTIONS TAB","")</f>
        <v/>
      </c>
      <c r="K30" s="851"/>
      <c r="L30" s="851"/>
      <c r="M30" s="851"/>
      <c r="N30" s="44"/>
      <c r="O30" s="44"/>
      <c r="P30" s="44"/>
      <c r="Q30" s="44"/>
      <c r="R30" s="790"/>
      <c r="S30" s="791"/>
      <c r="T30" s="792"/>
      <c r="U30" s="792"/>
      <c r="V30" s="792"/>
      <c r="W30" s="792"/>
      <c r="X30" s="792"/>
      <c r="Y30" s="792"/>
      <c r="Z30" s="792"/>
      <c r="AA30" s="792"/>
      <c r="AB30" s="792"/>
      <c r="AC30" s="792"/>
      <c r="AD30" s="792"/>
      <c r="AE30" s="792"/>
    </row>
    <row r="31" customFormat="false" ht="15.75" hidden="false" customHeight="false" outlineLevel="0" collapsed="false">
      <c r="A31" s="44"/>
      <c r="B31" s="44"/>
      <c r="C31" s="44"/>
      <c r="D31" s="44"/>
      <c r="E31" s="44"/>
      <c r="F31" s="44"/>
      <c r="G31" s="44"/>
      <c r="H31" s="44"/>
      <c r="I31" s="44"/>
      <c r="J31" s="44"/>
      <c r="K31" s="44"/>
      <c r="L31" s="44"/>
      <c r="M31" s="44"/>
      <c r="N31" s="44"/>
      <c r="O31" s="44"/>
      <c r="P31" s="44"/>
      <c r="Q31" s="44"/>
      <c r="R31" s="820"/>
      <c r="S31" s="821"/>
      <c r="T31" s="792"/>
      <c r="U31" s="792"/>
      <c r="V31" s="792"/>
      <c r="W31" s="792"/>
      <c r="X31" s="792"/>
      <c r="Y31" s="792"/>
      <c r="Z31" s="792"/>
      <c r="AA31" s="792"/>
      <c r="AB31" s="792"/>
      <c r="AC31" s="792"/>
      <c r="AD31" s="792"/>
      <c r="AE31" s="792"/>
    </row>
    <row r="32" customFormat="false" ht="15.75" hidden="false" customHeight="false" outlineLevel="0" collapsed="false">
      <c r="A32" s="118" t="s">
        <v>2068</v>
      </c>
      <c r="B32" s="118"/>
      <c r="C32" s="118"/>
      <c r="D32" s="852" t="s">
        <v>2069</v>
      </c>
      <c r="E32" s="852"/>
      <c r="F32" s="852"/>
      <c r="G32" s="837" t="s">
        <v>209</v>
      </c>
      <c r="H32" s="837"/>
      <c r="I32" s="272" t="s">
        <v>2070</v>
      </c>
      <c r="J32" s="272"/>
      <c r="K32" s="363" t="s">
        <v>213</v>
      </c>
      <c r="L32" s="363"/>
      <c r="M32" s="363"/>
      <c r="N32" s="363"/>
      <c r="O32" s="44"/>
      <c r="P32" s="44"/>
      <c r="Q32" s="44"/>
      <c r="R32" s="824"/>
      <c r="S32" s="638"/>
      <c r="T32" s="638"/>
      <c r="U32" s="638"/>
      <c r="V32" s="638"/>
      <c r="W32" s="638"/>
      <c r="X32" s="638"/>
      <c r="Y32" s="638"/>
      <c r="Z32" s="638"/>
      <c r="AA32" s="638"/>
      <c r="AB32" s="638"/>
      <c r="AC32" s="638"/>
      <c r="AD32" s="638"/>
      <c r="AE32" s="638"/>
    </row>
    <row r="33" customFormat="false" ht="15.75" hidden="false" customHeight="false" outlineLevel="0" collapsed="false">
      <c r="A33" s="840" t="str">
        <f aca="false">IFERROR(__xludf.dummyfunction("if(isna(filter($Q$55:$AD$70,not(isblank($Q$55:$Q$70)))),""NONE"",filter($Q$55:$AD$70,not(isblank($Q$55:$Q$70))))"),"NONE")</f>
        <v>NONE</v>
      </c>
      <c r="B33" s="840"/>
      <c r="C33" s="840"/>
      <c r="D33" s="853"/>
      <c r="E33" s="853"/>
      <c r="F33" s="853"/>
      <c r="G33" s="854"/>
      <c r="H33" s="854"/>
      <c r="I33" s="855"/>
      <c r="J33" s="855"/>
      <c r="K33" s="856"/>
      <c r="L33" s="856"/>
      <c r="M33" s="856"/>
      <c r="N33" s="856"/>
      <c r="O33" s="44"/>
      <c r="P33" s="44"/>
      <c r="Q33" s="44"/>
      <c r="R33" s="824"/>
      <c r="S33" s="638"/>
      <c r="T33" s="638"/>
      <c r="U33" s="638"/>
      <c r="V33" s="638"/>
      <c r="W33" s="638"/>
      <c r="X33" s="638"/>
      <c r="Y33" s="638"/>
      <c r="Z33" s="638"/>
      <c r="AA33" s="638"/>
      <c r="AB33" s="638"/>
      <c r="AC33" s="638"/>
      <c r="AD33" s="638"/>
      <c r="AE33" s="638"/>
    </row>
    <row r="34" customFormat="false" ht="15.75" hidden="false" customHeight="false" outlineLevel="0" collapsed="false">
      <c r="A34" s="840"/>
      <c r="B34" s="840"/>
      <c r="C34" s="840"/>
      <c r="D34" s="857"/>
      <c r="E34" s="857"/>
      <c r="F34" s="857"/>
      <c r="G34" s="854"/>
      <c r="H34" s="854"/>
      <c r="I34" s="855"/>
      <c r="J34" s="855"/>
      <c r="K34" s="479"/>
      <c r="L34" s="479"/>
      <c r="M34" s="479"/>
      <c r="N34" s="479"/>
      <c r="O34" s="44"/>
      <c r="P34" s="44"/>
      <c r="Q34" s="44"/>
      <c r="R34" s="824"/>
      <c r="S34" s="638"/>
      <c r="T34" s="638"/>
      <c r="U34" s="638"/>
      <c r="V34" s="638"/>
      <c r="W34" s="638"/>
      <c r="X34" s="638"/>
      <c r="Y34" s="638"/>
      <c r="Z34" s="638"/>
      <c r="AA34" s="638"/>
      <c r="AB34" s="638"/>
      <c r="AC34" s="638"/>
      <c r="AD34" s="638"/>
      <c r="AE34" s="638"/>
    </row>
    <row r="35" customFormat="false" ht="15.75" hidden="false" customHeight="false" outlineLevel="0" collapsed="false">
      <c r="A35" s="817"/>
      <c r="B35" s="817"/>
      <c r="C35" s="817"/>
      <c r="D35" s="858"/>
      <c r="E35" s="858"/>
      <c r="F35" s="858"/>
      <c r="G35" s="859"/>
      <c r="H35" s="859"/>
      <c r="I35" s="860"/>
      <c r="J35" s="860"/>
      <c r="K35" s="856"/>
      <c r="L35" s="856"/>
      <c r="M35" s="856"/>
      <c r="N35" s="856"/>
      <c r="O35" s="44"/>
      <c r="P35" s="44"/>
      <c r="Q35" s="44"/>
      <c r="R35" s="824"/>
      <c r="S35" s="638"/>
      <c r="T35" s="638"/>
      <c r="U35" s="638"/>
      <c r="V35" s="638"/>
      <c r="W35" s="638"/>
      <c r="X35" s="638"/>
      <c r="Y35" s="638"/>
      <c r="Z35" s="638"/>
      <c r="AA35" s="638"/>
      <c r="AB35" s="638"/>
      <c r="AC35" s="638"/>
      <c r="AD35" s="638"/>
      <c r="AE35" s="638"/>
    </row>
    <row r="36" customFormat="false" ht="15.75" hidden="false" customHeight="false" outlineLevel="0" collapsed="false">
      <c r="A36" s="840"/>
      <c r="B36" s="840"/>
      <c r="C36" s="840"/>
      <c r="D36" s="857"/>
      <c r="E36" s="857"/>
      <c r="F36" s="857"/>
      <c r="G36" s="854"/>
      <c r="H36" s="854"/>
      <c r="I36" s="855"/>
      <c r="J36" s="855"/>
      <c r="K36" s="479"/>
      <c r="L36" s="479"/>
      <c r="M36" s="479"/>
      <c r="N36" s="479"/>
      <c r="O36" s="44"/>
      <c r="P36" s="44"/>
      <c r="Q36" s="44"/>
      <c r="R36" s="824"/>
      <c r="S36" s="638"/>
      <c r="T36" s="638"/>
      <c r="U36" s="638"/>
      <c r="V36" s="638"/>
      <c r="W36" s="638"/>
      <c r="X36" s="638"/>
      <c r="Y36" s="638"/>
      <c r="Z36" s="638"/>
      <c r="AA36" s="638"/>
      <c r="AB36" s="638"/>
      <c r="AC36" s="638"/>
      <c r="AD36" s="638"/>
      <c r="AE36" s="638"/>
    </row>
    <row r="37" customFormat="false" ht="15.75" hidden="false" customHeight="false" outlineLevel="0" collapsed="false">
      <c r="A37" s="817"/>
      <c r="B37" s="817"/>
      <c r="C37" s="817"/>
      <c r="D37" s="858"/>
      <c r="E37" s="858"/>
      <c r="F37" s="858"/>
      <c r="G37" s="859"/>
      <c r="H37" s="859"/>
      <c r="I37" s="860"/>
      <c r="J37" s="860"/>
      <c r="K37" s="856"/>
      <c r="L37" s="856"/>
      <c r="M37" s="856"/>
      <c r="N37" s="856"/>
      <c r="O37" s="44"/>
      <c r="P37" s="44"/>
      <c r="Q37" s="44"/>
      <c r="R37" s="824"/>
      <c r="S37" s="638"/>
      <c r="T37" s="638"/>
      <c r="U37" s="638"/>
      <c r="V37" s="638"/>
      <c r="W37" s="638"/>
      <c r="X37" s="638"/>
      <c r="Y37" s="638"/>
      <c r="Z37" s="638"/>
      <c r="AA37" s="638"/>
      <c r="AB37" s="638"/>
      <c r="AC37" s="638"/>
      <c r="AD37" s="638"/>
      <c r="AE37" s="638"/>
    </row>
    <row r="38" customFormat="false" ht="15.75" hidden="false" customHeight="false" outlineLevel="0" collapsed="false">
      <c r="A38" s="840"/>
      <c r="B38" s="840"/>
      <c r="C38" s="840"/>
      <c r="D38" s="857"/>
      <c r="E38" s="857"/>
      <c r="F38" s="857"/>
      <c r="G38" s="854"/>
      <c r="H38" s="854"/>
      <c r="I38" s="855"/>
      <c r="J38" s="855"/>
      <c r="K38" s="479"/>
      <c r="L38" s="479"/>
      <c r="M38" s="479"/>
      <c r="N38" s="479"/>
      <c r="O38" s="44"/>
      <c r="P38" s="44"/>
      <c r="Q38" s="44"/>
      <c r="R38" s="824"/>
      <c r="S38" s="638"/>
      <c r="T38" s="638"/>
      <c r="U38" s="638"/>
      <c r="V38" s="638"/>
      <c r="W38" s="638"/>
      <c r="X38" s="638"/>
      <c r="Y38" s="638"/>
      <c r="Z38" s="638"/>
      <c r="AA38" s="638"/>
      <c r="AB38" s="638"/>
      <c r="AC38" s="638"/>
      <c r="AD38" s="638"/>
      <c r="AE38" s="638"/>
    </row>
    <row r="39" customFormat="false" ht="15.75" hidden="false" customHeight="false" outlineLevel="0" collapsed="false">
      <c r="A39" s="817"/>
      <c r="B39" s="817"/>
      <c r="C39" s="817"/>
      <c r="D39" s="858"/>
      <c r="E39" s="858"/>
      <c r="F39" s="858"/>
      <c r="G39" s="859"/>
      <c r="H39" s="859"/>
      <c r="I39" s="860"/>
      <c r="J39" s="860"/>
      <c r="K39" s="856"/>
      <c r="L39" s="856"/>
      <c r="M39" s="856"/>
      <c r="N39" s="856"/>
      <c r="O39" s="44"/>
      <c r="P39" s="44"/>
      <c r="Q39" s="44"/>
      <c r="R39" s="341" t="s">
        <v>2071</v>
      </c>
      <c r="S39" s="341"/>
      <c r="T39" s="771"/>
      <c r="U39" s="771"/>
      <c r="V39" s="771"/>
      <c r="W39" s="771"/>
      <c r="X39" s="771"/>
      <c r="Y39" s="771"/>
      <c r="Z39" s="771"/>
      <c r="AA39" s="771"/>
      <c r="AB39" s="771"/>
      <c r="AC39" s="771"/>
      <c r="AD39" s="771"/>
      <c r="AE39" s="771"/>
    </row>
    <row r="40" customFormat="false" ht="15.75" hidden="false" customHeight="false" outlineLevel="0" collapsed="false">
      <c r="A40" s="840"/>
      <c r="B40" s="840"/>
      <c r="C40" s="840"/>
      <c r="D40" s="857"/>
      <c r="E40" s="857"/>
      <c r="F40" s="857"/>
      <c r="G40" s="854"/>
      <c r="H40" s="854"/>
      <c r="I40" s="855"/>
      <c r="J40" s="855"/>
      <c r="K40" s="479"/>
      <c r="L40" s="479"/>
      <c r="M40" s="479"/>
      <c r="N40" s="479"/>
      <c r="O40" s="44"/>
      <c r="P40" s="44"/>
      <c r="Q40" s="44"/>
      <c r="R40" s="386" t="str">
        <f aca="false">IFERROR(__xludf.dummyfunction("{ if(isna(FILTER(MoveDex!$AR:$AR,MoveDex!$AQ:$AQ=$L$1)),,FILTER(MoveDex!$AR:$AR,MoveDex!$AQ:$AQ=$L$1)) ; if(isna(FILTER(MoveDex!$AV:$AV,MoveDex!$AU:$AU=$L$1)),,FILTER(MoveDex!$AV:$AV,MoveDex!$AU:$AU=$L$1)) ; if(isna(FILTER(MoveDex!$AZ:$AZ,MoveDex!$AY:$AY="&amp;"$L$1)),,FILTER(MoveDex!$AZ:$AZ,MoveDex!$AY:$AY=$L$1)) }"),"Florges")</f>
        <v>Florges</v>
      </c>
      <c r="S40" s="386" t="str">
        <f aca="false">IFERROR(__xludf.dummyfunction("{ if(isna(FILTER(MoveDex!$AS:$AS,MoveDex!$AQ:$AQ=$L$1)),,FILTER(MoveDex!$AS:$AS,MoveDex!$AQ:$AQ=$L$1)) ; if(isna(FILTER(MoveDex!$AW:$AW,MoveDex!$AU:$AU=$L$1)),,FILTER(MoveDex!$AW:$AW,MoveDex!$AU:$AU=$L$1)) ; if(isna(FILTER(MoveDex!$BA:$BA,MoveDex!$AY:$AY="&amp;"$L$1)),,FILTER(MoveDex!$BA:$BA,MoveDex!$AY:$AY=$L$1)) }"),"Aromatherapy")</f>
        <v>Aromatherapy</v>
      </c>
      <c r="T40" s="777"/>
      <c r="U40" s="777"/>
      <c r="V40" s="777"/>
      <c r="W40" s="777"/>
      <c r="X40" s="777"/>
      <c r="Y40" s="777"/>
      <c r="Z40" s="777"/>
      <c r="AA40" s="777"/>
      <c r="AB40" s="777"/>
      <c r="AC40" s="777"/>
      <c r="AD40" s="777"/>
      <c r="AE40" s="777"/>
    </row>
    <row r="41" customFormat="false" ht="15.75" hidden="false" customHeight="false" outlineLevel="0" collapsed="false">
      <c r="A41" s="826"/>
      <c r="B41" s="826"/>
      <c r="C41" s="826"/>
      <c r="D41" s="861"/>
      <c r="E41" s="861"/>
      <c r="F41" s="861"/>
      <c r="G41" s="830"/>
      <c r="H41" s="830"/>
      <c r="I41" s="862"/>
      <c r="J41" s="862"/>
      <c r="K41" s="863"/>
      <c r="L41" s="863"/>
      <c r="M41" s="863"/>
      <c r="N41" s="863"/>
      <c r="O41" s="44"/>
      <c r="P41" s="44"/>
      <c r="Q41" s="44"/>
      <c r="R41" s="778" t="s">
        <v>49</v>
      </c>
      <c r="S41" s="511" t="s">
        <v>1114</v>
      </c>
      <c r="T41" s="638"/>
      <c r="U41" s="638"/>
      <c r="V41" s="638"/>
      <c r="W41" s="638"/>
      <c r="X41" s="638"/>
      <c r="Y41" s="638"/>
      <c r="Z41" s="638"/>
      <c r="AA41" s="638"/>
      <c r="AB41" s="638"/>
      <c r="AC41" s="638"/>
      <c r="AD41" s="638"/>
      <c r="AE41" s="638"/>
    </row>
    <row r="42" customFormat="false" ht="15.75" hidden="false" customHeight="false" outlineLevel="0" collapsed="false">
      <c r="A42" s="44"/>
      <c r="B42" s="44"/>
      <c r="C42" s="44"/>
      <c r="D42" s="44"/>
      <c r="E42" s="44"/>
      <c r="F42" s="44"/>
      <c r="G42" s="44"/>
      <c r="H42" s="44"/>
      <c r="I42" s="44"/>
      <c r="J42" s="44"/>
      <c r="K42" s="44"/>
      <c r="L42" s="44"/>
      <c r="M42" s="44"/>
      <c r="N42" s="44"/>
      <c r="O42" s="44"/>
      <c r="P42" s="44"/>
      <c r="Q42" s="44"/>
      <c r="R42" s="778" t="s">
        <v>46</v>
      </c>
      <c r="S42" s="511" t="s">
        <v>1115</v>
      </c>
      <c r="T42" s="638"/>
      <c r="U42" s="638"/>
      <c r="V42" s="638"/>
      <c r="W42" s="638"/>
      <c r="X42" s="638"/>
      <c r="Y42" s="638"/>
      <c r="Z42" s="638"/>
      <c r="AA42" s="638"/>
      <c r="AB42" s="638"/>
      <c r="AC42" s="638"/>
      <c r="AD42" s="638"/>
      <c r="AE42" s="638"/>
    </row>
    <row r="43" customFormat="false" ht="15.75" hidden="false" customHeight="false" outlineLevel="0" collapsed="false">
      <c r="A43" s="864" t="s">
        <v>2072</v>
      </c>
      <c r="B43" s="864"/>
      <c r="C43" s="864"/>
      <c r="D43" s="562" t="s">
        <v>777</v>
      </c>
      <c r="E43" s="865" t="s">
        <v>778</v>
      </c>
      <c r="F43" s="865" t="s">
        <v>779</v>
      </c>
      <c r="G43" s="865" t="s">
        <v>780</v>
      </c>
      <c r="H43" s="865" t="s">
        <v>781</v>
      </c>
      <c r="I43" s="865" t="s">
        <v>782</v>
      </c>
      <c r="J43" s="363" t="s">
        <v>2063</v>
      </c>
      <c r="K43" s="562" t="s">
        <v>2073</v>
      </c>
      <c r="L43" s="562"/>
      <c r="M43" s="866" t="s">
        <v>2074</v>
      </c>
      <c r="N43" s="866"/>
      <c r="O43" s="44"/>
      <c r="P43" s="44"/>
      <c r="Q43" s="44"/>
      <c r="R43" s="778"/>
      <c r="S43" s="511"/>
      <c r="T43" s="638"/>
      <c r="U43" s="638"/>
      <c r="V43" s="638"/>
      <c r="W43" s="638"/>
      <c r="X43" s="638"/>
      <c r="Y43" s="638"/>
      <c r="Z43" s="638"/>
      <c r="AA43" s="638"/>
      <c r="AB43" s="638"/>
      <c r="AC43" s="638"/>
      <c r="AD43" s="638"/>
      <c r="AE43" s="638"/>
    </row>
    <row r="44" customFormat="false" ht="15.75" hidden="false" customHeight="false" outlineLevel="0" collapsed="false">
      <c r="A44" s="811" t="str">
        <f aca="false">$A$12</f>
        <v>Salamence</v>
      </c>
      <c r="B44" s="811"/>
      <c r="C44" s="811"/>
      <c r="D44" s="867" t="n">
        <f aca="false" t="array" ref="D44:D44">IF(ISNA(INDEX(Pokedex!L$2:L$610,MATCH($A44,Pokedex!$B$2:$B$610,0))),"-",INDEX(Pokedex!L$2:L$610,MATCH($A44,Pokedex!$B$2:$B$610,0)))</f>
        <v>95</v>
      </c>
      <c r="E44" s="868" t="n">
        <f aca="false" t="array" ref="E44:E44">IF(ISNA(INDEX(Pokedex!M$2:M$610,MATCH($A44,Pokedex!$B$2:$B$610,0))),"-",INDEX(Pokedex!M$2:M$610,MATCH($A44,Pokedex!$B$2:$B$610,0)))</f>
        <v>135</v>
      </c>
      <c r="F44" s="868" t="n">
        <f aca="false" t="array" ref="F44:F44">IF(ISNA(INDEX(Pokedex!N$2:N$610,MATCH($A44,Pokedex!$B$2:$B$610,0))),"-",INDEX(Pokedex!N$2:N$610,MATCH($A44,Pokedex!$B$2:$B$610,0)))</f>
        <v>80</v>
      </c>
      <c r="G44" s="868" t="n">
        <f aca="false" t="array" ref="G44:G44">IF(ISNA(INDEX(Pokedex!O$2:O$610,MATCH($A44,Pokedex!$B$2:$B$610,0))),"-",INDEX(Pokedex!O$2:O$610,MATCH($A44,Pokedex!$B$2:$B$610,0)))</f>
        <v>110</v>
      </c>
      <c r="H44" s="868" t="n">
        <f aca="false" t="array" ref="H44:H44">IF(ISNA(INDEX(Pokedex!P$2:P$610,MATCH($A44,Pokedex!$B$2:$B$610,0))),"-",INDEX(Pokedex!P$2:P$610,MATCH($A44,Pokedex!$B$2:$B$610,0)))</f>
        <v>80</v>
      </c>
      <c r="I44" s="869" t="n">
        <f aca="false" t="array" ref="I44:I44">IF(ISNA(INDEX(Pokedex!Q$2:Q$610,MATCH($A44,Pokedex!$B$2:$B$610,0))),"-",INDEX(Pokedex!Q$2:Q$610,MATCH($A44,Pokedex!$B$2:$B$610,0)))</f>
        <v>100</v>
      </c>
      <c r="J44" s="868" t="n">
        <f aca="false">SUM(D44:I44)</f>
        <v>600</v>
      </c>
      <c r="K44" s="867" t="str">
        <f aca="false" t="array" ref="K44:K44">IF(ISNA(INDEX(Pokedex!R$2:R$610,MATCH($A44,Pokedex!$B$2:$B$610,0))),"-",INDEX(Pokedex!R$2:R$610,MATCH($A44,Pokedex!$B$2:$B$610,0)))</f>
        <v>Dragon</v>
      </c>
      <c r="L44" s="867"/>
      <c r="M44" s="869" t="str">
        <f aca="false" t="array" ref="M44:M44">IF(ISNA(INDEX(Pokedex!S$2:S$610,MATCH($A44,Pokedex!$B$2:$B$610,0))),"-",INDEX(Pokedex!S$2:S$610,MATCH($A44,Pokedex!$B$2:$B$610,0)))</f>
        <v>Flying</v>
      </c>
      <c r="N44" s="869"/>
      <c r="O44" s="44"/>
      <c r="P44" s="44"/>
      <c r="Q44" s="44"/>
      <c r="R44" s="778"/>
      <c r="S44" s="511"/>
      <c r="T44" s="638"/>
      <c r="U44" s="638"/>
      <c r="V44" s="638"/>
      <c r="W44" s="638"/>
      <c r="X44" s="638"/>
      <c r="Y44" s="638"/>
      <c r="Z44" s="638"/>
      <c r="AA44" s="638"/>
      <c r="AB44" s="638"/>
      <c r="AC44" s="638"/>
      <c r="AD44" s="638"/>
      <c r="AE44" s="638"/>
    </row>
    <row r="45" customFormat="false" ht="15.75" hidden="false" customHeight="false" outlineLevel="0" collapsed="false">
      <c r="A45" s="817" t="str">
        <f aca="false">$A$13</f>
        <v>Hawlucha</v>
      </c>
      <c r="B45" s="817"/>
      <c r="C45" s="817"/>
      <c r="D45" s="855" t="n">
        <f aca="false" t="array" ref="D45:D45">IF(ISNA(INDEX(Pokedex!L$2:L$610,MATCH($A45,Pokedex!$B$2:$B$610,0))),"-",INDEX(Pokedex!L$2:L$610,MATCH($A45,Pokedex!$B$2:$B$610,0)))</f>
        <v>78</v>
      </c>
      <c r="E45" s="51" t="n">
        <f aca="false" t="array" ref="E45:E45">IF(ISNA(INDEX(Pokedex!M$2:M$610,MATCH($A45,Pokedex!$B$2:$B$610,0))),"-",INDEX(Pokedex!M$2:M$610,MATCH($A45,Pokedex!$B$2:$B$610,0)))</f>
        <v>92</v>
      </c>
      <c r="F45" s="51" t="n">
        <f aca="false" t="array" ref="F45:F45">IF(ISNA(INDEX(Pokedex!N$2:N$610,MATCH($A45,Pokedex!$B$2:$B$610,0))),"-",INDEX(Pokedex!N$2:N$610,MATCH($A45,Pokedex!$B$2:$B$610,0)))</f>
        <v>77</v>
      </c>
      <c r="G45" s="51" t="n">
        <f aca="false" t="array" ref="G45:G45">IF(ISNA(INDEX(Pokedex!O$2:O$610,MATCH($A45,Pokedex!$B$2:$B$610,0))),"-",INDEX(Pokedex!O$2:O$610,MATCH($A45,Pokedex!$B$2:$B$610,0)))</f>
        <v>74</v>
      </c>
      <c r="H45" s="51" t="n">
        <f aca="false" t="array" ref="H45:H45">IF(ISNA(INDEX(Pokedex!P$2:P$610,MATCH($A45,Pokedex!$B$2:$B$610,0))),"-",INDEX(Pokedex!P$2:P$610,MATCH($A45,Pokedex!$B$2:$B$610,0)))</f>
        <v>63</v>
      </c>
      <c r="I45" s="727" t="n">
        <f aca="false" t="array" ref="I45:I45">IF(ISNA(INDEX(Pokedex!Q$2:Q$610,MATCH($A45,Pokedex!$B$2:$B$610,0))),"-",INDEX(Pokedex!Q$2:Q$610,MATCH($A45,Pokedex!$B$2:$B$610,0)))</f>
        <v>118</v>
      </c>
      <c r="J45" s="51" t="n">
        <f aca="false">SUM(D45:I45)</f>
        <v>502</v>
      </c>
      <c r="K45" s="855" t="str">
        <f aca="false" t="array" ref="K45:K45">IF(ISNA(INDEX(Pokedex!R$2:R$610,MATCH($A45,Pokedex!$B$2:$B$610,0))),"-",INDEX(Pokedex!R$2:R$610,MATCH($A45,Pokedex!$B$2:$B$610,0)))</f>
        <v>Fighting</v>
      </c>
      <c r="L45" s="855"/>
      <c r="M45" s="727" t="str">
        <f aca="false" t="array" ref="M45:M45">IF(ISNA(INDEX(Pokedex!S$2:S$610,MATCH($A45,Pokedex!$B$2:$B$610,0))),"-",INDEX(Pokedex!S$2:S$610,MATCH($A45,Pokedex!$B$2:$B$610,0)))</f>
        <v>Flying</v>
      </c>
      <c r="N45" s="727"/>
      <c r="O45" s="44"/>
      <c r="P45" s="44"/>
      <c r="Q45" s="44"/>
      <c r="R45" s="778"/>
      <c r="S45" s="511"/>
      <c r="T45" s="638"/>
      <c r="U45" s="638"/>
      <c r="V45" s="638"/>
      <c r="W45" s="638"/>
      <c r="X45" s="638"/>
      <c r="Y45" s="638"/>
      <c r="Z45" s="638"/>
      <c r="AA45" s="638"/>
      <c r="AB45" s="638"/>
      <c r="AC45" s="638"/>
      <c r="AD45" s="638"/>
      <c r="AE45" s="638"/>
    </row>
    <row r="46" customFormat="false" ht="15.75" hidden="false" customHeight="false" outlineLevel="0" collapsed="false">
      <c r="A46" s="817" t="str">
        <f aca="false">$A$14</f>
        <v>Donphan</v>
      </c>
      <c r="B46" s="817"/>
      <c r="C46" s="817"/>
      <c r="D46" s="855" t="n">
        <f aca="false" t="array" ref="D46:D46">IF(ISNA(INDEX(Pokedex!L$2:L$610,MATCH($A46,Pokedex!$B$2:$B$610,0))),"-",INDEX(Pokedex!L$2:L$610,MATCH($A46,Pokedex!$B$2:$B$610,0)))</f>
        <v>90</v>
      </c>
      <c r="E46" s="51" t="n">
        <f aca="false" t="array" ref="E46:E46">IF(ISNA(INDEX(Pokedex!M$2:M$610,MATCH($A46,Pokedex!$B$2:$B$610,0))),"-",INDEX(Pokedex!M$2:M$610,MATCH($A46,Pokedex!$B$2:$B$610,0)))</f>
        <v>120</v>
      </c>
      <c r="F46" s="51" t="n">
        <f aca="false" t="array" ref="F46:F46">IF(ISNA(INDEX(Pokedex!N$2:N$610,MATCH($A46,Pokedex!$B$2:$B$610,0))),"-",INDEX(Pokedex!N$2:N$610,MATCH($A46,Pokedex!$B$2:$B$610,0)))</f>
        <v>120</v>
      </c>
      <c r="G46" s="51" t="n">
        <f aca="false" t="array" ref="G46:G46">IF(ISNA(INDEX(Pokedex!O$2:O$610,MATCH($A46,Pokedex!$B$2:$B$610,0))),"-",INDEX(Pokedex!O$2:O$610,MATCH($A46,Pokedex!$B$2:$B$610,0)))</f>
        <v>60</v>
      </c>
      <c r="H46" s="51" t="n">
        <f aca="false" t="array" ref="H46:H46">IF(ISNA(INDEX(Pokedex!P$2:P$610,MATCH($A46,Pokedex!$B$2:$B$610,0))),"-",INDEX(Pokedex!P$2:P$610,MATCH($A46,Pokedex!$B$2:$B$610,0)))</f>
        <v>60</v>
      </c>
      <c r="I46" s="727" t="n">
        <f aca="false" t="array" ref="I46:I46">IF(ISNA(INDEX(Pokedex!Q$2:Q$610,MATCH($A46,Pokedex!$B$2:$B$610,0))),"-",INDEX(Pokedex!Q$2:Q$610,MATCH($A46,Pokedex!$B$2:$B$610,0)))</f>
        <v>50</v>
      </c>
      <c r="J46" s="51" t="n">
        <f aca="false">SUM(D46:I46)</f>
        <v>500</v>
      </c>
      <c r="K46" s="855" t="str">
        <f aca="false" t="array" ref="K46:K46">IF(ISNA(INDEX(Pokedex!R$2:R$610,MATCH($A46,Pokedex!$B$2:$B$610,0))),"-",INDEX(Pokedex!R$2:R$610,MATCH($A46,Pokedex!$B$2:$B$610,0)))</f>
        <v>Ground</v>
      </c>
      <c r="L46" s="855"/>
      <c r="M46" s="727" t="n">
        <f aca="false">IF(ISNA(INDEX(Pokedex!S$2:S$610,MATCH($A46,Pokedex!$B$2:$B$610,0))),"-",INDEX(Pokedex!S$2:S$610,MATCH($A46,Pokedex!$B$2:$B$610,0)))</f>
        <v>0</v>
      </c>
      <c r="N46" s="727"/>
      <c r="O46" s="44"/>
      <c r="P46" s="44"/>
      <c r="Q46" s="44"/>
      <c r="R46" s="790"/>
      <c r="S46" s="791"/>
      <c r="T46" s="792"/>
      <c r="U46" s="792"/>
      <c r="V46" s="792"/>
      <c r="W46" s="792"/>
      <c r="X46" s="792"/>
      <c r="Y46" s="792"/>
      <c r="Z46" s="792"/>
      <c r="AA46" s="792"/>
      <c r="AB46" s="792"/>
      <c r="AC46" s="792"/>
      <c r="AD46" s="792"/>
      <c r="AE46" s="792"/>
    </row>
    <row r="47" customFormat="false" ht="15.75" hidden="false" customHeight="false" outlineLevel="0" collapsed="false">
      <c r="A47" s="817" t="str">
        <f aca="false">$A$15</f>
        <v>Drapion</v>
      </c>
      <c r="B47" s="817"/>
      <c r="C47" s="817"/>
      <c r="D47" s="855" t="n">
        <f aca="false" t="array" ref="D47:D47">IF(ISNA(INDEX(Pokedex!L$2:L$610,MATCH($A47,Pokedex!$B$2:$B$610,0))),"-",INDEX(Pokedex!L$2:L$610,MATCH($A47,Pokedex!$B$2:$B$610,0)))</f>
        <v>70</v>
      </c>
      <c r="E47" s="51" t="n">
        <f aca="false" t="array" ref="E47:E47">IF(ISNA(INDEX(Pokedex!M$2:M$610,MATCH($A47,Pokedex!$B$2:$B$610,0))),"-",INDEX(Pokedex!M$2:M$610,MATCH($A47,Pokedex!$B$2:$B$610,0)))</f>
        <v>90</v>
      </c>
      <c r="F47" s="51" t="n">
        <f aca="false" t="array" ref="F47:F47">IF(ISNA(INDEX(Pokedex!N$2:N$610,MATCH($A47,Pokedex!$B$2:$B$610,0))),"-",INDEX(Pokedex!N$2:N$610,MATCH($A47,Pokedex!$B$2:$B$610,0)))</f>
        <v>110</v>
      </c>
      <c r="G47" s="51" t="n">
        <f aca="false" t="array" ref="G47:G47">IF(ISNA(INDEX(Pokedex!O$2:O$610,MATCH($A47,Pokedex!$B$2:$B$610,0))),"-",INDEX(Pokedex!O$2:O$610,MATCH($A47,Pokedex!$B$2:$B$610,0)))</f>
        <v>60</v>
      </c>
      <c r="H47" s="51" t="n">
        <f aca="false" t="array" ref="H47:H47">IF(ISNA(INDEX(Pokedex!P$2:P$610,MATCH($A47,Pokedex!$B$2:$B$610,0))),"-",INDEX(Pokedex!P$2:P$610,MATCH($A47,Pokedex!$B$2:$B$610,0)))</f>
        <v>75</v>
      </c>
      <c r="I47" s="727" t="n">
        <f aca="false" t="array" ref="I47:I47">IF(ISNA(INDEX(Pokedex!Q$2:Q$610,MATCH($A47,Pokedex!$B$2:$B$610,0))),"-",INDEX(Pokedex!Q$2:Q$610,MATCH($A47,Pokedex!$B$2:$B$610,0)))</f>
        <v>95</v>
      </c>
      <c r="J47" s="51" t="n">
        <f aca="false">SUM(D47:I47)</f>
        <v>500</v>
      </c>
      <c r="K47" s="855" t="str">
        <f aca="false" t="array" ref="K47:K47">IF(ISNA(INDEX(Pokedex!R$2:R$610,MATCH($A47,Pokedex!$B$2:$B$610,0))),"-",INDEX(Pokedex!R$2:R$610,MATCH($A47,Pokedex!$B$2:$B$610,0)))</f>
        <v>Dark</v>
      </c>
      <c r="L47" s="855"/>
      <c r="M47" s="727" t="str">
        <f aca="false" t="array" ref="M47:M47">IF(ISNA(INDEX(Pokedex!S$2:S$610,MATCH($A47,Pokedex!$B$2:$B$610,0))),"-",INDEX(Pokedex!S$2:S$610,MATCH($A47,Pokedex!$B$2:$B$610,0)))</f>
        <v>Poison</v>
      </c>
      <c r="N47" s="727"/>
      <c r="O47" s="44"/>
      <c r="P47" s="44"/>
      <c r="Q47" s="44"/>
      <c r="R47" s="790"/>
      <c r="S47" s="791"/>
      <c r="T47" s="792"/>
      <c r="U47" s="792"/>
      <c r="V47" s="792"/>
      <c r="W47" s="792"/>
      <c r="X47" s="792"/>
      <c r="Y47" s="792"/>
      <c r="Z47" s="792"/>
      <c r="AA47" s="792"/>
      <c r="AB47" s="792"/>
      <c r="AC47" s="792"/>
      <c r="AD47" s="792"/>
      <c r="AE47" s="792"/>
    </row>
    <row r="48" customFormat="false" ht="15.75" hidden="false" customHeight="false" outlineLevel="0" collapsed="false">
      <c r="A48" s="817" t="str">
        <f aca="false">$A$16</f>
        <v>Torkoal</v>
      </c>
      <c r="B48" s="817"/>
      <c r="C48" s="817"/>
      <c r="D48" s="855" t="n">
        <f aca="false" t="array" ref="D48:D48">IF(ISNA(INDEX(Pokedex!L$2:L$610,MATCH($A48,Pokedex!$B$2:$B$610,0))),"-",INDEX(Pokedex!L$2:L$610,MATCH($A48,Pokedex!$B$2:$B$610,0)))</f>
        <v>70</v>
      </c>
      <c r="E48" s="51" t="n">
        <f aca="false" t="array" ref="E48:E48">IF(ISNA(INDEX(Pokedex!M$2:M$610,MATCH($A48,Pokedex!$B$2:$B$610,0))),"-",INDEX(Pokedex!M$2:M$610,MATCH($A48,Pokedex!$B$2:$B$610,0)))</f>
        <v>85</v>
      </c>
      <c r="F48" s="51" t="n">
        <f aca="false" t="array" ref="F48:F48">IF(ISNA(INDEX(Pokedex!N$2:N$610,MATCH($A48,Pokedex!$B$2:$B$610,0))),"-",INDEX(Pokedex!N$2:N$610,MATCH($A48,Pokedex!$B$2:$B$610,0)))</f>
        <v>140</v>
      </c>
      <c r="G48" s="51" t="n">
        <f aca="false" t="array" ref="G48:G48">IF(ISNA(INDEX(Pokedex!O$2:O$610,MATCH($A48,Pokedex!$B$2:$B$610,0))),"-",INDEX(Pokedex!O$2:O$610,MATCH($A48,Pokedex!$B$2:$B$610,0)))</f>
        <v>85</v>
      </c>
      <c r="H48" s="51" t="n">
        <f aca="false" t="array" ref="H48:H48">IF(ISNA(INDEX(Pokedex!P$2:P$610,MATCH($A48,Pokedex!$B$2:$B$610,0))),"-",INDEX(Pokedex!P$2:P$610,MATCH($A48,Pokedex!$B$2:$B$610,0)))</f>
        <v>70</v>
      </c>
      <c r="I48" s="727" t="n">
        <f aca="false" t="array" ref="I48:I48">IF(ISNA(INDEX(Pokedex!Q$2:Q$610,MATCH($A48,Pokedex!$B$2:$B$610,0))),"-",INDEX(Pokedex!Q$2:Q$610,MATCH($A48,Pokedex!$B$2:$B$610,0)))</f>
        <v>20</v>
      </c>
      <c r="J48" s="51" t="n">
        <f aca="false">SUM(D48:I48)</f>
        <v>470</v>
      </c>
      <c r="K48" s="855" t="str">
        <f aca="false" t="array" ref="K48:K48">IF(ISNA(INDEX(Pokedex!R$2:R$610,MATCH($A48,Pokedex!$B$2:$B$610,0))),"-",INDEX(Pokedex!R$2:R$610,MATCH($A48,Pokedex!$B$2:$B$610,0)))</f>
        <v>Fire</v>
      </c>
      <c r="L48" s="855"/>
      <c r="M48" s="727" t="n">
        <f aca="false">IF(ISNA(INDEX(Pokedex!S$2:S$610,MATCH($A48,Pokedex!$B$2:$B$610,0))),"-",INDEX(Pokedex!S$2:S$610,MATCH($A48,Pokedex!$B$2:$B$610,0)))</f>
        <v>0</v>
      </c>
      <c r="N48" s="727"/>
      <c r="O48" s="44"/>
      <c r="P48" s="44"/>
      <c r="Q48" s="44"/>
      <c r="R48" s="790"/>
      <c r="S48" s="791"/>
      <c r="T48" s="792"/>
      <c r="U48" s="792"/>
      <c r="V48" s="792"/>
      <c r="W48" s="792"/>
      <c r="X48" s="792"/>
      <c r="Y48" s="792"/>
      <c r="Z48" s="792"/>
      <c r="AA48" s="792"/>
      <c r="AB48" s="792"/>
      <c r="AC48" s="792"/>
      <c r="AD48" s="792"/>
      <c r="AE48" s="792"/>
    </row>
    <row r="49" customFormat="false" ht="15.75" hidden="false" customHeight="false" outlineLevel="0" collapsed="false">
      <c r="A49" s="817" t="str">
        <f aca="false">$A$17</f>
        <v>Exeggutor-Alola</v>
      </c>
      <c r="B49" s="817"/>
      <c r="C49" s="817"/>
      <c r="D49" s="855" t="n">
        <f aca="false" t="array" ref="D49:D49">IF(ISNA(INDEX(Pokedex!L$2:L$610,MATCH($A49,Pokedex!$B$2:$B$610,0))),"-",INDEX(Pokedex!L$2:L$610,MATCH($A49,Pokedex!$B$2:$B$610,0)))</f>
        <v>95</v>
      </c>
      <c r="E49" s="51" t="n">
        <f aca="false" t="array" ref="E49:E49">IF(ISNA(INDEX(Pokedex!M$2:M$610,MATCH($A49,Pokedex!$B$2:$B$610,0))),"-",INDEX(Pokedex!M$2:M$610,MATCH($A49,Pokedex!$B$2:$B$610,0)))</f>
        <v>105</v>
      </c>
      <c r="F49" s="51" t="n">
        <f aca="false" t="array" ref="F49:F49">IF(ISNA(INDEX(Pokedex!N$2:N$610,MATCH($A49,Pokedex!$B$2:$B$610,0))),"-",INDEX(Pokedex!N$2:N$610,MATCH($A49,Pokedex!$B$2:$B$610,0)))</f>
        <v>85</v>
      </c>
      <c r="G49" s="51" t="n">
        <f aca="false" t="array" ref="G49:G49">IF(ISNA(INDEX(Pokedex!O$2:O$610,MATCH($A49,Pokedex!$B$2:$B$610,0))),"-",INDEX(Pokedex!O$2:O$610,MATCH($A49,Pokedex!$B$2:$B$610,0)))</f>
        <v>125</v>
      </c>
      <c r="H49" s="51" t="n">
        <f aca="false" t="array" ref="H49:H49">IF(ISNA(INDEX(Pokedex!P$2:P$610,MATCH($A49,Pokedex!$B$2:$B$610,0))),"-",INDEX(Pokedex!P$2:P$610,MATCH($A49,Pokedex!$B$2:$B$610,0)))</f>
        <v>75</v>
      </c>
      <c r="I49" s="727" t="n">
        <f aca="false" t="array" ref="I49:I49">IF(ISNA(INDEX(Pokedex!Q$2:Q$610,MATCH($A49,Pokedex!$B$2:$B$610,0))),"-",INDEX(Pokedex!Q$2:Q$610,MATCH($A49,Pokedex!$B$2:$B$610,0)))</f>
        <v>45</v>
      </c>
      <c r="J49" s="51" t="n">
        <f aca="false">SUM(D49:I49)</f>
        <v>530</v>
      </c>
      <c r="K49" s="855" t="str">
        <f aca="false" t="array" ref="K49:K49">IF(ISNA(INDEX(Pokedex!R$2:R$610,MATCH($A49,Pokedex!$B$2:$B$610,0))),"-",INDEX(Pokedex!R$2:R$610,MATCH($A49,Pokedex!$B$2:$B$610,0)))</f>
        <v>Dragon</v>
      </c>
      <c r="L49" s="855"/>
      <c r="M49" s="727" t="str">
        <f aca="false" t="array" ref="M49:M49">IF(ISNA(INDEX(Pokedex!S$2:S$610,MATCH($A49,Pokedex!$B$2:$B$610,0))),"-",INDEX(Pokedex!S$2:S$610,MATCH($A49,Pokedex!$B$2:$B$610,0)))</f>
        <v>Grass</v>
      </c>
      <c r="N49" s="727"/>
      <c r="O49" s="44"/>
      <c r="P49" s="44"/>
      <c r="Q49" s="44"/>
      <c r="R49" s="790"/>
      <c r="S49" s="791"/>
      <c r="T49" s="792"/>
      <c r="U49" s="792"/>
      <c r="V49" s="792"/>
      <c r="W49" s="792"/>
      <c r="X49" s="792"/>
      <c r="Y49" s="792"/>
      <c r="Z49" s="792"/>
      <c r="AA49" s="792"/>
      <c r="AB49" s="792"/>
      <c r="AC49" s="792"/>
      <c r="AD49" s="792"/>
      <c r="AE49" s="792"/>
    </row>
    <row r="50" customFormat="false" ht="15.75" hidden="false" customHeight="false" outlineLevel="0" collapsed="false">
      <c r="A50" s="817" t="str">
        <f aca="false">$A$18</f>
        <v>Banette-Mega</v>
      </c>
      <c r="B50" s="817"/>
      <c r="C50" s="817"/>
      <c r="D50" s="855" t="n">
        <f aca="false" t="array" ref="D50:D50">IF(ISNA(INDEX(Pokedex!L$2:L$610,MATCH($A50,Pokedex!$B$2:$B$610,0))),"-",INDEX(Pokedex!L$2:L$610,MATCH($A50,Pokedex!$B$2:$B$610,0)))</f>
        <v>64</v>
      </c>
      <c r="E50" s="51" t="n">
        <f aca="false" t="array" ref="E50:E50">IF(ISNA(INDEX(Pokedex!M$2:M$610,MATCH($A50,Pokedex!$B$2:$B$610,0))),"-",INDEX(Pokedex!M$2:M$610,MATCH($A50,Pokedex!$B$2:$B$610,0)))</f>
        <v>165</v>
      </c>
      <c r="F50" s="51" t="n">
        <f aca="false" t="array" ref="F50:F50">IF(ISNA(INDEX(Pokedex!N$2:N$610,MATCH($A50,Pokedex!$B$2:$B$610,0))),"-",INDEX(Pokedex!N$2:N$610,MATCH($A50,Pokedex!$B$2:$B$610,0)))</f>
        <v>75</v>
      </c>
      <c r="G50" s="51" t="n">
        <f aca="false" t="array" ref="G50:G50">IF(ISNA(INDEX(Pokedex!O$2:O$610,MATCH($A50,Pokedex!$B$2:$B$610,0))),"-",INDEX(Pokedex!O$2:O$610,MATCH($A50,Pokedex!$B$2:$B$610,0)))</f>
        <v>93</v>
      </c>
      <c r="H50" s="51" t="n">
        <f aca="false" t="array" ref="H50:H50">IF(ISNA(INDEX(Pokedex!P$2:P$610,MATCH($A50,Pokedex!$B$2:$B$610,0))),"-",INDEX(Pokedex!P$2:P$610,MATCH($A50,Pokedex!$B$2:$B$610,0)))</f>
        <v>83</v>
      </c>
      <c r="I50" s="727" t="n">
        <f aca="false" t="array" ref="I50:I50">IF(ISNA(INDEX(Pokedex!Q$2:Q$610,MATCH($A50,Pokedex!$B$2:$B$610,0))),"-",INDEX(Pokedex!Q$2:Q$610,MATCH($A50,Pokedex!$B$2:$B$610,0)))</f>
        <v>75</v>
      </c>
      <c r="J50" s="51" t="n">
        <f aca="false">SUM(D50:I50)</f>
        <v>555</v>
      </c>
      <c r="K50" s="855" t="str">
        <f aca="false" t="array" ref="K50:K50">IF(ISNA(INDEX(Pokedex!R$2:R$610,MATCH($A50,Pokedex!$B$2:$B$610,0))),"-",INDEX(Pokedex!R$2:R$610,MATCH($A50,Pokedex!$B$2:$B$610,0)))</f>
        <v>Ghost</v>
      </c>
      <c r="L50" s="855"/>
      <c r="M50" s="727" t="n">
        <f aca="false">IF(ISNA(INDEX(Pokedex!S$2:S$610,MATCH($A50,Pokedex!$B$2:$B$610,0))),"-",INDEX(Pokedex!S$2:S$610,MATCH($A50,Pokedex!$B$2:$B$610,0)))</f>
        <v>0</v>
      </c>
      <c r="N50" s="727"/>
      <c r="O50" s="44"/>
      <c r="P50" s="44"/>
      <c r="Q50" s="44"/>
      <c r="R50" s="790"/>
      <c r="S50" s="791"/>
      <c r="T50" s="792"/>
      <c r="U50" s="792"/>
      <c r="V50" s="792"/>
      <c r="W50" s="792"/>
      <c r="X50" s="792"/>
      <c r="Y50" s="792"/>
      <c r="Z50" s="792"/>
      <c r="AA50" s="792"/>
      <c r="AB50" s="792"/>
      <c r="AC50" s="792"/>
      <c r="AD50" s="792"/>
      <c r="AE50" s="792"/>
    </row>
    <row r="51" customFormat="false" ht="15.75" hidden="false" customHeight="false" outlineLevel="0" collapsed="false">
      <c r="A51" s="817" t="str">
        <f aca="false">$A$19</f>
        <v>Charizard</v>
      </c>
      <c r="B51" s="817"/>
      <c r="C51" s="817"/>
      <c r="D51" s="855" t="n">
        <f aca="false" t="array" ref="D51:D51">IF(ISNA(INDEX(Pokedex!L$2:L$610,MATCH($A51,Pokedex!$B$2:$B$610,0))),"-",INDEX(Pokedex!L$2:L$610,MATCH($A51,Pokedex!$B$2:$B$610,0)))</f>
        <v>78</v>
      </c>
      <c r="E51" s="51" t="n">
        <f aca="false" t="array" ref="E51:E51">IF(ISNA(INDEX(Pokedex!M$2:M$610,MATCH($A51,Pokedex!$B$2:$B$610,0))),"-",INDEX(Pokedex!M$2:M$610,MATCH($A51,Pokedex!$B$2:$B$610,0)))</f>
        <v>84</v>
      </c>
      <c r="F51" s="51" t="n">
        <f aca="false" t="array" ref="F51:F51">IF(ISNA(INDEX(Pokedex!N$2:N$610,MATCH($A51,Pokedex!$B$2:$B$610,0))),"-",INDEX(Pokedex!N$2:N$610,MATCH($A51,Pokedex!$B$2:$B$610,0)))</f>
        <v>78</v>
      </c>
      <c r="G51" s="51" t="n">
        <f aca="false" t="array" ref="G51:G51">IF(ISNA(INDEX(Pokedex!O$2:O$610,MATCH($A51,Pokedex!$B$2:$B$610,0))),"-",INDEX(Pokedex!O$2:O$610,MATCH($A51,Pokedex!$B$2:$B$610,0)))</f>
        <v>109</v>
      </c>
      <c r="H51" s="51" t="n">
        <f aca="false" t="array" ref="H51:H51">IF(ISNA(INDEX(Pokedex!P$2:P$610,MATCH($A51,Pokedex!$B$2:$B$610,0))),"-",INDEX(Pokedex!P$2:P$610,MATCH($A51,Pokedex!$B$2:$B$610,0)))</f>
        <v>85</v>
      </c>
      <c r="I51" s="727" t="n">
        <f aca="false" t="array" ref="I51:I51">IF(ISNA(INDEX(Pokedex!Q$2:Q$610,MATCH($A51,Pokedex!$B$2:$B$610,0))),"-",INDEX(Pokedex!Q$2:Q$610,MATCH($A51,Pokedex!$B$2:$B$610,0)))</f>
        <v>100</v>
      </c>
      <c r="J51" s="51" t="n">
        <f aca="false">SUM(D51:I51)</f>
        <v>534</v>
      </c>
      <c r="K51" s="855" t="str">
        <f aca="false" t="array" ref="K51:K51">IF(ISNA(INDEX(Pokedex!R$2:R$610,MATCH($A51,Pokedex!$B$2:$B$610,0))),"-",INDEX(Pokedex!R$2:R$610,MATCH($A51,Pokedex!$B$2:$B$610,0)))</f>
        <v>Fire</v>
      </c>
      <c r="L51" s="855"/>
      <c r="M51" s="727" t="str">
        <f aca="false" t="array" ref="M51:M51">IF(ISNA(INDEX(Pokedex!S$2:S$610,MATCH($A51,Pokedex!$B$2:$B$610,0))),"-",INDEX(Pokedex!S$2:S$610,MATCH($A51,Pokedex!$B$2:$B$610,0)))</f>
        <v>Flying</v>
      </c>
      <c r="N51" s="727"/>
      <c r="O51" s="44"/>
      <c r="P51" s="44"/>
      <c r="Q51" s="44"/>
      <c r="R51" s="820"/>
      <c r="S51" s="821"/>
      <c r="T51" s="792"/>
      <c r="U51" s="792"/>
      <c r="V51" s="792"/>
      <c r="W51" s="792"/>
      <c r="X51" s="792"/>
      <c r="Y51" s="792"/>
      <c r="Z51" s="792"/>
      <c r="AA51" s="792"/>
      <c r="AB51" s="792"/>
      <c r="AC51" s="792"/>
      <c r="AD51" s="792"/>
      <c r="AE51" s="792"/>
    </row>
    <row r="52" customFormat="false" ht="15.75" hidden="false" customHeight="false" outlineLevel="0" collapsed="false">
      <c r="A52" s="817" t="str">
        <f aca="false">$A$20</f>
        <v>Florges</v>
      </c>
      <c r="B52" s="817"/>
      <c r="C52" s="817"/>
      <c r="D52" s="855" t="n">
        <f aca="false" t="array" ref="D52:D52">IF(ISNA(INDEX(Pokedex!L$2:L$610,MATCH($A52,Pokedex!$B$2:$B$610,0))),"-",INDEX(Pokedex!L$2:L$610,MATCH($A52,Pokedex!$B$2:$B$610,0)))</f>
        <v>78</v>
      </c>
      <c r="E52" s="51" t="n">
        <f aca="false" t="array" ref="E52:E52">IF(ISNA(INDEX(Pokedex!M$2:M$610,MATCH($A52,Pokedex!$B$2:$B$610,0))),"-",INDEX(Pokedex!M$2:M$610,MATCH($A52,Pokedex!$B$2:$B$610,0)))</f>
        <v>65</v>
      </c>
      <c r="F52" s="51" t="n">
        <f aca="false" t="array" ref="F52:F52">IF(ISNA(INDEX(Pokedex!N$2:N$610,MATCH($A52,Pokedex!$B$2:$B$610,0))),"-",INDEX(Pokedex!N$2:N$610,MATCH($A52,Pokedex!$B$2:$B$610,0)))</f>
        <v>68</v>
      </c>
      <c r="G52" s="51" t="n">
        <f aca="false" t="array" ref="G52:G52">IF(ISNA(INDEX(Pokedex!O$2:O$610,MATCH($A52,Pokedex!$B$2:$B$610,0))),"-",INDEX(Pokedex!O$2:O$610,MATCH($A52,Pokedex!$B$2:$B$610,0)))</f>
        <v>112</v>
      </c>
      <c r="H52" s="51" t="n">
        <f aca="false" t="array" ref="H52:H52">IF(ISNA(INDEX(Pokedex!P$2:P$610,MATCH($A52,Pokedex!$B$2:$B$610,0))),"-",INDEX(Pokedex!P$2:P$610,MATCH($A52,Pokedex!$B$2:$B$610,0)))</f>
        <v>154</v>
      </c>
      <c r="I52" s="727" t="n">
        <f aca="false" t="array" ref="I52:I52">IF(ISNA(INDEX(Pokedex!Q$2:Q$610,MATCH($A52,Pokedex!$B$2:$B$610,0))),"-",INDEX(Pokedex!Q$2:Q$610,MATCH($A52,Pokedex!$B$2:$B$610,0)))</f>
        <v>75</v>
      </c>
      <c r="J52" s="51" t="n">
        <f aca="false">SUM(D52:I52)</f>
        <v>552</v>
      </c>
      <c r="K52" s="855" t="str">
        <f aca="false" t="array" ref="K52:K52">IF(ISNA(INDEX(Pokedex!R$2:R$610,MATCH($A52,Pokedex!$B$2:$B$610,0))),"-",INDEX(Pokedex!R$2:R$610,MATCH($A52,Pokedex!$B$2:$B$610,0)))</f>
        <v>Fairy</v>
      </c>
      <c r="L52" s="855"/>
      <c r="M52" s="727" t="n">
        <f aca="false">IF(ISNA(INDEX(Pokedex!S$2:S$610,MATCH($A52,Pokedex!$B$2:$B$610,0))),"-",INDEX(Pokedex!S$2:S$610,MATCH($A52,Pokedex!$B$2:$B$610,0)))</f>
        <v>0</v>
      </c>
      <c r="N52" s="727"/>
      <c r="O52" s="44"/>
      <c r="P52" s="44"/>
      <c r="Q52" s="44"/>
      <c r="R52" s="824"/>
      <c r="S52" s="638"/>
      <c r="T52" s="638"/>
      <c r="U52" s="638"/>
      <c r="V52" s="638"/>
      <c r="W52" s="638"/>
      <c r="X52" s="638"/>
      <c r="Y52" s="638"/>
      <c r="Z52" s="638"/>
      <c r="AA52" s="638"/>
      <c r="AB52" s="638"/>
      <c r="AC52" s="638"/>
      <c r="AD52" s="638"/>
      <c r="AE52" s="638"/>
    </row>
    <row r="53" customFormat="false" ht="15.75" hidden="false" customHeight="false" outlineLevel="0" collapsed="false">
      <c r="A53" s="817" t="str">
        <f aca="false">$A$21</f>
        <v>Feraligatr</v>
      </c>
      <c r="B53" s="817"/>
      <c r="C53" s="817"/>
      <c r="D53" s="855" t="n">
        <f aca="false" t="array" ref="D53:D53">IF(ISNA(INDEX(Pokedex!L$2:L$610,MATCH($A53,Pokedex!$B$2:$B$610,0))),"-",INDEX(Pokedex!L$2:L$610,MATCH($A53,Pokedex!$B$2:$B$610,0)))</f>
        <v>85</v>
      </c>
      <c r="E53" s="51" t="n">
        <f aca="false" t="array" ref="E53:E53">IF(ISNA(INDEX(Pokedex!M$2:M$610,MATCH($A53,Pokedex!$B$2:$B$610,0))),"-",INDEX(Pokedex!M$2:M$610,MATCH($A53,Pokedex!$B$2:$B$610,0)))</f>
        <v>105</v>
      </c>
      <c r="F53" s="51" t="n">
        <f aca="false" t="array" ref="F53:F53">IF(ISNA(INDEX(Pokedex!N$2:N$610,MATCH($A53,Pokedex!$B$2:$B$610,0))),"-",INDEX(Pokedex!N$2:N$610,MATCH($A53,Pokedex!$B$2:$B$610,0)))</f>
        <v>100</v>
      </c>
      <c r="G53" s="51" t="n">
        <f aca="false" t="array" ref="G53:G53">IF(ISNA(INDEX(Pokedex!O$2:O$610,MATCH($A53,Pokedex!$B$2:$B$610,0))),"-",INDEX(Pokedex!O$2:O$610,MATCH($A53,Pokedex!$B$2:$B$610,0)))</f>
        <v>79</v>
      </c>
      <c r="H53" s="51" t="n">
        <f aca="false" t="array" ref="H53:H53">IF(ISNA(INDEX(Pokedex!P$2:P$610,MATCH($A53,Pokedex!$B$2:$B$610,0))),"-",INDEX(Pokedex!P$2:P$610,MATCH($A53,Pokedex!$B$2:$B$610,0)))</f>
        <v>83</v>
      </c>
      <c r="I53" s="727" t="n">
        <f aca="false" t="array" ref="I53:I53">IF(ISNA(INDEX(Pokedex!Q$2:Q$610,MATCH($A53,Pokedex!$B$2:$B$610,0))),"-",INDEX(Pokedex!Q$2:Q$610,MATCH($A53,Pokedex!$B$2:$B$610,0)))</f>
        <v>78</v>
      </c>
      <c r="J53" s="51" t="n">
        <f aca="false">SUM(D53:I53)</f>
        <v>530</v>
      </c>
      <c r="K53" s="855" t="str">
        <f aca="false" t="array" ref="K53:K53">IF(ISNA(INDEX(Pokedex!R$2:R$610,MATCH($A53,Pokedex!$B$2:$B$610,0))),"-",INDEX(Pokedex!R$2:R$610,MATCH($A53,Pokedex!$B$2:$B$610,0)))</f>
        <v>Water</v>
      </c>
      <c r="L53" s="855"/>
      <c r="M53" s="727" t="n">
        <f aca="false">IF(ISNA(INDEX(Pokedex!S$2:S$610,MATCH($A53,Pokedex!$B$2:$B$610,0))),"-",INDEX(Pokedex!S$2:S$610,MATCH($A53,Pokedex!$B$2:$B$610,0)))</f>
        <v>0</v>
      </c>
      <c r="N53" s="727"/>
      <c r="O53" s="44"/>
      <c r="P53" s="44"/>
      <c r="Q53" s="44"/>
      <c r="R53" s="824"/>
      <c r="S53" s="638"/>
      <c r="T53" s="638"/>
      <c r="U53" s="638"/>
      <c r="V53" s="638"/>
      <c r="W53" s="638"/>
      <c r="X53" s="638"/>
      <c r="Y53" s="638"/>
      <c r="Z53" s="638"/>
      <c r="AA53" s="638"/>
      <c r="AB53" s="638"/>
      <c r="AC53" s="638"/>
      <c r="AD53" s="638"/>
      <c r="AE53" s="638"/>
    </row>
    <row r="54" customFormat="false" ht="15.75" hidden="false" customHeight="false" outlineLevel="0" collapsed="false">
      <c r="A54" s="826" t="str">
        <f aca="false">$A$22</f>
        <v>Heliolisk</v>
      </c>
      <c r="B54" s="826"/>
      <c r="C54" s="826"/>
      <c r="D54" s="870" t="n">
        <f aca="false" t="array" ref="D54:D54">IF(ISNA(INDEX(Pokedex!L$2:L$610,MATCH($A54,Pokedex!$B$2:$B$610,0))),"-",INDEX(Pokedex!L$2:L$610,MATCH($A54,Pokedex!$B$2:$B$610,0)))</f>
        <v>65</v>
      </c>
      <c r="E54" s="828" t="n">
        <f aca="false" t="array" ref="E54:E54">IF(ISNA(INDEX(Pokedex!M$2:M$610,MATCH($A54,Pokedex!$B$2:$B$610,0))),"-",INDEX(Pokedex!M$2:M$610,MATCH($A54,Pokedex!$B$2:$B$610,0)))</f>
        <v>55</v>
      </c>
      <c r="F54" s="828" t="n">
        <f aca="false" t="array" ref="F54:F54">IF(ISNA(INDEX(Pokedex!N$2:N$610,MATCH($A54,Pokedex!$B$2:$B$610,0))),"-",INDEX(Pokedex!N$2:N$610,MATCH($A54,Pokedex!$B$2:$B$610,0)))</f>
        <v>52</v>
      </c>
      <c r="G54" s="828" t="n">
        <f aca="false" t="array" ref="G54:G54">IF(ISNA(INDEX(Pokedex!O$2:O$610,MATCH($A54,Pokedex!$B$2:$B$610,0))),"-",INDEX(Pokedex!O$2:O$610,MATCH($A54,Pokedex!$B$2:$B$610,0)))</f>
        <v>109</v>
      </c>
      <c r="H54" s="828" t="n">
        <f aca="false" t="array" ref="H54:H54">IF(ISNA(INDEX(Pokedex!P$2:P$610,MATCH($A54,Pokedex!$B$2:$B$610,0))),"-",INDEX(Pokedex!P$2:P$610,MATCH($A54,Pokedex!$B$2:$B$610,0)))</f>
        <v>94</v>
      </c>
      <c r="I54" s="744" t="n">
        <f aca="false" t="array" ref="I54:I54">IF(ISNA(INDEX(Pokedex!Q$2:Q$610,MATCH($A54,Pokedex!$B$2:$B$610,0))),"-",INDEX(Pokedex!Q$2:Q$610,MATCH($A54,Pokedex!$B$2:$B$610,0)))</f>
        <v>109</v>
      </c>
      <c r="J54" s="828" t="n">
        <f aca="false">SUM(D54:I54)</f>
        <v>484</v>
      </c>
      <c r="K54" s="870" t="str">
        <f aca="false" t="array" ref="K54:K54">IF(ISNA(INDEX(Pokedex!R$2:R$610,MATCH($A54,Pokedex!$B$2:$B$610,0))),"-",INDEX(Pokedex!R$2:R$610,MATCH($A54,Pokedex!$B$2:$B$610,0)))</f>
        <v>Electric</v>
      </c>
      <c r="L54" s="870"/>
      <c r="M54" s="744" t="str">
        <f aca="false" t="array" ref="M54:M54">IF(ISNA(INDEX(Pokedex!S$2:S$610,MATCH($A54,Pokedex!$B$2:$B$610,0))),"-",INDEX(Pokedex!S$2:S$610,MATCH($A54,Pokedex!$B$2:$B$610,0)))</f>
        <v>Normal</v>
      </c>
      <c r="N54" s="744"/>
      <c r="O54" s="44"/>
      <c r="P54" s="44"/>
      <c r="Q54" s="871" t="s">
        <v>2068</v>
      </c>
      <c r="R54" s="871"/>
      <c r="S54" s="871"/>
      <c r="T54" s="871" t="s">
        <v>2069</v>
      </c>
      <c r="U54" s="871"/>
      <c r="V54" s="871"/>
      <c r="W54" s="872" t="s">
        <v>209</v>
      </c>
      <c r="X54" s="872"/>
      <c r="Y54" s="332" t="s">
        <v>2070</v>
      </c>
      <c r="Z54" s="332"/>
      <c r="AA54" s="172" t="s">
        <v>213</v>
      </c>
      <c r="AB54" s="172"/>
      <c r="AC54" s="172"/>
      <c r="AD54" s="172"/>
      <c r="AE54" s="873"/>
    </row>
    <row r="55" customFormat="false" ht="15.75" hidden="false" customHeight="false" outlineLevel="0" collapsed="false">
      <c r="A55" s="874" t="s">
        <v>2075</v>
      </c>
      <c r="B55" s="874"/>
      <c r="C55" s="874"/>
      <c r="D55" s="875" t="n">
        <f aca="false">IF(ISERROR(AVERAGE(D44:D54)),"-",AVERAGE(D44:D54))</f>
        <v>78.9090909090909</v>
      </c>
      <c r="E55" s="876" t="n">
        <f aca="false">IF(ISERROR(AVERAGE(E44:E54)),"-",AVERAGE(E44:E54))</f>
        <v>100.090909090909</v>
      </c>
      <c r="F55" s="876" t="n">
        <f aca="false">IF(ISERROR(AVERAGE(F44:F54)),"-",AVERAGE(F44:F54))</f>
        <v>89.5454545454546</v>
      </c>
      <c r="G55" s="876" t="n">
        <f aca="false">IF(ISERROR(AVERAGE(G44:G54)),"-",AVERAGE(G44:G54))</f>
        <v>92.3636363636364</v>
      </c>
      <c r="H55" s="876" t="n">
        <f aca="false">IF(ISERROR(AVERAGE(H44:H54)),"-",AVERAGE(H44:H54))</f>
        <v>83.8181818181818</v>
      </c>
      <c r="I55" s="877" t="n">
        <f aca="false">IF(ISERROR(AVERAGE(I44:I54)),"-",AVERAGE(I44:I54))</f>
        <v>78.6363636363636</v>
      </c>
      <c r="J55" s="877" t="n">
        <f aca="false">IF(ISERROR(AVERAGE(J44:J54)),"-",AVERAGE(J44:J54))</f>
        <v>523.363636363636</v>
      </c>
      <c r="K55" s="44"/>
      <c r="L55" s="44"/>
      <c r="M55" s="44"/>
      <c r="N55" s="44"/>
      <c r="O55" s="44"/>
      <c r="P55" s="44"/>
      <c r="Q55" s="878" t="str">
        <f aca="false">IFERROR(__xludf.dummyfunction("{if(isna(filter(Transactions!$AR$3:$AR$100,Transactions!$AU$3:$AU$100=$L$1)),,filter(Transactions!$AR$3:$AR$100,Transactions!$AU$3:$AU$100=$L$1));if(isna(filter(Transactions!$AW$3:$AW$100,Transactions!$AP$3:$AP$100=$L$1)),,filter(Transactions!$AW$3:$AW$10"&amp;"0,Transactions!$AP$3:$AP$100=$L$1))}"),"")</f>
        <v/>
      </c>
      <c r="R55" s="878"/>
      <c r="S55" s="878"/>
      <c r="T55" s="878" t="str">
        <f aca="false">IFERROR(__xludf.dummyfunction("{if(isna(filter(Transactions!$AW$3:$AW$100,Transactions!$AU$3:$AU$100=$L$1)),,filter(Transactions!$AW$3:$AW$100,Transactions!$AU$3:$AU$100=$L$1));if(isna(filter(Transactions!$AR$3:$AR$100,Transactions!$AP$3:$AP$100=$L$1)),,filter(Transactions!$AR$3:$AR$10"&amp;"0,Transactions!$AP$3:$AP$100=$L$1))}"),"")</f>
        <v/>
      </c>
      <c r="U55" s="878"/>
      <c r="V55" s="878"/>
      <c r="W55" s="879" t="str">
        <f aca="false">IFERROR(__xludf.dummyfunction("{if(isna(filter(Transactions!$AZ$3:$AZ$100,Transactions!$AU$3:$AU$100=$L$1)),,filter(Transactions!$AZ$3:$AZ$100,Transactions!$AU$3:$AU$100=$L$1));if(isna(filter(Transactions!$AZ$3:$AZ$100,Transactions!$AP$3:$AP$100=$L$1)),,filter(Transactions!$AZ$3:$AZ$10"&amp;"0,Transactions!$AP$3:$AP$100=$L$1))}"),"")</f>
        <v/>
      </c>
      <c r="X55" s="879"/>
      <c r="Y55" s="879" t="str">
        <f aca="false">IFERROR(__xludf.dummyfunction("{if(isna(filter(Transactions!$AP$3:$AP$100,Transactions!$AU$3:$AU$100=$L$1)),,filter(Transactions!$AP$3:$AP$100,Transactions!$AU$3:$AU$100=$L$1));if(isna(filter(Transactions!$AU$3:$AU$100,Transactions!$AP$3:$AP$100=$L$1)),,filter(Transactions!$AU$3:$AU$10"&amp;"0,Transactions!$AP$3:$AP$100=$L$1))}"),"")</f>
        <v/>
      </c>
      <c r="Z55" s="879"/>
      <c r="AA55" s="880" t="str">
        <f aca="false">IFERROR(__xludf.dummyfunction("{if(isna(filter(Transactions!$BB$3:$BB$100,Transactions!$AU$3:$AU$100=$L$1)),,filter(Transactions!$BB$3:$BB$100,Transactions!$AU$3:$AU$100=$L$1));if(isna(filter(Transactions!$BB$3:$BB$100,Transactions!$AP$3:$AP$100=$L$1)),,filter(Transactions!$BB$3:$BB$10"&amp;"0,Transactions!$AP$3:$AP$100=$L$1))}"),"")</f>
        <v/>
      </c>
      <c r="AB55" s="880"/>
      <c r="AC55" s="880"/>
      <c r="AD55" s="880"/>
      <c r="AE55" s="881"/>
    </row>
    <row r="56" customFormat="false" ht="15.75" hidden="false" customHeight="false" outlineLevel="0" collapsed="false">
      <c r="A56" s="832" t="s">
        <v>2063</v>
      </c>
      <c r="B56" s="832"/>
      <c r="C56" s="832"/>
      <c r="D56" s="882" t="n">
        <f aca="false">SUM(D44:D54)</f>
        <v>868</v>
      </c>
      <c r="E56" s="883" t="n">
        <f aca="false">SUM(E44:E54)</f>
        <v>1101</v>
      </c>
      <c r="F56" s="883" t="n">
        <f aca="false">SUM(F44:F54)</f>
        <v>985</v>
      </c>
      <c r="G56" s="883" t="n">
        <f aca="false">SUM(G44:G54)</f>
        <v>1016</v>
      </c>
      <c r="H56" s="883" t="n">
        <f aca="false">SUM(H44:H54)</f>
        <v>922</v>
      </c>
      <c r="I56" s="783" t="n">
        <f aca="false">SUM(I44:I54)</f>
        <v>865</v>
      </c>
      <c r="J56" s="783" t="n">
        <f aca="false">SUM(J44:J54)</f>
        <v>5757</v>
      </c>
      <c r="K56" s="44"/>
      <c r="L56" s="44"/>
      <c r="M56" s="44"/>
      <c r="N56" s="44"/>
      <c r="O56" s="44"/>
      <c r="P56" s="44"/>
      <c r="Q56" s="884"/>
      <c r="R56" s="884"/>
      <c r="S56" s="884"/>
      <c r="T56" s="884"/>
      <c r="U56" s="884"/>
      <c r="V56" s="884"/>
      <c r="W56" s="885"/>
      <c r="X56" s="885"/>
      <c r="Y56" s="885"/>
      <c r="Z56" s="885"/>
      <c r="AA56" s="757"/>
      <c r="AB56" s="757"/>
      <c r="AC56" s="757"/>
      <c r="AD56" s="757"/>
      <c r="AE56" s="886"/>
    </row>
    <row r="57" customFormat="false" ht="15.75" hidden="false" customHeight="false" outlineLevel="0" collapsed="false">
      <c r="A57" s="44"/>
      <c r="B57" s="44"/>
      <c r="C57" s="44"/>
      <c r="D57" s="44"/>
      <c r="E57" s="44"/>
      <c r="F57" s="44"/>
      <c r="G57" s="44"/>
      <c r="H57" s="44"/>
      <c r="I57" s="44"/>
      <c r="J57" s="44"/>
      <c r="K57" s="44"/>
      <c r="L57" s="44"/>
      <c r="M57" s="44"/>
      <c r="N57" s="44"/>
      <c r="O57" s="44"/>
      <c r="P57" s="44"/>
      <c r="Q57" s="887"/>
      <c r="R57" s="887"/>
      <c r="S57" s="887"/>
      <c r="T57" s="887"/>
      <c r="U57" s="887"/>
      <c r="V57" s="887"/>
      <c r="W57" s="888"/>
      <c r="X57" s="888"/>
      <c r="Y57" s="888"/>
      <c r="Z57" s="888"/>
      <c r="AA57" s="889"/>
      <c r="AB57" s="889"/>
      <c r="AC57" s="889"/>
      <c r="AD57" s="889"/>
      <c r="AE57" s="881"/>
    </row>
    <row r="58" customFormat="false" ht="15.75" hidden="false" customHeight="false" outlineLevel="0" collapsed="false">
      <c r="A58" s="852" t="s">
        <v>773</v>
      </c>
      <c r="B58" s="852"/>
      <c r="C58" s="852"/>
      <c r="D58" s="342" t="s">
        <v>2076</v>
      </c>
      <c r="E58" s="342"/>
      <c r="F58" s="342"/>
      <c r="G58" s="342"/>
      <c r="H58" s="342"/>
      <c r="I58" s="342"/>
      <c r="J58" s="50"/>
      <c r="K58" s="341" t="s">
        <v>2077</v>
      </c>
      <c r="L58" s="341"/>
      <c r="M58" s="341"/>
      <c r="N58" s="341"/>
      <c r="O58" s="44"/>
      <c r="P58" s="44"/>
      <c r="Q58" s="884"/>
      <c r="R58" s="884"/>
      <c r="S58" s="884"/>
      <c r="T58" s="884"/>
      <c r="U58" s="884"/>
      <c r="V58" s="884"/>
      <c r="W58" s="885"/>
      <c r="X58" s="885"/>
      <c r="Y58" s="885"/>
      <c r="Z58" s="885"/>
      <c r="AA58" s="757"/>
      <c r="AB58" s="757"/>
      <c r="AC58" s="757"/>
      <c r="AD58" s="757"/>
      <c r="AE58" s="886"/>
    </row>
    <row r="59" customFormat="false" ht="15.75" hidden="false" customHeight="false" outlineLevel="0" collapsed="false">
      <c r="A59" s="890" t="str">
        <f aca="false">$A$12</f>
        <v>Salamence</v>
      </c>
      <c r="B59" s="890"/>
      <c r="C59" s="890"/>
      <c r="D59" s="867" t="str">
        <f aca="false" t="array" ref="D59:D59">IF(ISNA(INDEX(Pokedex!T$2:T$610,MATCH($A59,Pokedex!$B$2:$B$610,0))),"-",INDEX(Pokedex!T$2:T$610,MATCH($A59,Pokedex!$B$2:$B$610,0)))</f>
        <v>Intimidate</v>
      </c>
      <c r="E59" s="867"/>
      <c r="F59" s="868" t="str">
        <f aca="false" t="array" ref="F59:F59">IF(ISNA(INDEX(Pokedex!U$2:U$610,MATCH($A59,Pokedex!$B$2:$B$610,0))),"-",INDEX(Pokedex!U$2:U$610,MATCH($A59,Pokedex!$B$2:$B$610,0)))</f>
        <v>Moxie</v>
      </c>
      <c r="G59" s="868"/>
      <c r="H59" s="869" t="n">
        <f aca="false">IF(ISNA(INDEX(Pokedex!V$2:V$610,MATCH($A59,Pokedex!$B$2:$B$610,0))),"-",INDEX(Pokedex!V$2:V$610,MATCH($A59,Pokedex!$B$2:$B$610,0)))</f>
        <v>0</v>
      </c>
      <c r="I59" s="869"/>
      <c r="J59" s="44"/>
      <c r="K59" s="891" t="str">
        <f aca="false">IFERROR(__xludf.dummyfunction("if(isna(filter($R$2:$R$13,isblank($R$2:$R$13)=FALSE)),""NONE"",filter($R$2:$R$13,isblank($R$2:$R$13)=FALSE))"),"Donphan")</f>
        <v>Donphan</v>
      </c>
      <c r="L59" s="891"/>
      <c r="M59" s="892" t="str">
        <f aca="false">IFERROR(__xludf.dummyfunction("if(isna(filter($S$2:$S$13,isblank($S$2:$S$13)=FALSE)),""N/A"",filter($S$2:$S$13,isblank($S$2:$S$13)=FALSE))"),"Stealth Rock")</f>
        <v>Stealth Rock</v>
      </c>
      <c r="N59" s="892"/>
      <c r="O59" s="44"/>
      <c r="P59" s="44"/>
      <c r="Q59" s="887"/>
      <c r="R59" s="887"/>
      <c r="S59" s="887"/>
      <c r="T59" s="887"/>
      <c r="U59" s="887"/>
      <c r="V59" s="887"/>
      <c r="W59" s="888"/>
      <c r="X59" s="888"/>
      <c r="Y59" s="888"/>
      <c r="Z59" s="888"/>
      <c r="AA59" s="889"/>
      <c r="AB59" s="889"/>
      <c r="AC59" s="889"/>
      <c r="AD59" s="889"/>
      <c r="AE59" s="881"/>
    </row>
    <row r="60" customFormat="false" ht="15.75" hidden="false" customHeight="false" outlineLevel="0" collapsed="false">
      <c r="A60" s="840" t="str">
        <f aca="false">$A$13</f>
        <v>Hawlucha</v>
      </c>
      <c r="B60" s="840"/>
      <c r="C60" s="840"/>
      <c r="D60" s="855" t="str">
        <f aca="false" t="array" ref="D60:D60">IF(ISNA(INDEX(Pokedex!T$2:T$610,MATCH($A60,Pokedex!$B$2:$B$610,0))),"-",INDEX(Pokedex!T$2:T$610,MATCH($A60,Pokedex!$B$2:$B$610,0)))</f>
        <v>Limber</v>
      </c>
      <c r="E60" s="855"/>
      <c r="F60" s="854" t="str">
        <f aca="false" t="array" ref="F60:F60">IF(ISNA(INDEX(Pokedex!U$2:U$610,MATCH($A60,Pokedex!$B$2:$B$610,0))),"-",INDEX(Pokedex!U$2:U$610,MATCH($A60,Pokedex!$B$2:$B$610,0)))</f>
        <v>Unburden</v>
      </c>
      <c r="G60" s="854"/>
      <c r="H60" s="727" t="str">
        <f aca="false" t="array" ref="H60:H60">IF(ISNA(INDEX(Pokedex!V$2:V$610,MATCH($A60,Pokedex!$B$2:$B$610,0))),"-",INDEX(Pokedex!V$2:V$610,MATCH($A60,Pokedex!$B$2:$B$610,0)))</f>
        <v>Mold Breaker</v>
      </c>
      <c r="I60" s="727"/>
      <c r="J60" s="44"/>
      <c r="K60" s="823" t="s">
        <v>43</v>
      </c>
      <c r="L60" s="823"/>
      <c r="M60" s="477" t="s">
        <v>1106</v>
      </c>
      <c r="N60" s="477"/>
      <c r="O60" s="44"/>
      <c r="P60" s="44"/>
      <c r="Q60" s="884"/>
      <c r="R60" s="884"/>
      <c r="S60" s="884"/>
      <c r="T60" s="884"/>
      <c r="U60" s="884"/>
      <c r="V60" s="884"/>
      <c r="W60" s="885"/>
      <c r="X60" s="885"/>
      <c r="Y60" s="885"/>
      <c r="Z60" s="885"/>
      <c r="AA60" s="757"/>
      <c r="AB60" s="757"/>
      <c r="AC60" s="757"/>
      <c r="AD60" s="757"/>
      <c r="AE60" s="886"/>
    </row>
    <row r="61" customFormat="false" ht="15.75" hidden="false" customHeight="false" outlineLevel="0" collapsed="false">
      <c r="A61" s="840" t="str">
        <f aca="false">$A$14</f>
        <v>Donphan</v>
      </c>
      <c r="B61" s="840"/>
      <c r="C61" s="840"/>
      <c r="D61" s="855" t="str">
        <f aca="false" t="array" ref="D61:D61">IF(ISNA(INDEX(Pokedex!T$2:T$610,MATCH($A61,Pokedex!$B$2:$B$610,0))),"-",INDEX(Pokedex!T$2:T$610,MATCH($A61,Pokedex!$B$2:$B$610,0)))</f>
        <v>Sand Veil</v>
      </c>
      <c r="E61" s="855"/>
      <c r="F61" s="854" t="str">
        <f aca="false" t="array" ref="F61:F61">IF(ISNA(INDEX(Pokedex!U$2:U$610,MATCH($A61,Pokedex!$B$2:$B$610,0))),"-",INDEX(Pokedex!U$2:U$610,MATCH($A61,Pokedex!$B$2:$B$610,0)))</f>
        <v>Sturdy</v>
      </c>
      <c r="G61" s="854"/>
      <c r="H61" s="727" t="n">
        <f aca="false">IF(ISNA(INDEX(Pokedex!V$2:V$610,MATCH($A61,Pokedex!$B$2:$B$610,0))),"-",INDEX(Pokedex!V$2:V$610,MATCH($A61,Pokedex!$B$2:$B$610,0)))</f>
        <v>0</v>
      </c>
      <c r="I61" s="727"/>
      <c r="J61" s="44"/>
      <c r="K61" s="823" t="s">
        <v>89</v>
      </c>
      <c r="L61" s="823"/>
      <c r="M61" s="477" t="s">
        <v>1108</v>
      </c>
      <c r="N61" s="477"/>
      <c r="O61" s="44"/>
      <c r="P61" s="44"/>
      <c r="Q61" s="887"/>
      <c r="R61" s="887"/>
      <c r="S61" s="887"/>
      <c r="T61" s="887"/>
      <c r="U61" s="887"/>
      <c r="V61" s="887"/>
      <c r="W61" s="888"/>
      <c r="X61" s="888"/>
      <c r="Y61" s="888"/>
      <c r="Z61" s="888"/>
      <c r="AA61" s="889"/>
      <c r="AB61" s="889"/>
      <c r="AC61" s="889"/>
      <c r="AD61" s="889"/>
      <c r="AE61" s="881"/>
    </row>
    <row r="62" customFormat="false" ht="15.75" hidden="false" customHeight="false" outlineLevel="0" collapsed="false">
      <c r="A62" s="840" t="str">
        <f aca="false">$A$15</f>
        <v>Drapion</v>
      </c>
      <c r="B62" s="840"/>
      <c r="C62" s="840"/>
      <c r="D62" s="855" t="str">
        <f aca="false" t="array" ref="D62:D62">IF(ISNA(INDEX(Pokedex!T$2:T$610,MATCH($A62,Pokedex!$B$2:$B$610,0))),"-",INDEX(Pokedex!T$2:T$610,MATCH($A62,Pokedex!$B$2:$B$610,0)))</f>
        <v>Battle Armor</v>
      </c>
      <c r="E62" s="855"/>
      <c r="F62" s="854" t="str">
        <f aca="false" t="array" ref="F62:F62">IF(ISNA(INDEX(Pokedex!U$2:U$610,MATCH($A62,Pokedex!$B$2:$B$610,0))),"-",INDEX(Pokedex!U$2:U$610,MATCH($A62,Pokedex!$B$2:$B$610,0)))</f>
        <v>Keen Eye</v>
      </c>
      <c r="G62" s="854"/>
      <c r="H62" s="727" t="str">
        <f aca="false" t="array" ref="H62:H62">IF(ISNA(INDEX(Pokedex!V$2:V$610,MATCH($A62,Pokedex!$B$2:$B$610,0))),"-",INDEX(Pokedex!V$2:V$610,MATCH($A62,Pokedex!$B$2:$B$610,0)))</f>
        <v>Sniper</v>
      </c>
      <c r="I62" s="727"/>
      <c r="J62" s="44"/>
      <c r="K62" s="823"/>
      <c r="L62" s="823"/>
      <c r="M62" s="477"/>
      <c r="N62" s="477"/>
      <c r="O62" s="44"/>
      <c r="P62" s="44"/>
      <c r="Q62" s="884"/>
      <c r="R62" s="884"/>
      <c r="S62" s="884"/>
      <c r="T62" s="884"/>
      <c r="U62" s="884"/>
      <c r="V62" s="884"/>
      <c r="W62" s="885"/>
      <c r="X62" s="885"/>
      <c r="Y62" s="885"/>
      <c r="Z62" s="885"/>
      <c r="AA62" s="757"/>
      <c r="AB62" s="757"/>
      <c r="AC62" s="757"/>
      <c r="AD62" s="757"/>
      <c r="AE62" s="886"/>
    </row>
    <row r="63" customFormat="false" ht="15.75" hidden="false" customHeight="false" outlineLevel="0" collapsed="false">
      <c r="A63" s="840" t="str">
        <f aca="false">$A$16</f>
        <v>Torkoal</v>
      </c>
      <c r="B63" s="840"/>
      <c r="C63" s="840"/>
      <c r="D63" s="855" t="str">
        <f aca="false" t="array" ref="D63:D63">IF(ISNA(INDEX(Pokedex!T$2:T$610,MATCH($A63,Pokedex!$B$2:$B$610,0))),"-",INDEX(Pokedex!T$2:T$610,MATCH($A63,Pokedex!$B$2:$B$610,0)))</f>
        <v>Shell Armor</v>
      </c>
      <c r="E63" s="855"/>
      <c r="F63" s="854" t="str">
        <f aca="false" t="array" ref="F63:F63">IF(ISNA(INDEX(Pokedex!U$2:U$610,MATCH($A63,Pokedex!$B$2:$B$610,0))),"-",INDEX(Pokedex!U$2:U$610,MATCH($A63,Pokedex!$B$2:$B$610,0)))</f>
        <v>White Smoke</v>
      </c>
      <c r="G63" s="854"/>
      <c r="H63" s="727" t="str">
        <f aca="false" t="array" ref="H63:H63">IF(ISNA(INDEX(Pokedex!V$2:V$610,MATCH($A63,Pokedex!$B$2:$B$610,0))),"-",INDEX(Pokedex!V$2:V$610,MATCH($A63,Pokedex!$B$2:$B$610,0)))</f>
        <v>Drought</v>
      </c>
      <c r="I63" s="727"/>
      <c r="J63" s="44"/>
      <c r="K63" s="823"/>
      <c r="L63" s="823"/>
      <c r="M63" s="477"/>
      <c r="N63" s="477"/>
      <c r="O63" s="44"/>
      <c r="P63" s="44"/>
      <c r="Q63" s="887"/>
      <c r="R63" s="887"/>
      <c r="S63" s="887"/>
      <c r="T63" s="887"/>
      <c r="U63" s="887"/>
      <c r="V63" s="887"/>
      <c r="W63" s="888"/>
      <c r="X63" s="888"/>
      <c r="Y63" s="888"/>
      <c r="Z63" s="888"/>
      <c r="AA63" s="889"/>
      <c r="AB63" s="889"/>
      <c r="AC63" s="889"/>
      <c r="AD63" s="889"/>
      <c r="AE63" s="881"/>
    </row>
    <row r="64" customFormat="false" ht="15.75" hidden="false" customHeight="false" outlineLevel="0" collapsed="false">
      <c r="A64" s="840" t="str">
        <f aca="false">$A$17</f>
        <v>Exeggutor-Alola</v>
      </c>
      <c r="B64" s="840"/>
      <c r="C64" s="840"/>
      <c r="D64" s="855" t="str">
        <f aca="false" t="array" ref="D64:D64">IF(ISNA(INDEX(Pokedex!T$2:T$610,MATCH($A64,Pokedex!$B$2:$B$610,0))),"-",INDEX(Pokedex!T$2:T$610,MATCH($A64,Pokedex!$B$2:$B$610,0)))</f>
        <v>Harvest</v>
      </c>
      <c r="E64" s="855"/>
      <c r="F64" s="854" t="str">
        <f aca="false" t="array" ref="F64:F64">IF(ISNA(INDEX(Pokedex!U$2:U$610,MATCH($A64,Pokedex!$B$2:$B$610,0))),"-",INDEX(Pokedex!U$2:U$610,MATCH($A64,Pokedex!$B$2:$B$610,0)))</f>
        <v>Frisk</v>
      </c>
      <c r="G64" s="854"/>
      <c r="H64" s="727" t="n">
        <f aca="false">IF(ISNA(INDEX(Pokedex!V$2:V$610,MATCH($A64,Pokedex!$B$2:$B$610,0))),"-",INDEX(Pokedex!V$2:V$610,MATCH($A64,Pokedex!$B$2:$B$610,0)))</f>
        <v>0</v>
      </c>
      <c r="I64" s="727"/>
      <c r="J64" s="44"/>
      <c r="K64" s="823"/>
      <c r="L64" s="823"/>
      <c r="M64" s="477"/>
      <c r="N64" s="477"/>
      <c r="O64" s="44"/>
      <c r="P64" s="44"/>
      <c r="Q64" s="884"/>
      <c r="R64" s="884"/>
      <c r="S64" s="884"/>
      <c r="T64" s="884"/>
      <c r="U64" s="884"/>
      <c r="V64" s="884"/>
      <c r="W64" s="885"/>
      <c r="X64" s="885"/>
      <c r="Y64" s="885"/>
      <c r="Z64" s="885"/>
      <c r="AA64" s="757"/>
      <c r="AB64" s="757"/>
      <c r="AC64" s="757"/>
      <c r="AD64" s="757"/>
      <c r="AE64" s="886"/>
    </row>
    <row r="65" customFormat="false" ht="15.75" hidden="false" customHeight="false" outlineLevel="0" collapsed="false">
      <c r="A65" s="840" t="str">
        <f aca="false">$A$18</f>
        <v>Banette-Mega</v>
      </c>
      <c r="B65" s="840"/>
      <c r="C65" s="840"/>
      <c r="D65" s="855" t="str">
        <f aca="false" t="array" ref="D65:D65">IF(ISNA(INDEX(Pokedex!T$2:T$610,MATCH($A65,Pokedex!$B$2:$B$610,0))),"-",INDEX(Pokedex!T$2:T$610,MATCH($A65,Pokedex!$B$2:$B$610,0)))</f>
        <v>Prankster</v>
      </c>
      <c r="E65" s="855"/>
      <c r="F65" s="854" t="n">
        <f aca="false">IF(ISNA(INDEX(Pokedex!U$2:U$610,MATCH($A65,Pokedex!$B$2:$B$610,0))),"-",INDEX(Pokedex!U$2:U$610,MATCH($A65,Pokedex!$B$2:$B$610,0)))</f>
        <v>0</v>
      </c>
      <c r="G65" s="854"/>
      <c r="H65" s="727" t="n">
        <f aca="false">IF(ISNA(INDEX(Pokedex!V$2:V$610,MATCH($A65,Pokedex!$B$2:$B$610,0))),"-",INDEX(Pokedex!V$2:V$610,MATCH($A65,Pokedex!$B$2:$B$610,0)))</f>
        <v>0</v>
      </c>
      <c r="I65" s="727"/>
      <c r="J65" s="44"/>
      <c r="K65" s="823"/>
      <c r="L65" s="823"/>
      <c r="M65" s="477"/>
      <c r="N65" s="477"/>
      <c r="O65" s="44"/>
      <c r="P65" s="44"/>
      <c r="Q65" s="887"/>
      <c r="R65" s="887"/>
      <c r="S65" s="887"/>
      <c r="T65" s="887"/>
      <c r="U65" s="887"/>
      <c r="V65" s="887"/>
      <c r="W65" s="888"/>
      <c r="X65" s="888"/>
      <c r="Y65" s="888"/>
      <c r="Z65" s="888"/>
      <c r="AA65" s="889"/>
      <c r="AB65" s="889"/>
      <c r="AC65" s="889"/>
      <c r="AD65" s="889"/>
      <c r="AE65" s="881"/>
    </row>
    <row r="66" customFormat="false" ht="15.75" hidden="false" customHeight="false" outlineLevel="0" collapsed="false">
      <c r="A66" s="840" t="str">
        <f aca="false">$A$19</f>
        <v>Charizard</v>
      </c>
      <c r="B66" s="840"/>
      <c r="C66" s="840"/>
      <c r="D66" s="855" t="str">
        <f aca="false" t="array" ref="D66:D66">IF(ISNA(INDEX(Pokedex!T$2:T$610,MATCH($A66,Pokedex!$B$2:$B$610,0))),"-",INDEX(Pokedex!T$2:T$610,MATCH($A66,Pokedex!$B$2:$B$610,0)))</f>
        <v>Blaze</v>
      </c>
      <c r="E66" s="855"/>
      <c r="F66" s="854" t="str">
        <f aca="false" t="array" ref="F66:F66">IF(ISNA(INDEX(Pokedex!U$2:U$610,MATCH($A66,Pokedex!$B$2:$B$610,0))),"-",INDEX(Pokedex!U$2:U$610,MATCH($A66,Pokedex!$B$2:$B$610,0)))</f>
        <v>Solar Power</v>
      </c>
      <c r="G66" s="854"/>
      <c r="H66" s="727" t="n">
        <f aca="false">IF(ISNA(INDEX(Pokedex!V$2:V$610,MATCH($A66,Pokedex!$B$2:$B$610,0))),"-",INDEX(Pokedex!V$2:V$610,MATCH($A66,Pokedex!$B$2:$B$610,0)))</f>
        <v>0</v>
      </c>
      <c r="I66" s="727"/>
      <c r="J66" s="44"/>
      <c r="K66" s="823"/>
      <c r="L66" s="823"/>
      <c r="M66" s="477"/>
      <c r="N66" s="477"/>
      <c r="O66" s="44"/>
      <c r="P66" s="44"/>
      <c r="Q66" s="884"/>
      <c r="R66" s="884"/>
      <c r="S66" s="884"/>
      <c r="T66" s="884"/>
      <c r="U66" s="884"/>
      <c r="V66" s="884"/>
      <c r="W66" s="885"/>
      <c r="X66" s="885"/>
      <c r="Y66" s="885"/>
      <c r="Z66" s="885"/>
      <c r="AA66" s="757"/>
      <c r="AB66" s="757"/>
      <c r="AC66" s="757"/>
      <c r="AD66" s="757"/>
      <c r="AE66" s="886"/>
    </row>
    <row r="67" customFormat="false" ht="15.75" hidden="false" customHeight="false" outlineLevel="0" collapsed="false">
      <c r="A67" s="840" t="str">
        <f aca="false">$A$20</f>
        <v>Florges</v>
      </c>
      <c r="B67" s="840"/>
      <c r="C67" s="840"/>
      <c r="D67" s="855" t="str">
        <f aca="false" t="array" ref="D67:D67">IF(ISNA(INDEX(Pokedex!T$2:T$610,MATCH($A67,Pokedex!$B$2:$B$610,0))),"-",INDEX(Pokedex!T$2:T$610,MATCH($A67,Pokedex!$B$2:$B$610,0)))</f>
        <v>Flower Veil</v>
      </c>
      <c r="E67" s="855"/>
      <c r="F67" s="854" t="str">
        <f aca="false" t="array" ref="F67:F67">IF(ISNA(INDEX(Pokedex!U$2:U$610,MATCH($A67,Pokedex!$B$2:$B$610,0))),"-",INDEX(Pokedex!U$2:U$610,MATCH($A67,Pokedex!$B$2:$B$610,0)))</f>
        <v>Symbiosis</v>
      </c>
      <c r="G67" s="854"/>
      <c r="H67" s="727" t="n">
        <f aca="false">IF(ISNA(INDEX(Pokedex!V$2:V$610,MATCH($A67,Pokedex!$B$2:$B$610,0))),"-",INDEX(Pokedex!V$2:V$610,MATCH($A67,Pokedex!$B$2:$B$610,0)))</f>
        <v>0</v>
      </c>
      <c r="I67" s="727"/>
      <c r="J67" s="44"/>
      <c r="K67" s="823"/>
      <c r="L67" s="823"/>
      <c r="M67" s="477"/>
      <c r="N67" s="477"/>
      <c r="O67" s="44"/>
      <c r="P67" s="44"/>
      <c r="Q67" s="887"/>
      <c r="R67" s="887"/>
      <c r="S67" s="887"/>
      <c r="T67" s="887"/>
      <c r="U67" s="887"/>
      <c r="V67" s="887"/>
      <c r="W67" s="888"/>
      <c r="X67" s="888"/>
      <c r="Y67" s="888"/>
      <c r="Z67" s="888"/>
      <c r="AA67" s="889"/>
      <c r="AB67" s="889"/>
      <c r="AC67" s="889"/>
      <c r="AD67" s="889"/>
      <c r="AE67" s="881"/>
    </row>
    <row r="68" customFormat="false" ht="15.75" hidden="false" customHeight="false" outlineLevel="0" collapsed="false">
      <c r="A68" s="840" t="str">
        <f aca="false">$A$21</f>
        <v>Feraligatr</v>
      </c>
      <c r="B68" s="840"/>
      <c r="C68" s="840"/>
      <c r="D68" s="855" t="str">
        <f aca="false" t="array" ref="D68:D68">IF(ISNA(INDEX(Pokedex!T$2:T$610,MATCH($A68,Pokedex!$B$2:$B$610,0))),"-",INDEX(Pokedex!T$2:T$610,MATCH($A68,Pokedex!$B$2:$B$610,0)))</f>
        <v>Sheer Force</v>
      </c>
      <c r="E68" s="855"/>
      <c r="F68" s="854" t="str">
        <f aca="false" t="array" ref="F68:F68">IF(ISNA(INDEX(Pokedex!U$2:U$610,MATCH($A68,Pokedex!$B$2:$B$610,0))),"-",INDEX(Pokedex!U$2:U$610,MATCH($A68,Pokedex!$B$2:$B$610,0)))</f>
        <v>Torrent</v>
      </c>
      <c r="G68" s="854"/>
      <c r="H68" s="727" t="n">
        <f aca="false">IF(ISNA(INDEX(Pokedex!V$2:V$610,MATCH($A68,Pokedex!$B$2:$B$610,0))),"-",INDEX(Pokedex!V$2:V$610,MATCH($A68,Pokedex!$B$2:$B$610,0)))</f>
        <v>0</v>
      </c>
      <c r="I68" s="727"/>
      <c r="J68" s="44"/>
      <c r="K68" s="823"/>
      <c r="L68" s="823"/>
      <c r="M68" s="477"/>
      <c r="N68" s="477"/>
      <c r="O68" s="44"/>
      <c r="P68" s="44"/>
      <c r="Q68" s="884"/>
      <c r="R68" s="884"/>
      <c r="S68" s="884"/>
      <c r="T68" s="884"/>
      <c r="U68" s="884"/>
      <c r="V68" s="884"/>
      <c r="W68" s="885"/>
      <c r="X68" s="885"/>
      <c r="Y68" s="885"/>
      <c r="Z68" s="885"/>
      <c r="AA68" s="757"/>
      <c r="AB68" s="757"/>
      <c r="AC68" s="757"/>
      <c r="AD68" s="757"/>
      <c r="AE68" s="886"/>
    </row>
    <row r="69" customFormat="false" ht="15.75" hidden="false" customHeight="false" outlineLevel="0" collapsed="false">
      <c r="A69" s="848" t="str">
        <f aca="false">$A$22</f>
        <v>Heliolisk</v>
      </c>
      <c r="B69" s="848"/>
      <c r="C69" s="848"/>
      <c r="D69" s="870" t="str">
        <f aca="false" t="array" ref="D69:D69">IF(ISNA(INDEX(Pokedex!T$2:T$610,MATCH($A69,Pokedex!$B$2:$B$610,0))),"-",INDEX(Pokedex!T$2:T$610,MATCH($A69,Pokedex!$B$2:$B$610,0)))</f>
        <v>Dry Skin</v>
      </c>
      <c r="E69" s="870"/>
      <c r="F69" s="828" t="str">
        <f aca="false" t="array" ref="F69:F69">IF(ISNA(INDEX(Pokedex!U$2:U$610,MATCH($A69,Pokedex!$B$2:$B$610,0))),"-",INDEX(Pokedex!U$2:U$610,MATCH($A69,Pokedex!$B$2:$B$610,0)))</f>
        <v>Solar Power</v>
      </c>
      <c r="G69" s="828"/>
      <c r="H69" s="744" t="str">
        <f aca="false" t="array" ref="H69:H69">IF(ISNA(INDEX(Pokedex!V$2:V$610,MATCH($A69,Pokedex!$B$2:$B$610,0))),"-",INDEX(Pokedex!V$2:V$610,MATCH($A69,Pokedex!$B$2:$B$610,0)))</f>
        <v>Sand Veil</v>
      </c>
      <c r="I69" s="744"/>
      <c r="J69" s="44"/>
      <c r="K69" s="893"/>
      <c r="L69" s="893"/>
      <c r="M69" s="831"/>
      <c r="N69" s="831"/>
      <c r="O69" s="44"/>
      <c r="P69" s="44"/>
      <c r="Q69" s="887"/>
      <c r="R69" s="887"/>
      <c r="S69" s="887"/>
      <c r="T69" s="887"/>
      <c r="U69" s="887"/>
      <c r="V69" s="887"/>
      <c r="W69" s="888"/>
      <c r="X69" s="888"/>
      <c r="Y69" s="888"/>
      <c r="Z69" s="888"/>
      <c r="AA69" s="889"/>
      <c r="AB69" s="889"/>
      <c r="AC69" s="889"/>
      <c r="AD69" s="889"/>
      <c r="AE69" s="881"/>
    </row>
    <row r="70" customFormat="false" ht="15.75" hidden="false" customHeight="false" outlineLevel="0" collapsed="false">
      <c r="A70" s="44"/>
      <c r="B70" s="44"/>
      <c r="C70" s="44"/>
      <c r="D70" s="44"/>
      <c r="E70" s="44"/>
      <c r="F70" s="44"/>
      <c r="G70" s="44"/>
      <c r="H70" s="44"/>
      <c r="I70" s="44"/>
      <c r="J70" s="44"/>
      <c r="K70" s="7"/>
      <c r="L70" s="7"/>
      <c r="M70" s="7"/>
      <c r="N70" s="7"/>
      <c r="O70" s="44"/>
      <c r="P70" s="44"/>
      <c r="Q70" s="884"/>
      <c r="R70" s="884"/>
      <c r="S70" s="884"/>
      <c r="T70" s="884"/>
      <c r="U70" s="884"/>
      <c r="V70" s="884"/>
      <c r="W70" s="885"/>
      <c r="X70" s="885"/>
      <c r="Y70" s="885"/>
      <c r="Z70" s="885"/>
      <c r="AA70" s="757"/>
      <c r="AB70" s="757"/>
      <c r="AC70" s="757"/>
      <c r="AD70" s="757"/>
      <c r="AE70" s="886"/>
    </row>
    <row r="71" customFormat="false" ht="15.75" hidden="false" customHeight="true" outlineLevel="0" collapsed="false">
      <c r="A71" s="894" t="s">
        <v>2078</v>
      </c>
      <c r="B71" s="894"/>
      <c r="C71" s="895" t="s">
        <v>2079</v>
      </c>
      <c r="D71" s="895"/>
      <c r="E71" s="895"/>
      <c r="F71" s="896" t="s">
        <v>2080</v>
      </c>
      <c r="G71" s="896"/>
      <c r="H71" s="896"/>
      <c r="I71" s="896"/>
      <c r="J71" s="44"/>
      <c r="K71" s="341" t="s">
        <v>2081</v>
      </c>
      <c r="L71" s="341"/>
      <c r="M71" s="341"/>
      <c r="N71" s="341"/>
      <c r="O71" s="44"/>
      <c r="P71" s="44"/>
      <c r="Q71" s="897"/>
      <c r="R71" s="897"/>
      <c r="S71" s="897"/>
      <c r="T71" s="897"/>
      <c r="U71" s="897"/>
      <c r="V71" s="897"/>
      <c r="W71" s="898"/>
      <c r="X71" s="898"/>
      <c r="Y71" s="898"/>
      <c r="Z71" s="898"/>
      <c r="AA71" s="899"/>
      <c r="AB71" s="899"/>
      <c r="AC71" s="899"/>
      <c r="AD71" s="899"/>
      <c r="AE71" s="881"/>
    </row>
    <row r="72" customFormat="false" ht="15.75" hidden="false" customHeight="false" outlineLevel="0" collapsed="false">
      <c r="A72" s="894"/>
      <c r="B72" s="894"/>
      <c r="C72" s="900" t="s">
        <v>2082</v>
      </c>
      <c r="D72" s="901" t="s">
        <v>2083</v>
      </c>
      <c r="E72" s="901" t="s">
        <v>2063</v>
      </c>
      <c r="F72" s="902" t="s">
        <v>2084</v>
      </c>
      <c r="G72" s="903" t="s">
        <v>2085</v>
      </c>
      <c r="H72" s="904" t="s">
        <v>2086</v>
      </c>
      <c r="I72" s="904" t="s">
        <v>2063</v>
      </c>
      <c r="J72" s="44"/>
      <c r="K72" s="891" t="str">
        <f aca="false">IFERROR(__xludf.dummyfunction("if(isna(filter($R$20:$R$31,isblank($R$20:$R$31)=FALSE)),""NONE"",filter($R$20:$R$31,isblank($R$20:$R$31)=FALSE))"),"Charizard")</f>
        <v>Charizard</v>
      </c>
      <c r="L72" s="891"/>
      <c r="M72" s="892" t="str">
        <f aca="false">IFERROR(__xludf.dummyfunction("if(isna(filter($S$20:$S$31,isblank($S$20:$S$31)=FALSE)),""N/A"",filter($S$20:$S$31,isblank($S$20:$S$31)=FALSE))"),"Defog")</f>
        <v>Defog</v>
      </c>
      <c r="N72" s="892"/>
      <c r="O72" s="44"/>
      <c r="P72" s="44"/>
      <c r="Q72" s="44"/>
      <c r="R72" s="824"/>
      <c r="S72" s="638"/>
      <c r="T72" s="638"/>
      <c r="U72" s="638"/>
      <c r="V72" s="638"/>
      <c r="W72" s="638"/>
      <c r="X72" s="638"/>
      <c r="Y72" s="638"/>
      <c r="Z72" s="638"/>
      <c r="AA72" s="638"/>
      <c r="AB72" s="638"/>
      <c r="AC72" s="638"/>
      <c r="AD72" s="638"/>
      <c r="AE72" s="638"/>
    </row>
    <row r="73" customFormat="false" ht="15.75" hidden="false" customHeight="false" outlineLevel="0" collapsed="false">
      <c r="A73" s="905" t="s">
        <v>794</v>
      </c>
      <c r="B73" s="905"/>
      <c r="C73" s="906" t="str">
        <f aca="false">IFERROR(__xludf.dummyfunction("countif(FILTER(Pokedex!$AC:$AC,Pokedex!$A:$A=$L$1,Pokedex!$AC:$AC=0-2),0-2)"),"0")</f>
        <v>0</v>
      </c>
      <c r="D73" s="907" t="str">
        <f aca="false">IFERROR(__xludf.dummyfunction("countif(FILTER(Pokedex!$AC:$AC,Pokedex!$A:$A=$L$1,Pokedex!$AC:$AC=0-1),0-1)"),"1")</f>
        <v>1</v>
      </c>
      <c r="E73" s="907" t="n">
        <f aca="false">SUM(C73:D73)</f>
        <v>0</v>
      </c>
      <c r="F73" s="908" t="str">
        <f aca="false">IFERROR(__xludf.dummyfunction("countif(FILTER(Pokedex!$AC:$AC,Pokedex!$A:$A=$L$1,Pokedex!$AC:$AC=4),4)"),"0")</f>
        <v>0</v>
      </c>
      <c r="G73" s="909" t="str">
        <f aca="false">IFERROR(__xludf.dummyfunction("countif(FILTER(Pokedex!$AC:$AC,Pokedex!$A:$A=$L$1,Pokedex!$AC:$AC=1),1)"),"4")</f>
        <v>4</v>
      </c>
      <c r="H73" s="908" t="str">
        <f aca="false">IFERROR(__xludf.dummyfunction("countif(FILTER(Pokedex!$AC:$AC,Pokedex!$A:$A=$L$1,Pokedex!$AC:$AC=2),2)"),"2")</f>
        <v>2</v>
      </c>
      <c r="I73" s="908" t="n">
        <f aca="false">SUM(F73:H73)</f>
        <v>0</v>
      </c>
      <c r="J73" s="44"/>
      <c r="K73" s="823" t="s">
        <v>49</v>
      </c>
      <c r="L73" s="823"/>
      <c r="M73" s="477" t="s">
        <v>1110</v>
      </c>
      <c r="N73" s="477"/>
      <c r="O73" s="44"/>
      <c r="P73" s="44"/>
      <c r="Q73" s="44"/>
      <c r="R73" s="824"/>
      <c r="S73" s="638"/>
      <c r="T73" s="638"/>
      <c r="U73" s="638"/>
      <c r="V73" s="638"/>
      <c r="W73" s="638"/>
      <c r="X73" s="638"/>
      <c r="Y73" s="638"/>
      <c r="Z73" s="638"/>
      <c r="AA73" s="638"/>
      <c r="AB73" s="638"/>
      <c r="AC73" s="638"/>
      <c r="AD73" s="638"/>
      <c r="AE73" s="638"/>
    </row>
    <row r="74" customFormat="false" ht="15.75" hidden="false" customHeight="false" outlineLevel="0" collapsed="false">
      <c r="A74" s="910" t="s">
        <v>795</v>
      </c>
      <c r="B74" s="910"/>
      <c r="C74" s="911" t="str">
        <f aca="false">IFERROR(__xludf.dummyfunction("countif(FILTER(Pokedex!$AD:$AD,Pokedex!$A:$A=$L$1,Pokedex!$AD:$AD=0-2),0-2)"),"0")</f>
        <v>0</v>
      </c>
      <c r="D74" s="912" t="str">
        <f aca="false">IFERROR(__xludf.dummyfunction("countif(FILTER(Pokedex!$AD:$AD,Pokedex!$A:$A=$L$1,Pokedex!$AD:$AD=0-1),0-1)"),"1")</f>
        <v>1</v>
      </c>
      <c r="E74" s="912" t="n">
        <f aca="false">SUM(C74:D74)</f>
        <v>0</v>
      </c>
      <c r="F74" s="913" t="str">
        <f aca="false">IFERROR(__xludf.dummyfunction("countif(FILTER(Pokedex!$AD:$AD,Pokedex!$A:$A=$L$1,Pokedex!$AD:$AD=4),4)"),"0")</f>
        <v>0</v>
      </c>
      <c r="G74" s="914" t="str">
        <f aca="false">IFERROR(__xludf.dummyfunction("countif(FILTER(Pokedex!$AD:$AD,Pokedex!$A:$A=$L$1,Pokedex!$AD:$AD=1),1)"),"3")</f>
        <v>3</v>
      </c>
      <c r="H74" s="913" t="str">
        <f aca="false">IFERROR(__xludf.dummyfunction("countif(FILTER(Pokedex!$AD:$AD,Pokedex!$A:$A=$L$1,Pokedex!$AD:$AD=2),2)"),"0")</f>
        <v>0</v>
      </c>
      <c r="I74" s="913" t="n">
        <f aca="false">SUM(F74:H74)</f>
        <v>0</v>
      </c>
      <c r="J74" s="44"/>
      <c r="K74" s="823" t="s">
        <v>46</v>
      </c>
      <c r="L74" s="823"/>
      <c r="M74" s="477" t="s">
        <v>1110</v>
      </c>
      <c r="N74" s="477"/>
      <c r="O74" s="44"/>
      <c r="P74" s="44"/>
      <c r="Q74" s="44"/>
      <c r="R74" s="824"/>
      <c r="S74" s="638"/>
      <c r="T74" s="638"/>
      <c r="U74" s="638"/>
      <c r="V74" s="638"/>
      <c r="W74" s="638"/>
      <c r="X74" s="638"/>
      <c r="Y74" s="638"/>
      <c r="Z74" s="638"/>
      <c r="AA74" s="638"/>
      <c r="AB74" s="638"/>
      <c r="AC74" s="638"/>
      <c r="AD74" s="638"/>
      <c r="AE74" s="638"/>
    </row>
    <row r="75" customFormat="false" ht="15.75" hidden="false" customHeight="false" outlineLevel="0" collapsed="false">
      <c r="A75" s="915" t="s">
        <v>835</v>
      </c>
      <c r="B75" s="915"/>
      <c r="C75" s="906" t="str">
        <f aca="false">IFERROR(__xludf.dummyfunction("countif(FILTER(Pokedex!$AE:$AE,Pokedex!$A:$A=$L$1,Pokedex!$AE:$AE=0-2),0-2)"),"0")</f>
        <v>0</v>
      </c>
      <c r="D75" s="907" t="str">
        <f aca="false">IFERROR(__xludf.dummyfunction("countif(FILTER(Pokedex!$AE:$AE,Pokedex!$A:$A=$L$1,Pokedex!$AE:$AE=0-1),0-1)"),"2")</f>
        <v>2</v>
      </c>
      <c r="E75" s="907" t="n">
        <f aca="false">SUM(C75:D75)</f>
        <v>0</v>
      </c>
      <c r="F75" s="908" t="str">
        <f aca="false">IFERROR(__xludf.dummyfunction("countif(FILTER(Pokedex!$AE:$AE,Pokedex!$A:$A=$L$1,Pokedex!$AE:$AE=4),4)"),"1")</f>
        <v>1</v>
      </c>
      <c r="G75" s="909" t="str">
        <f aca="false">IFERROR(__xludf.dummyfunction("countif(FILTER(Pokedex!$AE:$AE,Pokedex!$A:$A=$L$1,Pokedex!$AE:$AE=1),1)"),"0")</f>
        <v>0</v>
      </c>
      <c r="H75" s="908" t="str">
        <f aca="false">IFERROR(__xludf.dummyfunction("countif(FILTER(Pokedex!$AE:$AE,Pokedex!$A:$A=$L$1,Pokedex!$AE:$AE=2),2)"),"0")</f>
        <v>0</v>
      </c>
      <c r="I75" s="908" t="n">
        <f aca="false">SUM(F75:H75)</f>
        <v>0</v>
      </c>
      <c r="J75" s="44"/>
      <c r="K75" s="823" t="s">
        <v>40</v>
      </c>
      <c r="L75" s="823"/>
      <c r="M75" s="477" t="s">
        <v>1110</v>
      </c>
      <c r="N75" s="477"/>
      <c r="O75" s="44"/>
      <c r="P75" s="44"/>
      <c r="Q75" s="44"/>
      <c r="R75" s="824"/>
      <c r="S75" s="638"/>
      <c r="T75" s="638"/>
      <c r="U75" s="638"/>
      <c r="V75" s="638"/>
      <c r="W75" s="638"/>
      <c r="X75" s="638"/>
      <c r="Y75" s="638"/>
      <c r="Z75" s="638"/>
      <c r="AA75" s="638"/>
      <c r="AB75" s="638"/>
      <c r="AC75" s="638"/>
      <c r="AD75" s="638"/>
      <c r="AE75" s="638"/>
    </row>
    <row r="76" customFormat="false" ht="15.75" hidden="false" customHeight="false" outlineLevel="0" collapsed="false">
      <c r="A76" s="916" t="s">
        <v>845</v>
      </c>
      <c r="B76" s="916"/>
      <c r="C76" s="911" t="str">
        <f aca="false">IFERROR(__xludf.dummyfunction("countif(FILTER(Pokedex!$AF:$AF,Pokedex!$A:$A=$L$1,Pokedex!$AF:$AF=0-2),0-2)"),"0")</f>
        <v>0</v>
      </c>
      <c r="D76" s="912" t="str">
        <f aca="false">IFERROR(__xludf.dummyfunction("countif(FILTER(Pokedex!$AF:$AF,Pokedex!$A:$A=$L$1,Pokedex!$AF:$AF=0-1),0-1)"),"3")</f>
        <v>3</v>
      </c>
      <c r="E76" s="912" t="n">
        <f aca="false">SUM(C76:D76)</f>
        <v>0</v>
      </c>
      <c r="F76" s="913" t="str">
        <f aca="false">IFERROR(__xludf.dummyfunction("countif(FILTER(Pokedex!$AF:$AF,Pokedex!$A:$A=$L$1,Pokedex!$AF:$AF=4),4)"),"1")</f>
        <v>1</v>
      </c>
      <c r="G76" s="914" t="str">
        <f aca="false">IFERROR(__xludf.dummyfunction("countif(FILTER(Pokedex!$AF:$AF,Pokedex!$A:$A=$L$1,Pokedex!$AF:$AF=1),1)"),"1")</f>
        <v>1</v>
      </c>
      <c r="H76" s="913" t="str">
        <f aca="false">IFERROR(__xludf.dummyfunction("countif(FILTER(Pokedex!$AF:$AF,Pokedex!$A:$A=$L$1,Pokedex!$AF:$AF=2),2)"),"1")</f>
        <v>1</v>
      </c>
      <c r="I76" s="913" t="n">
        <f aca="false">SUM(F76:H76)</f>
        <v>0</v>
      </c>
      <c r="J76" s="44"/>
      <c r="K76" s="823" t="s">
        <v>91</v>
      </c>
      <c r="L76" s="823"/>
      <c r="M76" s="477" t="s">
        <v>1112</v>
      </c>
      <c r="N76" s="477"/>
      <c r="O76" s="44"/>
      <c r="P76" s="44"/>
      <c r="Q76" s="44"/>
      <c r="R76" s="824"/>
      <c r="S76" s="638"/>
      <c r="T76" s="638"/>
      <c r="U76" s="638"/>
      <c r="V76" s="638"/>
      <c r="W76" s="638"/>
      <c r="X76" s="638"/>
      <c r="Y76" s="638"/>
      <c r="Z76" s="638"/>
      <c r="AA76" s="638"/>
      <c r="AB76" s="638"/>
      <c r="AC76" s="638"/>
      <c r="AD76" s="638"/>
      <c r="AE76" s="638"/>
    </row>
    <row r="77" customFormat="false" ht="15.75" hidden="false" customHeight="false" outlineLevel="0" collapsed="false">
      <c r="A77" s="915" t="s">
        <v>798</v>
      </c>
      <c r="B77" s="915"/>
      <c r="C77" s="906" t="str">
        <f aca="false">IFERROR(__xludf.dummyfunction("countif(FILTER(Pokedex!$AG:$AG,Pokedex!$A:$A=$L$1,Pokedex!$AG:$AG=0-2),0-2)"),"0")</f>
        <v>0</v>
      </c>
      <c r="D77" s="907" t="str">
        <f aca="false">IFERROR(__xludf.dummyfunction("countif(FILTER(Pokedex!$AG:$AG,Pokedex!$A:$A=$L$1,Pokedex!$AG:$AG=0-1),0-1)"),"3")</f>
        <v>3</v>
      </c>
      <c r="E77" s="907" t="n">
        <f aca="false">SUM(C77:D77)</f>
        <v>0</v>
      </c>
      <c r="F77" s="908" t="str">
        <f aca="false">IFERROR(__xludf.dummyfunction("countif(FILTER(Pokedex!$AG:$AG,Pokedex!$A:$A=$L$1,Pokedex!$AG:$AG=4),4)"),"0")</f>
        <v>0</v>
      </c>
      <c r="G77" s="909" t="str">
        <f aca="false">IFERROR(__xludf.dummyfunction("countif(FILTER(Pokedex!$AG:$AG,Pokedex!$A:$A=$L$1,Pokedex!$AG:$AG=1),1)"),"2")</f>
        <v>2</v>
      </c>
      <c r="H77" s="908" t="str">
        <f aca="false">IFERROR(__xludf.dummyfunction("countif(FILTER(Pokedex!$AG:$AG,Pokedex!$A:$A=$L$1,Pokedex!$AG:$AG=2),2)"),"0")</f>
        <v>0</v>
      </c>
      <c r="I77" s="908" t="n">
        <f aca="false">SUM(F77:H77)</f>
        <v>0</v>
      </c>
      <c r="J77" s="44"/>
      <c r="K77" s="823" t="s">
        <v>43</v>
      </c>
      <c r="L77" s="823"/>
      <c r="M77" s="477" t="s">
        <v>1112</v>
      </c>
      <c r="N77" s="477"/>
      <c r="O77" s="44"/>
      <c r="P77" s="44"/>
      <c r="Q77" s="44"/>
      <c r="R77" s="824"/>
      <c r="S77" s="638"/>
      <c r="T77" s="638"/>
      <c r="U77" s="638"/>
      <c r="V77" s="638"/>
      <c r="W77" s="638"/>
      <c r="X77" s="638"/>
      <c r="Y77" s="638"/>
      <c r="Z77" s="638"/>
      <c r="AA77" s="638"/>
      <c r="AB77" s="638"/>
      <c r="AC77" s="638"/>
      <c r="AD77" s="638"/>
      <c r="AE77" s="638"/>
    </row>
    <row r="78" customFormat="false" ht="15.75" hidden="false" customHeight="false" outlineLevel="0" collapsed="false">
      <c r="A78" s="916" t="s">
        <v>881</v>
      </c>
      <c r="B78" s="916"/>
      <c r="C78" s="911" t="str">
        <f aca="false">IFERROR(__xludf.dummyfunction("countif(FILTER(Pokedex!$AH:$AH,Pokedex!$A:$A=$L$1,Pokedex!$AH:$AH=0-2),0-2)"),"0")</f>
        <v>0</v>
      </c>
      <c r="D78" s="912" t="str">
        <f aca="false">IFERROR(__xludf.dummyfunction("countif(FILTER(Pokedex!$AH:$AH,Pokedex!$A:$A=$L$1,Pokedex!$AH:$AH=0-1),0-1)"),"1")</f>
        <v>1</v>
      </c>
      <c r="E78" s="912" t="n">
        <f aca="false">SUM(C78:D78)</f>
        <v>0</v>
      </c>
      <c r="F78" s="913" t="str">
        <f aca="false">IFERROR(__xludf.dummyfunction("countif(FILTER(Pokedex!$AH:$AH,Pokedex!$A:$A=$L$1,Pokedex!$AH:$AH=4),4)"),"1")</f>
        <v>1</v>
      </c>
      <c r="G78" s="914" t="str">
        <f aca="false">IFERROR(__xludf.dummyfunction("countif(FILTER(Pokedex!$AH:$AH,Pokedex!$A:$A=$L$1,Pokedex!$AH:$AH=1),1)"),"4")</f>
        <v>4</v>
      </c>
      <c r="H78" s="913" t="str">
        <f aca="false">IFERROR(__xludf.dummyfunction("countif(FILTER(Pokedex!$AH:$AH,Pokedex!$A:$A=$L$1,Pokedex!$AH:$AH=2),2)"),"0")</f>
        <v>0</v>
      </c>
      <c r="I78" s="913" t="n">
        <f aca="false">SUM(F78:H78)</f>
        <v>0</v>
      </c>
      <c r="J78" s="44"/>
      <c r="K78" s="823"/>
      <c r="L78" s="823"/>
      <c r="M78" s="477"/>
      <c r="N78" s="477"/>
      <c r="O78" s="44"/>
      <c r="P78" s="44"/>
      <c r="Q78" s="44"/>
      <c r="R78" s="824"/>
      <c r="S78" s="638"/>
      <c r="T78" s="638"/>
      <c r="U78" s="638"/>
      <c r="V78" s="638"/>
      <c r="W78" s="638"/>
      <c r="X78" s="638"/>
      <c r="Y78" s="638"/>
      <c r="Z78" s="638"/>
      <c r="AA78" s="638"/>
      <c r="AB78" s="638"/>
      <c r="AC78" s="638"/>
      <c r="AD78" s="638"/>
      <c r="AE78" s="638"/>
    </row>
    <row r="79" customFormat="false" ht="15.75" hidden="false" customHeight="false" outlineLevel="0" collapsed="false">
      <c r="A79" s="915" t="s">
        <v>800</v>
      </c>
      <c r="B79" s="915"/>
      <c r="C79" s="906" t="str">
        <f aca="false">IFERROR(__xludf.dummyfunction("countif(FILTER(Pokedex!$AI:$AI,Pokedex!$A:$A=$L$1,Pokedex!$AI:$AI=0-2),0-2)"),"0")</f>
        <v>0</v>
      </c>
      <c r="D79" s="907" t="str">
        <f aca="false">IFERROR(__xludf.dummyfunction("countif(FILTER(Pokedex!$AI:$AI,Pokedex!$A:$A=$L$1,Pokedex!$AI:$AI=0-1),0-1)"),"0")</f>
        <v>0</v>
      </c>
      <c r="E79" s="907" t="n">
        <f aca="false">SUM(C79:D79)</f>
        <v>0</v>
      </c>
      <c r="F79" s="908" t="str">
        <f aca="false">IFERROR(__xludf.dummyfunction("countif(FILTER(Pokedex!$AI:$AI,Pokedex!$A:$A=$L$1,Pokedex!$AI:$AI=4),4)"),"0")</f>
        <v>0</v>
      </c>
      <c r="G79" s="909" t="str">
        <f aca="false">IFERROR(__xludf.dummyfunction("countif(FILTER(Pokedex!$AI:$AI,Pokedex!$A:$A=$L$1,Pokedex!$AI:$AI=1),1)"),"4")</f>
        <v>4</v>
      </c>
      <c r="H79" s="908" t="str">
        <f aca="false">IFERROR(__xludf.dummyfunction("countif(FILTER(Pokedex!$AI:$AI,Pokedex!$A:$A=$L$1,Pokedex!$AI:$AI=2),2)"),"0")</f>
        <v>0</v>
      </c>
      <c r="I79" s="908" t="n">
        <f aca="false">SUM(F79:H79)</f>
        <v>0</v>
      </c>
      <c r="J79" s="44"/>
      <c r="K79" s="823"/>
      <c r="L79" s="823"/>
      <c r="M79" s="477"/>
      <c r="N79" s="477"/>
      <c r="O79" s="44"/>
      <c r="P79" s="44"/>
      <c r="Q79" s="44"/>
      <c r="R79" s="824"/>
      <c r="S79" s="638"/>
      <c r="T79" s="638"/>
      <c r="U79" s="638"/>
      <c r="V79" s="638"/>
      <c r="W79" s="638"/>
      <c r="X79" s="638"/>
      <c r="Y79" s="638"/>
      <c r="Z79" s="638"/>
      <c r="AA79" s="638"/>
      <c r="AB79" s="638"/>
      <c r="AC79" s="638"/>
      <c r="AD79" s="638"/>
      <c r="AE79" s="638"/>
    </row>
    <row r="80" customFormat="false" ht="15.75" hidden="false" customHeight="false" outlineLevel="0" collapsed="false">
      <c r="A80" s="916" t="s">
        <v>801</v>
      </c>
      <c r="B80" s="916"/>
      <c r="C80" s="911" t="str">
        <f aca="false">IFERROR(__xludf.dummyfunction("countif(FILTER(Pokedex!$AJ:$AJ,Pokedex!$A:$A=$L$1,Pokedex!$AJ:$AJ=0-2),0-2)"),"0")</f>
        <v>0</v>
      </c>
      <c r="D80" s="912" t="str">
        <f aca="false">IFERROR(__xludf.dummyfunction("countif(FILTER(Pokedex!$AJ:$AJ,Pokedex!$A:$A=$L$1,Pokedex!$AJ:$AJ=0-1),0-1)"),"2")</f>
        <v>2</v>
      </c>
      <c r="E80" s="912" t="n">
        <f aca="false">SUM(C80:D80)</f>
        <v>0</v>
      </c>
      <c r="F80" s="913" t="str">
        <f aca="false">IFERROR(__xludf.dummyfunction("countif(FILTER(Pokedex!$AJ:$AJ,Pokedex!$A:$A=$L$1,Pokedex!$AJ:$AJ=4),4)"),"0")</f>
        <v>0</v>
      </c>
      <c r="G80" s="914" t="str">
        <f aca="false">IFERROR(__xludf.dummyfunction("countif(FILTER(Pokedex!$AJ:$AJ,Pokedex!$A:$A=$L$1,Pokedex!$AJ:$AJ=1),1)"),"1")</f>
        <v>1</v>
      </c>
      <c r="H80" s="913" t="str">
        <f aca="false">IFERROR(__xludf.dummyfunction("countif(FILTER(Pokedex!$AJ:$AJ,Pokedex!$A:$A=$L$1,Pokedex!$AJ:$AJ=2),2)"),"0")</f>
        <v>0</v>
      </c>
      <c r="I80" s="913" t="n">
        <f aca="false">SUM(F80:H80)</f>
        <v>0</v>
      </c>
      <c r="J80" s="44"/>
      <c r="K80" s="823"/>
      <c r="L80" s="823"/>
      <c r="M80" s="477"/>
      <c r="N80" s="477"/>
      <c r="O80" s="44"/>
      <c r="P80" s="44"/>
      <c r="Q80" s="44"/>
      <c r="R80" s="824"/>
      <c r="S80" s="638"/>
      <c r="T80" s="638"/>
      <c r="U80" s="638"/>
      <c r="V80" s="638"/>
      <c r="W80" s="638"/>
      <c r="X80" s="638"/>
      <c r="Y80" s="638"/>
      <c r="Z80" s="638"/>
      <c r="AA80" s="638"/>
      <c r="AB80" s="638"/>
      <c r="AC80" s="638"/>
      <c r="AD80" s="638"/>
      <c r="AE80" s="638"/>
    </row>
    <row r="81" customFormat="false" ht="15.75" hidden="false" customHeight="false" outlineLevel="0" collapsed="false">
      <c r="A81" s="915" t="s">
        <v>802</v>
      </c>
      <c r="B81" s="915"/>
      <c r="C81" s="906" t="str">
        <f aca="false">IFERROR(__xludf.dummyfunction("countif(FILTER(Pokedex!$AK:$AK,Pokedex!$A:$A=$L$1,Pokedex!$AK:$AK=0-2),0-2)"),"0")</f>
        <v>0</v>
      </c>
      <c r="D81" s="907" t="str">
        <f aca="false">IFERROR(__xludf.dummyfunction("countif(FILTER(Pokedex!$AK:$AK,Pokedex!$A:$A=$L$1,Pokedex!$AK:$AK=0-1),0-1)"),"1")</f>
        <v>1</v>
      </c>
      <c r="E81" s="907" t="n">
        <f aca="false">SUM(C81:D81)</f>
        <v>0</v>
      </c>
      <c r="F81" s="908" t="str">
        <f aca="false">IFERROR(__xludf.dummyfunction("countif(FILTER(Pokedex!$AK:$AK,Pokedex!$A:$A=$L$1,Pokedex!$AK:$AK=4),4)"),"1")</f>
        <v>1</v>
      </c>
      <c r="G81" s="909" t="str">
        <f aca="false">IFERROR(__xludf.dummyfunction("countif(FILTER(Pokedex!$AK:$AK,Pokedex!$A:$A=$L$1,Pokedex!$AK:$AK=1),1)"),"1")</f>
        <v>1</v>
      </c>
      <c r="H81" s="908" t="str">
        <f aca="false">IFERROR(__xludf.dummyfunction("countif(FILTER(Pokedex!$AK:$AK,Pokedex!$A:$A=$L$1,Pokedex!$AK:$AK=2),2)"),"0")</f>
        <v>0</v>
      </c>
      <c r="I81" s="908" t="n">
        <f aca="false">SUM(F81:H81)</f>
        <v>0</v>
      </c>
      <c r="J81" s="44"/>
      <c r="K81" s="823"/>
      <c r="L81" s="823"/>
      <c r="M81" s="477"/>
      <c r="N81" s="477"/>
      <c r="O81" s="44"/>
      <c r="P81" s="44"/>
      <c r="Q81" s="44"/>
      <c r="R81" s="824"/>
      <c r="S81" s="638"/>
      <c r="T81" s="638"/>
      <c r="U81" s="638"/>
      <c r="V81" s="638"/>
      <c r="W81" s="638"/>
      <c r="X81" s="638"/>
      <c r="Y81" s="638"/>
      <c r="Z81" s="638"/>
      <c r="AA81" s="638"/>
      <c r="AB81" s="638"/>
      <c r="AC81" s="638"/>
      <c r="AD81" s="638"/>
      <c r="AE81" s="638"/>
    </row>
    <row r="82" customFormat="false" ht="15.75" hidden="false" customHeight="false" outlineLevel="0" collapsed="false">
      <c r="A82" s="916" t="s">
        <v>803</v>
      </c>
      <c r="B82" s="916"/>
      <c r="C82" s="911" t="str">
        <f aca="false">IFERROR(__xludf.dummyfunction("countif(FILTER(Pokedex!$AL:$AL,Pokedex!$A:$A=$L$1,Pokedex!$AL:$AL=0-2),0-2)"),"0")</f>
        <v>0</v>
      </c>
      <c r="D82" s="912" t="str">
        <f aca="false">IFERROR(__xludf.dummyfunction("countif(FILTER(Pokedex!$AL:$AL,Pokedex!$A:$A=$L$1,Pokedex!$AL:$AL=0-1),0-1)"),"2")</f>
        <v>2</v>
      </c>
      <c r="E82" s="912" t="n">
        <f aca="false">SUM(C82:D82)</f>
        <v>0</v>
      </c>
      <c r="F82" s="913" t="str">
        <f aca="false">IFERROR(__xludf.dummyfunction("countif(FILTER(Pokedex!$AL:$AL,Pokedex!$A:$A=$L$1,Pokedex!$AL:$AL=4),4)"),"0")</f>
        <v>0</v>
      </c>
      <c r="G82" s="914" t="str">
        <f aca="false">IFERROR(__xludf.dummyfunction("countif(FILTER(Pokedex!$AL:$AL,Pokedex!$A:$A=$L$1,Pokedex!$AL:$AL=1),1)"),"3")</f>
        <v>3</v>
      </c>
      <c r="H82" s="913" t="str">
        <f aca="false">IFERROR(__xludf.dummyfunction("countif(FILTER(Pokedex!$AL:$AL,Pokedex!$A:$A=$L$1,Pokedex!$AL:$AL=2),2)"),"3")</f>
        <v>3</v>
      </c>
      <c r="I82" s="913" t="n">
        <f aca="false">SUM(F82:H82)</f>
        <v>0</v>
      </c>
      <c r="J82" s="44"/>
      <c r="K82" s="893"/>
      <c r="L82" s="893"/>
      <c r="M82" s="831"/>
      <c r="N82" s="831"/>
      <c r="O82" s="44"/>
      <c r="P82" s="44"/>
      <c r="Q82" s="44"/>
      <c r="R82" s="824"/>
      <c r="S82" s="638"/>
      <c r="T82" s="638"/>
      <c r="U82" s="638"/>
      <c r="V82" s="638"/>
      <c r="W82" s="638"/>
      <c r="X82" s="638"/>
      <c r="Y82" s="638"/>
      <c r="Z82" s="638"/>
      <c r="AA82" s="638"/>
      <c r="AB82" s="638"/>
      <c r="AC82" s="638"/>
      <c r="AD82" s="638"/>
      <c r="AE82" s="638"/>
    </row>
    <row r="83" customFormat="false" ht="15.75" hidden="false" customHeight="false" outlineLevel="0" collapsed="false">
      <c r="A83" s="915" t="s">
        <v>907</v>
      </c>
      <c r="B83" s="915"/>
      <c r="C83" s="906" t="str">
        <f aca="false">IFERROR(__xludf.dummyfunction("countif(FILTER(Pokedex!$AM:$AM,Pokedex!$A:$A=$L$1,Pokedex!$AM:$AM=0-2),0-2)"),"0")</f>
        <v>0</v>
      </c>
      <c r="D83" s="907" t="str">
        <f aca="false">IFERROR(__xludf.dummyfunction("countif(FILTER(Pokedex!$AM:$AM,Pokedex!$A:$A=$L$1,Pokedex!$AM:$AM=0-1),0-1)"),"3")</f>
        <v>3</v>
      </c>
      <c r="E83" s="907" t="n">
        <f aca="false">SUM(C83:D83)</f>
        <v>0</v>
      </c>
      <c r="F83" s="908" t="str">
        <f aca="false">IFERROR(__xludf.dummyfunction("countif(FILTER(Pokedex!$AM:$AM,Pokedex!$A:$A=$L$1,Pokedex!$AM:$AM=4),4)"),"3")</f>
        <v>3</v>
      </c>
      <c r="G83" s="909" t="str">
        <f aca="false">IFERROR(__xludf.dummyfunction("countif(FILTER(Pokedex!$AM:$AM,Pokedex!$A:$A=$L$1,Pokedex!$AM:$AM=1),1)"),"1")</f>
        <v>1</v>
      </c>
      <c r="H83" s="908" t="str">
        <f aca="false">IFERROR(__xludf.dummyfunction("countif(FILTER(Pokedex!$AM:$AM,Pokedex!$A:$A=$L$1,Pokedex!$AM:$AM=2),2)"),"0")</f>
        <v>0</v>
      </c>
      <c r="I83" s="908" t="n">
        <f aca="false">SUM(F83:H83)</f>
        <v>0</v>
      </c>
      <c r="J83" s="44"/>
      <c r="K83" s="7"/>
      <c r="L83" s="7"/>
      <c r="M83" s="7"/>
      <c r="N83" s="7"/>
      <c r="O83" s="44"/>
      <c r="P83" s="44"/>
      <c r="Q83" s="44"/>
      <c r="R83" s="824"/>
      <c r="S83" s="638"/>
      <c r="T83" s="638"/>
      <c r="U83" s="638"/>
      <c r="V83" s="638"/>
      <c r="W83" s="638"/>
      <c r="X83" s="638"/>
      <c r="Y83" s="638"/>
      <c r="Z83" s="638"/>
      <c r="AA83" s="638"/>
      <c r="AB83" s="638"/>
      <c r="AC83" s="638"/>
      <c r="AD83" s="638"/>
      <c r="AE83" s="638"/>
    </row>
    <row r="84" customFormat="false" ht="15.75" hidden="false" customHeight="false" outlineLevel="0" collapsed="false">
      <c r="A84" s="916" t="s">
        <v>805</v>
      </c>
      <c r="B84" s="916"/>
      <c r="C84" s="911" t="str">
        <f aca="false">IFERROR(__xludf.dummyfunction("countif(FILTER(Pokedex!$AN:$AN,Pokedex!$A:$A=$L$1,Pokedex!$AN:$AN=0-2),0-2)"),"2")</f>
        <v>2</v>
      </c>
      <c r="D84" s="912" t="str">
        <f aca="false">IFERROR(__xludf.dummyfunction("countif(FILTER(Pokedex!$AN:$AN,Pokedex!$A:$A=$L$1,Pokedex!$AN:$AN=0-1),0-1)"),"2")</f>
        <v>2</v>
      </c>
      <c r="E84" s="912" t="n">
        <f aca="false">SUM(C84:D84)</f>
        <v>0</v>
      </c>
      <c r="F84" s="913" t="str">
        <f aca="false">IFERROR(__xludf.dummyfunction("countif(FILTER(Pokedex!$AN:$AN,Pokedex!$A:$A=$L$1,Pokedex!$AN:$AN=4),4)"),"0")</f>
        <v>0</v>
      </c>
      <c r="G84" s="914" t="str">
        <f aca="false">IFERROR(__xludf.dummyfunction("countif(FILTER(Pokedex!$AN:$AN,Pokedex!$A:$A=$L$1,Pokedex!$AN:$AN=1),1)"),"2")</f>
        <v>2</v>
      </c>
      <c r="H84" s="913" t="str">
        <f aca="false">IFERROR(__xludf.dummyfunction("countif(FILTER(Pokedex!$AN:$AN,Pokedex!$A:$A=$L$1,Pokedex!$AN:$AN=2),2)"),"0")</f>
        <v>0</v>
      </c>
      <c r="I84" s="913" t="n">
        <f aca="false">SUM(F84:H84)</f>
        <v>0</v>
      </c>
      <c r="J84" s="44"/>
      <c r="K84" s="341" t="s">
        <v>2087</v>
      </c>
      <c r="L84" s="341"/>
      <c r="M84" s="341"/>
      <c r="N84" s="341"/>
      <c r="O84" s="44"/>
      <c r="P84" s="44"/>
      <c r="Q84" s="44"/>
      <c r="R84" s="824"/>
      <c r="S84" s="638"/>
      <c r="T84" s="638"/>
      <c r="U84" s="638"/>
      <c r="V84" s="638"/>
      <c r="W84" s="638"/>
      <c r="X84" s="638"/>
      <c r="Y84" s="638"/>
      <c r="Z84" s="638"/>
      <c r="AA84" s="638"/>
      <c r="AB84" s="638"/>
      <c r="AC84" s="638"/>
      <c r="AD84" s="638"/>
      <c r="AE84" s="638"/>
    </row>
    <row r="85" customFormat="false" ht="15.75" hidden="false" customHeight="false" outlineLevel="0" collapsed="false">
      <c r="A85" s="915" t="s">
        <v>839</v>
      </c>
      <c r="B85" s="915"/>
      <c r="C85" s="906" t="str">
        <f aca="false">IFERROR(__xludf.dummyfunction("countif(FILTER(Pokedex!$AO:$AO,Pokedex!$A:$A=$L$1,Pokedex!$AO:$AO=0-2),0-2)"),"0")</f>
        <v>0</v>
      </c>
      <c r="D85" s="907" t="str">
        <f aca="false">IFERROR(__xludf.dummyfunction("countif(FILTER(Pokedex!$AO:$AO,Pokedex!$A:$A=$L$1,Pokedex!$AO:$AO=0-1),0-1)"),"0")</f>
        <v>0</v>
      </c>
      <c r="E85" s="907" t="n">
        <f aca="false">SUM(C85:D85)</f>
        <v>0</v>
      </c>
      <c r="F85" s="908" t="str">
        <f aca="false">IFERROR(__xludf.dummyfunction("countif(FILTER(Pokedex!$AO:$AO,Pokedex!$A:$A=$L$1,Pokedex!$AO:$AO=4),4)"),"1")</f>
        <v>1</v>
      </c>
      <c r="G85" s="909" t="str">
        <f aca="false">IFERROR(__xludf.dummyfunction("countif(FILTER(Pokedex!$AO:$AO,Pokedex!$A:$A=$L$1,Pokedex!$AO:$AO=1),1)"),"0")</f>
        <v>0</v>
      </c>
      <c r="H85" s="908" t="str">
        <f aca="false">IFERROR(__xludf.dummyfunction("countif(FILTER(Pokedex!$AO:$AO,Pokedex!$A:$A=$L$1,Pokedex!$AO:$AO=2),2)"),"0")</f>
        <v>0</v>
      </c>
      <c r="I85" s="908" t="n">
        <f aca="false">SUM(F85:H85)</f>
        <v>0</v>
      </c>
      <c r="J85" s="44"/>
      <c r="K85" s="891" t="str">
        <f aca="false">IFERROR(__xludf.dummyfunction("if(isna(filter($R$40:$R$51,isblank($R$40:$R$51)=FALSE)),""NONE"",filter($R$40:$R$51,isblank($R$40:$R$51)=FALSE))"),"Florges")</f>
        <v>Florges</v>
      </c>
      <c r="L85" s="891"/>
      <c r="M85" s="892" t="str">
        <f aca="false">IFERROR(__xludf.dummyfunction("if(isna(filter($S$40:$S$51,isblank($S$40:$S$51)=FALSE)),""N/A"",filter($S$40:$S$51,isblank($S$40:$S$51)=FALSE))"),"Aromatherapy")</f>
        <v>Aromatherapy</v>
      </c>
      <c r="N85" s="892"/>
      <c r="O85" s="44"/>
      <c r="P85" s="44"/>
      <c r="Q85" s="44"/>
      <c r="R85" s="824"/>
      <c r="S85" s="638"/>
      <c r="T85" s="638"/>
      <c r="U85" s="638"/>
      <c r="V85" s="638"/>
      <c r="W85" s="638"/>
      <c r="X85" s="638"/>
      <c r="Y85" s="638"/>
      <c r="Z85" s="638"/>
      <c r="AA85" s="638"/>
      <c r="AB85" s="638"/>
      <c r="AC85" s="638"/>
      <c r="AD85" s="638"/>
      <c r="AE85" s="638"/>
    </row>
    <row r="86" customFormat="false" ht="15.75" hidden="false" customHeight="false" outlineLevel="0" collapsed="false">
      <c r="A86" s="916" t="s">
        <v>843</v>
      </c>
      <c r="B86" s="916"/>
      <c r="C86" s="911" t="str">
        <f aca="false">IFERROR(__xludf.dummyfunction("countif(FILTER(Pokedex!$AP:$AP,Pokedex!$A:$A=$L$1,Pokedex!$AP:$AP=0-2),0-2)"),"0")</f>
        <v>0</v>
      </c>
      <c r="D86" s="912" t="str">
        <f aca="false">IFERROR(__xludf.dummyfunction("countif(FILTER(Pokedex!$AP:$AP,Pokedex!$A:$A=$L$1,Pokedex!$AP:$AP=0-1),0-1)"),"2")</f>
        <v>2</v>
      </c>
      <c r="E86" s="912" t="n">
        <f aca="false">SUM(C86:D86)</f>
        <v>0</v>
      </c>
      <c r="F86" s="913" t="str">
        <f aca="false">IFERROR(__xludf.dummyfunction("countif(FILTER(Pokedex!$AP:$AP,Pokedex!$A:$A=$L$1,Pokedex!$AP:$AP=4),4)"),"0")</f>
        <v>0</v>
      </c>
      <c r="G86" s="914" t="str">
        <f aca="false">IFERROR(__xludf.dummyfunction("countif(FILTER(Pokedex!$AP:$AP,Pokedex!$A:$A=$L$1,Pokedex!$AP:$AP=1),1)"),"3")</f>
        <v>3</v>
      </c>
      <c r="H86" s="913" t="str">
        <f aca="false">IFERROR(__xludf.dummyfunction("countif(FILTER(Pokedex!$AP:$AP,Pokedex!$A:$A=$L$1,Pokedex!$AP:$AP=2),2)"),"0")</f>
        <v>0</v>
      </c>
      <c r="I86" s="913" t="n">
        <f aca="false">SUM(F86:H86)</f>
        <v>0</v>
      </c>
      <c r="J86" s="44"/>
      <c r="K86" s="823" t="s">
        <v>49</v>
      </c>
      <c r="L86" s="823"/>
      <c r="M86" s="477" t="s">
        <v>1114</v>
      </c>
      <c r="N86" s="477"/>
      <c r="O86" s="44"/>
      <c r="P86" s="44"/>
      <c r="Q86" s="44"/>
      <c r="R86" s="824"/>
      <c r="S86" s="638"/>
      <c r="T86" s="638"/>
      <c r="U86" s="638"/>
      <c r="V86" s="638"/>
      <c r="W86" s="638"/>
      <c r="X86" s="638"/>
      <c r="Y86" s="638"/>
      <c r="Z86" s="638"/>
      <c r="AA86" s="638"/>
      <c r="AB86" s="638"/>
      <c r="AC86" s="638"/>
      <c r="AD86" s="638"/>
      <c r="AE86" s="638"/>
    </row>
    <row r="87" customFormat="false" ht="15.75" hidden="false" customHeight="false" outlineLevel="0" collapsed="false">
      <c r="A87" s="915" t="s">
        <v>828</v>
      </c>
      <c r="B87" s="915"/>
      <c r="C87" s="906" t="str">
        <f aca="false">IFERROR(__xludf.dummyfunction("countif(FILTER(Pokedex!$AQ:$AQ,Pokedex!$A:$A=$L$1,Pokedex!$AQ:$AQ=0-2),0-2)"),"0")</f>
        <v>0</v>
      </c>
      <c r="D87" s="907" t="str">
        <f aca="false">IFERROR(__xludf.dummyfunction("countif(FILTER(Pokedex!$AQ:$AQ,Pokedex!$A:$A=$L$1,Pokedex!$AQ:$AQ=0-1),0-1)"),"1")</f>
        <v>1</v>
      </c>
      <c r="E87" s="907" t="n">
        <f aca="false">SUM(C87:D87)</f>
        <v>0</v>
      </c>
      <c r="F87" s="908" t="str">
        <f aca="false">IFERROR(__xludf.dummyfunction("countif(FILTER(Pokedex!$AQ:$AQ,Pokedex!$A:$A=$L$1,Pokedex!$AQ:$AQ=4),4)"),"1")</f>
        <v>1</v>
      </c>
      <c r="G87" s="909" t="str">
        <f aca="false">IFERROR(__xludf.dummyfunction("countif(FILTER(Pokedex!$AQ:$AQ,Pokedex!$A:$A=$L$1,Pokedex!$AQ:$AQ=1),1)"),"0")</f>
        <v>0</v>
      </c>
      <c r="H87" s="908" t="str">
        <f aca="false">IFERROR(__xludf.dummyfunction("countif(FILTER(Pokedex!$AQ:$AQ,Pokedex!$A:$A=$L$1,Pokedex!$AQ:$AQ=2),2)"),"0")</f>
        <v>0</v>
      </c>
      <c r="I87" s="908" t="n">
        <f aca="false">SUM(F87:H87)</f>
        <v>0</v>
      </c>
      <c r="J87" s="44"/>
      <c r="K87" s="823" t="s">
        <v>46</v>
      </c>
      <c r="L87" s="823"/>
      <c r="M87" s="477" t="s">
        <v>1115</v>
      </c>
      <c r="N87" s="477"/>
      <c r="O87" s="44"/>
      <c r="P87" s="44"/>
      <c r="Q87" s="44"/>
      <c r="R87" s="824"/>
      <c r="S87" s="638"/>
      <c r="T87" s="638"/>
      <c r="U87" s="638"/>
      <c r="V87" s="638"/>
      <c r="W87" s="638"/>
      <c r="X87" s="638"/>
      <c r="Y87" s="638"/>
      <c r="Z87" s="638"/>
      <c r="AA87" s="638"/>
      <c r="AB87" s="638"/>
      <c r="AC87" s="638"/>
      <c r="AD87" s="638"/>
      <c r="AE87" s="638"/>
    </row>
    <row r="88" customFormat="false" ht="15.75" hidden="false" customHeight="false" outlineLevel="0" collapsed="false">
      <c r="A88" s="916" t="s">
        <v>809</v>
      </c>
      <c r="B88" s="916"/>
      <c r="C88" s="911" t="str">
        <f aca="false">IFERROR(__xludf.dummyfunction("countif(FILTER(Pokedex!$AR:$AR,Pokedex!$A:$A=$L$1,Pokedex!$AR:$AR=0-2),0-2)"),"1")</f>
        <v>1</v>
      </c>
      <c r="D88" s="912" t="str">
        <f aca="false">IFERROR(__xludf.dummyfunction("countif(FILTER(Pokedex!$AR:$AR,Pokedex!$A:$A=$L$1,Pokedex!$AR:$AR=0-1),0-1)"),"2")</f>
        <v>2</v>
      </c>
      <c r="E88" s="912" t="n">
        <f aca="false">SUM(C88:D88)</f>
        <v>0</v>
      </c>
      <c r="F88" s="913" t="str">
        <f aca="false">IFERROR(__xludf.dummyfunction("countif(FILTER(Pokedex!$AR:$AR,Pokedex!$A:$A=$L$1,Pokedex!$AR:$AR=4),4)"),"0")</f>
        <v>0</v>
      </c>
      <c r="G88" s="914" t="str">
        <f aca="false">IFERROR(__xludf.dummyfunction("countif(FILTER(Pokedex!$AR:$AR,Pokedex!$A:$A=$L$1,Pokedex!$AR:$AR=1),1)"),"1")</f>
        <v>1</v>
      </c>
      <c r="H88" s="913" t="str">
        <f aca="false">IFERROR(__xludf.dummyfunction("countif(FILTER(Pokedex!$AR:$AR,Pokedex!$A:$A=$L$1,Pokedex!$AR:$AR=2),2)"),"0")</f>
        <v>0</v>
      </c>
      <c r="I88" s="913" t="n">
        <f aca="false">SUM(F88:H88)</f>
        <v>0</v>
      </c>
      <c r="J88" s="44"/>
      <c r="K88" s="823"/>
      <c r="L88" s="823"/>
      <c r="M88" s="477"/>
      <c r="N88" s="477"/>
      <c r="O88" s="44"/>
      <c r="P88" s="44"/>
      <c r="Q88" s="44"/>
      <c r="R88" s="824"/>
      <c r="S88" s="638"/>
      <c r="T88" s="638"/>
      <c r="U88" s="638"/>
      <c r="V88" s="638"/>
      <c r="W88" s="638"/>
      <c r="X88" s="638"/>
      <c r="Y88" s="638"/>
      <c r="Z88" s="638"/>
      <c r="AA88" s="638"/>
      <c r="AB88" s="638"/>
      <c r="AC88" s="638"/>
      <c r="AD88" s="638"/>
      <c r="AE88" s="638"/>
    </row>
    <row r="89" customFormat="false" ht="15.75" hidden="false" customHeight="false" outlineLevel="0" collapsed="false">
      <c r="A89" s="915" t="s">
        <v>810</v>
      </c>
      <c r="B89" s="915"/>
      <c r="C89" s="906" t="str">
        <f aca="false">IFERROR(__xludf.dummyfunction("countif(FILTER(Pokedex!$AS:$AS,Pokedex!$A:$A=$L$1,Pokedex!$AS:$AS=0-2),0-2)"),"0")</f>
        <v>0</v>
      </c>
      <c r="D89" s="907" t="str">
        <f aca="false">IFERROR(__xludf.dummyfunction("countif(FILTER(Pokedex!$AS:$AS,Pokedex!$A:$A=$L$1,Pokedex!$AS:$AS=0-1),0-1)"),"1")</f>
        <v>1</v>
      </c>
      <c r="E89" s="907" t="n">
        <f aca="false">SUM(C89:D89)</f>
        <v>0</v>
      </c>
      <c r="F89" s="908" t="str">
        <f aca="false">IFERROR(__xludf.dummyfunction("countif(FILTER(Pokedex!$AS:$AS,Pokedex!$A:$A=$L$1,Pokedex!$AS:$AS=4),4)"),"0")</f>
        <v>0</v>
      </c>
      <c r="G89" s="909" t="str">
        <f aca="false">IFERROR(__xludf.dummyfunction("countif(FILTER(Pokedex!$AS:$AS,Pokedex!$A:$A=$L$1,Pokedex!$AS:$AS=1),1)"),"4")</f>
        <v>4</v>
      </c>
      <c r="H89" s="908" t="str">
        <f aca="false">IFERROR(__xludf.dummyfunction("countif(FILTER(Pokedex!$AS:$AS,Pokedex!$A:$A=$L$1,Pokedex!$AS:$AS=2),2)"),"0")</f>
        <v>0</v>
      </c>
      <c r="I89" s="908" t="n">
        <f aca="false">SUM(F89:H89)</f>
        <v>0</v>
      </c>
      <c r="J89" s="44"/>
      <c r="K89" s="823"/>
      <c r="L89" s="823"/>
      <c r="M89" s="477"/>
      <c r="N89" s="477"/>
      <c r="O89" s="44"/>
      <c r="P89" s="44"/>
      <c r="Q89" s="44"/>
      <c r="R89" s="824"/>
      <c r="S89" s="638"/>
      <c r="T89" s="638"/>
      <c r="U89" s="638"/>
      <c r="V89" s="638"/>
      <c r="W89" s="638"/>
      <c r="X89" s="638"/>
      <c r="Y89" s="638"/>
      <c r="Z89" s="638"/>
      <c r="AA89" s="638"/>
      <c r="AB89" s="638"/>
      <c r="AC89" s="638"/>
      <c r="AD89" s="638"/>
      <c r="AE89" s="638"/>
    </row>
    <row r="90" customFormat="false" ht="15.75" hidden="false" customHeight="false" outlineLevel="0" collapsed="false">
      <c r="A90" s="917" t="s">
        <v>811</v>
      </c>
      <c r="B90" s="917"/>
      <c r="C90" s="918" t="str">
        <f aca="false">IFERROR(__xludf.dummyfunction("countif(FILTER(Pokedex!$AT:$AT,Pokedex!$A:$A=$L$1,Pokedex!$AT:$AT=0-2),0-2)"),"0")</f>
        <v>0</v>
      </c>
      <c r="D90" s="919" t="str">
        <f aca="false">IFERROR(__xludf.dummyfunction("countif(FILTER(Pokedex!$AT:$AT,Pokedex!$A:$A=$L$1,Pokedex!$AT:$AT=0-1),0-1)"),"3")</f>
        <v>3</v>
      </c>
      <c r="E90" s="919" t="n">
        <f aca="false">SUM(C90:D90)</f>
        <v>0</v>
      </c>
      <c r="F90" s="920" t="str">
        <f aca="false">IFERROR(__xludf.dummyfunction("countif(FILTER(Pokedex!$AT:$AT,Pokedex!$A:$A=$L$1,Pokedex!$AT:$AT=4),4)"),"0")</f>
        <v>0</v>
      </c>
      <c r="G90" s="921" t="str">
        <f aca="false">IFERROR(__xludf.dummyfunction("countif(FILTER(Pokedex!$AT:$AT,Pokedex!$A:$A=$L$1,Pokedex!$AT:$AT=1),1)"),"2")</f>
        <v>2</v>
      </c>
      <c r="H90" s="920" t="str">
        <f aca="false">IFERROR(__xludf.dummyfunction("countif(FILTER(Pokedex!$AT:$AT,Pokedex!$A:$A=$L$1,Pokedex!$AT:$AT=2),2)"),"1")</f>
        <v>1</v>
      </c>
      <c r="I90" s="920" t="n">
        <f aca="false">SUM(F90:H90)</f>
        <v>0</v>
      </c>
      <c r="J90" s="44"/>
      <c r="K90" s="823"/>
      <c r="L90" s="823"/>
      <c r="M90" s="477"/>
      <c r="N90" s="477"/>
      <c r="O90" s="44"/>
      <c r="P90" s="44"/>
      <c r="Q90" s="44"/>
      <c r="R90" s="824"/>
      <c r="S90" s="638"/>
      <c r="T90" s="638"/>
      <c r="U90" s="638"/>
      <c r="V90" s="638"/>
      <c r="W90" s="638"/>
      <c r="X90" s="638"/>
      <c r="Y90" s="638"/>
      <c r="Z90" s="638"/>
      <c r="AA90" s="638"/>
      <c r="AB90" s="638"/>
      <c r="AC90" s="638"/>
      <c r="AD90" s="638"/>
      <c r="AE90" s="638"/>
    </row>
    <row r="91" customFormat="false" ht="15.75" hidden="false" customHeight="false" outlineLevel="0" collapsed="false">
      <c r="A91" s="922" t="s">
        <v>2088</v>
      </c>
      <c r="B91" s="922"/>
      <c r="C91" s="923" t="n">
        <f aca="false">SUM(C73:C90)</f>
        <v>0</v>
      </c>
      <c r="D91" s="924" t="n">
        <f aca="false">SUM(D73:D90)</f>
        <v>0</v>
      </c>
      <c r="E91" s="924" t="n">
        <f aca="false">SUM(E73:E90)</f>
        <v>0</v>
      </c>
      <c r="F91" s="925" t="n">
        <f aca="false">SUM(F73:F90)</f>
        <v>0</v>
      </c>
      <c r="G91" s="926" t="n">
        <f aca="false">SUM(G73:G90)</f>
        <v>0</v>
      </c>
      <c r="H91" s="925" t="n">
        <f aca="false">SUM(H73:H90)</f>
        <v>0</v>
      </c>
      <c r="I91" s="925" t="n">
        <f aca="false">SUM(I73:I90)</f>
        <v>0</v>
      </c>
      <c r="J91" s="44"/>
      <c r="K91" s="823"/>
      <c r="L91" s="823"/>
      <c r="M91" s="477"/>
      <c r="N91" s="477"/>
      <c r="O91" s="44"/>
      <c r="P91" s="44"/>
      <c r="Q91" s="44"/>
      <c r="R91" s="824"/>
      <c r="S91" s="638"/>
      <c r="T91" s="638"/>
      <c r="U91" s="638"/>
      <c r="V91" s="638"/>
      <c r="W91" s="638"/>
      <c r="X91" s="638"/>
      <c r="Y91" s="638"/>
      <c r="Z91" s="638"/>
      <c r="AA91" s="638"/>
      <c r="AB91" s="638"/>
      <c r="AC91" s="638"/>
      <c r="AD91" s="638"/>
      <c r="AE91" s="638"/>
    </row>
    <row r="92" customFormat="false" ht="15.75" hidden="false" customHeight="false" outlineLevel="0" collapsed="false">
      <c r="A92" s="245"/>
      <c r="B92" s="738"/>
      <c r="C92" s="927" t="s">
        <v>2082</v>
      </c>
      <c r="D92" s="928" t="s">
        <v>2083</v>
      </c>
      <c r="E92" s="928" t="s">
        <v>2063</v>
      </c>
      <c r="F92" s="902" t="s">
        <v>2084</v>
      </c>
      <c r="G92" s="903" t="s">
        <v>2085</v>
      </c>
      <c r="H92" s="904" t="s">
        <v>2086</v>
      </c>
      <c r="I92" s="904" t="s">
        <v>2063</v>
      </c>
      <c r="J92" s="44"/>
      <c r="K92" s="823"/>
      <c r="L92" s="823"/>
      <c r="M92" s="477"/>
      <c r="N92" s="477"/>
      <c r="O92" s="44"/>
      <c r="P92" s="44"/>
      <c r="Q92" s="44"/>
      <c r="R92" s="824"/>
      <c r="S92" s="638"/>
      <c r="T92" s="638"/>
      <c r="U92" s="638"/>
      <c r="V92" s="638"/>
      <c r="W92" s="638"/>
      <c r="X92" s="638"/>
      <c r="Y92" s="638"/>
      <c r="Z92" s="638"/>
      <c r="AA92" s="638"/>
      <c r="AB92" s="638"/>
      <c r="AC92" s="638"/>
      <c r="AD92" s="638"/>
      <c r="AE92" s="638"/>
    </row>
    <row r="93" customFormat="false" ht="15.75" hidden="false" customHeight="false" outlineLevel="0" collapsed="false">
      <c r="A93" s="245"/>
      <c r="B93" s="245"/>
      <c r="C93" s="929" t="s">
        <v>2079</v>
      </c>
      <c r="D93" s="929"/>
      <c r="E93" s="929"/>
      <c r="F93" s="930" t="s">
        <v>2080</v>
      </c>
      <c r="G93" s="930"/>
      <c r="H93" s="930"/>
      <c r="I93" s="930"/>
      <c r="J93" s="44"/>
      <c r="K93" s="823"/>
      <c r="L93" s="823"/>
      <c r="M93" s="477"/>
      <c r="N93" s="477"/>
      <c r="O93" s="44"/>
      <c r="P93" s="44"/>
      <c r="Q93" s="44"/>
      <c r="R93" s="824"/>
      <c r="S93" s="638"/>
      <c r="T93" s="638"/>
      <c r="U93" s="638"/>
      <c r="V93" s="638"/>
      <c r="W93" s="638"/>
      <c r="X93" s="638"/>
      <c r="Y93" s="638"/>
      <c r="Z93" s="638"/>
      <c r="AA93" s="638"/>
      <c r="AB93" s="638"/>
      <c r="AC93" s="638"/>
      <c r="AD93" s="638"/>
      <c r="AE93" s="638"/>
    </row>
    <row r="94" customFormat="false" ht="15.75" hidden="false" customHeight="false" outlineLevel="0" collapsed="false">
      <c r="A94" s="44"/>
      <c r="B94" s="44"/>
      <c r="C94" s="44"/>
      <c r="D94" s="44"/>
      <c r="E94" s="44"/>
      <c r="F94" s="44"/>
      <c r="G94" s="44"/>
      <c r="H94" s="44"/>
      <c r="I94" s="44"/>
      <c r="J94" s="44"/>
      <c r="K94" s="823"/>
      <c r="L94" s="823"/>
      <c r="M94" s="477"/>
      <c r="N94" s="477"/>
      <c r="O94" s="44"/>
      <c r="P94" s="44"/>
      <c r="Q94" s="44"/>
      <c r="R94" s="824"/>
      <c r="S94" s="638"/>
      <c r="T94" s="638"/>
      <c r="U94" s="638"/>
      <c r="V94" s="638"/>
      <c r="W94" s="638"/>
      <c r="X94" s="638"/>
      <c r="Y94" s="638"/>
      <c r="Z94" s="638"/>
      <c r="AA94" s="638"/>
      <c r="AB94" s="638"/>
      <c r="AC94" s="638"/>
      <c r="AD94" s="638"/>
      <c r="AE94" s="638"/>
    </row>
    <row r="95" customFormat="false" ht="15.75" hidden="false" customHeight="false" outlineLevel="0" collapsed="false">
      <c r="A95" s="44"/>
      <c r="B95" s="44"/>
      <c r="C95" s="44"/>
      <c r="D95" s="44"/>
      <c r="E95" s="44"/>
      <c r="F95" s="44"/>
      <c r="G95" s="44"/>
      <c r="H95" s="44"/>
      <c r="I95" s="44"/>
      <c r="J95" s="93"/>
      <c r="K95" s="893"/>
      <c r="L95" s="893"/>
      <c r="M95" s="831"/>
      <c r="N95" s="831"/>
      <c r="O95" s="44"/>
      <c r="P95" s="44"/>
      <c r="Q95" s="44"/>
      <c r="R95" s="824"/>
      <c r="S95" s="638"/>
      <c r="T95" s="638"/>
      <c r="U95" s="638"/>
      <c r="V95" s="638"/>
      <c r="W95" s="638"/>
      <c r="X95" s="638"/>
      <c r="Y95" s="638"/>
      <c r="Z95" s="638"/>
      <c r="AA95" s="638"/>
      <c r="AB95" s="638"/>
      <c r="AC95" s="638"/>
      <c r="AD95" s="638"/>
      <c r="AE95" s="638"/>
    </row>
    <row r="96" customFormat="false" ht="15.75" hidden="false" customHeight="false" outlineLevel="0" collapsed="false">
      <c r="O96" s="44"/>
      <c r="P96" s="44"/>
      <c r="Q96" s="44"/>
      <c r="R96" s="824"/>
      <c r="S96" s="638"/>
      <c r="T96" s="638"/>
      <c r="U96" s="638"/>
      <c r="V96" s="638"/>
      <c r="W96" s="638"/>
      <c r="X96" s="638"/>
      <c r="Y96" s="638"/>
      <c r="Z96" s="638"/>
      <c r="AA96" s="638"/>
      <c r="AB96" s="638"/>
      <c r="AC96" s="638"/>
      <c r="AD96" s="638"/>
      <c r="AE96" s="638"/>
    </row>
    <row r="97" customFormat="false" ht="15.75" hidden="false" customHeight="false" outlineLevel="0" collapsed="false">
      <c r="A97" s="44"/>
      <c r="B97" s="44"/>
      <c r="C97" s="44"/>
      <c r="D97" s="44"/>
      <c r="E97" s="44"/>
      <c r="F97" s="44"/>
      <c r="G97" s="44"/>
      <c r="H97" s="44"/>
      <c r="I97" s="44"/>
      <c r="J97" s="44"/>
      <c r="K97" s="44"/>
      <c r="L97" s="44"/>
      <c r="M97" s="44"/>
      <c r="N97" s="44"/>
      <c r="O97" s="44"/>
      <c r="P97" s="44"/>
      <c r="Q97" s="44"/>
      <c r="R97" s="824"/>
      <c r="S97" s="638"/>
      <c r="T97" s="638"/>
      <c r="U97" s="638"/>
      <c r="V97" s="638"/>
      <c r="W97" s="638"/>
      <c r="X97" s="638"/>
      <c r="Y97" s="638"/>
      <c r="Z97" s="638"/>
      <c r="AA97" s="638"/>
      <c r="AB97" s="638"/>
      <c r="AC97" s="638"/>
      <c r="AD97" s="638"/>
      <c r="AE97" s="638"/>
    </row>
    <row r="98" customFormat="false" ht="15.75" hidden="false" customHeight="false" outlineLevel="0" collapsed="false">
      <c r="A98" s="44"/>
      <c r="B98" s="44"/>
      <c r="C98" s="44"/>
      <c r="D98" s="44"/>
      <c r="E98" s="44"/>
      <c r="F98" s="44"/>
      <c r="G98" s="44"/>
      <c r="H98" s="44"/>
      <c r="I98" s="44"/>
      <c r="J98" s="44"/>
      <c r="K98" s="44"/>
      <c r="L98" s="44"/>
      <c r="M98" s="44"/>
      <c r="N98" s="44"/>
      <c r="O98" s="44"/>
      <c r="P98" s="44"/>
      <c r="Q98" s="44"/>
      <c r="R98" s="824"/>
      <c r="S98" s="638"/>
      <c r="T98" s="638"/>
      <c r="U98" s="638"/>
      <c r="V98" s="638"/>
      <c r="W98" s="638"/>
      <c r="X98" s="638"/>
      <c r="Y98" s="638"/>
      <c r="Z98" s="638"/>
      <c r="AA98" s="638"/>
      <c r="AB98" s="638"/>
      <c r="AC98" s="638"/>
      <c r="AD98" s="638"/>
      <c r="AE98" s="638"/>
    </row>
    <row r="99" customFormat="false" ht="15.75" hidden="false" customHeight="false" outlineLevel="0" collapsed="false">
      <c r="A99" s="245"/>
      <c r="B99" s="245"/>
      <c r="C99" s="2"/>
      <c r="D99" s="2"/>
      <c r="E99" s="2"/>
      <c r="F99" s="2"/>
      <c r="G99" s="2"/>
      <c r="H99" s="2"/>
      <c r="I99" s="2"/>
      <c r="J99" s="93"/>
      <c r="K99" s="931"/>
      <c r="L99" s="931"/>
      <c r="M99" s="93"/>
      <c r="N99" s="931"/>
      <c r="O99" s="44"/>
      <c r="P99" s="44"/>
      <c r="Q99" s="44"/>
      <c r="R99" s="824"/>
      <c r="S99" s="638"/>
      <c r="T99" s="638"/>
      <c r="U99" s="638"/>
      <c r="V99" s="638"/>
      <c r="W99" s="638"/>
      <c r="X99" s="638"/>
      <c r="Y99" s="638"/>
      <c r="Z99" s="638"/>
      <c r="AA99" s="638"/>
      <c r="AB99" s="638"/>
      <c r="AC99" s="638"/>
      <c r="AD99" s="638"/>
      <c r="AE99" s="638"/>
    </row>
    <row r="100" customFormat="false" ht="15.75" hidden="false" customHeight="false" outlineLevel="0" collapsed="false">
      <c r="A100" s="245"/>
      <c r="B100" s="245"/>
      <c r="C100" s="931"/>
      <c r="D100" s="93"/>
      <c r="E100" s="931"/>
      <c r="F100" s="931"/>
      <c r="G100" s="93"/>
      <c r="H100" s="931"/>
      <c r="I100" s="931"/>
      <c r="J100" s="93"/>
      <c r="K100" s="931"/>
      <c r="L100" s="931"/>
      <c r="M100" s="93"/>
      <c r="N100" s="931"/>
      <c r="O100" s="44"/>
      <c r="P100" s="44"/>
      <c r="Q100" s="44"/>
      <c r="R100" s="824"/>
      <c r="S100" s="638"/>
      <c r="T100" s="638"/>
      <c r="U100" s="638"/>
      <c r="V100" s="638"/>
      <c r="W100" s="638"/>
      <c r="X100" s="638"/>
      <c r="Y100" s="638"/>
      <c r="Z100" s="638"/>
      <c r="AA100" s="638"/>
      <c r="AB100" s="638"/>
      <c r="AC100" s="638"/>
      <c r="AD100" s="638"/>
      <c r="AE100" s="638"/>
    </row>
  </sheetData>
  <mergeCells count="362">
    <mergeCell ref="A1:D8"/>
    <mergeCell ref="E1:F1"/>
    <mergeCell ref="G1:J1"/>
    <mergeCell ref="L1:N1"/>
    <mergeCell ref="R1:S1"/>
    <mergeCell ref="E2:F2"/>
    <mergeCell ref="G2:N2"/>
    <mergeCell ref="E3:F3"/>
    <mergeCell ref="G3:N3"/>
    <mergeCell ref="E4:F4"/>
    <mergeCell ref="G4:N4"/>
    <mergeCell ref="E5:F5"/>
    <mergeCell ref="G5:N5"/>
    <mergeCell ref="E6:F6"/>
    <mergeCell ref="G6:N6"/>
    <mergeCell ref="E7:F7"/>
    <mergeCell ref="G7:N7"/>
    <mergeCell ref="A9:D9"/>
    <mergeCell ref="I9:L9"/>
    <mergeCell ref="A10:B11"/>
    <mergeCell ref="C10:I10"/>
    <mergeCell ref="J10:M10"/>
    <mergeCell ref="J11:M11"/>
    <mergeCell ref="J12:M12"/>
    <mergeCell ref="J13:M13"/>
    <mergeCell ref="J14:M14"/>
    <mergeCell ref="R19:S19"/>
    <mergeCell ref="A23:C23"/>
    <mergeCell ref="A27:C27"/>
    <mergeCell ref="D27:F27"/>
    <mergeCell ref="G27:H27"/>
    <mergeCell ref="J27:L27"/>
    <mergeCell ref="A28:C28"/>
    <mergeCell ref="D28:F28"/>
    <mergeCell ref="G28:H28"/>
    <mergeCell ref="J28:L28"/>
    <mergeCell ref="A29:C29"/>
    <mergeCell ref="D29:F29"/>
    <mergeCell ref="G29:H29"/>
    <mergeCell ref="J29:L29"/>
    <mergeCell ref="A30:C30"/>
    <mergeCell ref="D30:F30"/>
    <mergeCell ref="G30:H30"/>
    <mergeCell ref="J30:M30"/>
    <mergeCell ref="A32:C32"/>
    <mergeCell ref="D32:F32"/>
    <mergeCell ref="G32:H32"/>
    <mergeCell ref="I32:J32"/>
    <mergeCell ref="K32:N32"/>
    <mergeCell ref="A33:C33"/>
    <mergeCell ref="D33:F33"/>
    <mergeCell ref="G33:H33"/>
    <mergeCell ref="I33:J33"/>
    <mergeCell ref="K33:N33"/>
    <mergeCell ref="A34:C34"/>
    <mergeCell ref="D34:F34"/>
    <mergeCell ref="G34:H34"/>
    <mergeCell ref="I34:J34"/>
    <mergeCell ref="K34:N34"/>
    <mergeCell ref="A35:C35"/>
    <mergeCell ref="D35:F35"/>
    <mergeCell ref="G35:H35"/>
    <mergeCell ref="I35:J35"/>
    <mergeCell ref="K35:N35"/>
    <mergeCell ref="A36:C36"/>
    <mergeCell ref="D36:F36"/>
    <mergeCell ref="G36:H36"/>
    <mergeCell ref="I36:J36"/>
    <mergeCell ref="K36:N36"/>
    <mergeCell ref="A37:C37"/>
    <mergeCell ref="D37:F37"/>
    <mergeCell ref="G37:H37"/>
    <mergeCell ref="I37:J37"/>
    <mergeCell ref="K37:N37"/>
    <mergeCell ref="A38:C38"/>
    <mergeCell ref="D38:F38"/>
    <mergeCell ref="G38:H38"/>
    <mergeCell ref="I38:J38"/>
    <mergeCell ref="K38:N38"/>
    <mergeCell ref="A39:C39"/>
    <mergeCell ref="D39:F39"/>
    <mergeCell ref="G39:H39"/>
    <mergeCell ref="I39:J39"/>
    <mergeCell ref="K39:N39"/>
    <mergeCell ref="R39:S39"/>
    <mergeCell ref="A40:C40"/>
    <mergeCell ref="D40:F40"/>
    <mergeCell ref="G40:H40"/>
    <mergeCell ref="I40:J40"/>
    <mergeCell ref="K40:N40"/>
    <mergeCell ref="A41:C41"/>
    <mergeCell ref="D41:F41"/>
    <mergeCell ref="G41:H41"/>
    <mergeCell ref="I41:J41"/>
    <mergeCell ref="K41:N41"/>
    <mergeCell ref="A43:C43"/>
    <mergeCell ref="K43:L43"/>
    <mergeCell ref="M43:N43"/>
    <mergeCell ref="A44:C44"/>
    <mergeCell ref="K44:L44"/>
    <mergeCell ref="M44:N44"/>
    <mergeCell ref="A45:C45"/>
    <mergeCell ref="K45:L45"/>
    <mergeCell ref="M45:N45"/>
    <mergeCell ref="A46:C46"/>
    <mergeCell ref="K46:L46"/>
    <mergeCell ref="M46:N46"/>
    <mergeCell ref="A47:C47"/>
    <mergeCell ref="K47:L47"/>
    <mergeCell ref="M47:N47"/>
    <mergeCell ref="A48:C48"/>
    <mergeCell ref="K48:L48"/>
    <mergeCell ref="M48:N48"/>
    <mergeCell ref="A49:C49"/>
    <mergeCell ref="K49:L49"/>
    <mergeCell ref="M49:N49"/>
    <mergeCell ref="A50:C50"/>
    <mergeCell ref="K50:L50"/>
    <mergeCell ref="M50:N50"/>
    <mergeCell ref="A51:C51"/>
    <mergeCell ref="K51:L51"/>
    <mergeCell ref="M51:N51"/>
    <mergeCell ref="A52:C52"/>
    <mergeCell ref="K52:L52"/>
    <mergeCell ref="M52:N52"/>
    <mergeCell ref="A53:C53"/>
    <mergeCell ref="K53:L53"/>
    <mergeCell ref="M53:N53"/>
    <mergeCell ref="A54:C54"/>
    <mergeCell ref="K54:L54"/>
    <mergeCell ref="M54:N54"/>
    <mergeCell ref="Q54:S54"/>
    <mergeCell ref="T54:V54"/>
    <mergeCell ref="W54:X54"/>
    <mergeCell ref="Y54:Z54"/>
    <mergeCell ref="AA54:AD54"/>
    <mergeCell ref="A55:C55"/>
    <mergeCell ref="Q55:S55"/>
    <mergeCell ref="T55:V55"/>
    <mergeCell ref="W55:X55"/>
    <mergeCell ref="Y55:Z55"/>
    <mergeCell ref="AA55:AD55"/>
    <mergeCell ref="A56:C56"/>
    <mergeCell ref="Q56:S56"/>
    <mergeCell ref="T56:V56"/>
    <mergeCell ref="W56:X56"/>
    <mergeCell ref="Y56:Z56"/>
    <mergeCell ref="AA56:AD56"/>
    <mergeCell ref="Q57:S57"/>
    <mergeCell ref="T57:V57"/>
    <mergeCell ref="W57:X57"/>
    <mergeCell ref="Y57:Z57"/>
    <mergeCell ref="AA57:AD57"/>
    <mergeCell ref="A58:C58"/>
    <mergeCell ref="D58:I58"/>
    <mergeCell ref="K58:N58"/>
    <mergeCell ref="Q58:S58"/>
    <mergeCell ref="T58:V58"/>
    <mergeCell ref="W58:X58"/>
    <mergeCell ref="Y58:Z58"/>
    <mergeCell ref="AA58:AD58"/>
    <mergeCell ref="A59:C59"/>
    <mergeCell ref="D59:E59"/>
    <mergeCell ref="F59:G59"/>
    <mergeCell ref="H59:I59"/>
    <mergeCell ref="K59:L59"/>
    <mergeCell ref="M59:N59"/>
    <mergeCell ref="Q59:S59"/>
    <mergeCell ref="T59:V59"/>
    <mergeCell ref="W59:X59"/>
    <mergeCell ref="Y59:Z59"/>
    <mergeCell ref="AA59:AD59"/>
    <mergeCell ref="A60:C60"/>
    <mergeCell ref="D60:E60"/>
    <mergeCell ref="F60:G60"/>
    <mergeCell ref="H60:I60"/>
    <mergeCell ref="K60:L60"/>
    <mergeCell ref="M60:N60"/>
    <mergeCell ref="Q60:S60"/>
    <mergeCell ref="T60:V60"/>
    <mergeCell ref="W60:X60"/>
    <mergeCell ref="Y60:Z60"/>
    <mergeCell ref="AA60:AD60"/>
    <mergeCell ref="A61:C61"/>
    <mergeCell ref="D61:E61"/>
    <mergeCell ref="F61:G61"/>
    <mergeCell ref="H61:I61"/>
    <mergeCell ref="K61:L61"/>
    <mergeCell ref="M61:N61"/>
    <mergeCell ref="Q61:S61"/>
    <mergeCell ref="T61:V61"/>
    <mergeCell ref="W61:X61"/>
    <mergeCell ref="Y61:Z61"/>
    <mergeCell ref="AA61:AD61"/>
    <mergeCell ref="A62:C62"/>
    <mergeCell ref="D62:E62"/>
    <mergeCell ref="F62:G62"/>
    <mergeCell ref="H62:I62"/>
    <mergeCell ref="K62:L62"/>
    <mergeCell ref="M62:N62"/>
    <mergeCell ref="Q62:S62"/>
    <mergeCell ref="T62:V62"/>
    <mergeCell ref="W62:X62"/>
    <mergeCell ref="Y62:Z62"/>
    <mergeCell ref="AA62:AD62"/>
    <mergeCell ref="A63:C63"/>
    <mergeCell ref="D63:E63"/>
    <mergeCell ref="F63:G63"/>
    <mergeCell ref="H63:I63"/>
    <mergeCell ref="K63:L63"/>
    <mergeCell ref="M63:N63"/>
    <mergeCell ref="Q63:S63"/>
    <mergeCell ref="T63:V63"/>
    <mergeCell ref="W63:X63"/>
    <mergeCell ref="Y63:Z63"/>
    <mergeCell ref="AA63:AD63"/>
    <mergeCell ref="A64:C64"/>
    <mergeCell ref="D64:E64"/>
    <mergeCell ref="F64:G64"/>
    <mergeCell ref="H64:I64"/>
    <mergeCell ref="K64:L64"/>
    <mergeCell ref="M64:N64"/>
    <mergeCell ref="Q64:S64"/>
    <mergeCell ref="T64:V64"/>
    <mergeCell ref="W64:X64"/>
    <mergeCell ref="Y64:Z64"/>
    <mergeCell ref="AA64:AD64"/>
    <mergeCell ref="A65:C65"/>
    <mergeCell ref="D65:E65"/>
    <mergeCell ref="F65:G65"/>
    <mergeCell ref="H65:I65"/>
    <mergeCell ref="K65:L65"/>
    <mergeCell ref="M65:N65"/>
    <mergeCell ref="Q65:S65"/>
    <mergeCell ref="T65:V65"/>
    <mergeCell ref="W65:X65"/>
    <mergeCell ref="Y65:Z65"/>
    <mergeCell ref="AA65:AD65"/>
    <mergeCell ref="A66:C66"/>
    <mergeCell ref="D66:E66"/>
    <mergeCell ref="F66:G66"/>
    <mergeCell ref="H66:I66"/>
    <mergeCell ref="K66:L66"/>
    <mergeCell ref="M66:N66"/>
    <mergeCell ref="Q66:S66"/>
    <mergeCell ref="T66:V66"/>
    <mergeCell ref="W66:X66"/>
    <mergeCell ref="Y66:Z66"/>
    <mergeCell ref="AA66:AD66"/>
    <mergeCell ref="A67:C67"/>
    <mergeCell ref="D67:E67"/>
    <mergeCell ref="F67:G67"/>
    <mergeCell ref="H67:I67"/>
    <mergeCell ref="K67:L67"/>
    <mergeCell ref="M67:N67"/>
    <mergeCell ref="Q67:S67"/>
    <mergeCell ref="T67:V67"/>
    <mergeCell ref="W67:X67"/>
    <mergeCell ref="Y67:Z67"/>
    <mergeCell ref="AA67:AD67"/>
    <mergeCell ref="A68:C68"/>
    <mergeCell ref="D68:E68"/>
    <mergeCell ref="F68:G68"/>
    <mergeCell ref="H68:I68"/>
    <mergeCell ref="K68:L68"/>
    <mergeCell ref="M68:N68"/>
    <mergeCell ref="Q68:S68"/>
    <mergeCell ref="T68:V68"/>
    <mergeCell ref="W68:X68"/>
    <mergeCell ref="Y68:Z68"/>
    <mergeCell ref="AA68:AD68"/>
    <mergeCell ref="A69:C69"/>
    <mergeCell ref="D69:E69"/>
    <mergeCell ref="F69:G69"/>
    <mergeCell ref="H69:I69"/>
    <mergeCell ref="K69:L69"/>
    <mergeCell ref="M69:N69"/>
    <mergeCell ref="Q69:S69"/>
    <mergeCell ref="T69:V69"/>
    <mergeCell ref="W69:X69"/>
    <mergeCell ref="Y69:Z69"/>
    <mergeCell ref="AA69:AD69"/>
    <mergeCell ref="Q70:S70"/>
    <mergeCell ref="T70:V70"/>
    <mergeCell ref="W70:X70"/>
    <mergeCell ref="Y70:Z70"/>
    <mergeCell ref="AA70:AD70"/>
    <mergeCell ref="A71:B72"/>
    <mergeCell ref="C71:E71"/>
    <mergeCell ref="F71:I71"/>
    <mergeCell ref="K71:N71"/>
    <mergeCell ref="Q71:S71"/>
    <mergeCell ref="T71:V71"/>
    <mergeCell ref="W71:X71"/>
    <mergeCell ref="Y71:Z71"/>
    <mergeCell ref="AA71:AD71"/>
    <mergeCell ref="K72:L72"/>
    <mergeCell ref="M72:N72"/>
    <mergeCell ref="A73:B73"/>
    <mergeCell ref="K73:L73"/>
    <mergeCell ref="M73:N73"/>
    <mergeCell ref="A74:B74"/>
    <mergeCell ref="K74:L74"/>
    <mergeCell ref="M74:N74"/>
    <mergeCell ref="A75:B75"/>
    <mergeCell ref="K75:L75"/>
    <mergeCell ref="M75:N75"/>
    <mergeCell ref="A76:B76"/>
    <mergeCell ref="K76:L76"/>
    <mergeCell ref="M76:N76"/>
    <mergeCell ref="A77:B77"/>
    <mergeCell ref="K77:L77"/>
    <mergeCell ref="M77:N77"/>
    <mergeCell ref="A78:B78"/>
    <mergeCell ref="K78:L78"/>
    <mergeCell ref="M78:N78"/>
    <mergeCell ref="A79:B79"/>
    <mergeCell ref="K79:L79"/>
    <mergeCell ref="M79:N79"/>
    <mergeCell ref="A80:B80"/>
    <mergeCell ref="K80:L80"/>
    <mergeCell ref="M80:N80"/>
    <mergeCell ref="A81:B81"/>
    <mergeCell ref="K81:L81"/>
    <mergeCell ref="M81:N81"/>
    <mergeCell ref="A82:B82"/>
    <mergeCell ref="K82:L82"/>
    <mergeCell ref="M82:N82"/>
    <mergeCell ref="A83:B83"/>
    <mergeCell ref="A84:B84"/>
    <mergeCell ref="K84:N84"/>
    <mergeCell ref="A85:B85"/>
    <mergeCell ref="K85:L85"/>
    <mergeCell ref="M85:N85"/>
    <mergeCell ref="A86:B86"/>
    <mergeCell ref="K86:L86"/>
    <mergeCell ref="M86:N86"/>
    <mergeCell ref="A87:B87"/>
    <mergeCell ref="K87:L87"/>
    <mergeCell ref="M87:N87"/>
    <mergeCell ref="A88:B88"/>
    <mergeCell ref="K88:L88"/>
    <mergeCell ref="M88:N88"/>
    <mergeCell ref="A89:B89"/>
    <mergeCell ref="K89:L89"/>
    <mergeCell ref="M89:N89"/>
    <mergeCell ref="A90:B90"/>
    <mergeCell ref="K90:L90"/>
    <mergeCell ref="M90:N90"/>
    <mergeCell ref="A91:B91"/>
    <mergeCell ref="K91:L91"/>
    <mergeCell ref="M91:N91"/>
    <mergeCell ref="K92:L92"/>
    <mergeCell ref="M92:N92"/>
    <mergeCell ref="C93:E93"/>
    <mergeCell ref="F93:I93"/>
    <mergeCell ref="K93:L93"/>
    <mergeCell ref="M93:N93"/>
    <mergeCell ref="K94:L94"/>
    <mergeCell ref="M94:N94"/>
    <mergeCell ref="K95:L95"/>
    <mergeCell ref="M95:N95"/>
  </mergeCells>
  <conditionalFormatting sqref="J29:M30">
    <cfRule type="containsText" priority="2" aboveAverage="0" equalAverage="0" bottom="0" percent="0" rank="0" text="ERROR" dxfId="1"/>
  </conditionalFormatting>
  <conditionalFormatting sqref="N9">
    <cfRule type="notContainsText" priority="3" aboveAverage="0" equalAverage="0" bottom="0" percent="0" rank="0" text="OUT" dxfId="0"/>
  </conditionalFormatting>
  <conditionalFormatting sqref="N9">
    <cfRule type="containsText" priority="4" aboveAverage="0" equalAverage="0" bottom="0" percent="0" rank="0" text="OUT" dxfId="1"/>
  </conditionalFormatting>
  <conditionalFormatting sqref="N8">
    <cfRule type="containsText" priority="5" aboveAverage="0" equalAverage="0" bottom="0" percent="0" rank="0" text="Win" dxfId="3"/>
  </conditionalFormatting>
  <conditionalFormatting sqref="N8">
    <cfRule type="containsText" priority="6" aboveAverage="0" equalAverage="0" bottom="0" percent="0" rank="0" text="Lose" dxfId="4"/>
  </conditionalFormatting>
  <conditionalFormatting sqref="M27">
    <cfRule type="cellIs" priority="7" operator="lessThanOrEqual" aboveAverage="0" equalAverage="0" bottom="0" percent="0" rank="0" text="" dxfId="4">
      <formula>0</formula>
    </cfRule>
  </conditionalFormatting>
  <conditionalFormatting sqref="M27">
    <cfRule type="cellIs" priority="8" operator="greaterThan" aboveAverage="0" equalAverage="0" bottom="0" percent="0" rank="0" text="" dxfId="3">
      <formula>0</formula>
    </cfRule>
  </conditionalFormatting>
  <conditionalFormatting sqref="A12:I22,A44:N54,A59:I69">
    <cfRule type="expression" priority="9" aboveAverage="0" equalAverage="0" bottom="0" percent="0" rank="0" text="" dxfId="0">
      <formula>AND(NOT(ISBLANK($A:$A)),$A:$A=$J$11)</formula>
    </cfRule>
  </conditionalFormatting>
  <conditionalFormatting sqref="A12:I22,A44:N54,A59:I69">
    <cfRule type="expression" priority="10" aboveAverage="0" equalAverage="0" bottom="0" percent="0" rank="0" text="" dxfId="1">
      <formula>AND(NOT(ISBLANK($A:$A)),$A:$A=$J$13)</formula>
    </cfRule>
  </conditionalFormatting>
  <conditionalFormatting sqref="A12:I22,A44:N54,A59:I69">
    <cfRule type="expression" priority="11" aboveAverage="0" equalAverage="0" bottom="0" percent="0" rank="0" text="" dxfId="1">
      <formula>AND(NOT(ISBLANK($A:$A)),$A:$A=$J$14)</formula>
    </cfRule>
  </conditionalFormatting>
  <printOptions headings="false" gridLines="false" gridLinesSet="true" horizontalCentered="false" verticalCentered="false"/>
  <pageMargins left="0.747916666666667" right="0.747916666666667" top="0.984027777777778" bottom="0.984027777777778" header="0.511805555555555" footer="0.511805555555555"/>
  <pageSetup paperSize="1" scale="100" firstPageNumber="0" fitToWidth="1" fitToHeight="1" pageOrder="downThenOver" orientation="portrait" usePrinterDefaults="false" blackAndWhite="false" draft="false" cellComments="none" useFirstPageNumber="false" horizontalDpi="300" verticalDpi="300" copies="1"/>
  <headerFooter differentFirst="false" differentOddEven="false">
    <oddHeader/>
    <oddFooter/>
  </headerFooter>
  <drawing r:id="rId1"/>
</worksheet>
</file>

<file path=xl/worksheets/sheet14.xml><?xml version="1.0" encoding="utf-8"?>
<worksheet xmlns="http://schemas.openxmlformats.org/spreadsheetml/2006/main" xmlns:r="http://schemas.openxmlformats.org/officeDocument/2006/relationships">
  <sheetPr filterMode="false">
    <tabColor rgb="FFC27BA0"/>
    <pageSetUpPr fitToPage="false"/>
  </sheetPr>
  <dimension ref="A1:AE100"/>
  <sheetViews>
    <sheetView windowProtection="false"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A1" activeCellId="0" sqref="A1"/>
    </sheetView>
  </sheetViews>
  <sheetFormatPr defaultRowHeight="15.75"/>
  <cols>
    <col collapsed="false" hidden="false" max="2" min="1" style="0" width="10.6632653061225"/>
    <col collapsed="false" hidden="false" max="14" min="3" style="0" width="7.1530612244898"/>
    <col collapsed="false" hidden="false" max="15" min="15" style="0" width="1.48469387755102"/>
    <col collapsed="false" hidden="true" max="31" min="16" style="0" width="0"/>
    <col collapsed="false" hidden="false" max="1025" min="32" style="0" width="14.1734693877551"/>
  </cols>
  <sheetData>
    <row r="1" customFormat="false" ht="15.75" hidden="false" customHeight="false" outlineLevel="0" collapsed="false">
      <c r="A1" s="765"/>
      <c r="B1" s="765"/>
      <c r="C1" s="765"/>
      <c r="D1" s="765"/>
      <c r="E1" s="766" t="s">
        <v>2038</v>
      </c>
      <c r="F1" s="766"/>
      <c r="G1" s="767" t="s">
        <v>2095</v>
      </c>
      <c r="H1" s="767"/>
      <c r="I1" s="767"/>
      <c r="J1" s="767"/>
      <c r="K1" s="768" t="s">
        <v>2040</v>
      </c>
      <c r="L1" s="769" t="s">
        <v>713</v>
      </c>
      <c r="M1" s="769"/>
      <c r="N1" s="769"/>
      <c r="O1" s="44"/>
      <c r="P1" s="44"/>
      <c r="Q1" s="770" t="e">
        <f aca="false">flg!$l$1</f>
        <v>#NAME?</v>
      </c>
      <c r="R1" s="341" t="s">
        <v>1681</v>
      </c>
      <c r="S1" s="341"/>
      <c r="T1" s="771"/>
      <c r="U1" s="771"/>
      <c r="V1" s="771"/>
      <c r="W1" s="771"/>
      <c r="X1" s="771"/>
      <c r="Y1" s="771"/>
      <c r="Z1" s="771"/>
      <c r="AA1" s="771"/>
      <c r="AB1" s="771"/>
      <c r="AC1" s="771"/>
      <c r="AD1" s="771"/>
      <c r="AE1" s="771"/>
    </row>
    <row r="2" customFormat="false" ht="15.75" hidden="false" customHeight="false" outlineLevel="0" collapsed="false">
      <c r="A2" s="765"/>
      <c r="B2" s="765"/>
      <c r="C2" s="765"/>
      <c r="D2" s="765"/>
      <c r="E2" s="772" t="s">
        <v>2041</v>
      </c>
      <c r="F2" s="772"/>
      <c r="G2" s="773" t="s">
        <v>2096</v>
      </c>
      <c r="H2" s="773"/>
      <c r="I2" s="773"/>
      <c r="J2" s="773"/>
      <c r="K2" s="773"/>
      <c r="L2" s="773"/>
      <c r="M2" s="773"/>
      <c r="N2" s="773"/>
      <c r="O2" s="44"/>
      <c r="P2" s="44"/>
      <c r="Q2" s="774" t="e">
        <f aca="false">fst!$l$1</f>
        <v>#NAME?</v>
      </c>
      <c r="R2" s="386" t="str">
        <f aca="false">IFERROR(__xludf.dummyfunction("{ if(isna(FILTER(MoveDex!$T:$T,MoveDex!$S:$S=$L$1)),,FILTER(MoveDex!$T:$T,MoveDex!$S:$S=$L$1)) ; if(isna(FILTER(MoveDex!$X:$X,MoveDex!$W:$W=$L$1)),,FILTER(MoveDex!$X:$X,MoveDex!$W:$W=$L$1)) ; if(isna(FILTER(MoveDex!$AB:$AB,MoveDex!$AA:$AA=$L$1)),,FILTER(M"&amp;"oveDex!$AB:$AB,MoveDex!$AA:$AA=$L$1)) ; if(isna(FILTER(MoveDex!$AF:$AF,MoveDex!$AE:$AE=$L$1)),,FILTER(MoveDex!$AF:$AF,MoveDex!$AE:$AE=$L$1)) }"),"Empoleon")</f>
        <v>Empoleon</v>
      </c>
      <c r="S2" s="386" t="str">
        <f aca="false">IFERROR(__xludf.dummyfunction("{ if(isna(FILTER(MoveDex!$U:$U,MoveDex!$S:$S=$L$1)),,FILTER(MoveDex!$U:$U,MoveDex!$S:$S=$L$1)) ; if(isna(FILTER(MoveDex!$Y:$Y,MoveDex!$W:$W=$L$1)),,FILTER(MoveDex!$Y:$Y,MoveDex!$W:$W=$L$1)) ; if(isna(FILTER(MoveDex!$AC:$AC,MoveDex!$AA:$AA=$L$1)),,FILTER(M"&amp;"oveDex!$AC:$AC,MoveDex!$AA:$AA=$L$1)) ; if(isna(FILTER(MoveDex!$AG:$AG,MoveDex!$AE:$AE=$L$1)),,FILTER(MoveDex!$AG:$AG,MoveDex!$AE:$AE=$L$1)) }"),"Stealth Rock")</f>
        <v>Stealth Rock</v>
      </c>
      <c r="T2" s="777"/>
      <c r="U2" s="777"/>
      <c r="V2" s="777"/>
      <c r="W2" s="777"/>
      <c r="X2" s="777"/>
      <c r="Y2" s="777"/>
      <c r="Z2" s="777"/>
      <c r="AA2" s="777"/>
      <c r="AB2" s="777"/>
      <c r="AC2" s="777"/>
      <c r="AD2" s="777"/>
      <c r="AE2" s="777"/>
    </row>
    <row r="3" customFormat="false" ht="15.75" hidden="false" customHeight="false" outlineLevel="0" collapsed="false">
      <c r="A3" s="765"/>
      <c r="B3" s="765"/>
      <c r="C3" s="765"/>
      <c r="D3" s="765"/>
      <c r="E3" s="772" t="s">
        <v>2043</v>
      </c>
      <c r="F3" s="772"/>
      <c r="G3" s="773" t="s">
        <v>385</v>
      </c>
      <c r="H3" s="773"/>
      <c r="I3" s="773"/>
      <c r="J3" s="773"/>
      <c r="K3" s="773"/>
      <c r="L3" s="773"/>
      <c r="M3" s="773"/>
      <c r="N3" s="773"/>
      <c r="O3" s="44"/>
      <c r="P3" s="44"/>
      <c r="Q3" s="774" t="e">
        <f aca="false">phi!$l$1</f>
        <v>#NAME?</v>
      </c>
      <c r="R3" s="778" t="s">
        <v>38</v>
      </c>
      <c r="S3" s="511" t="s">
        <v>1106</v>
      </c>
      <c r="T3" s="638"/>
      <c r="U3" s="638"/>
      <c r="V3" s="638"/>
      <c r="W3" s="638"/>
      <c r="X3" s="638"/>
      <c r="Y3" s="638"/>
      <c r="Z3" s="638"/>
      <c r="AA3" s="638"/>
      <c r="AB3" s="638"/>
      <c r="AC3" s="638"/>
      <c r="AD3" s="638"/>
      <c r="AE3" s="638"/>
    </row>
    <row r="4" customFormat="false" ht="15.75" hidden="false" customHeight="false" outlineLevel="0" collapsed="false">
      <c r="A4" s="765"/>
      <c r="B4" s="765"/>
      <c r="C4" s="765"/>
      <c r="D4" s="765"/>
      <c r="E4" s="772" t="s">
        <v>2044</v>
      </c>
      <c r="F4" s="772"/>
      <c r="G4" s="773" t="s">
        <v>2045</v>
      </c>
      <c r="H4" s="773"/>
      <c r="I4" s="773"/>
      <c r="J4" s="773"/>
      <c r="K4" s="773"/>
      <c r="L4" s="773"/>
      <c r="M4" s="773"/>
      <c r="N4" s="773"/>
      <c r="O4" s="44"/>
      <c r="P4" s="44"/>
      <c r="Q4" s="774" t="e">
        <f aca="false">stl!$l$1</f>
        <v>#NAME?</v>
      </c>
      <c r="R4" s="778"/>
      <c r="S4" s="511"/>
      <c r="T4" s="638"/>
      <c r="U4" s="638"/>
      <c r="V4" s="638"/>
      <c r="W4" s="638"/>
      <c r="X4" s="638"/>
      <c r="Y4" s="638"/>
      <c r="Z4" s="638"/>
      <c r="AA4" s="638"/>
      <c r="AB4" s="638"/>
      <c r="AC4" s="638"/>
      <c r="AD4" s="638"/>
      <c r="AE4" s="638"/>
    </row>
    <row r="5" customFormat="false" ht="15.75" hidden="false" customHeight="false" outlineLevel="0" collapsed="false">
      <c r="A5" s="765"/>
      <c r="B5" s="765"/>
      <c r="C5" s="765"/>
      <c r="D5" s="765"/>
      <c r="E5" s="772" t="s">
        <v>2046</v>
      </c>
      <c r="F5" s="772"/>
      <c r="G5" s="773" t="s">
        <v>2049</v>
      </c>
      <c r="H5" s="773"/>
      <c r="I5" s="773"/>
      <c r="J5" s="773"/>
      <c r="K5" s="773"/>
      <c r="L5" s="773"/>
      <c r="M5" s="773"/>
      <c r="N5" s="773"/>
      <c r="O5" s="44"/>
      <c r="P5" s="44"/>
      <c r="Q5" s="779" t="e">
        <f aca="false">bor!$l$1</f>
        <v>#NAME?</v>
      </c>
      <c r="R5" s="778" t="s">
        <v>101</v>
      </c>
      <c r="S5" s="511" t="s">
        <v>1108</v>
      </c>
      <c r="T5" s="638"/>
      <c r="U5" s="638"/>
      <c r="V5" s="638"/>
      <c r="W5" s="638"/>
      <c r="X5" s="638"/>
      <c r="Y5" s="638"/>
      <c r="Z5" s="638"/>
      <c r="AA5" s="638"/>
      <c r="AB5" s="638"/>
      <c r="AC5" s="638"/>
      <c r="AD5" s="638"/>
      <c r="AE5" s="638"/>
    </row>
    <row r="6" customFormat="false" ht="15.75" hidden="false" customHeight="false" outlineLevel="0" collapsed="false">
      <c r="A6" s="765"/>
      <c r="B6" s="765"/>
      <c r="C6" s="765"/>
      <c r="D6" s="765"/>
      <c r="E6" s="772" t="s">
        <v>2048</v>
      </c>
      <c r="F6" s="772"/>
      <c r="G6" s="773" t="s">
        <v>2049</v>
      </c>
      <c r="H6" s="773"/>
      <c r="I6" s="773"/>
      <c r="J6" s="773"/>
      <c r="K6" s="773"/>
      <c r="L6" s="773"/>
      <c r="M6" s="773"/>
      <c r="N6" s="773"/>
      <c r="O6" s="44"/>
      <c r="P6" s="44"/>
      <c r="Q6" s="779" t="e">
        <f aca="false">pit!$l$1</f>
        <v>#NAME?</v>
      </c>
      <c r="R6" s="778" t="s">
        <v>47</v>
      </c>
      <c r="S6" s="511" t="s">
        <v>1108</v>
      </c>
      <c r="T6" s="638"/>
      <c r="U6" s="638"/>
      <c r="V6" s="638"/>
      <c r="W6" s="638"/>
      <c r="X6" s="638"/>
      <c r="Y6" s="638"/>
      <c r="Z6" s="638"/>
      <c r="AA6" s="638"/>
      <c r="AB6" s="638"/>
      <c r="AC6" s="638"/>
      <c r="AD6" s="638"/>
      <c r="AE6" s="638"/>
    </row>
    <row r="7" customFormat="false" ht="15.75" hidden="false" customHeight="false" outlineLevel="0" collapsed="false">
      <c r="A7" s="765"/>
      <c r="B7" s="765"/>
      <c r="C7" s="765"/>
      <c r="D7" s="765"/>
      <c r="E7" s="780" t="s">
        <v>2050</v>
      </c>
      <c r="F7" s="780"/>
      <c r="G7" s="781" t="s">
        <v>2049</v>
      </c>
      <c r="H7" s="781"/>
      <c r="I7" s="781"/>
      <c r="J7" s="781"/>
      <c r="K7" s="781"/>
      <c r="L7" s="781"/>
      <c r="M7" s="781"/>
      <c r="N7" s="781"/>
      <c r="O7" s="44"/>
      <c r="P7" s="44"/>
      <c r="Q7" s="779" t="e">
        <f aca="false">sfa!$l$1</f>
        <v>#NAME?</v>
      </c>
      <c r="R7" s="778"/>
      <c r="S7" s="511"/>
      <c r="T7" s="638"/>
      <c r="U7" s="638"/>
      <c r="V7" s="638"/>
      <c r="W7" s="638"/>
      <c r="X7" s="638"/>
      <c r="Y7" s="638"/>
      <c r="Z7" s="638"/>
      <c r="AA7" s="638"/>
      <c r="AB7" s="638"/>
      <c r="AC7" s="638"/>
      <c r="AD7" s="638"/>
      <c r="AE7" s="638"/>
    </row>
    <row r="8" customFormat="false" ht="15.75" hidden="false" customHeight="false" outlineLevel="0" collapsed="false">
      <c r="A8" s="765"/>
      <c r="B8" s="765"/>
      <c r="C8" s="765"/>
      <c r="D8" s="765"/>
      <c r="E8" s="782" t="s">
        <v>2051</v>
      </c>
      <c r="F8" s="783" t="n">
        <f aca="false">COUNTIF(MatchSource!U3:U19, "WIN")</f>
        <v>2</v>
      </c>
      <c r="G8" s="784" t="s">
        <v>2052</v>
      </c>
      <c r="H8" s="785" t="n">
        <f aca="false">COUNTIF(MatchSource!U3:U19, "LOSE")</f>
        <v>13</v>
      </c>
      <c r="I8" s="786" t="s">
        <v>2053</v>
      </c>
      <c r="J8" s="787" t="n">
        <f aca="false">MatchSource!U44</f>
        <v>-2</v>
      </c>
      <c r="K8" s="88" t="s">
        <v>2054</v>
      </c>
      <c r="L8" s="788" t="n">
        <f aca="false">COUNTIF(MatchSource!U3:U19, "DNP")</f>
        <v>2</v>
      </c>
      <c r="M8" s="562" t="s">
        <v>2055</v>
      </c>
      <c r="N8" s="789" t="str">
        <f aca="false">MatchSource!U23</f>
        <v>Lose-1</v>
      </c>
      <c r="O8" s="44"/>
      <c r="P8" s="44"/>
      <c r="Q8" s="779" t="e">
        <f aca="false">tbl!$l$1</f>
        <v>#NAME?</v>
      </c>
      <c r="R8" s="790"/>
      <c r="S8" s="791"/>
      <c r="T8" s="792"/>
      <c r="U8" s="792"/>
      <c r="V8" s="792"/>
      <c r="W8" s="792"/>
      <c r="X8" s="792"/>
      <c r="Y8" s="792"/>
      <c r="Z8" s="792"/>
      <c r="AA8" s="792"/>
      <c r="AB8" s="792"/>
      <c r="AC8" s="792"/>
      <c r="AD8" s="792"/>
      <c r="AE8" s="792"/>
    </row>
    <row r="9" customFormat="false" ht="15.75" hidden="false" customHeight="false" outlineLevel="0" collapsed="false">
      <c r="A9" s="793" t="str">
        <f aca="false">$G$1</f>
        <v>Berlin Bronzong</v>
      </c>
      <c r="B9" s="793"/>
      <c r="C9" s="793"/>
      <c r="D9" s="793"/>
      <c r="E9" s="794" t="s">
        <v>171</v>
      </c>
      <c r="F9" s="795" t="n">
        <v>0</v>
      </c>
      <c r="G9" s="794" t="s">
        <v>172</v>
      </c>
      <c r="H9" s="795" t="n">
        <v>2</v>
      </c>
      <c r="I9" s="796" t="e">
        <f aca="false">CONCATENATE("Currently #",MATCH($G$1,Main!$A$3:$A$6,0)," in Sun/Moon Division")</f>
        <v>#N/A</v>
      </c>
      <c r="J9" s="796"/>
      <c r="K9" s="796"/>
      <c r="L9" s="796"/>
      <c r="M9" s="797" t="s">
        <v>2056</v>
      </c>
      <c r="N9" s="798" t="e">
        <f aca="false" t="array" ref="N9:N9">INDEX(Main!$L$3:$O$11,MATCH($G$1,Main!$M$3:$M$11,0),1)</f>
        <v>#N/A</v>
      </c>
      <c r="O9" s="44"/>
      <c r="P9" s="44"/>
      <c r="Q9" s="799" t="str">
        <f aca="false">BBG!$L$1</f>
        <v>BBG</v>
      </c>
      <c r="R9" s="790"/>
      <c r="S9" s="791"/>
      <c r="T9" s="792"/>
      <c r="U9" s="792"/>
      <c r="V9" s="792"/>
      <c r="W9" s="792"/>
      <c r="X9" s="792"/>
      <c r="Y9" s="792"/>
      <c r="Z9" s="792"/>
      <c r="AA9" s="792"/>
      <c r="AB9" s="792"/>
      <c r="AC9" s="792"/>
      <c r="AD9" s="792"/>
      <c r="AE9" s="792"/>
    </row>
    <row r="10" customFormat="false" ht="15.75" hidden="false" customHeight="false" outlineLevel="0" collapsed="false">
      <c r="A10" s="800" t="s">
        <v>2057</v>
      </c>
      <c r="B10" s="800"/>
      <c r="C10" s="364" t="s">
        <v>2058</v>
      </c>
      <c r="D10" s="364"/>
      <c r="E10" s="364"/>
      <c r="F10" s="364"/>
      <c r="G10" s="364"/>
      <c r="H10" s="364"/>
      <c r="I10" s="364"/>
      <c r="J10" s="802" t="s">
        <v>264</v>
      </c>
      <c r="K10" s="802"/>
      <c r="L10" s="802"/>
      <c r="M10" s="802"/>
      <c r="N10" s="44"/>
      <c r="O10" s="44"/>
      <c r="P10" s="44"/>
      <c r="Q10" s="799" t="str">
        <f aca="false">SEA!$L$1</f>
        <v>SEA</v>
      </c>
      <c r="R10" s="790"/>
      <c r="S10" s="791"/>
      <c r="T10" s="792"/>
      <c r="U10" s="792"/>
      <c r="V10" s="792"/>
      <c r="W10" s="792"/>
      <c r="X10" s="792"/>
      <c r="Y10" s="792"/>
      <c r="Z10" s="792"/>
      <c r="AA10" s="792"/>
      <c r="AB10" s="792"/>
      <c r="AC10" s="792"/>
      <c r="AD10" s="792"/>
    </row>
    <row r="11" customFormat="false" ht="15.75" hidden="false" customHeight="false" outlineLevel="0" collapsed="false">
      <c r="A11" s="800"/>
      <c r="B11" s="800"/>
      <c r="C11" s="803" t="s">
        <v>2059</v>
      </c>
      <c r="D11" s="804" t="s">
        <v>5</v>
      </c>
      <c r="E11" s="805" t="s">
        <v>6</v>
      </c>
      <c r="F11" s="806" t="s">
        <v>170</v>
      </c>
      <c r="G11" s="807" t="s">
        <v>191</v>
      </c>
      <c r="H11" s="808" t="s">
        <v>7</v>
      </c>
      <c r="I11" s="809" t="s">
        <v>2060</v>
      </c>
      <c r="J11" s="810" t="str">
        <f aca="false">DraftRosters!$K$16</f>
        <v>Kommo-o</v>
      </c>
      <c r="K11" s="810"/>
      <c r="L11" s="810"/>
      <c r="M11" s="810"/>
      <c r="N11" s="44"/>
      <c r="O11" s="44"/>
      <c r="P11" s="44"/>
      <c r="Q11" s="799" t="str">
        <f aca="false">JVJ!$L$1</f>
        <v>JVJ</v>
      </c>
      <c r="R11" s="790"/>
      <c r="S11" s="791"/>
      <c r="T11" s="792"/>
      <c r="U11" s="792"/>
      <c r="V11" s="792"/>
      <c r="W11" s="792"/>
      <c r="X11" s="792"/>
      <c r="Y11" s="792"/>
      <c r="Z11" s="792"/>
      <c r="AA11" s="792"/>
      <c r="AB11" s="792"/>
      <c r="AC11" s="792"/>
      <c r="AD11" s="792"/>
    </row>
    <row r="12" customFormat="false" ht="15.75" hidden="false" customHeight="false" outlineLevel="0" collapsed="false">
      <c r="A12" s="811" t="str">
        <f aca="false">IFERROR(__xludf.dummyfunction("if(isna(filter(DraftRosters!$K$4:$K$14,not(isblank(DraftRosters!$K$4:$K$14)))), ""NONE DRAFTED"", filter(DraftRosters!$K$4:$K$14,not(isblank(DraftRosters!$K$4:$K$14))))"),"Tapu Bulu")</f>
        <v>Tapu Bulu</v>
      </c>
      <c r="B12" s="811"/>
      <c r="C12" s="812" t="str">
        <f aca="false" t="array" ref="C12:C12">IF(ISNA(INDEX(Pokedex!J$2:J$610,MATCH($A12,Pokedex!$B$2:$B$610,0))),"-",INDEX(Pokedex!J$2:J$610,MATCH($A12,Pokedex!$B$2:$B$610,0)))</f>
        <v>Tier 1</v>
      </c>
      <c r="D12" s="813" t="n">
        <f aca="false" t="array" ref="D12:D12">IF(ISNA(INDEX(Pokedex!E$2:E$610,MATCH($A12,Pokedex!$B$2:$B$610,0))),"-",INDEX(Pokedex!E$2:E$610,MATCH($A12,Pokedex!$B$2:$B$610,0)))</f>
        <v>0</v>
      </c>
      <c r="E12" s="813" t="n">
        <f aca="false" t="array" ref="E12:E12">IF(ISNA(INDEX(Pokedex!F$2:F$610,MATCH($A12,Pokedex!$B$2:$B$610,0))),"-",INDEX(Pokedex!F$2:F$610,MATCH($A12,Pokedex!$B$2:$B$610,0)))</f>
        <v>0</v>
      </c>
      <c r="F12" s="814" t="e">
        <f aca="false" t="array" ref="F12:F12">IF(ISNA(INDEX(Pokedex!G$2:G$610,MATCH($A12,Pokedex!$B$2:$B$610,0))),"-",INDEX(Pokedex!G$2:G$610,MATCH($A12,Pokedex!$B$2:$B$610,0)))</f>
        <v>#NAME?</v>
      </c>
      <c r="G12" s="814" t="n">
        <f aca="false" t="array" ref="G12:G12">IF(ISNA(INDEX(Pokedex!H$2:H$610,MATCH($A12,Pokedex!$B$2:$B$610,0))),"-",INDEX(Pokedex!H$2:H$610,MATCH($A12,Pokedex!$B$2:$B$610,0)))</f>
        <v>5</v>
      </c>
      <c r="H12" s="813" t="n">
        <f aca="false" t="array" ref="H12:H12">IF(ISNA(INDEX(Pokedex!I$2:I$610,MATCH($A12,Pokedex!$B$2:$B$610,0))),"-",INDEX(Pokedex!I$2:I$610,MATCH($A12,Pokedex!$B$2:$B$610,0)))</f>
        <v>0</v>
      </c>
      <c r="I12" s="815" t="n">
        <f aca="false" t="array" ref="I12:I12">IF(ISNA(INDEX(ExpandedStats!$A$3:$A$240,MATCH($A12,ExpandedStats!$C$3:$C$240,0))),"-",INDEX(ExpandedStats!$A$3:$A$240,MATCH($A12,ExpandedStats!$C$3:$C$240,0)))</f>
        <v>48</v>
      </c>
      <c r="J12" s="816" t="s">
        <v>2061</v>
      </c>
      <c r="K12" s="816"/>
      <c r="L12" s="816"/>
      <c r="M12" s="816"/>
      <c r="N12" s="44"/>
      <c r="O12" s="44"/>
      <c r="P12" s="44"/>
      <c r="Q12" s="799" t="str">
        <f aca="false">KKS!$L$1</f>
        <v>KKS</v>
      </c>
      <c r="R12" s="790"/>
      <c r="S12" s="791"/>
      <c r="T12" s="792"/>
      <c r="U12" s="792"/>
      <c r="V12" s="792"/>
      <c r="W12" s="792"/>
      <c r="X12" s="792"/>
      <c r="Y12" s="792"/>
      <c r="Z12" s="792"/>
      <c r="AA12" s="792"/>
      <c r="AB12" s="792"/>
      <c r="AC12" s="792"/>
      <c r="AD12" s="792"/>
    </row>
    <row r="13" customFormat="false" ht="15.75" hidden="false" customHeight="false" outlineLevel="0" collapsed="false">
      <c r="A13" s="817" t="s">
        <v>100</v>
      </c>
      <c r="B13" s="817"/>
      <c r="C13" s="818" t="str">
        <f aca="false" t="array" ref="C13:C13">IF(ISNA(INDEX(Pokedex!J$2:J$610,MATCH($A13,Pokedex!$B$2:$B$610,0))),"-",INDEX(Pokedex!J$2:J$610,MATCH($A13,Pokedex!$B$2:$B$610,0)))</f>
        <v>Tier 2</v>
      </c>
      <c r="D13" s="50" t="n">
        <f aca="false" t="array" ref="D13:D13">IF(ISNA(INDEX(Pokedex!E$2:E$610,MATCH($A13,Pokedex!$B$2:$B$610,0))),"-",INDEX(Pokedex!E$2:E$610,MATCH($A13,Pokedex!$B$2:$B$610,0)))</f>
        <v>0</v>
      </c>
      <c r="E13" s="50" t="n">
        <f aca="false" t="array" ref="E13:E13">IF(ISNA(INDEX(Pokedex!F$2:F$610,MATCH($A13,Pokedex!$B$2:$B$610,0))),"-",INDEX(Pokedex!F$2:F$610,MATCH($A13,Pokedex!$B$2:$B$610,0)))</f>
        <v>0</v>
      </c>
      <c r="F13" s="469" t="e">
        <f aca="false" t="array" ref="F13:F13">IF(ISNA(INDEX(Pokedex!G$2:G$610,MATCH($A13,Pokedex!$B$2:$B$610,0))),"-",INDEX(Pokedex!G$2:G$610,MATCH($A13,Pokedex!$B$2:$B$610,0)))</f>
        <v>#NAME?</v>
      </c>
      <c r="G13" s="50" t="n">
        <f aca="false" t="array" ref="G13:G13">IF(ISNA(INDEX(Pokedex!H$2:H$610,MATCH($A13,Pokedex!$B$2:$B$610,0))),"-",INDEX(Pokedex!H$2:H$610,MATCH($A13,Pokedex!$B$2:$B$610,0)))</f>
        <v>4</v>
      </c>
      <c r="H13" s="477" t="n">
        <f aca="false" t="array" ref="H13:H13">IF(ISNA(INDEX(Pokedex!I$2:I$610,MATCH($A13,Pokedex!$B$2:$B$610,0))),"-",INDEX(Pokedex!I$2:I$610,MATCH($A13,Pokedex!$B$2:$B$610,0)))</f>
        <v>0</v>
      </c>
      <c r="I13" s="477" t="n">
        <f aca="false" t="array" ref="I13:I13">IF(ISNA(INDEX(ExpandedStats!$A$3:$A$240,MATCH($A13,ExpandedStats!$C$3:$C$240,0))),"-",INDEX(ExpandedStats!$A$3:$A$240,MATCH($A13,ExpandedStats!$C$3:$C$240,0)))</f>
        <v>76</v>
      </c>
      <c r="J13" s="819" t="str">
        <f aca="false">DraftRosters!$K$18</f>
        <v>Hydreigon</v>
      </c>
      <c r="K13" s="819"/>
      <c r="L13" s="819"/>
      <c r="M13" s="819"/>
      <c r="N13" s="44"/>
      <c r="O13" s="44"/>
      <c r="P13" s="44"/>
      <c r="Q13" s="83" t="str">
        <f aca="false">LVC!$L$1</f>
        <v>LVC</v>
      </c>
      <c r="R13" s="820"/>
      <c r="S13" s="821"/>
      <c r="T13" s="792"/>
      <c r="U13" s="792"/>
      <c r="V13" s="792"/>
      <c r="W13" s="792"/>
      <c r="X13" s="792"/>
      <c r="Y13" s="792"/>
      <c r="Z13" s="792"/>
      <c r="AA13" s="792"/>
      <c r="AB13" s="792"/>
      <c r="AC13" s="792"/>
      <c r="AD13" s="792"/>
    </row>
    <row r="14" customFormat="false" ht="15.75" hidden="false" customHeight="false" outlineLevel="0" collapsed="false">
      <c r="A14" s="817" t="s">
        <v>120</v>
      </c>
      <c r="B14" s="817"/>
      <c r="C14" s="818" t="str">
        <f aca="false" t="array" ref="C14:C14">IF(ISNA(INDEX(Pokedex!J$2:J$610,MATCH($A14,Pokedex!$B$2:$B$610,0))),"-",INDEX(Pokedex!J$2:J$610,MATCH($A14,Pokedex!$B$2:$B$610,0)))</f>
        <v>Tier 3</v>
      </c>
      <c r="D14" s="51" t="n">
        <f aca="false" t="array" ref="D14:D14">IF(ISNA(INDEX(Pokedex!E$2:E$610,MATCH($A14,Pokedex!$B$2:$B$610,0))),"-",INDEX(Pokedex!E$2:E$610,MATCH($A14,Pokedex!$B$2:$B$610,0)))</f>
        <v>0</v>
      </c>
      <c r="E14" s="50" t="n">
        <f aca="false" t="array" ref="E14:E14">IF(ISNA(INDEX(Pokedex!F$2:F$610,MATCH($A14,Pokedex!$B$2:$B$610,0))),"-",INDEX(Pokedex!F$2:F$610,MATCH($A14,Pokedex!$B$2:$B$610,0)))</f>
        <v>0</v>
      </c>
      <c r="F14" s="469" t="e">
        <f aca="false" t="array" ref="F14:F14">IF(ISNA(INDEX(Pokedex!G$2:G$610,MATCH($A14,Pokedex!$B$2:$B$610,0))),"-",INDEX(Pokedex!G$2:G$610,MATCH($A14,Pokedex!$B$2:$B$610,0)))</f>
        <v>#NAME?</v>
      </c>
      <c r="G14" s="50" t="n">
        <f aca="false" t="array" ref="G14:G14">IF(ISNA(INDEX(Pokedex!H$2:H$610,MATCH($A14,Pokedex!$B$2:$B$610,0))),"-",INDEX(Pokedex!H$2:H$610,MATCH($A14,Pokedex!$B$2:$B$610,0)))</f>
        <v>1</v>
      </c>
      <c r="H14" s="477" t="n">
        <f aca="false" t="array" ref="H14:H14">IF(ISNA(INDEX(Pokedex!I$2:I$610,MATCH($A14,Pokedex!$B$2:$B$610,0))),"-",INDEX(Pokedex!I$2:I$610,MATCH($A14,Pokedex!$B$2:$B$610,0)))</f>
        <v>0</v>
      </c>
      <c r="I14" s="727" t="n">
        <f aca="false" t="array" ref="I14:I14">IF(ISNA(INDEX(ExpandedStats!$A$3:$A$240,MATCH($A14,ExpandedStats!$C$3:$C$240,0))),"-",INDEX(ExpandedStats!$A$3:$A$240,MATCH($A14,ExpandedStats!$C$3:$C$240,0)))</f>
        <v>65</v>
      </c>
      <c r="J14" s="810" t="str">
        <f aca="false">DraftRosters!$K$19</f>
        <v>Xurkitree</v>
      </c>
      <c r="K14" s="810"/>
      <c r="L14" s="810"/>
      <c r="M14" s="810"/>
      <c r="N14" s="44"/>
      <c r="O14" s="44"/>
      <c r="P14" s="44"/>
      <c r="Q14" s="331" t="str">
        <f aca="false">BTB!$L$1</f>
        <v>BTB</v>
      </c>
      <c r="R14" s="822"/>
      <c r="S14" s="792"/>
      <c r="T14" s="792"/>
      <c r="U14" s="792"/>
      <c r="V14" s="792"/>
      <c r="W14" s="792"/>
      <c r="X14" s="792"/>
      <c r="Y14" s="792"/>
      <c r="Z14" s="792"/>
      <c r="AA14" s="792"/>
      <c r="AB14" s="792"/>
      <c r="AC14" s="792"/>
      <c r="AD14" s="792"/>
    </row>
    <row r="15" customFormat="false" ht="15.75" hidden="false" customHeight="false" outlineLevel="0" collapsed="false">
      <c r="A15" s="817" t="s">
        <v>47</v>
      </c>
      <c r="B15" s="817"/>
      <c r="C15" s="818" t="str">
        <f aca="false" t="array" ref="C15:C15">IF(ISNA(INDEX(Pokedex!J$2:J$610,MATCH($A15,Pokedex!$B$2:$B$610,0))),"-",INDEX(Pokedex!J$2:J$610,MATCH($A15,Pokedex!$B$2:$B$610,0)))</f>
        <v>Tier 3</v>
      </c>
      <c r="D15" s="50" t="n">
        <f aca="false" t="array" ref="D15:D15">IF(ISNA(INDEX(Pokedex!E$2:E$610,MATCH($A15,Pokedex!$B$2:$B$610,0))),"-",INDEX(Pokedex!E$2:E$610,MATCH($A15,Pokedex!$B$2:$B$610,0)))</f>
        <v>0</v>
      </c>
      <c r="E15" s="50" t="n">
        <f aca="false" t="array" ref="E15:E15">IF(ISNA(INDEX(Pokedex!F$2:F$610,MATCH($A15,Pokedex!$B$2:$B$610,0))),"-",INDEX(Pokedex!F$2:F$610,MATCH($A15,Pokedex!$B$2:$B$610,0)))</f>
        <v>0</v>
      </c>
      <c r="F15" s="469" t="e">
        <f aca="false" t="array" ref="F15:F15">IF(ISNA(INDEX(Pokedex!G$2:G$610,MATCH($A15,Pokedex!$B$2:$B$610,0))),"-",INDEX(Pokedex!G$2:G$610,MATCH($A15,Pokedex!$B$2:$B$610,0)))</f>
        <v>#NAME?</v>
      </c>
      <c r="G15" s="50" t="n">
        <f aca="false" t="array" ref="G15:G15">IF(ISNA(INDEX(Pokedex!H$2:H$610,MATCH($A15,Pokedex!$B$2:$B$610,0))),"-",INDEX(Pokedex!H$2:H$610,MATCH($A15,Pokedex!$B$2:$B$610,0)))</f>
        <v>4</v>
      </c>
      <c r="H15" s="477" t="n">
        <f aca="false" t="array" ref="H15:H15">IF(ISNA(INDEX(Pokedex!I$2:I$610,MATCH($A15,Pokedex!$B$2:$B$610,0))),"-",INDEX(Pokedex!I$2:I$610,MATCH($A15,Pokedex!$B$2:$B$610,0)))</f>
        <v>0</v>
      </c>
      <c r="I15" s="50" t="n">
        <f aca="false" t="array" ref="I15:I15">IF(ISNA(INDEX(ExpandedStats!$A$3:$A$240,MATCH($A15,ExpandedStats!$C$3:$C$240,0))),"-",INDEX(ExpandedStats!$A$3:$A$240,MATCH($A15,ExpandedStats!$C$3:$C$240,0)))</f>
        <v>37</v>
      </c>
      <c r="J15" s="823"/>
      <c r="K15" s="111"/>
      <c r="L15" s="111"/>
      <c r="M15" s="111"/>
      <c r="N15" s="44"/>
      <c r="O15" s="44"/>
      <c r="P15" s="44"/>
      <c r="Q15" s="331" t="str">
        <f aca="false">SGP!$L$1</f>
        <v>SGP</v>
      </c>
      <c r="R15" s="822"/>
      <c r="S15" s="792"/>
      <c r="T15" s="792"/>
      <c r="U15" s="792"/>
      <c r="V15" s="792"/>
      <c r="W15" s="792"/>
      <c r="X15" s="792"/>
      <c r="Y15" s="792"/>
      <c r="Z15" s="792"/>
      <c r="AA15" s="792"/>
      <c r="AB15" s="792"/>
      <c r="AC15" s="792"/>
      <c r="AD15" s="792"/>
    </row>
    <row r="16" customFormat="false" ht="15.75" hidden="false" customHeight="false" outlineLevel="0" collapsed="false">
      <c r="A16" s="817" t="s">
        <v>99</v>
      </c>
      <c r="B16" s="817"/>
      <c r="C16" s="818" t="str">
        <f aca="false" t="array" ref="C16:C16">IF(ISNA(INDEX(Pokedex!J$2:J$610,MATCH($A16,Pokedex!$B$2:$B$610,0))),"-",INDEX(Pokedex!J$2:J$610,MATCH($A16,Pokedex!$B$2:$B$610,0)))</f>
        <v>Tier 4</v>
      </c>
      <c r="D16" s="51" t="n">
        <f aca="false" t="array" ref="D16:D16">IF(ISNA(INDEX(Pokedex!E$2:E$610,MATCH($A16,Pokedex!$B$2:$B$610,0))),"-",INDEX(Pokedex!E$2:E$610,MATCH($A16,Pokedex!$B$2:$B$610,0)))</f>
        <v>0</v>
      </c>
      <c r="E16" s="50" t="n">
        <f aca="false" t="array" ref="E16:E16">IF(ISNA(INDEX(Pokedex!F$2:F$610,MATCH($A16,Pokedex!$B$2:$B$610,0))),"-",INDEX(Pokedex!F$2:F$610,MATCH($A16,Pokedex!$B$2:$B$610,0)))</f>
        <v>0</v>
      </c>
      <c r="F16" s="469" t="e">
        <f aca="false" t="array" ref="F16:F16">IF(ISNA(INDEX(Pokedex!G$2:G$610,MATCH($A16,Pokedex!$B$2:$B$610,0))),"-",INDEX(Pokedex!G$2:G$610,MATCH($A16,Pokedex!$B$2:$B$610,0)))</f>
        <v>#NAME?</v>
      </c>
      <c r="G16" s="50" t="n">
        <f aca="false" t="array" ref="G16:G16">IF(ISNA(INDEX(Pokedex!H$2:H$610,MATCH($A16,Pokedex!$B$2:$B$610,0))),"-",INDEX(Pokedex!H$2:H$610,MATCH($A16,Pokedex!$B$2:$B$610,0)))</f>
        <v>4</v>
      </c>
      <c r="H16" s="477" t="n">
        <f aca="false" t="array" ref="H16:H16">IF(ISNA(INDEX(Pokedex!I$2:I$610,MATCH($A16,Pokedex!$B$2:$B$610,0))),"-",INDEX(Pokedex!I$2:I$610,MATCH($A16,Pokedex!$B$2:$B$610,0)))</f>
        <v>0</v>
      </c>
      <c r="I16" s="51" t="n">
        <f aca="false" t="array" ref="I16:I16">IF(ISNA(INDEX(ExpandedStats!$A$3:$A$240,MATCH($A16,ExpandedStats!$C$3:$C$240,0))),"-",INDEX(ExpandedStats!$A$3:$A$240,MATCH($A16,ExpandedStats!$C$3:$C$240,0)))</f>
        <v>11</v>
      </c>
      <c r="J16" s="823"/>
      <c r="K16" s="111"/>
      <c r="L16" s="111"/>
      <c r="M16" s="111"/>
      <c r="N16" s="44"/>
      <c r="O16" s="44"/>
      <c r="P16" s="44"/>
      <c r="Q16" s="340" t="str">
        <f aca="false">FTT!$L$1</f>
        <v>FTT</v>
      </c>
      <c r="R16" s="822"/>
      <c r="S16" s="792"/>
      <c r="T16" s="792"/>
      <c r="U16" s="792"/>
      <c r="V16" s="792"/>
      <c r="W16" s="792"/>
      <c r="X16" s="792"/>
      <c r="Y16" s="792"/>
      <c r="Z16" s="792"/>
      <c r="AA16" s="792"/>
      <c r="AB16" s="792"/>
      <c r="AC16" s="792"/>
      <c r="AD16" s="792"/>
    </row>
    <row r="17" customFormat="false" ht="15.75" hidden="false" customHeight="false" outlineLevel="0" collapsed="false">
      <c r="A17" s="817" t="s">
        <v>41</v>
      </c>
      <c r="B17" s="817"/>
      <c r="C17" s="818" t="str">
        <f aca="false" t="array" ref="C17:C17">IF(ISNA(INDEX(Pokedex!J$2:J$610,MATCH($A17,Pokedex!$B$2:$B$610,0))),"-",INDEX(Pokedex!J$2:J$610,MATCH($A17,Pokedex!$B$2:$B$610,0)))</f>
        <v>Tier 5</v>
      </c>
      <c r="D17" s="50" t="n">
        <f aca="false" t="array" ref="D17:D17">IF(ISNA(INDEX(Pokedex!E$2:E$610,MATCH($A17,Pokedex!$B$2:$B$610,0))),"-",INDEX(Pokedex!E$2:E$610,MATCH($A17,Pokedex!$B$2:$B$610,0)))</f>
        <v>0</v>
      </c>
      <c r="E17" s="50" t="n">
        <f aca="false" t="array" ref="E17:E17">IF(ISNA(INDEX(Pokedex!F$2:F$610,MATCH($A17,Pokedex!$B$2:$B$610,0))),"-",INDEX(Pokedex!F$2:F$610,MATCH($A17,Pokedex!$B$2:$B$610,0)))</f>
        <v>0</v>
      </c>
      <c r="F17" s="469" t="e">
        <f aca="false" t="array" ref="F17:F17">IF(ISNA(INDEX(Pokedex!G$2:G$610,MATCH($A17,Pokedex!$B$2:$B$610,0))),"-",INDEX(Pokedex!G$2:G$610,MATCH($A17,Pokedex!$B$2:$B$610,0)))</f>
        <v>#NAME?</v>
      </c>
      <c r="G17" s="50" t="n">
        <f aca="false" t="array" ref="G17:G17">IF(ISNA(INDEX(Pokedex!H$2:H$610,MATCH($A17,Pokedex!$B$2:$B$610,0))),"-",INDEX(Pokedex!H$2:H$610,MATCH($A17,Pokedex!$B$2:$B$610,0)))</f>
        <v>3</v>
      </c>
      <c r="H17" s="477" t="n">
        <f aca="false" t="array" ref="H17:H17">IF(ISNA(INDEX(Pokedex!I$2:I$610,MATCH($A17,Pokedex!$B$2:$B$610,0))),"-",INDEX(Pokedex!I$2:I$610,MATCH($A17,Pokedex!$B$2:$B$610,0)))</f>
        <v>0</v>
      </c>
      <c r="I17" s="50" t="n">
        <f aca="false" t="array" ref="I17:I17">IF(ISNA(INDEX(ExpandedStats!$A$3:$A$240,MATCH($A17,ExpandedStats!$C$3:$C$240,0))),"-",INDEX(ExpandedStats!$A$3:$A$240,MATCH($A17,ExpandedStats!$C$3:$C$240,0)))</f>
        <v>44</v>
      </c>
      <c r="J17" s="823"/>
      <c r="K17" s="111"/>
      <c r="L17" s="111"/>
      <c r="M17" s="111"/>
      <c r="N17" s="44"/>
      <c r="O17" s="44"/>
      <c r="P17" s="44"/>
      <c r="Q17" s="93"/>
      <c r="R17" s="824"/>
      <c r="S17" s="638"/>
      <c r="T17" s="638"/>
      <c r="U17" s="638"/>
      <c r="V17" s="638"/>
      <c r="W17" s="638"/>
      <c r="X17" s="638"/>
      <c r="Y17" s="638"/>
      <c r="Z17" s="638"/>
      <c r="AA17" s="638"/>
      <c r="AB17" s="638"/>
      <c r="AC17" s="638"/>
      <c r="AD17" s="638"/>
    </row>
    <row r="18" customFormat="false" ht="15.75" hidden="false" customHeight="false" outlineLevel="0" collapsed="false">
      <c r="A18" s="817" t="s">
        <v>101</v>
      </c>
      <c r="B18" s="817"/>
      <c r="C18" s="818" t="str">
        <f aca="false" t="array" ref="C18:C18">IF(ISNA(INDEX(Pokedex!J$2:J$610,MATCH($A18,Pokedex!$B$2:$B$610,0))),"-",INDEX(Pokedex!J$2:J$610,MATCH($A18,Pokedex!$B$2:$B$610,0)))</f>
        <v>M2</v>
      </c>
      <c r="D18" s="51" t="n">
        <f aca="false" t="array" ref="D18:D18">IF(ISNA(INDEX(Pokedex!E$2:E$610,MATCH($A18,Pokedex!$B$2:$B$610,0))),"-",INDEX(Pokedex!E$2:E$610,MATCH($A18,Pokedex!$B$2:$B$610,0)))</f>
        <v>0</v>
      </c>
      <c r="E18" s="50" t="n">
        <f aca="false" t="array" ref="E18:E18">IF(ISNA(INDEX(Pokedex!F$2:F$610,MATCH($A18,Pokedex!$B$2:$B$610,0))),"-",INDEX(Pokedex!F$2:F$610,MATCH($A18,Pokedex!$B$2:$B$610,0)))</f>
        <v>0</v>
      </c>
      <c r="F18" s="469" t="e">
        <f aca="false" t="array" ref="F18:F18">IF(ISNA(INDEX(Pokedex!G$2:G$610,MATCH($A18,Pokedex!$B$2:$B$610,0))),"-",INDEX(Pokedex!G$2:G$610,MATCH($A18,Pokedex!$B$2:$B$610,0)))</f>
        <v>#NAME?</v>
      </c>
      <c r="G18" s="50" t="n">
        <f aca="false" t="array" ref="G18:G18">IF(ISNA(INDEX(Pokedex!H$2:H$610,MATCH($A18,Pokedex!$B$2:$B$610,0))),"-",INDEX(Pokedex!H$2:H$610,MATCH($A18,Pokedex!$B$2:$B$610,0)))</f>
        <v>2</v>
      </c>
      <c r="H18" s="477" t="n">
        <f aca="false" t="array" ref="H18:H18">IF(ISNA(INDEX(Pokedex!I$2:I$610,MATCH($A18,Pokedex!$B$2:$B$610,0))),"-",INDEX(Pokedex!I$2:I$610,MATCH($A18,Pokedex!$B$2:$B$610,0)))</f>
        <v>0</v>
      </c>
      <c r="I18" s="51" t="n">
        <f aca="false" t="array" ref="I18:I18">IF(ISNA(INDEX(ExpandedStats!$A$3:$A$240,MATCH($A18,ExpandedStats!$C$3:$C$240,0))),"-",INDEX(ExpandedStats!$A$3:$A$240,MATCH($A18,ExpandedStats!$C$3:$C$240,0)))</f>
        <v>72</v>
      </c>
      <c r="J18" s="823"/>
      <c r="K18" s="111"/>
      <c r="L18" s="111"/>
      <c r="M18" s="111"/>
      <c r="N18" s="44"/>
      <c r="O18" s="44"/>
      <c r="P18" s="44"/>
      <c r="Q18" s="93"/>
      <c r="T18" s="825"/>
      <c r="U18" s="825"/>
      <c r="V18" s="825"/>
      <c r="W18" s="825"/>
      <c r="X18" s="825"/>
      <c r="Y18" s="825"/>
      <c r="Z18" s="825"/>
      <c r="AA18" s="825"/>
      <c r="AB18" s="825"/>
      <c r="AC18" s="825"/>
      <c r="AD18" s="825"/>
    </row>
    <row r="19" customFormat="false" ht="15.75" hidden="false" customHeight="false" outlineLevel="0" collapsed="false">
      <c r="A19" s="817" t="s">
        <v>38</v>
      </c>
      <c r="B19" s="817"/>
      <c r="C19" s="818" t="str">
        <f aca="false" t="array" ref="C19:C19">IF(ISNA(INDEX(Pokedex!J$2:J$610,MATCH($A19,Pokedex!$B$2:$B$610,0))),"-",INDEX(Pokedex!J$2:J$610,MATCH($A19,Pokedex!$B$2:$B$610,0)))</f>
        <v>Tier 2</v>
      </c>
      <c r="D19" s="50" t="n">
        <f aca="false" t="array" ref="D19:D19">IF(ISNA(INDEX(Pokedex!E$2:E$610,MATCH($A19,Pokedex!$B$2:$B$610,0))),"-",INDEX(Pokedex!E$2:E$610,MATCH($A19,Pokedex!$B$2:$B$610,0)))</f>
        <v>0</v>
      </c>
      <c r="E19" s="50" t="n">
        <f aca="false" t="array" ref="E19:E19">IF(ISNA(INDEX(Pokedex!F$2:F$610,MATCH($A19,Pokedex!$B$2:$B$610,0))),"-",INDEX(Pokedex!F$2:F$610,MATCH($A19,Pokedex!$B$2:$B$610,0)))</f>
        <v>0</v>
      </c>
      <c r="F19" s="469" t="e">
        <f aca="false" t="array" ref="F19:F19">IF(ISNA(INDEX(Pokedex!G$2:G$610,MATCH($A19,Pokedex!$B$2:$B$610,0))),"-",INDEX(Pokedex!G$2:G$610,MATCH($A19,Pokedex!$B$2:$B$610,0)))</f>
        <v>#NAME?</v>
      </c>
      <c r="G19" s="50" t="n">
        <f aca="false" t="array" ref="G19:G19">IF(ISNA(INDEX(Pokedex!H$2:H$610,MATCH($A19,Pokedex!$B$2:$B$610,0))),"-",INDEX(Pokedex!H$2:H$610,MATCH($A19,Pokedex!$B$2:$B$610,0)))</f>
        <v>4</v>
      </c>
      <c r="H19" s="477" t="n">
        <f aca="false" t="array" ref="H19:H19">IF(ISNA(INDEX(Pokedex!I$2:I$610,MATCH($A19,Pokedex!$B$2:$B$610,0))),"-",INDEX(Pokedex!I$2:I$610,MATCH($A19,Pokedex!$B$2:$B$610,0)))</f>
        <v>0</v>
      </c>
      <c r="I19" s="50" t="n">
        <f aca="false" t="array" ref="I19:I19">IF(ISNA(INDEX(ExpandedStats!$A$3:$A$240,MATCH($A19,ExpandedStats!$C$3:$C$240,0))),"-",INDEX(ExpandedStats!$A$3:$A$240,MATCH($A19,ExpandedStats!$C$3:$C$240,0)))</f>
        <v>18</v>
      </c>
      <c r="J19" s="823"/>
      <c r="K19" s="111"/>
      <c r="L19" s="111"/>
      <c r="M19" s="111"/>
      <c r="N19" s="44"/>
      <c r="O19" s="44"/>
      <c r="P19" s="44"/>
      <c r="Q19" s="93"/>
      <c r="R19" s="341" t="s">
        <v>2062</v>
      </c>
      <c r="S19" s="341"/>
      <c r="T19" s="771"/>
      <c r="U19" s="771"/>
      <c r="V19" s="771"/>
      <c r="W19" s="771"/>
      <c r="X19" s="771"/>
      <c r="Y19" s="771"/>
      <c r="Z19" s="771"/>
      <c r="AA19" s="771"/>
      <c r="AB19" s="771"/>
      <c r="AC19" s="771"/>
      <c r="AD19" s="771"/>
    </row>
    <row r="20" customFormat="false" ht="15.75" hidden="false" customHeight="false" outlineLevel="0" collapsed="false">
      <c r="A20" s="817" t="s">
        <v>50</v>
      </c>
      <c r="B20" s="817"/>
      <c r="C20" s="818" t="str">
        <f aca="false" t="array" ref="C20:C20">IF(ISNA(INDEX(Pokedex!J$2:J$610,MATCH($A20,Pokedex!$B$2:$B$610,0))),"-",INDEX(Pokedex!J$2:J$610,MATCH($A20,Pokedex!$B$2:$B$610,0)))</f>
        <v>Tier 2</v>
      </c>
      <c r="D20" s="51" t="n">
        <f aca="false" t="array" ref="D20:D20">IF(ISNA(INDEX(Pokedex!E$2:E$610,MATCH($A20,Pokedex!$B$2:$B$610,0))),"-",INDEX(Pokedex!E$2:E$610,MATCH($A20,Pokedex!$B$2:$B$610,0)))</f>
        <v>0</v>
      </c>
      <c r="E20" s="50" t="n">
        <f aca="false" t="array" ref="E20:E20">IF(ISNA(INDEX(Pokedex!F$2:F$610,MATCH($A20,Pokedex!$B$2:$B$610,0))),"-",INDEX(Pokedex!F$2:F$610,MATCH($A20,Pokedex!$B$2:$B$610,0)))</f>
        <v>0</v>
      </c>
      <c r="F20" s="469" t="e">
        <f aca="false" t="array" ref="F20:F20">IF(ISNA(INDEX(Pokedex!G$2:G$610,MATCH($A20,Pokedex!$B$2:$B$610,0))),"-",INDEX(Pokedex!G$2:G$610,MATCH($A20,Pokedex!$B$2:$B$610,0)))</f>
        <v>#NAME?</v>
      </c>
      <c r="G20" s="50" t="n">
        <f aca="false" t="array" ref="G20:G20">IF(ISNA(INDEX(Pokedex!H$2:H$610,MATCH($A20,Pokedex!$B$2:$B$610,0))),"-",INDEX(Pokedex!H$2:H$610,MATCH($A20,Pokedex!$B$2:$B$610,0)))</f>
        <v>2</v>
      </c>
      <c r="H20" s="477" t="n">
        <f aca="false" t="array" ref="H20:H20">IF(ISNA(INDEX(Pokedex!I$2:I$610,MATCH($A20,Pokedex!$B$2:$B$610,0))),"-",INDEX(Pokedex!I$2:I$610,MATCH($A20,Pokedex!$B$2:$B$610,0)))</f>
        <v>0</v>
      </c>
      <c r="I20" s="727" t="n">
        <f aca="false" t="array" ref="I20:I20">IF(ISNA(INDEX(ExpandedStats!$A$3:$A$240,MATCH($A20,ExpandedStats!$C$3:$C$240,0))),"-",INDEX(ExpandedStats!$A$3:$A$240,MATCH($A20,ExpandedStats!$C$3:$C$240,0)))</f>
        <v>55</v>
      </c>
      <c r="K20" s="44"/>
      <c r="L20" s="44"/>
      <c r="M20" s="44"/>
      <c r="N20" s="44"/>
      <c r="O20" s="44"/>
      <c r="P20" s="44"/>
      <c r="Q20" s="93"/>
      <c r="R20" s="386" t="str">
        <f aca="false">IFERROR(__xludf.dummyfunction("{ if(isna(FILTER(MoveDex!$AJ:$AJ,MoveDex!$AI:$AI=$L$1)),,FILTER(MoveDex!$AJ:$AJ,MoveDex!$AI:$AI=$L$1)) ; if(isna(FILTER(MoveDex!$AN:$AN,MoveDex!$AM:$AM=$L$1)),,FILTER(MoveDex!$AN:$AN,MoveDex!$AM:$AM=$L$1)) }"),"Beedrill-Mega")</f>
        <v>Beedrill-Mega</v>
      </c>
      <c r="S20" s="386" t="str">
        <f aca="false">IFERROR(__xludf.dummyfunction("{ if(isna(FILTER(MoveDex!$AK:$AK,MoveDex!$AI:$AI=$L$1)),,FILTER(MoveDex!$AK:$AK,MoveDex!$AI:$AI=$L$1)) ; if(isna(FILTER(MoveDex!$AO:$AO,MoveDex!$AM:$AM=$L$1)),,FILTER(MoveDex!$AO:$AO,MoveDex!$AM:$AM=$L$1)) }"),"Defog")</f>
        <v>Defog</v>
      </c>
      <c r="T20" s="825"/>
      <c r="U20" s="825"/>
      <c r="V20" s="825"/>
      <c r="W20" s="825"/>
      <c r="X20" s="825"/>
      <c r="Y20" s="825"/>
      <c r="Z20" s="825"/>
      <c r="AA20" s="825"/>
      <c r="AB20" s="825"/>
      <c r="AC20" s="825"/>
      <c r="AD20" s="825"/>
    </row>
    <row r="21" customFormat="false" ht="15.75" hidden="false" customHeight="false" outlineLevel="0" collapsed="false">
      <c r="A21" s="817" t="s">
        <v>44</v>
      </c>
      <c r="B21" s="817"/>
      <c r="C21" s="818" t="str">
        <f aca="false" t="array" ref="C21:C21">IF(ISNA(INDEX(Pokedex!J$2:J$610,MATCH($A21,Pokedex!$B$2:$B$610,0))),"-",INDEX(Pokedex!J$2:J$610,MATCH($A21,Pokedex!$B$2:$B$610,0)))</f>
        <v>Tier 5</v>
      </c>
      <c r="D21" s="50" t="n">
        <f aca="false" t="array" ref="D21:D21">IF(ISNA(INDEX(Pokedex!E$2:E$610,MATCH($A21,Pokedex!$B$2:$B$610,0))),"-",INDEX(Pokedex!E$2:E$610,MATCH($A21,Pokedex!$B$2:$B$610,0)))</f>
        <v>0</v>
      </c>
      <c r="E21" s="50" t="n">
        <f aca="false" t="array" ref="E21:E21">IF(ISNA(INDEX(Pokedex!F$2:F$610,MATCH($A21,Pokedex!$B$2:$B$610,0))),"-",INDEX(Pokedex!F$2:F$610,MATCH($A21,Pokedex!$B$2:$B$610,0)))</f>
        <v>0</v>
      </c>
      <c r="F21" s="469" t="e">
        <f aca="false" t="array" ref="F21:F21">IF(ISNA(INDEX(Pokedex!G$2:G$610,MATCH($A21,Pokedex!$B$2:$B$610,0))),"-",INDEX(Pokedex!G$2:G$610,MATCH($A21,Pokedex!$B$2:$B$610,0)))</f>
        <v>#NAME?</v>
      </c>
      <c r="G21" s="50" t="n">
        <f aca="false" t="array" ref="G21:G21">IF(ISNA(INDEX(Pokedex!H$2:H$610,MATCH($A21,Pokedex!$B$2:$B$610,0))),"-",INDEX(Pokedex!H$2:H$610,MATCH($A21,Pokedex!$B$2:$B$610,0)))</f>
        <v>1</v>
      </c>
      <c r="H21" s="477" t="n">
        <f aca="false" t="array" ref="H21:H21">IF(ISNA(INDEX(Pokedex!I$2:I$610,MATCH($A21,Pokedex!$B$2:$B$610,0))),"-",INDEX(Pokedex!I$2:I$610,MATCH($A21,Pokedex!$B$2:$B$610,0)))</f>
        <v>0</v>
      </c>
      <c r="I21" s="50" t="n">
        <f aca="false" t="array" ref="I21:I21">IF(ISNA(INDEX(ExpandedStats!$A$3:$A$240,MATCH($A21,ExpandedStats!$C$3:$C$240,0))),"-",INDEX(ExpandedStats!$A$3:$A$240,MATCH($A21,ExpandedStats!$C$3:$C$240,0)))</f>
        <v>63</v>
      </c>
      <c r="J21" s="823"/>
      <c r="K21" s="111"/>
      <c r="L21" s="111"/>
      <c r="M21" s="111"/>
      <c r="N21" s="44"/>
      <c r="O21" s="44"/>
      <c r="P21" s="44"/>
      <c r="Q21" s="93"/>
      <c r="R21" s="778" t="s">
        <v>120</v>
      </c>
      <c r="S21" s="511" t="s">
        <v>1110</v>
      </c>
      <c r="T21" s="638"/>
      <c r="U21" s="638"/>
      <c r="V21" s="638"/>
      <c r="W21" s="638"/>
      <c r="X21" s="638"/>
      <c r="Y21" s="638"/>
      <c r="Z21" s="638"/>
      <c r="AA21" s="638"/>
      <c r="AB21" s="638"/>
      <c r="AC21" s="638"/>
      <c r="AD21" s="638"/>
    </row>
    <row r="22" customFormat="false" ht="15.75" hidden="false" customHeight="false" outlineLevel="0" collapsed="false">
      <c r="A22" s="826" t="s">
        <v>260</v>
      </c>
      <c r="B22" s="826"/>
      <c r="C22" s="827" t="str">
        <f aca="false" t="array" ref="C22:C22">IF(ISNA(INDEX(Pokedex!J$2:J$610,MATCH($A22,Pokedex!$B$2:$B$610,0))),"-",INDEX(Pokedex!J$2:J$610,MATCH($A22,Pokedex!$B$2:$B$610,0)))</f>
        <v>Tier 4</v>
      </c>
      <c r="D22" s="828" t="str">
        <f aca="false" t="array" ref="D22:D22">IF(ISNA(INDEX(Pokedex!E$2:E$610,MATCH($A22,Pokedex!$B$2:$B$610,0))),"-",INDEX(Pokedex!E$2:E$610,MATCH($A22,Pokedex!$B$2:$B$610,0)))</f>
        <v>-</v>
      </c>
      <c r="E22" s="50" t="str">
        <f aca="false" t="array" ref="E22:E22">IF(ISNA(INDEX(Pokedex!F$2:F$610,MATCH($A22,Pokedex!$B$2:$B$610,0))),"-",INDEX(Pokedex!F$2:F$610,MATCH($A22,Pokedex!$B$2:$B$610,0)))</f>
        <v>-</v>
      </c>
      <c r="F22" s="829" t="str">
        <f aca="false" t="array" ref="F22:F22">IF(ISNA(INDEX(Pokedex!G$2:G$610,MATCH($A22,Pokedex!$B$2:$B$610,0))),"-",INDEX(Pokedex!G$2:G$610,MATCH($A22,Pokedex!$B$2:$B$610,0)))</f>
        <v>-</v>
      </c>
      <c r="G22" s="830" t="n">
        <f aca="false" t="array" ref="G22:G22">IF(ISNA(INDEX(Pokedex!H$2:H$610,MATCH($A22,Pokedex!$B$2:$B$610,0))),"-",INDEX(Pokedex!H$2:H$610,MATCH($A22,Pokedex!$B$2:$B$610,0)))</f>
        <v>0</v>
      </c>
      <c r="H22" s="831" t="n">
        <f aca="false" t="array" ref="H22:H22">IF(ISNA(INDEX(Pokedex!I$2:I$610,MATCH($A22,Pokedex!$B$2:$B$610,0))),"-",INDEX(Pokedex!I$2:I$610,MATCH($A22,Pokedex!$B$2:$B$610,0)))</f>
        <v>0</v>
      </c>
      <c r="I22" s="828" t="str">
        <f aca="false" t="array" ref="I22:I22">IF(ISNA(INDEX(ExpandedStats!$A$3:$A$240,MATCH($A22,ExpandedStats!$C$3:$C$240,0))),"-",INDEX(ExpandedStats!$A$3:$A$240,MATCH($A22,ExpandedStats!$C$3:$C$240,0)))</f>
        <v>-</v>
      </c>
      <c r="J22" s="823"/>
      <c r="K22" s="111"/>
      <c r="L22" s="111"/>
      <c r="M22" s="111"/>
      <c r="N22" s="44"/>
      <c r="O22" s="44"/>
      <c r="P22" s="44"/>
      <c r="Q22" s="93"/>
      <c r="R22" s="778" t="s">
        <v>100</v>
      </c>
      <c r="S22" s="511" t="s">
        <v>1110</v>
      </c>
      <c r="T22" s="638"/>
      <c r="U22" s="638"/>
      <c r="V22" s="638"/>
      <c r="W22" s="638"/>
      <c r="X22" s="638"/>
      <c r="Y22" s="638"/>
      <c r="Z22" s="638"/>
      <c r="AA22" s="638"/>
      <c r="AB22" s="638"/>
      <c r="AC22" s="638"/>
      <c r="AD22" s="638"/>
    </row>
    <row r="23" customFormat="false" ht="15.75" hidden="false" customHeight="false" outlineLevel="0" collapsed="false">
      <c r="A23" s="832" t="s">
        <v>2063</v>
      </c>
      <c r="B23" s="832"/>
      <c r="C23" s="832"/>
      <c r="D23" s="833" t="n">
        <f aca="false">SUM(D12:D22)</f>
        <v>0</v>
      </c>
      <c r="E23" s="834" t="n">
        <f aca="false">SUM(E12:E22)</f>
        <v>0</v>
      </c>
      <c r="F23" s="111"/>
      <c r="G23" s="111"/>
      <c r="H23" s="111"/>
      <c r="I23" s="111"/>
      <c r="J23" s="111"/>
      <c r="K23" s="111"/>
      <c r="L23" s="111"/>
      <c r="M23" s="111"/>
      <c r="N23" s="44"/>
      <c r="O23" s="44"/>
      <c r="P23" s="44"/>
      <c r="Q23" s="44"/>
      <c r="R23" s="778" t="s">
        <v>47</v>
      </c>
      <c r="S23" s="511" t="s">
        <v>1112</v>
      </c>
      <c r="T23" s="638"/>
      <c r="U23" s="638"/>
      <c r="V23" s="638"/>
      <c r="W23" s="638"/>
      <c r="X23" s="638"/>
      <c r="Y23" s="638"/>
      <c r="Z23" s="638"/>
      <c r="AA23" s="638"/>
      <c r="AB23" s="638"/>
      <c r="AC23" s="638"/>
      <c r="AD23" s="638"/>
    </row>
    <row r="24" customFormat="false" ht="15.75" hidden="false" customHeight="false" outlineLevel="0" collapsed="false">
      <c r="A24" s="400"/>
      <c r="B24" s="400"/>
      <c r="C24" s="400"/>
      <c r="D24" s="835"/>
      <c r="E24" s="835"/>
      <c r="F24" s="111"/>
      <c r="G24" s="111"/>
      <c r="H24" s="111"/>
      <c r="I24" s="111"/>
      <c r="J24" s="111"/>
      <c r="K24" s="111"/>
      <c r="L24" s="111"/>
      <c r="M24" s="111"/>
      <c r="N24" s="44"/>
      <c r="O24" s="44"/>
      <c r="P24" s="44"/>
      <c r="Q24" s="44"/>
      <c r="R24" s="778"/>
      <c r="S24" s="511"/>
      <c r="T24" s="638"/>
      <c r="U24" s="638"/>
      <c r="V24" s="638"/>
      <c r="W24" s="638"/>
      <c r="X24" s="638"/>
      <c r="Y24" s="638"/>
      <c r="Z24" s="638"/>
      <c r="AA24" s="638"/>
      <c r="AB24" s="638"/>
      <c r="AC24" s="638"/>
      <c r="AD24" s="638"/>
    </row>
    <row r="25" customFormat="false" ht="15.75" hidden="false" customHeight="false" outlineLevel="0" collapsed="false">
      <c r="A25" s="400"/>
      <c r="B25" s="400"/>
      <c r="C25" s="400"/>
      <c r="D25" s="44"/>
      <c r="E25" s="44"/>
      <c r="F25" s="44"/>
      <c r="G25" s="44"/>
      <c r="H25" s="44"/>
      <c r="I25" s="44"/>
      <c r="J25" s="111"/>
      <c r="K25" s="111"/>
      <c r="L25" s="111"/>
      <c r="M25" s="111"/>
      <c r="N25" s="44"/>
      <c r="O25" s="44"/>
      <c r="P25" s="44"/>
      <c r="Q25" s="44"/>
      <c r="R25" s="778"/>
      <c r="S25" s="511"/>
      <c r="T25" s="638"/>
      <c r="U25" s="638"/>
      <c r="V25" s="638"/>
      <c r="W25" s="638"/>
      <c r="X25" s="638"/>
      <c r="Y25" s="638"/>
      <c r="Z25" s="638"/>
      <c r="AA25" s="638"/>
      <c r="AB25" s="638"/>
      <c r="AC25" s="638"/>
      <c r="AD25" s="638"/>
      <c r="AE25" s="638"/>
    </row>
    <row r="26" customFormat="false" ht="15.75" hidden="false" customHeight="false" outlineLevel="0" collapsed="false">
      <c r="A26" s="400"/>
      <c r="B26" s="400"/>
      <c r="C26" s="400"/>
      <c r="D26" s="44"/>
      <c r="E26" s="44"/>
      <c r="F26" s="44"/>
      <c r="G26" s="44"/>
      <c r="H26" s="44"/>
      <c r="I26" s="44"/>
      <c r="J26" s="400"/>
      <c r="K26" s="400"/>
      <c r="L26" s="400"/>
      <c r="M26" s="400"/>
      <c r="N26" s="44"/>
      <c r="O26" s="44"/>
      <c r="P26" s="44"/>
      <c r="Q26" s="44"/>
      <c r="R26" s="790"/>
      <c r="S26" s="791"/>
      <c r="T26" s="792"/>
      <c r="U26" s="792"/>
      <c r="V26" s="792"/>
      <c r="W26" s="792"/>
      <c r="X26" s="792"/>
      <c r="Y26" s="792"/>
      <c r="Z26" s="792"/>
      <c r="AA26" s="792"/>
      <c r="AB26" s="792"/>
      <c r="AC26" s="792"/>
      <c r="AD26" s="792"/>
      <c r="AE26" s="792"/>
    </row>
    <row r="27" customFormat="false" ht="15.75" hidden="false" customHeight="false" outlineLevel="0" collapsed="false">
      <c r="A27" s="118" t="s">
        <v>208</v>
      </c>
      <c r="B27" s="118"/>
      <c r="C27" s="118"/>
      <c r="D27" s="836" t="s">
        <v>207</v>
      </c>
      <c r="E27" s="836"/>
      <c r="F27" s="836"/>
      <c r="G27" s="837" t="s">
        <v>209</v>
      </c>
      <c r="H27" s="837"/>
      <c r="I27" s="44"/>
      <c r="J27" s="838" t="s">
        <v>2064</v>
      </c>
      <c r="K27" s="838"/>
      <c r="L27" s="838"/>
      <c r="M27" s="839" t="e">
        <f aca="false">IF($A$28="CHECK ERROR BLOCK",0,IF(NOT($A$28="NONE"),minus(3,COUNTIF(A28:A30,"*")), 3))</f>
        <v>#NAME?</v>
      </c>
      <c r="N27" s="44"/>
      <c r="O27" s="44"/>
      <c r="P27" s="44"/>
      <c r="Q27" s="44"/>
      <c r="R27" s="790"/>
      <c r="S27" s="791"/>
      <c r="T27" s="792"/>
      <c r="U27" s="792"/>
      <c r="V27" s="792"/>
      <c r="W27" s="792"/>
      <c r="X27" s="792"/>
      <c r="Y27" s="792"/>
      <c r="Z27" s="792"/>
      <c r="AA27" s="792"/>
      <c r="AB27" s="792"/>
      <c r="AC27" s="792"/>
      <c r="AD27" s="792"/>
      <c r="AE27" s="792"/>
    </row>
    <row r="28" customFormat="false" ht="15.75" hidden="false" customHeight="false" outlineLevel="0" collapsed="false">
      <c r="A28" s="840" t="str">
        <f aca="false">IFERROR(__xludf.dummyfunction("if(ISNA(filter(Transactions!$O$3:$V$100,Transactions!$M$3:$M$100=$L$1)),""NONE"",if(countif(Transactions!$M$3:$M$100,$L$1)&gt;3,""CHECK ERROR BLOCK"",(filter(Transactions!$O$3:$V$100,Transactions!$M$3:$M$100=$L$1))))"),"Crabominable")</f>
        <v>Crabominable</v>
      </c>
      <c r="B28" s="840"/>
      <c r="C28" s="840"/>
      <c r="D28" s="841" t="s">
        <v>390</v>
      </c>
      <c r="E28" s="841"/>
      <c r="F28" s="841"/>
      <c r="G28" s="842" t="s">
        <v>115</v>
      </c>
      <c r="H28" s="842"/>
      <c r="I28" s="44"/>
      <c r="J28" s="843" t="s">
        <v>2065</v>
      </c>
      <c r="K28" s="843"/>
      <c r="L28" s="843"/>
      <c r="M28" s="844" t="s">
        <v>2066</v>
      </c>
      <c r="N28" s="44"/>
      <c r="O28" s="44"/>
      <c r="P28" s="44"/>
      <c r="Q28" s="44"/>
      <c r="R28" s="790"/>
      <c r="S28" s="791"/>
      <c r="T28" s="792"/>
      <c r="U28" s="792"/>
      <c r="V28" s="792"/>
      <c r="W28" s="792"/>
      <c r="X28" s="792"/>
      <c r="Y28" s="792"/>
      <c r="Z28" s="792"/>
      <c r="AA28" s="792"/>
      <c r="AB28" s="792"/>
      <c r="AC28" s="792"/>
      <c r="AD28" s="792"/>
      <c r="AE28" s="792"/>
    </row>
    <row r="29" customFormat="false" ht="15.75" hidden="false" customHeight="true" outlineLevel="0" collapsed="false">
      <c r="A29" s="840" t="s">
        <v>495</v>
      </c>
      <c r="B29" s="840"/>
      <c r="C29" s="840"/>
      <c r="D29" s="841" t="s">
        <v>99</v>
      </c>
      <c r="E29" s="841"/>
      <c r="F29" s="841"/>
      <c r="G29" s="845" t="s">
        <v>83</v>
      </c>
      <c r="H29" s="845"/>
      <c r="I29" s="44"/>
      <c r="J29" s="846" t="s">
        <v>2067</v>
      </c>
      <c r="K29" s="846"/>
      <c r="L29" s="846"/>
      <c r="M29" s="847" t="n">
        <v>2</v>
      </c>
      <c r="N29" s="44"/>
      <c r="O29" s="44"/>
      <c r="P29" s="44"/>
      <c r="Q29" s="44"/>
      <c r="R29" s="790"/>
      <c r="S29" s="791"/>
      <c r="T29" s="792"/>
      <c r="U29" s="792"/>
      <c r="V29" s="792"/>
      <c r="W29" s="792"/>
      <c r="X29" s="792"/>
      <c r="Y29" s="792"/>
      <c r="Z29" s="792"/>
      <c r="AA29" s="792"/>
      <c r="AB29" s="792"/>
      <c r="AC29" s="792"/>
      <c r="AD29" s="792"/>
      <c r="AE29" s="792"/>
    </row>
    <row r="30" customFormat="false" ht="15.75" hidden="false" customHeight="false" outlineLevel="0" collapsed="false">
      <c r="A30" s="848" t="s">
        <v>267</v>
      </c>
      <c r="B30" s="848"/>
      <c r="C30" s="848"/>
      <c r="D30" s="849" t="s">
        <v>495</v>
      </c>
      <c r="E30" s="849"/>
      <c r="F30" s="849"/>
      <c r="G30" s="850" t="s">
        <v>83</v>
      </c>
      <c r="H30" s="850"/>
      <c r="I30" s="44"/>
      <c r="J30" s="851" t="str">
        <f aca="false">IF($A$28="CHECK ERROR BLOCK","ERROR - MAXIMUM NUMBER OF FREE AGENCY TRANSACTIONS LOGGED IN TRANSACTIONS TAB","")</f>
        <v/>
      </c>
      <c r="K30" s="851"/>
      <c r="L30" s="851"/>
      <c r="M30" s="851"/>
      <c r="N30" s="44"/>
      <c r="O30" s="44"/>
      <c r="P30" s="44"/>
      <c r="Q30" s="44"/>
      <c r="R30" s="790"/>
      <c r="S30" s="791"/>
      <c r="T30" s="792"/>
      <c r="U30" s="792"/>
      <c r="V30" s="792"/>
      <c r="W30" s="792"/>
      <c r="X30" s="792"/>
      <c r="Y30" s="792"/>
      <c r="Z30" s="792"/>
      <c r="AA30" s="792"/>
      <c r="AB30" s="792"/>
      <c r="AC30" s="792"/>
      <c r="AD30" s="792"/>
      <c r="AE30" s="792"/>
    </row>
    <row r="31" customFormat="false" ht="15.75" hidden="false" customHeight="false" outlineLevel="0" collapsed="false">
      <c r="A31" s="44"/>
      <c r="B31" s="44"/>
      <c r="C31" s="44"/>
      <c r="D31" s="44"/>
      <c r="E31" s="44"/>
      <c r="F31" s="44"/>
      <c r="G31" s="44"/>
      <c r="H31" s="44"/>
      <c r="I31" s="44"/>
      <c r="J31" s="44"/>
      <c r="K31" s="44"/>
      <c r="L31" s="44"/>
      <c r="M31" s="44"/>
      <c r="N31" s="44"/>
      <c r="O31" s="44"/>
      <c r="P31" s="44"/>
      <c r="Q31" s="44"/>
      <c r="R31" s="820"/>
      <c r="S31" s="821"/>
      <c r="T31" s="792"/>
      <c r="U31" s="792"/>
      <c r="V31" s="792"/>
      <c r="W31" s="792"/>
      <c r="X31" s="792"/>
      <c r="Y31" s="792"/>
      <c r="Z31" s="792"/>
      <c r="AA31" s="792"/>
      <c r="AB31" s="792"/>
      <c r="AC31" s="792"/>
      <c r="AD31" s="792"/>
      <c r="AE31" s="792"/>
    </row>
    <row r="32" customFormat="false" ht="15.75" hidden="false" customHeight="false" outlineLevel="0" collapsed="false">
      <c r="A32" s="118" t="s">
        <v>2068</v>
      </c>
      <c r="B32" s="118"/>
      <c r="C32" s="118"/>
      <c r="D32" s="852" t="s">
        <v>2069</v>
      </c>
      <c r="E32" s="852"/>
      <c r="F32" s="852"/>
      <c r="G32" s="837" t="s">
        <v>209</v>
      </c>
      <c r="H32" s="837"/>
      <c r="I32" s="272" t="s">
        <v>2070</v>
      </c>
      <c r="J32" s="272"/>
      <c r="K32" s="363" t="s">
        <v>213</v>
      </c>
      <c r="L32" s="363"/>
      <c r="M32" s="363"/>
      <c r="N32" s="363"/>
      <c r="O32" s="44"/>
      <c r="P32" s="44"/>
      <c r="Q32" s="44"/>
      <c r="R32" s="824"/>
      <c r="S32" s="638"/>
      <c r="T32" s="638"/>
      <c r="U32" s="638"/>
      <c r="V32" s="638"/>
      <c r="W32" s="638"/>
      <c r="X32" s="638"/>
      <c r="Y32" s="638"/>
      <c r="Z32" s="638"/>
      <c r="AA32" s="638"/>
      <c r="AB32" s="638"/>
      <c r="AC32" s="638"/>
      <c r="AD32" s="638"/>
      <c r="AE32" s="638"/>
    </row>
    <row r="33" customFormat="false" ht="15.75" hidden="false" customHeight="false" outlineLevel="0" collapsed="false">
      <c r="A33" s="840" t="str">
        <f aca="false">IFERROR(__xludf.dummyfunction("if(isna(filter($Q$55:$AD$70,not(isblank($Q$55:$Q$70)))),""NONE"",filter($Q$55:$AD$70,not(isblank($Q$55:$Q$70))))"),"NONE")</f>
        <v>NONE</v>
      </c>
      <c r="B33" s="840"/>
      <c r="C33" s="840"/>
      <c r="D33" s="853"/>
      <c r="E33" s="853"/>
      <c r="F33" s="853"/>
      <c r="G33" s="854"/>
      <c r="H33" s="854"/>
      <c r="I33" s="855"/>
      <c r="J33" s="855"/>
      <c r="K33" s="856"/>
      <c r="L33" s="856"/>
      <c r="M33" s="856"/>
      <c r="N33" s="856"/>
      <c r="O33" s="44"/>
      <c r="P33" s="44"/>
      <c r="Q33" s="44"/>
      <c r="R33" s="824"/>
      <c r="S33" s="638"/>
      <c r="T33" s="638"/>
      <c r="U33" s="638"/>
      <c r="V33" s="638"/>
      <c r="W33" s="638"/>
      <c r="X33" s="638"/>
      <c r="Y33" s="638"/>
      <c r="Z33" s="638"/>
      <c r="AA33" s="638"/>
      <c r="AB33" s="638"/>
      <c r="AC33" s="638"/>
      <c r="AD33" s="638"/>
      <c r="AE33" s="638"/>
    </row>
    <row r="34" customFormat="false" ht="15.75" hidden="false" customHeight="false" outlineLevel="0" collapsed="false">
      <c r="A34" s="840"/>
      <c r="B34" s="840"/>
      <c r="C34" s="840"/>
      <c r="D34" s="857"/>
      <c r="E34" s="857"/>
      <c r="F34" s="857"/>
      <c r="G34" s="854"/>
      <c r="H34" s="854"/>
      <c r="I34" s="855"/>
      <c r="J34" s="855"/>
      <c r="K34" s="479"/>
      <c r="L34" s="479"/>
      <c r="M34" s="479"/>
      <c r="N34" s="479"/>
      <c r="O34" s="44"/>
      <c r="P34" s="44"/>
      <c r="Q34" s="44"/>
      <c r="R34" s="824"/>
      <c r="S34" s="638"/>
      <c r="T34" s="638"/>
      <c r="U34" s="638"/>
      <c r="V34" s="638"/>
      <c r="W34" s="638"/>
      <c r="X34" s="638"/>
      <c r="Y34" s="638"/>
      <c r="Z34" s="638"/>
      <c r="AA34" s="638"/>
      <c r="AB34" s="638"/>
      <c r="AC34" s="638"/>
      <c r="AD34" s="638"/>
      <c r="AE34" s="638"/>
    </row>
    <row r="35" customFormat="false" ht="15.75" hidden="false" customHeight="false" outlineLevel="0" collapsed="false">
      <c r="A35" s="817"/>
      <c r="B35" s="817"/>
      <c r="C35" s="817"/>
      <c r="D35" s="858"/>
      <c r="E35" s="858"/>
      <c r="F35" s="858"/>
      <c r="G35" s="859"/>
      <c r="H35" s="859"/>
      <c r="I35" s="860"/>
      <c r="J35" s="860"/>
      <c r="K35" s="856"/>
      <c r="L35" s="856"/>
      <c r="M35" s="856"/>
      <c r="N35" s="856"/>
      <c r="O35" s="44"/>
      <c r="P35" s="44"/>
      <c r="Q35" s="44"/>
      <c r="R35" s="824"/>
      <c r="S35" s="638"/>
      <c r="T35" s="638"/>
      <c r="U35" s="638"/>
      <c r="V35" s="638"/>
      <c r="W35" s="638"/>
      <c r="X35" s="638"/>
      <c r="Y35" s="638"/>
      <c r="Z35" s="638"/>
      <c r="AA35" s="638"/>
      <c r="AB35" s="638"/>
      <c r="AC35" s="638"/>
      <c r="AD35" s="638"/>
      <c r="AE35" s="638"/>
    </row>
    <row r="36" customFormat="false" ht="15.75" hidden="false" customHeight="false" outlineLevel="0" collapsed="false">
      <c r="A36" s="840"/>
      <c r="B36" s="840"/>
      <c r="C36" s="840"/>
      <c r="D36" s="857"/>
      <c r="E36" s="857"/>
      <c r="F36" s="857"/>
      <c r="G36" s="854"/>
      <c r="H36" s="854"/>
      <c r="I36" s="855"/>
      <c r="J36" s="855"/>
      <c r="K36" s="479"/>
      <c r="L36" s="479"/>
      <c r="M36" s="479"/>
      <c r="N36" s="479"/>
      <c r="O36" s="44"/>
      <c r="P36" s="44"/>
      <c r="Q36" s="44"/>
      <c r="R36" s="824"/>
      <c r="S36" s="638"/>
      <c r="T36" s="638"/>
      <c r="U36" s="638"/>
      <c r="V36" s="638"/>
      <c r="W36" s="638"/>
      <c r="X36" s="638"/>
      <c r="Y36" s="638"/>
      <c r="Z36" s="638"/>
      <c r="AA36" s="638"/>
      <c r="AB36" s="638"/>
      <c r="AC36" s="638"/>
      <c r="AD36" s="638"/>
      <c r="AE36" s="638"/>
    </row>
    <row r="37" customFormat="false" ht="15.75" hidden="false" customHeight="false" outlineLevel="0" collapsed="false">
      <c r="A37" s="817"/>
      <c r="B37" s="817"/>
      <c r="C37" s="817"/>
      <c r="D37" s="858"/>
      <c r="E37" s="858"/>
      <c r="F37" s="858"/>
      <c r="G37" s="859"/>
      <c r="H37" s="859"/>
      <c r="I37" s="860"/>
      <c r="J37" s="860"/>
      <c r="K37" s="856"/>
      <c r="L37" s="856"/>
      <c r="M37" s="856"/>
      <c r="N37" s="856"/>
      <c r="O37" s="44"/>
      <c r="P37" s="44"/>
      <c r="Q37" s="44"/>
      <c r="R37" s="824"/>
      <c r="S37" s="638"/>
      <c r="T37" s="638"/>
      <c r="U37" s="638"/>
      <c r="V37" s="638"/>
      <c r="W37" s="638"/>
      <c r="X37" s="638"/>
      <c r="Y37" s="638"/>
      <c r="Z37" s="638"/>
      <c r="AA37" s="638"/>
      <c r="AB37" s="638"/>
      <c r="AC37" s="638"/>
      <c r="AD37" s="638"/>
      <c r="AE37" s="638"/>
    </row>
    <row r="38" customFormat="false" ht="15.75" hidden="false" customHeight="false" outlineLevel="0" collapsed="false">
      <c r="A38" s="840"/>
      <c r="B38" s="840"/>
      <c r="C38" s="840"/>
      <c r="D38" s="857"/>
      <c r="E38" s="857"/>
      <c r="F38" s="857"/>
      <c r="G38" s="854"/>
      <c r="H38" s="854"/>
      <c r="I38" s="855"/>
      <c r="J38" s="855"/>
      <c r="K38" s="479"/>
      <c r="L38" s="479"/>
      <c r="M38" s="479"/>
      <c r="N38" s="479"/>
      <c r="O38" s="44"/>
      <c r="P38" s="44"/>
      <c r="Q38" s="44"/>
      <c r="R38" s="824"/>
      <c r="S38" s="638"/>
      <c r="T38" s="638"/>
      <c r="U38" s="638"/>
      <c r="V38" s="638"/>
      <c r="W38" s="638"/>
      <c r="X38" s="638"/>
      <c r="Y38" s="638"/>
      <c r="Z38" s="638"/>
      <c r="AA38" s="638"/>
      <c r="AB38" s="638"/>
      <c r="AC38" s="638"/>
      <c r="AD38" s="638"/>
      <c r="AE38" s="638"/>
    </row>
    <row r="39" customFormat="false" ht="15.75" hidden="false" customHeight="false" outlineLevel="0" collapsed="false">
      <c r="A39" s="817"/>
      <c r="B39" s="817"/>
      <c r="C39" s="817"/>
      <c r="D39" s="858"/>
      <c r="E39" s="858"/>
      <c r="F39" s="858"/>
      <c r="G39" s="859"/>
      <c r="H39" s="859"/>
      <c r="I39" s="860"/>
      <c r="J39" s="860"/>
      <c r="K39" s="856"/>
      <c r="L39" s="856"/>
      <c r="M39" s="856"/>
      <c r="N39" s="856"/>
      <c r="O39" s="44"/>
      <c r="P39" s="44"/>
      <c r="Q39" s="44"/>
      <c r="R39" s="341" t="s">
        <v>2071</v>
      </c>
      <c r="S39" s="341"/>
      <c r="T39" s="771"/>
      <c r="U39" s="771"/>
      <c r="V39" s="771"/>
      <c r="W39" s="771"/>
      <c r="X39" s="771"/>
      <c r="Y39" s="771"/>
      <c r="Z39" s="771"/>
      <c r="AA39" s="771"/>
      <c r="AB39" s="771"/>
      <c r="AC39" s="771"/>
      <c r="AD39" s="771"/>
      <c r="AE39" s="771"/>
    </row>
    <row r="40" customFormat="false" ht="15.75" hidden="false" customHeight="false" outlineLevel="0" collapsed="false">
      <c r="A40" s="840"/>
      <c r="B40" s="840"/>
      <c r="C40" s="840"/>
      <c r="D40" s="857"/>
      <c r="E40" s="857"/>
      <c r="F40" s="857"/>
      <c r="G40" s="854"/>
      <c r="H40" s="854"/>
      <c r="I40" s="855"/>
      <c r="J40" s="855"/>
      <c r="K40" s="479"/>
      <c r="L40" s="479"/>
      <c r="M40" s="479"/>
      <c r="N40" s="479"/>
      <c r="O40" s="44"/>
      <c r="P40" s="44"/>
      <c r="Q40" s="44"/>
      <c r="R40" s="386" t="str">
        <f aca="false">IFERROR(__xludf.dummyfunction("{ if(isna(FILTER(MoveDex!$AR:$AR,MoveDex!$AQ:$AQ=$L$1)),,FILTER(MoveDex!$AR:$AR,MoveDex!$AQ:$AQ=$L$1)) ; if(isna(FILTER(MoveDex!$AV:$AV,MoveDex!$AU:$AU=$L$1)),,FILTER(MoveDex!$AV:$AV,MoveDex!$AU:$AU=$L$1)) ; if(isna(FILTER(MoveDex!$AZ:$AZ,MoveDex!$AY:$AY="&amp;"$L$1)),,FILTER(MoveDex!$AZ:$AZ,MoveDex!$AY:$AY=$L$1)) }"),"")</f>
        <v/>
      </c>
      <c r="S40" s="386" t="str">
        <f aca="false">IFERROR(__xludf.dummyfunction("{ if(isna(FILTER(MoveDex!$AS:$AS,MoveDex!$AQ:$AQ=$L$1)),,FILTER(MoveDex!$AS:$AS,MoveDex!$AQ:$AQ=$L$1)) ; if(isna(FILTER(MoveDex!$AW:$AW,MoveDex!$AU:$AU=$L$1)),,FILTER(MoveDex!$AW:$AW,MoveDex!$AU:$AU=$L$1)) ; if(isna(FILTER(MoveDex!$BA:$BA,MoveDex!$AY:$AY="&amp;"$L$1)),,FILTER(MoveDex!$BA:$BA,MoveDex!$AY:$AY=$L$1)) }"),"")</f>
        <v/>
      </c>
      <c r="T40" s="777"/>
      <c r="U40" s="777"/>
      <c r="V40" s="777"/>
      <c r="W40" s="777"/>
      <c r="X40" s="777"/>
      <c r="Y40" s="777"/>
      <c r="Z40" s="777"/>
      <c r="AA40" s="777"/>
      <c r="AB40" s="777"/>
      <c r="AC40" s="777"/>
      <c r="AD40" s="777"/>
      <c r="AE40" s="777"/>
    </row>
    <row r="41" customFormat="false" ht="15.75" hidden="false" customHeight="false" outlineLevel="0" collapsed="false">
      <c r="A41" s="826"/>
      <c r="B41" s="826"/>
      <c r="C41" s="826"/>
      <c r="D41" s="861"/>
      <c r="E41" s="861"/>
      <c r="F41" s="861"/>
      <c r="G41" s="830"/>
      <c r="H41" s="830"/>
      <c r="I41" s="862"/>
      <c r="J41" s="862"/>
      <c r="K41" s="863"/>
      <c r="L41" s="863"/>
      <c r="M41" s="863"/>
      <c r="N41" s="863"/>
      <c r="O41" s="44"/>
      <c r="P41" s="44"/>
      <c r="Q41" s="44"/>
      <c r="R41" s="778"/>
      <c r="S41" s="511"/>
      <c r="T41" s="638"/>
      <c r="U41" s="638"/>
      <c r="V41" s="638"/>
      <c r="W41" s="638"/>
      <c r="X41" s="638"/>
      <c r="Y41" s="638"/>
      <c r="Z41" s="638"/>
      <c r="AA41" s="638"/>
      <c r="AB41" s="638"/>
      <c r="AC41" s="638"/>
      <c r="AD41" s="638"/>
      <c r="AE41" s="638"/>
    </row>
    <row r="42" customFormat="false" ht="15.75" hidden="false" customHeight="false" outlineLevel="0" collapsed="false">
      <c r="A42" s="44"/>
      <c r="B42" s="44"/>
      <c r="C42" s="44"/>
      <c r="D42" s="44"/>
      <c r="E42" s="44"/>
      <c r="F42" s="44"/>
      <c r="G42" s="44"/>
      <c r="H42" s="44"/>
      <c r="I42" s="44"/>
      <c r="J42" s="44"/>
      <c r="K42" s="44"/>
      <c r="L42" s="44"/>
      <c r="M42" s="44"/>
      <c r="N42" s="44"/>
      <c r="O42" s="44"/>
      <c r="P42" s="44"/>
      <c r="Q42" s="44"/>
      <c r="R42" s="778" t="s">
        <v>101</v>
      </c>
      <c r="S42" s="511" t="s">
        <v>1115</v>
      </c>
      <c r="T42" s="638"/>
      <c r="U42" s="638"/>
      <c r="V42" s="638"/>
      <c r="W42" s="638"/>
      <c r="X42" s="638"/>
      <c r="Y42" s="638"/>
      <c r="Z42" s="638"/>
      <c r="AA42" s="638"/>
      <c r="AB42" s="638"/>
      <c r="AC42" s="638"/>
      <c r="AD42" s="638"/>
      <c r="AE42" s="638"/>
    </row>
    <row r="43" customFormat="false" ht="15.75" hidden="false" customHeight="false" outlineLevel="0" collapsed="false">
      <c r="A43" s="864" t="s">
        <v>2072</v>
      </c>
      <c r="B43" s="864"/>
      <c r="C43" s="864"/>
      <c r="D43" s="562" t="s">
        <v>777</v>
      </c>
      <c r="E43" s="865" t="s">
        <v>778</v>
      </c>
      <c r="F43" s="865" t="s">
        <v>779</v>
      </c>
      <c r="G43" s="865" t="s">
        <v>780</v>
      </c>
      <c r="H43" s="865" t="s">
        <v>781</v>
      </c>
      <c r="I43" s="865" t="s">
        <v>782</v>
      </c>
      <c r="J43" s="363" t="s">
        <v>2063</v>
      </c>
      <c r="K43" s="562" t="s">
        <v>2073</v>
      </c>
      <c r="L43" s="562"/>
      <c r="M43" s="866" t="s">
        <v>2074</v>
      </c>
      <c r="N43" s="866"/>
      <c r="O43" s="44"/>
      <c r="P43" s="44"/>
      <c r="Q43" s="44"/>
      <c r="R43" s="778"/>
      <c r="S43" s="511"/>
      <c r="T43" s="638"/>
      <c r="U43" s="638"/>
      <c r="V43" s="638"/>
      <c r="W43" s="638"/>
      <c r="X43" s="638"/>
      <c r="Y43" s="638"/>
      <c r="Z43" s="638"/>
      <c r="AA43" s="638"/>
      <c r="AB43" s="638"/>
      <c r="AC43" s="638"/>
      <c r="AD43" s="638"/>
      <c r="AE43" s="638"/>
    </row>
    <row r="44" customFormat="false" ht="15.75" hidden="false" customHeight="false" outlineLevel="0" collapsed="false">
      <c r="A44" s="811" t="str">
        <f aca="false">$A$12</f>
        <v>Tapu Bulu</v>
      </c>
      <c r="B44" s="811"/>
      <c r="C44" s="811"/>
      <c r="D44" s="867" t="n">
        <f aca="false" t="array" ref="D44:D44">IF(ISNA(INDEX(Pokedex!L$2:L$610,MATCH($A44,Pokedex!$B$2:$B$610,0))),"-",INDEX(Pokedex!L$2:L$610,MATCH($A44,Pokedex!$B$2:$B$610,0)))</f>
        <v>70</v>
      </c>
      <c r="E44" s="868" t="n">
        <f aca="false" t="array" ref="E44:E44">IF(ISNA(INDEX(Pokedex!M$2:M$610,MATCH($A44,Pokedex!$B$2:$B$610,0))),"-",INDEX(Pokedex!M$2:M$610,MATCH($A44,Pokedex!$B$2:$B$610,0)))</f>
        <v>130</v>
      </c>
      <c r="F44" s="868" t="n">
        <f aca="false" t="array" ref="F44:F44">IF(ISNA(INDEX(Pokedex!N$2:N$610,MATCH($A44,Pokedex!$B$2:$B$610,0))),"-",INDEX(Pokedex!N$2:N$610,MATCH($A44,Pokedex!$B$2:$B$610,0)))</f>
        <v>115</v>
      </c>
      <c r="G44" s="868" t="n">
        <f aca="false" t="array" ref="G44:G44">IF(ISNA(INDEX(Pokedex!O$2:O$610,MATCH($A44,Pokedex!$B$2:$B$610,0))),"-",INDEX(Pokedex!O$2:O$610,MATCH($A44,Pokedex!$B$2:$B$610,0)))</f>
        <v>85</v>
      </c>
      <c r="H44" s="868" t="n">
        <f aca="false" t="array" ref="H44:H44">IF(ISNA(INDEX(Pokedex!P$2:P$610,MATCH($A44,Pokedex!$B$2:$B$610,0))),"-",INDEX(Pokedex!P$2:P$610,MATCH($A44,Pokedex!$B$2:$B$610,0)))</f>
        <v>95</v>
      </c>
      <c r="I44" s="869" t="n">
        <f aca="false" t="array" ref="I44:I44">IF(ISNA(INDEX(Pokedex!Q$2:Q$610,MATCH($A44,Pokedex!$B$2:$B$610,0))),"-",INDEX(Pokedex!Q$2:Q$610,MATCH($A44,Pokedex!$B$2:$B$610,0)))</f>
        <v>75</v>
      </c>
      <c r="J44" s="868" t="n">
        <f aca="false">SUM(D44:I44)</f>
        <v>570</v>
      </c>
      <c r="K44" s="867" t="str">
        <f aca="false" t="array" ref="K44:K44">IF(ISNA(INDEX(Pokedex!R$2:R$610,MATCH($A44,Pokedex!$B$2:$B$610,0))),"-",INDEX(Pokedex!R$2:R$610,MATCH($A44,Pokedex!$B$2:$B$610,0)))</f>
        <v>Fairy</v>
      </c>
      <c r="L44" s="867"/>
      <c r="M44" s="869" t="str">
        <f aca="false" t="array" ref="M44:M44">IF(ISNA(INDEX(Pokedex!S$2:S$610,MATCH($A44,Pokedex!$B$2:$B$610,0))),"-",INDEX(Pokedex!S$2:S$610,MATCH($A44,Pokedex!$B$2:$B$610,0)))</f>
        <v>Grass</v>
      </c>
      <c r="N44" s="869"/>
      <c r="O44" s="44"/>
      <c r="P44" s="44"/>
      <c r="Q44" s="44"/>
      <c r="R44" s="778"/>
      <c r="S44" s="511"/>
      <c r="T44" s="638"/>
      <c r="U44" s="638"/>
      <c r="V44" s="638"/>
      <c r="W44" s="638"/>
      <c r="X44" s="638"/>
      <c r="Y44" s="638"/>
      <c r="Z44" s="638"/>
      <c r="AA44" s="638"/>
      <c r="AB44" s="638"/>
      <c r="AC44" s="638"/>
      <c r="AD44" s="638"/>
      <c r="AE44" s="638"/>
    </row>
    <row r="45" customFormat="false" ht="15.75" hidden="false" customHeight="false" outlineLevel="0" collapsed="false">
      <c r="A45" s="817" t="str">
        <f aca="false">$A$13</f>
        <v>Hydreigon</v>
      </c>
      <c r="B45" s="817"/>
      <c r="C45" s="817"/>
      <c r="D45" s="855" t="n">
        <f aca="false" t="array" ref="D45:D45">IF(ISNA(INDEX(Pokedex!L$2:L$610,MATCH($A45,Pokedex!$B$2:$B$610,0))),"-",INDEX(Pokedex!L$2:L$610,MATCH($A45,Pokedex!$B$2:$B$610,0)))</f>
        <v>92</v>
      </c>
      <c r="E45" s="51" t="n">
        <f aca="false" t="array" ref="E45:E45">IF(ISNA(INDEX(Pokedex!M$2:M$610,MATCH($A45,Pokedex!$B$2:$B$610,0))),"-",INDEX(Pokedex!M$2:M$610,MATCH($A45,Pokedex!$B$2:$B$610,0)))</f>
        <v>105</v>
      </c>
      <c r="F45" s="51" t="n">
        <f aca="false" t="array" ref="F45:F45">IF(ISNA(INDEX(Pokedex!N$2:N$610,MATCH($A45,Pokedex!$B$2:$B$610,0))),"-",INDEX(Pokedex!N$2:N$610,MATCH($A45,Pokedex!$B$2:$B$610,0)))</f>
        <v>90</v>
      </c>
      <c r="G45" s="51" t="n">
        <f aca="false" t="array" ref="G45:G45">IF(ISNA(INDEX(Pokedex!O$2:O$610,MATCH($A45,Pokedex!$B$2:$B$610,0))),"-",INDEX(Pokedex!O$2:O$610,MATCH($A45,Pokedex!$B$2:$B$610,0)))</f>
        <v>125</v>
      </c>
      <c r="H45" s="51" t="n">
        <f aca="false" t="array" ref="H45:H45">IF(ISNA(INDEX(Pokedex!P$2:P$610,MATCH($A45,Pokedex!$B$2:$B$610,0))),"-",INDEX(Pokedex!P$2:P$610,MATCH($A45,Pokedex!$B$2:$B$610,0)))</f>
        <v>90</v>
      </c>
      <c r="I45" s="727" t="n">
        <f aca="false" t="array" ref="I45:I45">IF(ISNA(INDEX(Pokedex!Q$2:Q$610,MATCH($A45,Pokedex!$B$2:$B$610,0))),"-",INDEX(Pokedex!Q$2:Q$610,MATCH($A45,Pokedex!$B$2:$B$610,0)))</f>
        <v>98</v>
      </c>
      <c r="J45" s="51" t="n">
        <f aca="false">SUM(D45:I45)</f>
        <v>600</v>
      </c>
      <c r="K45" s="855" t="str">
        <f aca="false" t="array" ref="K45:K45">IF(ISNA(INDEX(Pokedex!R$2:R$610,MATCH($A45,Pokedex!$B$2:$B$610,0))),"-",INDEX(Pokedex!R$2:R$610,MATCH($A45,Pokedex!$B$2:$B$610,0)))</f>
        <v>Dark</v>
      </c>
      <c r="L45" s="855"/>
      <c r="M45" s="727" t="str">
        <f aca="false" t="array" ref="M45:M45">IF(ISNA(INDEX(Pokedex!S$2:S$610,MATCH($A45,Pokedex!$B$2:$B$610,0))),"-",INDEX(Pokedex!S$2:S$610,MATCH($A45,Pokedex!$B$2:$B$610,0)))</f>
        <v>Dragon</v>
      </c>
      <c r="N45" s="727"/>
      <c r="O45" s="44"/>
      <c r="P45" s="44"/>
      <c r="Q45" s="44"/>
      <c r="R45" s="778"/>
      <c r="S45" s="511"/>
      <c r="T45" s="638"/>
      <c r="U45" s="638"/>
      <c r="V45" s="638"/>
      <c r="W45" s="638"/>
      <c r="X45" s="638"/>
      <c r="Y45" s="638"/>
      <c r="Z45" s="638"/>
      <c r="AA45" s="638"/>
      <c r="AB45" s="638"/>
      <c r="AC45" s="638"/>
      <c r="AD45" s="638"/>
      <c r="AE45" s="638"/>
    </row>
    <row r="46" customFormat="false" ht="15.75" hidden="false" customHeight="false" outlineLevel="0" collapsed="false">
      <c r="A46" s="817" t="str">
        <f aca="false">$A$14</f>
        <v>Empoleon</v>
      </c>
      <c r="B46" s="817"/>
      <c r="C46" s="817"/>
      <c r="D46" s="855" t="n">
        <f aca="false" t="array" ref="D46:D46">IF(ISNA(INDEX(Pokedex!L$2:L$610,MATCH($A46,Pokedex!$B$2:$B$610,0))),"-",INDEX(Pokedex!L$2:L$610,MATCH($A46,Pokedex!$B$2:$B$610,0)))</f>
        <v>84</v>
      </c>
      <c r="E46" s="51" t="n">
        <f aca="false" t="array" ref="E46:E46">IF(ISNA(INDEX(Pokedex!M$2:M$610,MATCH($A46,Pokedex!$B$2:$B$610,0))),"-",INDEX(Pokedex!M$2:M$610,MATCH($A46,Pokedex!$B$2:$B$610,0)))</f>
        <v>86</v>
      </c>
      <c r="F46" s="51" t="n">
        <f aca="false" t="array" ref="F46:F46">IF(ISNA(INDEX(Pokedex!N$2:N$610,MATCH($A46,Pokedex!$B$2:$B$610,0))),"-",INDEX(Pokedex!N$2:N$610,MATCH($A46,Pokedex!$B$2:$B$610,0)))</f>
        <v>88</v>
      </c>
      <c r="G46" s="51" t="n">
        <f aca="false" t="array" ref="G46:G46">IF(ISNA(INDEX(Pokedex!O$2:O$610,MATCH($A46,Pokedex!$B$2:$B$610,0))),"-",INDEX(Pokedex!O$2:O$610,MATCH($A46,Pokedex!$B$2:$B$610,0)))</f>
        <v>111</v>
      </c>
      <c r="H46" s="51" t="n">
        <f aca="false" t="array" ref="H46:H46">IF(ISNA(INDEX(Pokedex!P$2:P$610,MATCH($A46,Pokedex!$B$2:$B$610,0))),"-",INDEX(Pokedex!P$2:P$610,MATCH($A46,Pokedex!$B$2:$B$610,0)))</f>
        <v>101</v>
      </c>
      <c r="I46" s="727" t="n">
        <f aca="false" t="array" ref="I46:I46">IF(ISNA(INDEX(Pokedex!Q$2:Q$610,MATCH($A46,Pokedex!$B$2:$B$610,0))),"-",INDEX(Pokedex!Q$2:Q$610,MATCH($A46,Pokedex!$B$2:$B$610,0)))</f>
        <v>60</v>
      </c>
      <c r="J46" s="51" t="n">
        <f aca="false">SUM(D46:I46)</f>
        <v>530</v>
      </c>
      <c r="K46" s="855" t="str">
        <f aca="false" t="array" ref="K46:K46">IF(ISNA(INDEX(Pokedex!R$2:R$610,MATCH($A46,Pokedex!$B$2:$B$610,0))),"-",INDEX(Pokedex!R$2:R$610,MATCH($A46,Pokedex!$B$2:$B$610,0)))</f>
        <v>Steel</v>
      </c>
      <c r="L46" s="855"/>
      <c r="M46" s="727" t="str">
        <f aca="false" t="array" ref="M46:M46">IF(ISNA(INDEX(Pokedex!S$2:S$610,MATCH($A46,Pokedex!$B$2:$B$610,0))),"-",INDEX(Pokedex!S$2:S$610,MATCH($A46,Pokedex!$B$2:$B$610,0)))</f>
        <v>Water</v>
      </c>
      <c r="N46" s="727"/>
      <c r="O46" s="44"/>
      <c r="P46" s="44"/>
      <c r="Q46" s="44"/>
      <c r="R46" s="790"/>
      <c r="S46" s="791"/>
      <c r="T46" s="792"/>
      <c r="U46" s="792"/>
      <c r="V46" s="792"/>
      <c r="W46" s="792"/>
      <c r="X46" s="792"/>
      <c r="Y46" s="792"/>
      <c r="Z46" s="792"/>
      <c r="AA46" s="792"/>
      <c r="AB46" s="792"/>
      <c r="AC46" s="792"/>
      <c r="AD46" s="792"/>
      <c r="AE46" s="792"/>
    </row>
    <row r="47" customFormat="false" ht="15.75" hidden="false" customHeight="false" outlineLevel="0" collapsed="false">
      <c r="A47" s="817" t="str">
        <f aca="false">$A$15</f>
        <v>Tentacruel</v>
      </c>
      <c r="B47" s="817"/>
      <c r="C47" s="817"/>
      <c r="D47" s="855" t="n">
        <f aca="false" t="array" ref="D47:D47">IF(ISNA(INDEX(Pokedex!L$2:L$610,MATCH($A47,Pokedex!$B$2:$B$610,0))),"-",INDEX(Pokedex!L$2:L$610,MATCH($A47,Pokedex!$B$2:$B$610,0)))</f>
        <v>80</v>
      </c>
      <c r="E47" s="51" t="n">
        <f aca="false" t="array" ref="E47:E47">IF(ISNA(INDEX(Pokedex!M$2:M$610,MATCH($A47,Pokedex!$B$2:$B$610,0))),"-",INDEX(Pokedex!M$2:M$610,MATCH($A47,Pokedex!$B$2:$B$610,0)))</f>
        <v>70</v>
      </c>
      <c r="F47" s="51" t="n">
        <f aca="false" t="array" ref="F47:F47">IF(ISNA(INDEX(Pokedex!N$2:N$610,MATCH($A47,Pokedex!$B$2:$B$610,0))),"-",INDEX(Pokedex!N$2:N$610,MATCH($A47,Pokedex!$B$2:$B$610,0)))</f>
        <v>65</v>
      </c>
      <c r="G47" s="51" t="n">
        <f aca="false" t="array" ref="G47:G47">IF(ISNA(INDEX(Pokedex!O$2:O$610,MATCH($A47,Pokedex!$B$2:$B$610,0))),"-",INDEX(Pokedex!O$2:O$610,MATCH($A47,Pokedex!$B$2:$B$610,0)))</f>
        <v>80</v>
      </c>
      <c r="H47" s="51" t="n">
        <f aca="false" t="array" ref="H47:H47">IF(ISNA(INDEX(Pokedex!P$2:P$610,MATCH($A47,Pokedex!$B$2:$B$610,0))),"-",INDEX(Pokedex!P$2:P$610,MATCH($A47,Pokedex!$B$2:$B$610,0)))</f>
        <v>120</v>
      </c>
      <c r="I47" s="727" t="n">
        <f aca="false" t="array" ref="I47:I47">IF(ISNA(INDEX(Pokedex!Q$2:Q$610,MATCH($A47,Pokedex!$B$2:$B$610,0))),"-",INDEX(Pokedex!Q$2:Q$610,MATCH($A47,Pokedex!$B$2:$B$610,0)))</f>
        <v>100</v>
      </c>
      <c r="J47" s="51" t="n">
        <f aca="false">SUM(D47:I47)</f>
        <v>515</v>
      </c>
      <c r="K47" s="855" t="str">
        <f aca="false" t="array" ref="K47:K47">IF(ISNA(INDEX(Pokedex!R$2:R$610,MATCH($A47,Pokedex!$B$2:$B$610,0))),"-",INDEX(Pokedex!R$2:R$610,MATCH($A47,Pokedex!$B$2:$B$610,0)))</f>
        <v>Poison</v>
      </c>
      <c r="L47" s="855"/>
      <c r="M47" s="727" t="str">
        <f aca="false" t="array" ref="M47:M47">IF(ISNA(INDEX(Pokedex!S$2:S$610,MATCH($A47,Pokedex!$B$2:$B$610,0))),"-",INDEX(Pokedex!S$2:S$610,MATCH($A47,Pokedex!$B$2:$B$610,0)))</f>
        <v>Water</v>
      </c>
      <c r="N47" s="727"/>
      <c r="O47" s="44"/>
      <c r="P47" s="44"/>
      <c r="Q47" s="44"/>
      <c r="R47" s="790"/>
      <c r="S47" s="791"/>
      <c r="T47" s="792"/>
      <c r="U47" s="792"/>
      <c r="V47" s="792"/>
      <c r="W47" s="792"/>
      <c r="X47" s="792"/>
      <c r="Y47" s="792"/>
      <c r="Z47" s="792"/>
      <c r="AA47" s="792"/>
      <c r="AB47" s="792"/>
      <c r="AC47" s="792"/>
      <c r="AD47" s="792"/>
      <c r="AE47" s="792"/>
    </row>
    <row r="48" customFormat="false" ht="15.75" hidden="false" customHeight="false" outlineLevel="0" collapsed="false">
      <c r="A48" s="817" t="str">
        <f aca="false">$A$16</f>
        <v>Cinccino</v>
      </c>
      <c r="B48" s="817"/>
      <c r="C48" s="817"/>
      <c r="D48" s="855" t="n">
        <f aca="false" t="array" ref="D48:D48">IF(ISNA(INDEX(Pokedex!L$2:L$610,MATCH($A48,Pokedex!$B$2:$B$610,0))),"-",INDEX(Pokedex!L$2:L$610,MATCH($A48,Pokedex!$B$2:$B$610,0)))</f>
        <v>75</v>
      </c>
      <c r="E48" s="51" t="n">
        <f aca="false" t="array" ref="E48:E48">IF(ISNA(INDEX(Pokedex!M$2:M$610,MATCH($A48,Pokedex!$B$2:$B$610,0))),"-",INDEX(Pokedex!M$2:M$610,MATCH($A48,Pokedex!$B$2:$B$610,0)))</f>
        <v>95</v>
      </c>
      <c r="F48" s="51" t="n">
        <f aca="false" t="array" ref="F48:F48">IF(ISNA(INDEX(Pokedex!N$2:N$610,MATCH($A48,Pokedex!$B$2:$B$610,0))),"-",INDEX(Pokedex!N$2:N$610,MATCH($A48,Pokedex!$B$2:$B$610,0)))</f>
        <v>60</v>
      </c>
      <c r="G48" s="51" t="n">
        <f aca="false" t="array" ref="G48:G48">IF(ISNA(INDEX(Pokedex!O$2:O$610,MATCH($A48,Pokedex!$B$2:$B$610,0))),"-",INDEX(Pokedex!O$2:O$610,MATCH($A48,Pokedex!$B$2:$B$610,0)))</f>
        <v>65</v>
      </c>
      <c r="H48" s="51" t="n">
        <f aca="false" t="array" ref="H48:H48">IF(ISNA(INDEX(Pokedex!P$2:P$610,MATCH($A48,Pokedex!$B$2:$B$610,0))),"-",INDEX(Pokedex!P$2:P$610,MATCH($A48,Pokedex!$B$2:$B$610,0)))</f>
        <v>60</v>
      </c>
      <c r="I48" s="727" t="n">
        <f aca="false" t="array" ref="I48:I48">IF(ISNA(INDEX(Pokedex!Q$2:Q$610,MATCH($A48,Pokedex!$B$2:$B$610,0))),"-",INDEX(Pokedex!Q$2:Q$610,MATCH($A48,Pokedex!$B$2:$B$610,0)))</f>
        <v>115</v>
      </c>
      <c r="J48" s="51" t="n">
        <f aca="false">SUM(D48:I48)</f>
        <v>470</v>
      </c>
      <c r="K48" s="855" t="str">
        <f aca="false" t="array" ref="K48:K48">IF(ISNA(INDEX(Pokedex!R$2:R$610,MATCH($A48,Pokedex!$B$2:$B$610,0))),"-",INDEX(Pokedex!R$2:R$610,MATCH($A48,Pokedex!$B$2:$B$610,0)))</f>
        <v>Normal</v>
      </c>
      <c r="L48" s="855"/>
      <c r="M48" s="727" t="n">
        <f aca="false">IF(ISNA(INDEX(Pokedex!S$2:S$610,MATCH($A48,Pokedex!$B$2:$B$610,0))),"-",INDEX(Pokedex!S$2:S$610,MATCH($A48,Pokedex!$B$2:$B$610,0)))</f>
        <v>0</v>
      </c>
      <c r="N48" s="727"/>
      <c r="O48" s="44"/>
      <c r="P48" s="44"/>
      <c r="Q48" s="44"/>
      <c r="R48" s="790"/>
      <c r="S48" s="791"/>
      <c r="T48" s="792"/>
      <c r="U48" s="792"/>
      <c r="V48" s="792"/>
      <c r="W48" s="792"/>
      <c r="X48" s="792"/>
      <c r="Y48" s="792"/>
      <c r="Z48" s="792"/>
      <c r="AA48" s="792"/>
      <c r="AB48" s="792"/>
      <c r="AC48" s="792"/>
      <c r="AD48" s="792"/>
      <c r="AE48" s="792"/>
    </row>
    <row r="49" customFormat="false" ht="15.75" hidden="false" customHeight="false" outlineLevel="0" collapsed="false">
      <c r="A49" s="817" t="str">
        <f aca="false">$A$17</f>
        <v>Turtonator</v>
      </c>
      <c r="B49" s="817"/>
      <c r="C49" s="817"/>
      <c r="D49" s="855" t="n">
        <f aca="false" t="array" ref="D49:D49">IF(ISNA(INDEX(Pokedex!L$2:L$610,MATCH($A49,Pokedex!$B$2:$B$610,0))),"-",INDEX(Pokedex!L$2:L$610,MATCH($A49,Pokedex!$B$2:$B$610,0)))</f>
        <v>60</v>
      </c>
      <c r="E49" s="51" t="n">
        <f aca="false" t="array" ref="E49:E49">IF(ISNA(INDEX(Pokedex!M$2:M$610,MATCH($A49,Pokedex!$B$2:$B$610,0))),"-",INDEX(Pokedex!M$2:M$610,MATCH($A49,Pokedex!$B$2:$B$610,0)))</f>
        <v>78</v>
      </c>
      <c r="F49" s="51" t="n">
        <f aca="false" t="array" ref="F49:F49">IF(ISNA(INDEX(Pokedex!N$2:N$610,MATCH($A49,Pokedex!$B$2:$B$610,0))),"-",INDEX(Pokedex!N$2:N$610,MATCH($A49,Pokedex!$B$2:$B$610,0)))</f>
        <v>135</v>
      </c>
      <c r="G49" s="51" t="n">
        <f aca="false" t="array" ref="G49:G49">IF(ISNA(INDEX(Pokedex!O$2:O$610,MATCH($A49,Pokedex!$B$2:$B$610,0))),"-",INDEX(Pokedex!O$2:O$610,MATCH($A49,Pokedex!$B$2:$B$610,0)))</f>
        <v>91</v>
      </c>
      <c r="H49" s="51" t="n">
        <f aca="false" t="array" ref="H49:H49">IF(ISNA(INDEX(Pokedex!P$2:P$610,MATCH($A49,Pokedex!$B$2:$B$610,0))),"-",INDEX(Pokedex!P$2:P$610,MATCH($A49,Pokedex!$B$2:$B$610,0)))</f>
        <v>85</v>
      </c>
      <c r="I49" s="727" t="n">
        <f aca="false" t="array" ref="I49:I49">IF(ISNA(INDEX(Pokedex!Q$2:Q$610,MATCH($A49,Pokedex!$B$2:$B$610,0))),"-",INDEX(Pokedex!Q$2:Q$610,MATCH($A49,Pokedex!$B$2:$B$610,0)))</f>
        <v>36</v>
      </c>
      <c r="J49" s="51" t="n">
        <f aca="false">SUM(D49:I49)</f>
        <v>485</v>
      </c>
      <c r="K49" s="855" t="str">
        <f aca="false" t="array" ref="K49:K49">IF(ISNA(INDEX(Pokedex!R$2:R$610,MATCH($A49,Pokedex!$B$2:$B$610,0))),"-",INDEX(Pokedex!R$2:R$610,MATCH($A49,Pokedex!$B$2:$B$610,0)))</f>
        <v>Dragon</v>
      </c>
      <c r="L49" s="855"/>
      <c r="M49" s="727" t="str">
        <f aca="false" t="array" ref="M49:M49">IF(ISNA(INDEX(Pokedex!S$2:S$610,MATCH($A49,Pokedex!$B$2:$B$610,0))),"-",INDEX(Pokedex!S$2:S$610,MATCH($A49,Pokedex!$B$2:$B$610,0)))</f>
        <v>Fire</v>
      </c>
      <c r="N49" s="727"/>
      <c r="O49" s="44"/>
      <c r="P49" s="44"/>
      <c r="Q49" s="44"/>
      <c r="R49" s="790"/>
      <c r="S49" s="791"/>
      <c r="T49" s="792"/>
      <c r="U49" s="792"/>
      <c r="V49" s="792"/>
      <c r="W49" s="792"/>
      <c r="X49" s="792"/>
      <c r="Y49" s="792"/>
      <c r="Z49" s="792"/>
      <c r="AA49" s="792"/>
      <c r="AB49" s="792"/>
      <c r="AC49" s="792"/>
      <c r="AD49" s="792"/>
      <c r="AE49" s="792"/>
    </row>
    <row r="50" customFormat="false" ht="15.75" hidden="false" customHeight="false" outlineLevel="0" collapsed="false">
      <c r="A50" s="817" t="str">
        <f aca="false">$A$18</f>
        <v>Beedrill-Mega</v>
      </c>
      <c r="B50" s="817"/>
      <c r="C50" s="817"/>
      <c r="D50" s="855" t="n">
        <f aca="false" t="array" ref="D50:D50">IF(ISNA(INDEX(Pokedex!L$2:L$610,MATCH($A50,Pokedex!$B$2:$B$610,0))),"-",INDEX(Pokedex!L$2:L$610,MATCH($A50,Pokedex!$B$2:$B$610,0)))</f>
        <v>65</v>
      </c>
      <c r="E50" s="51" t="n">
        <f aca="false" t="array" ref="E50:E50">IF(ISNA(INDEX(Pokedex!M$2:M$610,MATCH($A50,Pokedex!$B$2:$B$610,0))),"-",INDEX(Pokedex!M$2:M$610,MATCH($A50,Pokedex!$B$2:$B$610,0)))</f>
        <v>140</v>
      </c>
      <c r="F50" s="51" t="n">
        <f aca="false" t="array" ref="F50:F50">IF(ISNA(INDEX(Pokedex!N$2:N$610,MATCH($A50,Pokedex!$B$2:$B$610,0))),"-",INDEX(Pokedex!N$2:N$610,MATCH($A50,Pokedex!$B$2:$B$610,0)))</f>
        <v>40</v>
      </c>
      <c r="G50" s="51" t="n">
        <f aca="false" t="array" ref="G50:G50">IF(ISNA(INDEX(Pokedex!O$2:O$610,MATCH($A50,Pokedex!$B$2:$B$610,0))),"-",INDEX(Pokedex!O$2:O$610,MATCH($A50,Pokedex!$B$2:$B$610,0)))</f>
        <v>15</v>
      </c>
      <c r="H50" s="51" t="n">
        <f aca="false" t="array" ref="H50:H50">IF(ISNA(INDEX(Pokedex!P$2:P$610,MATCH($A50,Pokedex!$B$2:$B$610,0))),"-",INDEX(Pokedex!P$2:P$610,MATCH($A50,Pokedex!$B$2:$B$610,0)))</f>
        <v>80</v>
      </c>
      <c r="I50" s="727" t="n">
        <f aca="false" t="array" ref="I50:I50">IF(ISNA(INDEX(Pokedex!Q$2:Q$610,MATCH($A50,Pokedex!$B$2:$B$610,0))),"-",INDEX(Pokedex!Q$2:Q$610,MATCH($A50,Pokedex!$B$2:$B$610,0)))</f>
        <v>145</v>
      </c>
      <c r="J50" s="51" t="n">
        <f aca="false">SUM(D50:I50)</f>
        <v>485</v>
      </c>
      <c r="K50" s="855" t="str">
        <f aca="false" t="array" ref="K50:K50">IF(ISNA(INDEX(Pokedex!R$2:R$610,MATCH($A50,Pokedex!$B$2:$B$610,0))),"-",INDEX(Pokedex!R$2:R$610,MATCH($A50,Pokedex!$B$2:$B$610,0)))</f>
        <v>Bug</v>
      </c>
      <c r="L50" s="855"/>
      <c r="M50" s="727" t="str">
        <f aca="false" t="array" ref="M50:M50">IF(ISNA(INDEX(Pokedex!S$2:S$610,MATCH($A50,Pokedex!$B$2:$B$610,0))),"-",INDEX(Pokedex!S$2:S$610,MATCH($A50,Pokedex!$B$2:$B$610,0)))</f>
        <v>Poison</v>
      </c>
      <c r="N50" s="727"/>
      <c r="O50" s="44"/>
      <c r="P50" s="44"/>
      <c r="Q50" s="44"/>
      <c r="R50" s="790"/>
      <c r="S50" s="791"/>
      <c r="T50" s="792"/>
      <c r="U50" s="792"/>
      <c r="V50" s="792"/>
      <c r="W50" s="792"/>
      <c r="X50" s="792"/>
      <c r="Y50" s="792"/>
      <c r="Z50" s="792"/>
      <c r="AA50" s="792"/>
      <c r="AB50" s="792"/>
      <c r="AC50" s="792"/>
      <c r="AD50" s="792"/>
      <c r="AE50" s="792"/>
    </row>
    <row r="51" customFormat="false" ht="15.75" hidden="false" customHeight="false" outlineLevel="0" collapsed="false">
      <c r="A51" s="817" t="str">
        <f aca="false">$A$19</f>
        <v>Kommo-o</v>
      </c>
      <c r="B51" s="817"/>
      <c r="C51" s="817"/>
      <c r="D51" s="855" t="n">
        <f aca="false" t="array" ref="D51:D51">IF(ISNA(INDEX(Pokedex!L$2:L$610,MATCH($A51,Pokedex!$B$2:$B$610,0))),"-",INDEX(Pokedex!L$2:L$610,MATCH($A51,Pokedex!$B$2:$B$610,0)))</f>
        <v>75</v>
      </c>
      <c r="E51" s="51" t="n">
        <f aca="false" t="array" ref="E51:E51">IF(ISNA(INDEX(Pokedex!M$2:M$610,MATCH($A51,Pokedex!$B$2:$B$610,0))),"-",INDEX(Pokedex!M$2:M$610,MATCH($A51,Pokedex!$B$2:$B$610,0)))</f>
        <v>110</v>
      </c>
      <c r="F51" s="51" t="n">
        <f aca="false" t="array" ref="F51:F51">IF(ISNA(INDEX(Pokedex!N$2:N$610,MATCH($A51,Pokedex!$B$2:$B$610,0))),"-",INDEX(Pokedex!N$2:N$610,MATCH($A51,Pokedex!$B$2:$B$610,0)))</f>
        <v>125</v>
      </c>
      <c r="G51" s="51" t="n">
        <f aca="false" t="array" ref="G51:G51">IF(ISNA(INDEX(Pokedex!O$2:O$610,MATCH($A51,Pokedex!$B$2:$B$610,0))),"-",INDEX(Pokedex!O$2:O$610,MATCH($A51,Pokedex!$B$2:$B$610,0)))</f>
        <v>100</v>
      </c>
      <c r="H51" s="51" t="n">
        <f aca="false" t="array" ref="H51:H51">IF(ISNA(INDEX(Pokedex!P$2:P$610,MATCH($A51,Pokedex!$B$2:$B$610,0))),"-",INDEX(Pokedex!P$2:P$610,MATCH($A51,Pokedex!$B$2:$B$610,0)))</f>
        <v>105</v>
      </c>
      <c r="I51" s="727" t="n">
        <f aca="false" t="array" ref="I51:I51">IF(ISNA(INDEX(Pokedex!Q$2:Q$610,MATCH($A51,Pokedex!$B$2:$B$610,0))),"-",INDEX(Pokedex!Q$2:Q$610,MATCH($A51,Pokedex!$B$2:$B$610,0)))</f>
        <v>85</v>
      </c>
      <c r="J51" s="51" t="n">
        <f aca="false">SUM(D51:I51)</f>
        <v>600</v>
      </c>
      <c r="K51" s="855" t="str">
        <f aca="false" t="array" ref="K51:K51">IF(ISNA(INDEX(Pokedex!R$2:R$610,MATCH($A51,Pokedex!$B$2:$B$610,0))),"-",INDEX(Pokedex!R$2:R$610,MATCH($A51,Pokedex!$B$2:$B$610,0)))</f>
        <v>Dragon</v>
      </c>
      <c r="L51" s="855"/>
      <c r="M51" s="727" t="str">
        <f aca="false" t="array" ref="M51:M51">IF(ISNA(INDEX(Pokedex!S$2:S$610,MATCH($A51,Pokedex!$B$2:$B$610,0))),"-",INDEX(Pokedex!S$2:S$610,MATCH($A51,Pokedex!$B$2:$B$610,0)))</f>
        <v>Fighting</v>
      </c>
      <c r="N51" s="727"/>
      <c r="O51" s="44"/>
      <c r="P51" s="44"/>
      <c r="Q51" s="44"/>
      <c r="R51" s="820"/>
      <c r="S51" s="821"/>
      <c r="T51" s="792"/>
      <c r="U51" s="792"/>
      <c r="V51" s="792"/>
      <c r="W51" s="792"/>
      <c r="X51" s="792"/>
      <c r="Y51" s="792"/>
      <c r="Z51" s="792"/>
      <c r="AA51" s="792"/>
      <c r="AB51" s="792"/>
      <c r="AC51" s="792"/>
      <c r="AD51" s="792"/>
      <c r="AE51" s="792"/>
    </row>
    <row r="52" customFormat="false" ht="15.75" hidden="false" customHeight="false" outlineLevel="0" collapsed="false">
      <c r="A52" s="817" t="str">
        <f aca="false">$A$20</f>
        <v>Xurkitree</v>
      </c>
      <c r="B52" s="817"/>
      <c r="C52" s="817"/>
      <c r="D52" s="855" t="n">
        <f aca="false" t="array" ref="D52:D52">IF(ISNA(INDEX(Pokedex!L$2:L$610,MATCH($A52,Pokedex!$B$2:$B$610,0))),"-",INDEX(Pokedex!L$2:L$610,MATCH($A52,Pokedex!$B$2:$B$610,0)))</f>
        <v>83</v>
      </c>
      <c r="E52" s="51" t="n">
        <f aca="false" t="array" ref="E52:E52">IF(ISNA(INDEX(Pokedex!M$2:M$610,MATCH($A52,Pokedex!$B$2:$B$610,0))),"-",INDEX(Pokedex!M$2:M$610,MATCH($A52,Pokedex!$B$2:$B$610,0)))</f>
        <v>89</v>
      </c>
      <c r="F52" s="51" t="n">
        <f aca="false" t="array" ref="F52:F52">IF(ISNA(INDEX(Pokedex!N$2:N$610,MATCH($A52,Pokedex!$B$2:$B$610,0))),"-",INDEX(Pokedex!N$2:N$610,MATCH($A52,Pokedex!$B$2:$B$610,0)))</f>
        <v>70</v>
      </c>
      <c r="G52" s="51" t="n">
        <f aca="false" t="array" ref="G52:G52">IF(ISNA(INDEX(Pokedex!O$2:O$610,MATCH($A52,Pokedex!$B$2:$B$610,0))),"-",INDEX(Pokedex!O$2:O$610,MATCH($A52,Pokedex!$B$2:$B$610,0)))</f>
        <v>173</v>
      </c>
      <c r="H52" s="51" t="n">
        <f aca="false" t="array" ref="H52:H52">IF(ISNA(INDEX(Pokedex!P$2:P$610,MATCH($A52,Pokedex!$B$2:$B$610,0))),"-",INDEX(Pokedex!P$2:P$610,MATCH($A52,Pokedex!$B$2:$B$610,0)))</f>
        <v>71</v>
      </c>
      <c r="I52" s="727" t="n">
        <f aca="false" t="array" ref="I52:I52">IF(ISNA(INDEX(Pokedex!Q$2:Q$610,MATCH($A52,Pokedex!$B$2:$B$610,0))),"-",INDEX(Pokedex!Q$2:Q$610,MATCH($A52,Pokedex!$B$2:$B$610,0)))</f>
        <v>83</v>
      </c>
      <c r="J52" s="51" t="n">
        <f aca="false">SUM(D52:I52)</f>
        <v>569</v>
      </c>
      <c r="K52" s="855" t="str">
        <f aca="false" t="array" ref="K52:K52">IF(ISNA(INDEX(Pokedex!R$2:R$610,MATCH($A52,Pokedex!$B$2:$B$610,0))),"-",INDEX(Pokedex!R$2:R$610,MATCH($A52,Pokedex!$B$2:$B$610,0)))</f>
        <v>Electric</v>
      </c>
      <c r="L52" s="855"/>
      <c r="M52" s="727" t="n">
        <f aca="false">IF(ISNA(INDEX(Pokedex!S$2:S$610,MATCH($A52,Pokedex!$B$2:$B$610,0))),"-",INDEX(Pokedex!S$2:S$610,MATCH($A52,Pokedex!$B$2:$B$610,0)))</f>
        <v>0</v>
      </c>
      <c r="N52" s="727"/>
      <c r="O52" s="44"/>
      <c r="P52" s="44"/>
      <c r="Q52" s="44"/>
      <c r="R52" s="824"/>
      <c r="S52" s="638"/>
      <c r="T52" s="638"/>
      <c r="U52" s="638"/>
      <c r="V52" s="638"/>
      <c r="W52" s="638"/>
      <c r="X52" s="638"/>
      <c r="Y52" s="638"/>
      <c r="Z52" s="638"/>
      <c r="AA52" s="638"/>
      <c r="AB52" s="638"/>
      <c r="AC52" s="638"/>
      <c r="AD52" s="638"/>
      <c r="AE52" s="638"/>
    </row>
    <row r="53" customFormat="false" ht="15.75" hidden="false" customHeight="false" outlineLevel="0" collapsed="false">
      <c r="A53" s="817" t="str">
        <f aca="false">$A$21</f>
        <v>Crabominable</v>
      </c>
      <c r="B53" s="817"/>
      <c r="C53" s="817"/>
      <c r="D53" s="855" t="n">
        <f aca="false" t="array" ref="D53:D53">IF(ISNA(INDEX(Pokedex!L$2:L$610,MATCH($A53,Pokedex!$B$2:$B$610,0))),"-",INDEX(Pokedex!L$2:L$610,MATCH($A53,Pokedex!$B$2:$B$610,0)))</f>
        <v>97</v>
      </c>
      <c r="E53" s="51" t="n">
        <f aca="false" t="array" ref="E53:E53">IF(ISNA(INDEX(Pokedex!M$2:M$610,MATCH($A53,Pokedex!$B$2:$B$610,0))),"-",INDEX(Pokedex!M$2:M$610,MATCH($A53,Pokedex!$B$2:$B$610,0)))</f>
        <v>132</v>
      </c>
      <c r="F53" s="51" t="n">
        <f aca="false" t="array" ref="F53:F53">IF(ISNA(INDEX(Pokedex!N$2:N$610,MATCH($A53,Pokedex!$B$2:$B$610,0))),"-",INDEX(Pokedex!N$2:N$610,MATCH($A53,Pokedex!$B$2:$B$610,0)))</f>
        <v>77</v>
      </c>
      <c r="G53" s="51" t="n">
        <f aca="false" t="array" ref="G53:G53">IF(ISNA(INDEX(Pokedex!O$2:O$610,MATCH($A53,Pokedex!$B$2:$B$610,0))),"-",INDEX(Pokedex!O$2:O$610,MATCH($A53,Pokedex!$B$2:$B$610,0)))</f>
        <v>62</v>
      </c>
      <c r="H53" s="51" t="n">
        <f aca="false" t="array" ref="H53:H53">IF(ISNA(INDEX(Pokedex!P$2:P$610,MATCH($A53,Pokedex!$B$2:$B$610,0))),"-",INDEX(Pokedex!P$2:P$610,MATCH($A53,Pokedex!$B$2:$B$610,0)))</f>
        <v>67</v>
      </c>
      <c r="I53" s="727" t="n">
        <f aca="false" t="array" ref="I53:I53">IF(ISNA(INDEX(Pokedex!Q$2:Q$610,MATCH($A53,Pokedex!$B$2:$B$610,0))),"-",INDEX(Pokedex!Q$2:Q$610,MATCH($A53,Pokedex!$B$2:$B$610,0)))</f>
        <v>43</v>
      </c>
      <c r="J53" s="51" t="n">
        <f aca="false">SUM(D53:I53)</f>
        <v>478</v>
      </c>
      <c r="K53" s="855" t="str">
        <f aca="false" t="array" ref="K53:K53">IF(ISNA(INDEX(Pokedex!R$2:R$610,MATCH($A53,Pokedex!$B$2:$B$610,0))),"-",INDEX(Pokedex!R$2:R$610,MATCH($A53,Pokedex!$B$2:$B$610,0)))</f>
        <v>Fighting</v>
      </c>
      <c r="L53" s="855"/>
      <c r="M53" s="727" t="str">
        <f aca="false" t="array" ref="M53:M53">IF(ISNA(INDEX(Pokedex!S$2:S$610,MATCH($A53,Pokedex!$B$2:$B$610,0))),"-",INDEX(Pokedex!S$2:S$610,MATCH($A53,Pokedex!$B$2:$B$610,0)))</f>
        <v>Ice</v>
      </c>
      <c r="N53" s="727"/>
      <c r="O53" s="44"/>
      <c r="P53" s="44"/>
      <c r="Q53" s="44"/>
      <c r="R53" s="824"/>
      <c r="S53" s="638"/>
      <c r="T53" s="638"/>
      <c r="U53" s="638"/>
      <c r="V53" s="638"/>
      <c r="W53" s="638"/>
      <c r="X53" s="638"/>
      <c r="Y53" s="638"/>
      <c r="Z53" s="638"/>
      <c r="AA53" s="638"/>
      <c r="AB53" s="638"/>
      <c r="AC53" s="638"/>
      <c r="AD53" s="638"/>
      <c r="AE53" s="638"/>
    </row>
    <row r="54" customFormat="false" ht="15.75" hidden="false" customHeight="false" outlineLevel="0" collapsed="false">
      <c r="A54" s="826" t="str">
        <f aca="false">$A$22</f>
        <v>Shiinotic</v>
      </c>
      <c r="B54" s="826"/>
      <c r="C54" s="826"/>
      <c r="D54" s="870" t="n">
        <f aca="false" t="array" ref="D54:D54">IF(ISNA(INDEX(Pokedex!L$2:L$610,MATCH($A54,Pokedex!$B$2:$B$610,0))),"-",INDEX(Pokedex!L$2:L$610,MATCH($A54,Pokedex!$B$2:$B$610,0)))</f>
        <v>60</v>
      </c>
      <c r="E54" s="828" t="n">
        <f aca="false" t="array" ref="E54:E54">IF(ISNA(INDEX(Pokedex!M$2:M$610,MATCH($A54,Pokedex!$B$2:$B$610,0))),"-",INDEX(Pokedex!M$2:M$610,MATCH($A54,Pokedex!$B$2:$B$610,0)))</f>
        <v>45</v>
      </c>
      <c r="F54" s="828" t="n">
        <f aca="false" t="array" ref="F54:F54">IF(ISNA(INDEX(Pokedex!N$2:N$610,MATCH($A54,Pokedex!$B$2:$B$610,0))),"-",INDEX(Pokedex!N$2:N$610,MATCH($A54,Pokedex!$B$2:$B$610,0)))</f>
        <v>80</v>
      </c>
      <c r="G54" s="828" t="n">
        <f aca="false" t="array" ref="G54:G54">IF(ISNA(INDEX(Pokedex!O$2:O$610,MATCH($A54,Pokedex!$B$2:$B$610,0))),"-",INDEX(Pokedex!O$2:O$610,MATCH($A54,Pokedex!$B$2:$B$610,0)))</f>
        <v>90</v>
      </c>
      <c r="H54" s="828" t="n">
        <f aca="false" t="array" ref="H54:H54">IF(ISNA(INDEX(Pokedex!P$2:P$610,MATCH($A54,Pokedex!$B$2:$B$610,0))),"-",INDEX(Pokedex!P$2:P$610,MATCH($A54,Pokedex!$B$2:$B$610,0)))</f>
        <v>100</v>
      </c>
      <c r="I54" s="744" t="n">
        <f aca="false" t="array" ref="I54:I54">IF(ISNA(INDEX(Pokedex!Q$2:Q$610,MATCH($A54,Pokedex!$B$2:$B$610,0))),"-",INDEX(Pokedex!Q$2:Q$610,MATCH($A54,Pokedex!$B$2:$B$610,0)))</f>
        <v>30</v>
      </c>
      <c r="J54" s="828" t="n">
        <f aca="false">SUM(D54:I54)</f>
        <v>405</v>
      </c>
      <c r="K54" s="870" t="str">
        <f aca="false" t="array" ref="K54:K54">IF(ISNA(INDEX(Pokedex!R$2:R$610,MATCH($A54,Pokedex!$B$2:$B$610,0))),"-",INDEX(Pokedex!R$2:R$610,MATCH($A54,Pokedex!$B$2:$B$610,0)))</f>
        <v>Fairy</v>
      </c>
      <c r="L54" s="870"/>
      <c r="M54" s="744" t="str">
        <f aca="false" t="array" ref="M54:M54">IF(ISNA(INDEX(Pokedex!S$2:S$610,MATCH($A54,Pokedex!$B$2:$B$610,0))),"-",INDEX(Pokedex!S$2:S$610,MATCH($A54,Pokedex!$B$2:$B$610,0)))</f>
        <v>Grass</v>
      </c>
      <c r="N54" s="744"/>
      <c r="O54" s="44"/>
      <c r="P54" s="44"/>
      <c r="Q54" s="871" t="s">
        <v>2068</v>
      </c>
      <c r="R54" s="871"/>
      <c r="S54" s="871"/>
      <c r="T54" s="871" t="s">
        <v>2069</v>
      </c>
      <c r="U54" s="871"/>
      <c r="V54" s="871"/>
      <c r="W54" s="872" t="s">
        <v>209</v>
      </c>
      <c r="X54" s="872"/>
      <c r="Y54" s="332" t="s">
        <v>2070</v>
      </c>
      <c r="Z54" s="332"/>
      <c r="AA54" s="172" t="s">
        <v>213</v>
      </c>
      <c r="AB54" s="172"/>
      <c r="AC54" s="172"/>
      <c r="AD54" s="172"/>
      <c r="AE54" s="873"/>
    </row>
    <row r="55" customFormat="false" ht="15.75" hidden="false" customHeight="false" outlineLevel="0" collapsed="false">
      <c r="A55" s="874" t="s">
        <v>2075</v>
      </c>
      <c r="B55" s="874"/>
      <c r="C55" s="874"/>
      <c r="D55" s="875" t="n">
        <f aca="false">IF(ISERROR(AVERAGE(D44:D54)),"-",AVERAGE(D44:D54))</f>
        <v>76.4545454545455</v>
      </c>
      <c r="E55" s="876" t="n">
        <f aca="false">IF(ISERROR(AVERAGE(E44:E54)),"-",AVERAGE(E44:E54))</f>
        <v>98.1818181818182</v>
      </c>
      <c r="F55" s="876" t="n">
        <f aca="false">IF(ISERROR(AVERAGE(F44:F54)),"-",AVERAGE(F44:F54))</f>
        <v>85.9090909090909</v>
      </c>
      <c r="G55" s="876" t="n">
        <f aca="false">IF(ISERROR(AVERAGE(G44:G54)),"-",AVERAGE(G44:G54))</f>
        <v>90.6363636363636</v>
      </c>
      <c r="H55" s="876" t="n">
        <f aca="false">IF(ISERROR(AVERAGE(H44:H54)),"-",AVERAGE(H44:H54))</f>
        <v>88.5454545454546</v>
      </c>
      <c r="I55" s="877" t="n">
        <f aca="false">IF(ISERROR(AVERAGE(I44:I54)),"-",AVERAGE(I44:I54))</f>
        <v>79.0909090909091</v>
      </c>
      <c r="J55" s="877" t="n">
        <f aca="false">IF(ISERROR(AVERAGE(J44:J54)),"-",AVERAGE(J44:J54))</f>
        <v>518.818181818182</v>
      </c>
      <c r="K55" s="44"/>
      <c r="L55" s="44"/>
      <c r="M55" s="44"/>
      <c r="N55" s="44"/>
      <c r="O55" s="44"/>
      <c r="P55" s="44"/>
      <c r="Q55" s="878" t="str">
        <f aca="false">IFERROR(__xludf.dummyfunction("{if(isna(filter(Transactions!$AR$3:$AR$100,Transactions!$AU$3:$AU$100=$L$1)),,filter(Transactions!$AR$3:$AR$100,Transactions!$AU$3:$AU$100=$L$1));if(isna(filter(Transactions!$AW$3:$AW$100,Transactions!$AP$3:$AP$100=$L$1)),,filter(Transactions!$AW$3:$AW$10"&amp;"0,Transactions!$AP$3:$AP$100=$L$1))}"),"")</f>
        <v/>
      </c>
      <c r="R55" s="878"/>
      <c r="S55" s="878"/>
      <c r="T55" s="878" t="str">
        <f aca="false">IFERROR(__xludf.dummyfunction("{if(isna(filter(Transactions!$AW$3:$AW$100,Transactions!$AU$3:$AU$100=$L$1)),,filter(Transactions!$AW$3:$AW$100,Transactions!$AU$3:$AU$100=$L$1));if(isna(filter(Transactions!$AR$3:$AR$100,Transactions!$AP$3:$AP$100=$L$1)),,filter(Transactions!$AR$3:$AR$10"&amp;"0,Transactions!$AP$3:$AP$100=$L$1))}"),"")</f>
        <v/>
      </c>
      <c r="U55" s="878"/>
      <c r="V55" s="878"/>
      <c r="W55" s="879" t="str">
        <f aca="false">IFERROR(__xludf.dummyfunction("{if(isna(filter(Transactions!$AZ$3:$AZ$100,Transactions!$AU$3:$AU$100=$L$1)),,filter(Transactions!$AZ$3:$AZ$100,Transactions!$AU$3:$AU$100=$L$1));if(isna(filter(Transactions!$AZ$3:$AZ$100,Transactions!$AP$3:$AP$100=$L$1)),,filter(Transactions!$AZ$3:$AZ$10"&amp;"0,Transactions!$AP$3:$AP$100=$L$1))}"),"")</f>
        <v/>
      </c>
      <c r="X55" s="879"/>
      <c r="Y55" s="879" t="str">
        <f aca="false">IFERROR(__xludf.dummyfunction("{if(isna(filter(Transactions!$AP$3:$AP$100,Transactions!$AU$3:$AU$100=$L$1)),,filter(Transactions!$AP$3:$AP$100,Transactions!$AU$3:$AU$100=$L$1));if(isna(filter(Transactions!$AU$3:$AU$100,Transactions!$AP$3:$AP$100=$L$1)),,filter(Transactions!$AU$3:$AU$10"&amp;"0,Transactions!$AP$3:$AP$100=$L$1))}"),"")</f>
        <v/>
      </c>
      <c r="Z55" s="879"/>
      <c r="AA55" s="880" t="str">
        <f aca="false">IFERROR(__xludf.dummyfunction("{if(isna(filter(Transactions!$BB$3:$BB$100,Transactions!$AU$3:$AU$100=$L$1)),,filter(Transactions!$BB$3:$BB$100,Transactions!$AU$3:$AU$100=$L$1));if(isna(filter(Transactions!$BB$3:$BB$100,Transactions!$AP$3:$AP$100=$L$1)),,filter(Transactions!$BB$3:$BB$10"&amp;"0,Transactions!$AP$3:$AP$100=$L$1))}"),"")</f>
        <v/>
      </c>
      <c r="AB55" s="880"/>
      <c r="AC55" s="880"/>
      <c r="AD55" s="880"/>
      <c r="AE55" s="881"/>
    </row>
    <row r="56" customFormat="false" ht="15.75" hidden="false" customHeight="false" outlineLevel="0" collapsed="false">
      <c r="A56" s="832" t="s">
        <v>2063</v>
      </c>
      <c r="B56" s="832"/>
      <c r="C56" s="832"/>
      <c r="D56" s="882" t="n">
        <f aca="false">SUM(D44:D54)</f>
        <v>841</v>
      </c>
      <c r="E56" s="883" t="n">
        <f aca="false">SUM(E44:E54)</f>
        <v>1080</v>
      </c>
      <c r="F56" s="883" t="n">
        <f aca="false">SUM(F44:F54)</f>
        <v>945</v>
      </c>
      <c r="G56" s="883" t="n">
        <f aca="false">SUM(G44:G54)</f>
        <v>997</v>
      </c>
      <c r="H56" s="883" t="n">
        <f aca="false">SUM(H44:H54)</f>
        <v>974</v>
      </c>
      <c r="I56" s="783" t="n">
        <f aca="false">SUM(I44:I54)</f>
        <v>870</v>
      </c>
      <c r="J56" s="783" t="n">
        <f aca="false">SUM(J44:J54)</f>
        <v>5707</v>
      </c>
      <c r="K56" s="44"/>
      <c r="L56" s="44"/>
      <c r="M56" s="44"/>
      <c r="N56" s="44"/>
      <c r="O56" s="44"/>
      <c r="P56" s="44"/>
      <c r="Q56" s="884"/>
      <c r="R56" s="884"/>
      <c r="S56" s="884"/>
      <c r="T56" s="884"/>
      <c r="U56" s="884"/>
      <c r="V56" s="884"/>
      <c r="W56" s="885"/>
      <c r="X56" s="885"/>
      <c r="Y56" s="885"/>
      <c r="Z56" s="885"/>
      <c r="AA56" s="757"/>
      <c r="AB56" s="757"/>
      <c r="AC56" s="757"/>
      <c r="AD56" s="757"/>
      <c r="AE56" s="886"/>
    </row>
    <row r="57" customFormat="false" ht="15.75" hidden="false" customHeight="false" outlineLevel="0" collapsed="false">
      <c r="A57" s="44"/>
      <c r="B57" s="44"/>
      <c r="C57" s="44"/>
      <c r="D57" s="44"/>
      <c r="E57" s="44"/>
      <c r="F57" s="44"/>
      <c r="G57" s="44"/>
      <c r="H57" s="44"/>
      <c r="I57" s="44"/>
      <c r="J57" s="44"/>
      <c r="K57" s="44"/>
      <c r="L57" s="44"/>
      <c r="M57" s="44"/>
      <c r="N57" s="44"/>
      <c r="O57" s="44"/>
      <c r="P57" s="44"/>
      <c r="Q57" s="887"/>
      <c r="R57" s="887"/>
      <c r="S57" s="887"/>
      <c r="T57" s="887"/>
      <c r="U57" s="887"/>
      <c r="V57" s="887"/>
      <c r="W57" s="888"/>
      <c r="X57" s="888"/>
      <c r="Y57" s="888"/>
      <c r="Z57" s="888"/>
      <c r="AA57" s="889"/>
      <c r="AB57" s="889"/>
      <c r="AC57" s="889"/>
      <c r="AD57" s="889"/>
      <c r="AE57" s="881"/>
    </row>
    <row r="58" customFormat="false" ht="15.75" hidden="false" customHeight="false" outlineLevel="0" collapsed="false">
      <c r="A58" s="852" t="s">
        <v>773</v>
      </c>
      <c r="B58" s="852"/>
      <c r="C58" s="852"/>
      <c r="D58" s="342" t="s">
        <v>2076</v>
      </c>
      <c r="E58" s="342"/>
      <c r="F58" s="342"/>
      <c r="G58" s="342"/>
      <c r="H58" s="342"/>
      <c r="I58" s="342"/>
      <c r="J58" s="50"/>
      <c r="K58" s="341" t="s">
        <v>2077</v>
      </c>
      <c r="L58" s="341"/>
      <c r="M58" s="341"/>
      <c r="N58" s="341"/>
      <c r="O58" s="44"/>
      <c r="P58" s="44"/>
      <c r="Q58" s="884"/>
      <c r="R58" s="884"/>
      <c r="S58" s="884"/>
      <c r="T58" s="884"/>
      <c r="U58" s="884"/>
      <c r="V58" s="884"/>
      <c r="W58" s="885"/>
      <c r="X58" s="885"/>
      <c r="Y58" s="885"/>
      <c r="Z58" s="885"/>
      <c r="AA58" s="757"/>
      <c r="AB58" s="757"/>
      <c r="AC58" s="757"/>
      <c r="AD58" s="757"/>
      <c r="AE58" s="886"/>
    </row>
    <row r="59" customFormat="false" ht="15.75" hidden="false" customHeight="false" outlineLevel="0" collapsed="false">
      <c r="A59" s="890" t="str">
        <f aca="false">$A$12</f>
        <v>Tapu Bulu</v>
      </c>
      <c r="B59" s="890"/>
      <c r="C59" s="890"/>
      <c r="D59" s="867" t="str">
        <f aca="false" t="array" ref="D59:D59">IF(ISNA(INDEX(Pokedex!T$2:T$610,MATCH($A59,Pokedex!$B$2:$B$610,0))),"-",INDEX(Pokedex!T$2:T$610,MATCH($A59,Pokedex!$B$2:$B$610,0)))</f>
        <v>Grassy Surge</v>
      </c>
      <c r="E59" s="867"/>
      <c r="F59" s="868" t="str">
        <f aca="false" t="array" ref="F59:F59">IF(ISNA(INDEX(Pokedex!U$2:U$610,MATCH($A59,Pokedex!$B$2:$B$610,0))),"-",INDEX(Pokedex!U$2:U$610,MATCH($A59,Pokedex!$B$2:$B$610,0)))</f>
        <v>Telepathy</v>
      </c>
      <c r="G59" s="868"/>
      <c r="H59" s="869" t="n">
        <f aca="false">IF(ISNA(INDEX(Pokedex!V$2:V$610,MATCH($A59,Pokedex!$B$2:$B$610,0))),"-",INDEX(Pokedex!V$2:V$610,MATCH($A59,Pokedex!$B$2:$B$610,0)))</f>
        <v>0</v>
      </c>
      <c r="I59" s="869"/>
      <c r="J59" s="44"/>
      <c r="K59" s="891" t="str">
        <f aca="false">IFERROR(__xludf.dummyfunction("if(isna(filter($R$2:$R$13,isblank($R$2:$R$13)=FALSE)),""NONE"",filter($R$2:$R$13,isblank($R$2:$R$13)=FALSE))"),"Empoleon")</f>
        <v>Empoleon</v>
      </c>
      <c r="L59" s="891"/>
      <c r="M59" s="892" t="str">
        <f aca="false">IFERROR(__xludf.dummyfunction("if(isna(filter($S$2:$S$13,isblank($S$2:$S$13)=FALSE)),""N/A"",filter($S$2:$S$13,isblank($S$2:$S$13)=FALSE))"),"Stealth Rock")</f>
        <v>Stealth Rock</v>
      </c>
      <c r="N59" s="892"/>
      <c r="O59" s="44"/>
      <c r="P59" s="44"/>
      <c r="Q59" s="887"/>
      <c r="R59" s="887"/>
      <c r="S59" s="887"/>
      <c r="T59" s="887"/>
      <c r="U59" s="887"/>
      <c r="V59" s="887"/>
      <c r="W59" s="888"/>
      <c r="X59" s="888"/>
      <c r="Y59" s="888"/>
      <c r="Z59" s="888"/>
      <c r="AA59" s="889"/>
      <c r="AB59" s="889"/>
      <c r="AC59" s="889"/>
      <c r="AD59" s="889"/>
      <c r="AE59" s="881"/>
    </row>
    <row r="60" customFormat="false" ht="15.75" hidden="false" customHeight="false" outlineLevel="0" collapsed="false">
      <c r="A60" s="840" t="str">
        <f aca="false">$A$13</f>
        <v>Hydreigon</v>
      </c>
      <c r="B60" s="840"/>
      <c r="C60" s="840"/>
      <c r="D60" s="855" t="str">
        <f aca="false" t="array" ref="D60:D60">IF(ISNA(INDEX(Pokedex!T$2:T$610,MATCH($A60,Pokedex!$B$2:$B$610,0))),"-",INDEX(Pokedex!T$2:T$610,MATCH($A60,Pokedex!$B$2:$B$610,0)))</f>
        <v>Levitate</v>
      </c>
      <c r="E60" s="855"/>
      <c r="F60" s="854" t="n">
        <f aca="false">IF(ISNA(INDEX(Pokedex!U$2:U$610,MATCH($A60,Pokedex!$B$2:$B$610,0))),"-",INDEX(Pokedex!U$2:U$610,MATCH($A60,Pokedex!$B$2:$B$610,0)))</f>
        <v>0</v>
      </c>
      <c r="G60" s="854"/>
      <c r="H60" s="727" t="n">
        <f aca="false">IF(ISNA(INDEX(Pokedex!V$2:V$610,MATCH($A60,Pokedex!$B$2:$B$610,0))),"-",INDEX(Pokedex!V$2:V$610,MATCH($A60,Pokedex!$B$2:$B$610,0)))</f>
        <v>0</v>
      </c>
      <c r="I60" s="727"/>
      <c r="J60" s="44"/>
      <c r="K60" s="823" t="s">
        <v>38</v>
      </c>
      <c r="L60" s="823"/>
      <c r="M60" s="477" t="s">
        <v>1106</v>
      </c>
      <c r="N60" s="477"/>
      <c r="O60" s="44"/>
      <c r="P60" s="44"/>
      <c r="Q60" s="884"/>
      <c r="R60" s="884"/>
      <c r="S60" s="884"/>
      <c r="T60" s="884"/>
      <c r="U60" s="884"/>
      <c r="V60" s="884"/>
      <c r="W60" s="885"/>
      <c r="X60" s="885"/>
      <c r="Y60" s="885"/>
      <c r="Z60" s="885"/>
      <c r="AA60" s="757"/>
      <c r="AB60" s="757"/>
      <c r="AC60" s="757"/>
      <c r="AD60" s="757"/>
      <c r="AE60" s="886"/>
    </row>
    <row r="61" customFormat="false" ht="15.75" hidden="false" customHeight="false" outlineLevel="0" collapsed="false">
      <c r="A61" s="840" t="str">
        <f aca="false">$A$14</f>
        <v>Empoleon</v>
      </c>
      <c r="B61" s="840"/>
      <c r="C61" s="840"/>
      <c r="D61" s="855" t="str">
        <f aca="false" t="array" ref="D61:D61">IF(ISNA(INDEX(Pokedex!T$2:T$610,MATCH($A61,Pokedex!$B$2:$B$610,0))),"-",INDEX(Pokedex!T$2:T$610,MATCH($A61,Pokedex!$B$2:$B$610,0)))</f>
        <v>Defiant</v>
      </c>
      <c r="E61" s="855"/>
      <c r="F61" s="854" t="str">
        <f aca="false" t="array" ref="F61:F61">IF(ISNA(INDEX(Pokedex!U$2:U$610,MATCH($A61,Pokedex!$B$2:$B$610,0))),"-",INDEX(Pokedex!U$2:U$610,MATCH($A61,Pokedex!$B$2:$B$610,0)))</f>
        <v>Torrent</v>
      </c>
      <c r="G61" s="854"/>
      <c r="H61" s="727" t="n">
        <f aca="false">IF(ISNA(INDEX(Pokedex!V$2:V$610,MATCH($A61,Pokedex!$B$2:$B$610,0))),"-",INDEX(Pokedex!V$2:V$610,MATCH($A61,Pokedex!$B$2:$B$610,0)))</f>
        <v>0</v>
      </c>
      <c r="I61" s="727"/>
      <c r="J61" s="44"/>
      <c r="K61" s="823" t="s">
        <v>101</v>
      </c>
      <c r="L61" s="823"/>
      <c r="M61" s="477" t="s">
        <v>1108</v>
      </c>
      <c r="N61" s="477"/>
      <c r="O61" s="44"/>
      <c r="P61" s="44"/>
      <c r="Q61" s="887"/>
      <c r="R61" s="887"/>
      <c r="S61" s="887"/>
      <c r="T61" s="887"/>
      <c r="U61" s="887"/>
      <c r="V61" s="887"/>
      <c r="W61" s="888"/>
      <c r="X61" s="888"/>
      <c r="Y61" s="888"/>
      <c r="Z61" s="888"/>
      <c r="AA61" s="889"/>
      <c r="AB61" s="889"/>
      <c r="AC61" s="889"/>
      <c r="AD61" s="889"/>
      <c r="AE61" s="881"/>
    </row>
    <row r="62" customFormat="false" ht="15.75" hidden="false" customHeight="false" outlineLevel="0" collapsed="false">
      <c r="A62" s="840" t="str">
        <f aca="false">$A$15</f>
        <v>Tentacruel</v>
      </c>
      <c r="B62" s="840"/>
      <c r="C62" s="840"/>
      <c r="D62" s="855" t="str">
        <f aca="false" t="array" ref="D62:D62">IF(ISNA(INDEX(Pokedex!T$2:T$610,MATCH($A62,Pokedex!$B$2:$B$610,0))),"-",INDEX(Pokedex!T$2:T$610,MATCH($A62,Pokedex!$B$2:$B$610,0)))</f>
        <v>Clear Body</v>
      </c>
      <c r="E62" s="855"/>
      <c r="F62" s="854" t="str">
        <f aca="false" t="array" ref="F62:F62">IF(ISNA(INDEX(Pokedex!U$2:U$610,MATCH($A62,Pokedex!$B$2:$B$610,0))),"-",INDEX(Pokedex!U$2:U$610,MATCH($A62,Pokedex!$B$2:$B$610,0)))</f>
        <v>Rain Dish</v>
      </c>
      <c r="G62" s="854"/>
      <c r="H62" s="727" t="str">
        <f aca="false" t="array" ref="H62:H62">IF(ISNA(INDEX(Pokedex!V$2:V$610,MATCH($A62,Pokedex!$B$2:$B$610,0))),"-",INDEX(Pokedex!V$2:V$610,MATCH($A62,Pokedex!$B$2:$B$610,0)))</f>
        <v>Liquid Ooze</v>
      </c>
      <c r="I62" s="727"/>
      <c r="J62" s="44"/>
      <c r="K62" s="823" t="s">
        <v>47</v>
      </c>
      <c r="L62" s="823"/>
      <c r="M62" s="477" t="s">
        <v>1108</v>
      </c>
      <c r="N62" s="477"/>
      <c r="O62" s="44"/>
      <c r="P62" s="44"/>
      <c r="Q62" s="884"/>
      <c r="R62" s="884"/>
      <c r="S62" s="884"/>
      <c r="T62" s="884"/>
      <c r="U62" s="884"/>
      <c r="V62" s="884"/>
      <c r="W62" s="885"/>
      <c r="X62" s="885"/>
      <c r="Y62" s="885"/>
      <c r="Z62" s="885"/>
      <c r="AA62" s="757"/>
      <c r="AB62" s="757"/>
      <c r="AC62" s="757"/>
      <c r="AD62" s="757"/>
      <c r="AE62" s="886"/>
    </row>
    <row r="63" customFormat="false" ht="15.75" hidden="false" customHeight="false" outlineLevel="0" collapsed="false">
      <c r="A63" s="840" t="str">
        <f aca="false">$A$16</f>
        <v>Cinccino</v>
      </c>
      <c r="B63" s="840"/>
      <c r="C63" s="840"/>
      <c r="D63" s="855" t="str">
        <f aca="false" t="array" ref="D63:D63">IF(ISNA(INDEX(Pokedex!T$2:T$610,MATCH($A63,Pokedex!$B$2:$B$610,0))),"-",INDEX(Pokedex!T$2:T$610,MATCH($A63,Pokedex!$B$2:$B$610,0)))</f>
        <v>Cute Charm</v>
      </c>
      <c r="E63" s="855"/>
      <c r="F63" s="854" t="str">
        <f aca="false" t="array" ref="F63:F63">IF(ISNA(INDEX(Pokedex!U$2:U$610,MATCH($A63,Pokedex!$B$2:$B$610,0))),"-",INDEX(Pokedex!U$2:U$610,MATCH($A63,Pokedex!$B$2:$B$610,0)))</f>
        <v>Technician</v>
      </c>
      <c r="G63" s="854"/>
      <c r="H63" s="727" t="str">
        <f aca="false" t="array" ref="H63:H63">IF(ISNA(INDEX(Pokedex!V$2:V$610,MATCH($A63,Pokedex!$B$2:$B$610,0))),"-",INDEX(Pokedex!V$2:V$610,MATCH($A63,Pokedex!$B$2:$B$610,0)))</f>
        <v>Skill Link</v>
      </c>
      <c r="I63" s="727"/>
      <c r="J63" s="44"/>
      <c r="K63" s="823"/>
      <c r="L63" s="823"/>
      <c r="M63" s="477"/>
      <c r="N63" s="477"/>
      <c r="O63" s="44"/>
      <c r="P63" s="44"/>
      <c r="Q63" s="887"/>
      <c r="R63" s="887"/>
      <c r="S63" s="887"/>
      <c r="T63" s="887"/>
      <c r="U63" s="887"/>
      <c r="V63" s="887"/>
      <c r="W63" s="888"/>
      <c r="X63" s="888"/>
      <c r="Y63" s="888"/>
      <c r="Z63" s="888"/>
      <c r="AA63" s="889"/>
      <c r="AB63" s="889"/>
      <c r="AC63" s="889"/>
      <c r="AD63" s="889"/>
      <c r="AE63" s="881"/>
    </row>
    <row r="64" customFormat="false" ht="15.75" hidden="false" customHeight="false" outlineLevel="0" collapsed="false">
      <c r="A64" s="840" t="str">
        <f aca="false">$A$17</f>
        <v>Turtonator</v>
      </c>
      <c r="B64" s="840"/>
      <c r="C64" s="840"/>
      <c r="D64" s="855" t="str">
        <f aca="false" t="array" ref="D64:D64">IF(ISNA(INDEX(Pokedex!T$2:T$610,MATCH($A64,Pokedex!$B$2:$B$610,0))),"-",INDEX(Pokedex!T$2:T$610,MATCH($A64,Pokedex!$B$2:$B$610,0)))</f>
        <v>Shell Armor</v>
      </c>
      <c r="E64" s="855"/>
      <c r="F64" s="854" t="n">
        <f aca="false">IF(ISNA(INDEX(Pokedex!U$2:U$610,MATCH($A64,Pokedex!$B$2:$B$610,0))),"-",INDEX(Pokedex!U$2:U$610,MATCH($A64,Pokedex!$B$2:$B$610,0)))</f>
        <v>0</v>
      </c>
      <c r="G64" s="854"/>
      <c r="H64" s="727" t="n">
        <f aca="false">IF(ISNA(INDEX(Pokedex!V$2:V$610,MATCH($A64,Pokedex!$B$2:$B$610,0))),"-",INDEX(Pokedex!V$2:V$610,MATCH($A64,Pokedex!$B$2:$B$610,0)))</f>
        <v>0</v>
      </c>
      <c r="I64" s="727"/>
      <c r="J64" s="44"/>
      <c r="K64" s="823"/>
      <c r="L64" s="823"/>
      <c r="M64" s="477"/>
      <c r="N64" s="477"/>
      <c r="O64" s="44"/>
      <c r="P64" s="44"/>
      <c r="Q64" s="884"/>
      <c r="R64" s="884"/>
      <c r="S64" s="884"/>
      <c r="T64" s="884"/>
      <c r="U64" s="884"/>
      <c r="V64" s="884"/>
      <c r="W64" s="885"/>
      <c r="X64" s="885"/>
      <c r="Y64" s="885"/>
      <c r="Z64" s="885"/>
      <c r="AA64" s="757"/>
      <c r="AB64" s="757"/>
      <c r="AC64" s="757"/>
      <c r="AD64" s="757"/>
      <c r="AE64" s="886"/>
    </row>
    <row r="65" customFormat="false" ht="15.75" hidden="false" customHeight="false" outlineLevel="0" collapsed="false">
      <c r="A65" s="840" t="str">
        <f aca="false">$A$18</f>
        <v>Beedrill-Mega</v>
      </c>
      <c r="B65" s="840"/>
      <c r="C65" s="840"/>
      <c r="D65" s="855" t="str">
        <f aca="false" t="array" ref="D65:D65">IF(ISNA(INDEX(Pokedex!T$2:T$610,MATCH($A65,Pokedex!$B$2:$B$610,0))),"-",INDEX(Pokedex!T$2:T$610,MATCH($A65,Pokedex!$B$2:$B$610,0)))</f>
        <v>Adaptability</v>
      </c>
      <c r="E65" s="855"/>
      <c r="F65" s="854" t="n">
        <f aca="false">IF(ISNA(INDEX(Pokedex!U$2:U$610,MATCH($A65,Pokedex!$B$2:$B$610,0))),"-",INDEX(Pokedex!U$2:U$610,MATCH($A65,Pokedex!$B$2:$B$610,0)))</f>
        <v>0</v>
      </c>
      <c r="G65" s="854"/>
      <c r="H65" s="727" t="n">
        <f aca="false">IF(ISNA(INDEX(Pokedex!V$2:V$610,MATCH($A65,Pokedex!$B$2:$B$610,0))),"-",INDEX(Pokedex!V$2:V$610,MATCH($A65,Pokedex!$B$2:$B$610,0)))</f>
        <v>0</v>
      </c>
      <c r="I65" s="727"/>
      <c r="J65" s="44"/>
      <c r="K65" s="823"/>
      <c r="L65" s="823"/>
      <c r="M65" s="477"/>
      <c r="N65" s="477"/>
      <c r="O65" s="44"/>
      <c r="P65" s="44"/>
      <c r="Q65" s="887"/>
      <c r="R65" s="887"/>
      <c r="S65" s="887"/>
      <c r="T65" s="887"/>
      <c r="U65" s="887"/>
      <c r="V65" s="887"/>
      <c r="W65" s="888"/>
      <c r="X65" s="888"/>
      <c r="Y65" s="888"/>
      <c r="Z65" s="888"/>
      <c r="AA65" s="889"/>
      <c r="AB65" s="889"/>
      <c r="AC65" s="889"/>
      <c r="AD65" s="889"/>
      <c r="AE65" s="881"/>
    </row>
    <row r="66" customFormat="false" ht="15.75" hidden="false" customHeight="false" outlineLevel="0" collapsed="false">
      <c r="A66" s="840" t="str">
        <f aca="false">$A$19</f>
        <v>Kommo-o</v>
      </c>
      <c r="B66" s="840"/>
      <c r="C66" s="840"/>
      <c r="D66" s="855" t="str">
        <f aca="false" t="array" ref="D66:D66">IF(ISNA(INDEX(Pokedex!T$2:T$610,MATCH($A66,Pokedex!$B$2:$B$610,0))),"-",INDEX(Pokedex!T$2:T$610,MATCH($A66,Pokedex!$B$2:$B$610,0)))</f>
        <v>Bulletproof</v>
      </c>
      <c r="E66" s="855"/>
      <c r="F66" s="854" t="str">
        <f aca="false" t="array" ref="F66:F66">IF(ISNA(INDEX(Pokedex!U$2:U$610,MATCH($A66,Pokedex!$B$2:$B$610,0))),"-",INDEX(Pokedex!U$2:U$610,MATCH($A66,Pokedex!$B$2:$B$610,0)))</f>
        <v>Soundproof</v>
      </c>
      <c r="G66" s="854"/>
      <c r="H66" s="727" t="str">
        <f aca="false" t="array" ref="H66:H66">IF(ISNA(INDEX(Pokedex!V$2:V$610,MATCH($A66,Pokedex!$B$2:$B$610,0))),"-",INDEX(Pokedex!V$2:V$610,MATCH($A66,Pokedex!$B$2:$B$610,0)))</f>
        <v>Overcoat</v>
      </c>
      <c r="I66" s="727"/>
      <c r="J66" s="44"/>
      <c r="K66" s="823"/>
      <c r="L66" s="823"/>
      <c r="M66" s="477"/>
      <c r="N66" s="477"/>
      <c r="O66" s="44"/>
      <c r="P66" s="44"/>
      <c r="Q66" s="884"/>
      <c r="R66" s="884"/>
      <c r="S66" s="884"/>
      <c r="T66" s="884"/>
      <c r="U66" s="884"/>
      <c r="V66" s="884"/>
      <c r="W66" s="885"/>
      <c r="X66" s="885"/>
      <c r="Y66" s="885"/>
      <c r="Z66" s="885"/>
      <c r="AA66" s="757"/>
      <c r="AB66" s="757"/>
      <c r="AC66" s="757"/>
      <c r="AD66" s="757"/>
      <c r="AE66" s="886"/>
    </row>
    <row r="67" customFormat="false" ht="15.75" hidden="false" customHeight="false" outlineLevel="0" collapsed="false">
      <c r="A67" s="840" t="str">
        <f aca="false">$A$20</f>
        <v>Xurkitree</v>
      </c>
      <c r="B67" s="840"/>
      <c r="C67" s="840"/>
      <c r="D67" s="855" t="str">
        <f aca="false" t="array" ref="D67:D67">IF(ISNA(INDEX(Pokedex!T$2:T$610,MATCH($A67,Pokedex!$B$2:$B$610,0))),"-",INDEX(Pokedex!T$2:T$610,MATCH($A67,Pokedex!$B$2:$B$610,0)))</f>
        <v>Beast Boost</v>
      </c>
      <c r="E67" s="855"/>
      <c r="F67" s="854" t="n">
        <f aca="false">IF(ISNA(INDEX(Pokedex!U$2:U$610,MATCH($A67,Pokedex!$B$2:$B$610,0))),"-",INDEX(Pokedex!U$2:U$610,MATCH($A67,Pokedex!$B$2:$B$610,0)))</f>
        <v>0</v>
      </c>
      <c r="G67" s="854"/>
      <c r="H67" s="727" t="n">
        <f aca="false">IF(ISNA(INDEX(Pokedex!V$2:V$610,MATCH($A67,Pokedex!$B$2:$B$610,0))),"-",INDEX(Pokedex!V$2:V$610,MATCH($A67,Pokedex!$B$2:$B$610,0)))</f>
        <v>0</v>
      </c>
      <c r="I67" s="727"/>
      <c r="J67" s="44"/>
      <c r="K67" s="823"/>
      <c r="L67" s="823"/>
      <c r="M67" s="477"/>
      <c r="N67" s="477"/>
      <c r="O67" s="44"/>
      <c r="P67" s="44"/>
      <c r="Q67" s="887"/>
      <c r="R67" s="887"/>
      <c r="S67" s="887"/>
      <c r="T67" s="887"/>
      <c r="U67" s="887"/>
      <c r="V67" s="887"/>
      <c r="W67" s="888"/>
      <c r="X67" s="888"/>
      <c r="Y67" s="888"/>
      <c r="Z67" s="888"/>
      <c r="AA67" s="889"/>
      <c r="AB67" s="889"/>
      <c r="AC67" s="889"/>
      <c r="AD67" s="889"/>
      <c r="AE67" s="881"/>
    </row>
    <row r="68" customFormat="false" ht="15.75" hidden="false" customHeight="false" outlineLevel="0" collapsed="false">
      <c r="A68" s="840" t="str">
        <f aca="false">$A$21</f>
        <v>Crabominable</v>
      </c>
      <c r="B68" s="840"/>
      <c r="C68" s="840"/>
      <c r="D68" s="855" t="str">
        <f aca="false" t="array" ref="D68:D68">IF(ISNA(INDEX(Pokedex!T$2:T$610,MATCH($A68,Pokedex!$B$2:$B$610,0))),"-",INDEX(Pokedex!T$2:T$610,MATCH($A68,Pokedex!$B$2:$B$610,0)))</f>
        <v>Iron Fist</v>
      </c>
      <c r="E68" s="855"/>
      <c r="F68" s="854" t="str">
        <f aca="false" t="array" ref="F68:F68">IF(ISNA(INDEX(Pokedex!U$2:U$610,MATCH($A68,Pokedex!$B$2:$B$610,0))),"-",INDEX(Pokedex!U$2:U$610,MATCH($A68,Pokedex!$B$2:$B$610,0)))</f>
        <v>Hyper Cutter</v>
      </c>
      <c r="G68" s="854"/>
      <c r="H68" s="727" t="str">
        <f aca="false" t="array" ref="H68:H68">IF(ISNA(INDEX(Pokedex!V$2:V$610,MATCH($A68,Pokedex!$B$2:$B$610,0))),"-",INDEX(Pokedex!V$2:V$610,MATCH($A68,Pokedex!$B$2:$B$610,0)))</f>
        <v>Anger Point</v>
      </c>
      <c r="I68" s="727"/>
      <c r="J68" s="44"/>
      <c r="K68" s="823"/>
      <c r="L68" s="823"/>
      <c r="M68" s="477"/>
      <c r="N68" s="477"/>
      <c r="O68" s="44"/>
      <c r="P68" s="44"/>
      <c r="Q68" s="884"/>
      <c r="R68" s="884"/>
      <c r="S68" s="884"/>
      <c r="T68" s="884"/>
      <c r="U68" s="884"/>
      <c r="V68" s="884"/>
      <c r="W68" s="885"/>
      <c r="X68" s="885"/>
      <c r="Y68" s="885"/>
      <c r="Z68" s="885"/>
      <c r="AA68" s="757"/>
      <c r="AB68" s="757"/>
      <c r="AC68" s="757"/>
      <c r="AD68" s="757"/>
      <c r="AE68" s="886"/>
    </row>
    <row r="69" customFormat="false" ht="15.75" hidden="false" customHeight="false" outlineLevel="0" collapsed="false">
      <c r="A69" s="848" t="str">
        <f aca="false">$A$22</f>
        <v>Shiinotic</v>
      </c>
      <c r="B69" s="848"/>
      <c r="C69" s="848"/>
      <c r="D69" s="870" t="str">
        <f aca="false" t="array" ref="D69:D69">IF(ISNA(INDEX(Pokedex!T$2:T$610,MATCH($A69,Pokedex!$B$2:$B$610,0))),"-",INDEX(Pokedex!T$2:T$610,MATCH($A69,Pokedex!$B$2:$B$610,0)))</f>
        <v>Rain Dish</v>
      </c>
      <c r="E69" s="870"/>
      <c r="F69" s="828" t="str">
        <f aca="false" t="array" ref="F69:F69">IF(ISNA(INDEX(Pokedex!U$2:U$610,MATCH($A69,Pokedex!$B$2:$B$610,0))),"-",INDEX(Pokedex!U$2:U$610,MATCH($A69,Pokedex!$B$2:$B$610,0)))</f>
        <v>Effect Spore</v>
      </c>
      <c r="G69" s="828"/>
      <c r="H69" s="744" t="str">
        <f aca="false" t="array" ref="H69:H69">IF(ISNA(INDEX(Pokedex!V$2:V$610,MATCH($A69,Pokedex!$B$2:$B$610,0))),"-",INDEX(Pokedex!V$2:V$610,MATCH($A69,Pokedex!$B$2:$B$610,0)))</f>
        <v>Illuminate</v>
      </c>
      <c r="I69" s="744"/>
      <c r="J69" s="44"/>
      <c r="K69" s="893"/>
      <c r="L69" s="893"/>
      <c r="M69" s="831"/>
      <c r="N69" s="831"/>
      <c r="O69" s="44"/>
      <c r="P69" s="44"/>
      <c r="Q69" s="887"/>
      <c r="R69" s="887"/>
      <c r="S69" s="887"/>
      <c r="T69" s="887"/>
      <c r="U69" s="887"/>
      <c r="V69" s="887"/>
      <c r="W69" s="888"/>
      <c r="X69" s="888"/>
      <c r="Y69" s="888"/>
      <c r="Z69" s="888"/>
      <c r="AA69" s="889"/>
      <c r="AB69" s="889"/>
      <c r="AC69" s="889"/>
      <c r="AD69" s="889"/>
      <c r="AE69" s="881"/>
    </row>
    <row r="70" customFormat="false" ht="15.75" hidden="false" customHeight="false" outlineLevel="0" collapsed="false">
      <c r="A70" s="44"/>
      <c r="B70" s="44"/>
      <c r="C70" s="44"/>
      <c r="D70" s="44"/>
      <c r="E70" s="44"/>
      <c r="F70" s="44"/>
      <c r="G70" s="44"/>
      <c r="H70" s="44"/>
      <c r="I70" s="44"/>
      <c r="J70" s="44"/>
      <c r="K70" s="7"/>
      <c r="L70" s="7"/>
      <c r="M70" s="7"/>
      <c r="N70" s="7"/>
      <c r="O70" s="44"/>
      <c r="P70" s="44"/>
      <c r="Q70" s="884"/>
      <c r="R70" s="884"/>
      <c r="S70" s="884"/>
      <c r="T70" s="884"/>
      <c r="U70" s="884"/>
      <c r="V70" s="884"/>
      <c r="W70" s="885"/>
      <c r="X70" s="885"/>
      <c r="Y70" s="885"/>
      <c r="Z70" s="885"/>
      <c r="AA70" s="757"/>
      <c r="AB70" s="757"/>
      <c r="AC70" s="757"/>
      <c r="AD70" s="757"/>
      <c r="AE70" s="886"/>
    </row>
    <row r="71" customFormat="false" ht="15.75" hidden="false" customHeight="true" outlineLevel="0" collapsed="false">
      <c r="A71" s="894" t="s">
        <v>2078</v>
      </c>
      <c r="B71" s="894"/>
      <c r="C71" s="929" t="s">
        <v>2079</v>
      </c>
      <c r="D71" s="929"/>
      <c r="E71" s="929"/>
      <c r="F71" s="937" t="s">
        <v>2080</v>
      </c>
      <c r="G71" s="937"/>
      <c r="H71" s="937"/>
      <c r="I71" s="937"/>
      <c r="J71" s="44"/>
      <c r="K71" s="341" t="s">
        <v>2081</v>
      </c>
      <c r="L71" s="341"/>
      <c r="M71" s="341"/>
      <c r="N71" s="341"/>
      <c r="O71" s="44"/>
      <c r="P71" s="44"/>
      <c r="Q71" s="897"/>
      <c r="R71" s="897"/>
      <c r="S71" s="897"/>
      <c r="T71" s="897"/>
      <c r="U71" s="897"/>
      <c r="V71" s="897"/>
      <c r="W71" s="898"/>
      <c r="X71" s="898"/>
      <c r="Y71" s="898"/>
      <c r="Z71" s="898"/>
      <c r="AA71" s="899"/>
      <c r="AB71" s="899"/>
      <c r="AC71" s="899"/>
      <c r="AD71" s="899"/>
      <c r="AE71" s="881"/>
    </row>
    <row r="72" customFormat="false" ht="15.75" hidden="false" customHeight="false" outlineLevel="0" collapsed="false">
      <c r="A72" s="894"/>
      <c r="B72" s="894"/>
      <c r="C72" s="900" t="s">
        <v>2082</v>
      </c>
      <c r="D72" s="901" t="s">
        <v>2083</v>
      </c>
      <c r="E72" s="901" t="s">
        <v>2063</v>
      </c>
      <c r="F72" s="902" t="s">
        <v>2084</v>
      </c>
      <c r="G72" s="903" t="s">
        <v>2085</v>
      </c>
      <c r="H72" s="904" t="s">
        <v>2086</v>
      </c>
      <c r="I72" s="904" t="s">
        <v>2063</v>
      </c>
      <c r="J72" s="44"/>
      <c r="K72" s="891" t="str">
        <f aca="false">IFERROR(__xludf.dummyfunction("if(isna(filter($R$20:$R$31,isblank($R$20:$R$31)=FALSE)),""NONE"",filter($R$20:$R$31,isblank($R$20:$R$31)=FALSE))"),"Beedrill-Mega")</f>
        <v>Beedrill-Mega</v>
      </c>
      <c r="L72" s="891"/>
      <c r="M72" s="892" t="str">
        <f aca="false">IFERROR(__xludf.dummyfunction("if(isna(filter($S$20:$S$31,isblank($S$20:$S$31)=FALSE)),""N/A"",filter($S$20:$S$31,isblank($S$20:$S$31)=FALSE))"),"Defog")</f>
        <v>Defog</v>
      </c>
      <c r="N72" s="892"/>
      <c r="O72" s="44"/>
      <c r="P72" s="44"/>
      <c r="Q72" s="44"/>
      <c r="R72" s="824"/>
      <c r="S72" s="638"/>
      <c r="T72" s="638"/>
      <c r="U72" s="638"/>
      <c r="V72" s="638"/>
      <c r="W72" s="638"/>
      <c r="X72" s="638"/>
      <c r="Y72" s="638"/>
      <c r="Z72" s="638"/>
      <c r="AA72" s="638"/>
      <c r="AB72" s="638"/>
      <c r="AC72" s="638"/>
      <c r="AD72" s="638"/>
      <c r="AE72" s="638"/>
    </row>
    <row r="73" customFormat="false" ht="15.75" hidden="false" customHeight="false" outlineLevel="0" collapsed="false">
      <c r="A73" s="905" t="s">
        <v>794</v>
      </c>
      <c r="B73" s="905"/>
      <c r="C73" s="906" t="str">
        <f aca="false">IFERROR(__xludf.dummyfunction("countif(FILTER(Pokedex!$AC:$AC,Pokedex!$A:$A=$L$1,Pokedex!$AC:$AC=0-2),0-2)"),"0")</f>
        <v>0</v>
      </c>
      <c r="D73" s="907" t="str">
        <f aca="false">IFERROR(__xludf.dummyfunction("countif(FILTER(Pokedex!$AC:$AC,Pokedex!$A:$A=$L$1,Pokedex!$AC:$AC=0-1),0-1)"),"1")</f>
        <v>1</v>
      </c>
      <c r="E73" s="907" t="n">
        <f aca="false">SUM(C73:D73)</f>
        <v>0</v>
      </c>
      <c r="F73" s="908" t="str">
        <f aca="false">IFERROR(__xludf.dummyfunction("countif(FILTER(Pokedex!$AC:$AC,Pokedex!$A:$A=$L$1,Pokedex!$AC:$AC=4),4)"),"0")</f>
        <v>0</v>
      </c>
      <c r="G73" s="909" t="str">
        <f aca="false">IFERROR(__xludf.dummyfunction("countif(FILTER(Pokedex!$AC:$AC,Pokedex!$A:$A=$L$1,Pokedex!$AC:$AC=1),1)"),"6")</f>
        <v>6</v>
      </c>
      <c r="H73" s="908" t="str">
        <f aca="false">IFERROR(__xludf.dummyfunction("countif(FILTER(Pokedex!$AC:$AC,Pokedex!$A:$A=$L$1,Pokedex!$AC:$AC=2),2)"),"0")</f>
        <v>0</v>
      </c>
      <c r="I73" s="908" t="n">
        <f aca="false">SUM(F73:H73)</f>
        <v>0</v>
      </c>
      <c r="J73" s="44"/>
      <c r="K73" s="823" t="s">
        <v>120</v>
      </c>
      <c r="L73" s="823"/>
      <c r="M73" s="477" t="s">
        <v>1110</v>
      </c>
      <c r="N73" s="477"/>
      <c r="O73" s="44"/>
      <c r="P73" s="44"/>
      <c r="Q73" s="44"/>
      <c r="R73" s="824"/>
      <c r="S73" s="638"/>
      <c r="T73" s="638"/>
      <c r="U73" s="638"/>
      <c r="V73" s="638"/>
      <c r="W73" s="638"/>
      <c r="X73" s="638"/>
      <c r="Y73" s="638"/>
      <c r="Z73" s="638"/>
      <c r="AA73" s="638"/>
      <c r="AB73" s="638"/>
      <c r="AC73" s="638"/>
      <c r="AD73" s="638"/>
      <c r="AE73" s="638"/>
    </row>
    <row r="74" customFormat="false" ht="15.75" hidden="false" customHeight="false" outlineLevel="0" collapsed="false">
      <c r="A74" s="910" t="s">
        <v>795</v>
      </c>
      <c r="B74" s="910"/>
      <c r="C74" s="911" t="str">
        <f aca="false">IFERROR(__xludf.dummyfunction("countif(FILTER(Pokedex!$AD:$AD,Pokedex!$A:$A=$L$1,Pokedex!$AD:$AD=0-2),0-2)"),"0")</f>
        <v>0</v>
      </c>
      <c r="D74" s="912" t="str">
        <f aca="false">IFERROR(__xludf.dummyfunction("countif(FILTER(Pokedex!$AD:$AD,Pokedex!$A:$A=$L$1,Pokedex!$AD:$AD=0-1),0-1)"),"0")</f>
        <v>0</v>
      </c>
      <c r="E74" s="912" t="n">
        <f aca="false">SUM(C74:D74)</f>
        <v>0</v>
      </c>
      <c r="F74" s="913" t="str">
        <f aca="false">IFERROR(__xludf.dummyfunction("countif(FILTER(Pokedex!$AD:$AD,Pokedex!$A:$A=$L$1,Pokedex!$AD:$AD=4),4)"),"0")</f>
        <v>0</v>
      </c>
      <c r="G74" s="914" t="str">
        <f aca="false">IFERROR(__xludf.dummyfunction("countif(FILTER(Pokedex!$AD:$AD,Pokedex!$A:$A=$L$1,Pokedex!$AD:$AD=1),1)"),"5")</f>
        <v>5</v>
      </c>
      <c r="H74" s="913" t="str">
        <f aca="false">IFERROR(__xludf.dummyfunction("countif(FILTER(Pokedex!$AD:$AD,Pokedex!$A:$A=$L$1,Pokedex!$AD:$AD=2),2)"),"0")</f>
        <v>0</v>
      </c>
      <c r="I74" s="913" t="n">
        <f aca="false">SUM(F74:H74)</f>
        <v>0</v>
      </c>
      <c r="J74" s="44"/>
      <c r="K74" s="823" t="s">
        <v>100</v>
      </c>
      <c r="L74" s="823"/>
      <c r="M74" s="477" t="s">
        <v>1110</v>
      </c>
      <c r="N74" s="477"/>
      <c r="O74" s="44"/>
      <c r="P74" s="44"/>
      <c r="Q74" s="44"/>
      <c r="R74" s="824"/>
      <c r="S74" s="638"/>
      <c r="T74" s="638"/>
      <c r="U74" s="638"/>
      <c r="V74" s="638"/>
      <c r="W74" s="638"/>
      <c r="X74" s="638"/>
      <c r="Y74" s="638"/>
      <c r="Z74" s="638"/>
      <c r="AA74" s="638"/>
      <c r="AB74" s="638"/>
      <c r="AC74" s="638"/>
      <c r="AD74" s="638"/>
      <c r="AE74" s="638"/>
    </row>
    <row r="75" customFormat="false" ht="15.75" hidden="false" customHeight="false" outlineLevel="0" collapsed="false">
      <c r="A75" s="915" t="s">
        <v>835</v>
      </c>
      <c r="B75" s="915"/>
      <c r="C75" s="906" t="str">
        <f aca="false">IFERROR(__xludf.dummyfunction("countif(FILTER(Pokedex!$AE:$AE,Pokedex!$A:$A=$L$1,Pokedex!$AE:$AE=0-2),0-2)"),"0")</f>
        <v>0</v>
      </c>
      <c r="D75" s="907" t="str">
        <f aca="false">IFERROR(__xludf.dummyfunction("countif(FILTER(Pokedex!$AE:$AE,Pokedex!$A:$A=$L$1,Pokedex!$AE:$AE=0-1),0-1)"),"3")</f>
        <v>3</v>
      </c>
      <c r="E75" s="907" t="n">
        <f aca="false">SUM(C75:D75)</f>
        <v>0</v>
      </c>
      <c r="F75" s="908" t="str">
        <f aca="false">IFERROR(__xludf.dummyfunction("countif(FILTER(Pokedex!$AE:$AE,Pokedex!$A:$A=$L$1,Pokedex!$AE:$AE=4),4)"),"2")</f>
        <v>2</v>
      </c>
      <c r="G75" s="909" t="str">
        <f aca="false">IFERROR(__xludf.dummyfunction("countif(FILTER(Pokedex!$AE:$AE,Pokedex!$A:$A=$L$1,Pokedex!$AE:$AE=1),1)"),"1")</f>
        <v>1</v>
      </c>
      <c r="H75" s="908" t="str">
        <f aca="false">IFERROR(__xludf.dummyfunction("countif(FILTER(Pokedex!$AE:$AE,Pokedex!$A:$A=$L$1,Pokedex!$AE:$AE=2),2)"),"0")</f>
        <v>0</v>
      </c>
      <c r="I75" s="908" t="n">
        <f aca="false">SUM(F75:H75)</f>
        <v>0</v>
      </c>
      <c r="J75" s="44"/>
      <c r="K75" s="823" t="s">
        <v>47</v>
      </c>
      <c r="L75" s="823"/>
      <c r="M75" s="477" t="s">
        <v>1112</v>
      </c>
      <c r="N75" s="477"/>
      <c r="O75" s="44"/>
      <c r="P75" s="44"/>
      <c r="Q75" s="44"/>
      <c r="R75" s="824"/>
      <c r="S75" s="638"/>
      <c r="T75" s="638"/>
      <c r="U75" s="638"/>
      <c r="V75" s="638"/>
      <c r="W75" s="638"/>
      <c r="X75" s="638"/>
      <c r="Y75" s="638"/>
      <c r="Z75" s="638"/>
      <c r="AA75" s="638"/>
      <c r="AB75" s="638"/>
      <c r="AC75" s="638"/>
      <c r="AD75" s="638"/>
      <c r="AE75" s="638"/>
    </row>
    <row r="76" customFormat="false" ht="15.75" hidden="false" customHeight="false" outlineLevel="0" collapsed="false">
      <c r="A76" s="916" t="s">
        <v>845</v>
      </c>
      <c r="B76" s="916"/>
      <c r="C76" s="911" t="str">
        <f aca="false">IFERROR(__xludf.dummyfunction("countif(FILTER(Pokedex!$AF:$AF,Pokedex!$A:$A=$L$1,Pokedex!$AF:$AF=0-2),0-2)"),"0")</f>
        <v>0</v>
      </c>
      <c r="D76" s="912" t="str">
        <f aca="false">IFERROR(__xludf.dummyfunction("countif(FILTER(Pokedex!$AF:$AF,Pokedex!$A:$A=$L$1,Pokedex!$AF:$AF=0-1),0-1)"),"2")</f>
        <v>2</v>
      </c>
      <c r="E76" s="912" t="n">
        <f aca="false">SUM(C76:D76)</f>
        <v>0</v>
      </c>
      <c r="F76" s="913" t="str">
        <f aca="false">IFERROR(__xludf.dummyfunction("countif(FILTER(Pokedex!$AF:$AF,Pokedex!$A:$A=$L$1,Pokedex!$AF:$AF=4),4)"),"0")</f>
        <v>0</v>
      </c>
      <c r="G76" s="914" t="str">
        <f aca="false">IFERROR(__xludf.dummyfunction("countif(FILTER(Pokedex!$AF:$AF,Pokedex!$A:$A=$L$1,Pokedex!$AF:$AF=1),1)"),"6")</f>
        <v>6</v>
      </c>
      <c r="H76" s="913" t="str">
        <f aca="false">IFERROR(__xludf.dummyfunction("countif(FILTER(Pokedex!$AF:$AF,Pokedex!$A:$A=$L$1,Pokedex!$AF:$AF=2),2)"),"0")</f>
        <v>0</v>
      </c>
      <c r="I76" s="913" t="n">
        <f aca="false">SUM(F76:H76)</f>
        <v>0</v>
      </c>
      <c r="J76" s="44"/>
      <c r="K76" s="823"/>
      <c r="L76" s="823"/>
      <c r="M76" s="477"/>
      <c r="N76" s="477"/>
      <c r="O76" s="44"/>
      <c r="P76" s="44"/>
      <c r="Q76" s="44"/>
      <c r="R76" s="824"/>
      <c r="S76" s="638"/>
      <c r="T76" s="638"/>
      <c r="U76" s="638"/>
      <c r="V76" s="638"/>
      <c r="W76" s="638"/>
      <c r="X76" s="638"/>
      <c r="Y76" s="638"/>
      <c r="Z76" s="638"/>
      <c r="AA76" s="638"/>
      <c r="AB76" s="638"/>
      <c r="AC76" s="638"/>
      <c r="AD76" s="638"/>
      <c r="AE76" s="638"/>
    </row>
    <row r="77" customFormat="false" ht="15.75" hidden="false" customHeight="false" outlineLevel="0" collapsed="false">
      <c r="A77" s="915" t="s">
        <v>798</v>
      </c>
      <c r="B77" s="915"/>
      <c r="C77" s="906" t="str">
        <f aca="false">IFERROR(__xludf.dummyfunction("countif(FILTER(Pokedex!$AG:$AG,Pokedex!$A:$A=$L$1,Pokedex!$AG:$AG=0-2),0-2)"),"2")</f>
        <v>2</v>
      </c>
      <c r="D77" s="907" t="str">
        <f aca="false">IFERROR(__xludf.dummyfunction("countif(FILTER(Pokedex!$AG:$AG,Pokedex!$A:$A=$L$1,Pokedex!$AG:$AG=0-1),0-1)"),"1")</f>
        <v>1</v>
      </c>
      <c r="E77" s="907" t="n">
        <f aca="false">SUM(C77:D77)</f>
        <v>0</v>
      </c>
      <c r="F77" s="908" t="str">
        <f aca="false">IFERROR(__xludf.dummyfunction("countif(FILTER(Pokedex!$AG:$AG,Pokedex!$A:$A=$L$1,Pokedex!$AG:$AG=4),4)"),"0")</f>
        <v>0</v>
      </c>
      <c r="G77" s="909" t="str">
        <f aca="false">IFERROR(__xludf.dummyfunction("countif(FILTER(Pokedex!$AG:$AG,Pokedex!$A:$A=$L$1,Pokedex!$AG:$AG=1),1)"),"3")</f>
        <v>3</v>
      </c>
      <c r="H77" s="908" t="str">
        <f aca="false">IFERROR(__xludf.dummyfunction("countif(FILTER(Pokedex!$AG:$AG,Pokedex!$A:$A=$L$1,Pokedex!$AG:$AG=2),2)"),"0")</f>
        <v>0</v>
      </c>
      <c r="I77" s="908" t="n">
        <f aca="false">SUM(F77:H77)</f>
        <v>0</v>
      </c>
      <c r="J77" s="44"/>
      <c r="K77" s="823"/>
      <c r="L77" s="823"/>
      <c r="M77" s="477"/>
      <c r="N77" s="477"/>
      <c r="O77" s="44"/>
      <c r="P77" s="44"/>
      <c r="Q77" s="44"/>
      <c r="R77" s="824"/>
      <c r="S77" s="638"/>
      <c r="T77" s="638"/>
      <c r="U77" s="638"/>
      <c r="V77" s="638"/>
      <c r="W77" s="638"/>
      <c r="X77" s="638"/>
      <c r="Y77" s="638"/>
      <c r="Z77" s="638"/>
      <c r="AA77" s="638"/>
      <c r="AB77" s="638"/>
      <c r="AC77" s="638"/>
      <c r="AD77" s="638"/>
      <c r="AE77" s="638"/>
    </row>
    <row r="78" customFormat="false" ht="15.75" hidden="false" customHeight="false" outlineLevel="0" collapsed="false">
      <c r="A78" s="916" t="s">
        <v>881</v>
      </c>
      <c r="B78" s="916"/>
      <c r="C78" s="911" t="str">
        <f aca="false">IFERROR(__xludf.dummyfunction("countif(FILTER(Pokedex!$AH:$AH,Pokedex!$A:$A=$L$1,Pokedex!$AH:$AH=0-2),0-2)"),"0")</f>
        <v>0</v>
      </c>
      <c r="D78" s="912" t="str">
        <f aca="false">IFERROR(__xludf.dummyfunction("countif(FILTER(Pokedex!$AH:$AH,Pokedex!$A:$A=$L$1,Pokedex!$AH:$AH=0-1),0-1)"),"4")</f>
        <v>4</v>
      </c>
      <c r="E78" s="912" t="n">
        <f aca="false">SUM(C78:D78)</f>
        <v>0</v>
      </c>
      <c r="F78" s="913" t="str">
        <f aca="false">IFERROR(__xludf.dummyfunction("countif(FILTER(Pokedex!$AH:$AH,Pokedex!$A:$A=$L$1,Pokedex!$AH:$AH=4),4)"),"0")</f>
        <v>0</v>
      </c>
      <c r="G78" s="914" t="str">
        <f aca="false">IFERROR(__xludf.dummyfunction("countif(FILTER(Pokedex!$AH:$AH,Pokedex!$A:$A=$L$1,Pokedex!$AH:$AH=1),1)"),"3")</f>
        <v>3</v>
      </c>
      <c r="H78" s="913" t="str">
        <f aca="false">IFERROR(__xludf.dummyfunction("countif(FILTER(Pokedex!$AH:$AH,Pokedex!$A:$A=$L$1,Pokedex!$AH:$AH=2),2)"),"1")</f>
        <v>1</v>
      </c>
      <c r="I78" s="913" t="n">
        <f aca="false">SUM(F78:H78)</f>
        <v>0</v>
      </c>
      <c r="J78" s="44"/>
      <c r="K78" s="823"/>
      <c r="L78" s="823"/>
      <c r="M78" s="477"/>
      <c r="N78" s="477"/>
      <c r="O78" s="44"/>
      <c r="P78" s="44"/>
      <c r="Q78" s="44"/>
      <c r="R78" s="824"/>
      <c r="S78" s="638"/>
      <c r="T78" s="638"/>
      <c r="U78" s="638"/>
      <c r="V78" s="638"/>
      <c r="W78" s="638"/>
      <c r="X78" s="638"/>
      <c r="Y78" s="638"/>
      <c r="Z78" s="638"/>
      <c r="AA78" s="638"/>
      <c r="AB78" s="638"/>
      <c r="AC78" s="638"/>
      <c r="AD78" s="638"/>
      <c r="AE78" s="638"/>
    </row>
    <row r="79" customFormat="false" ht="15.75" hidden="false" customHeight="false" outlineLevel="0" collapsed="false">
      <c r="A79" s="915" t="s">
        <v>800</v>
      </c>
      <c r="B79" s="915"/>
      <c r="C79" s="906" t="str">
        <f aca="false">IFERROR(__xludf.dummyfunction("countif(FILTER(Pokedex!$AI:$AI,Pokedex!$A:$A=$L$1,Pokedex!$AI:$AI=0-2),0-2)"),"0")</f>
        <v>0</v>
      </c>
      <c r="D79" s="907" t="str">
        <f aca="false">IFERROR(__xludf.dummyfunction("countif(FILTER(Pokedex!$AI:$AI,Pokedex!$A:$A=$L$1,Pokedex!$AI:$AI=0-1),0-1)"),"4")</f>
        <v>4</v>
      </c>
      <c r="E79" s="907" t="n">
        <f aca="false">SUM(C79:D79)</f>
        <v>0</v>
      </c>
      <c r="F79" s="908" t="str">
        <f aca="false">IFERROR(__xludf.dummyfunction("countif(FILTER(Pokedex!$AI:$AI,Pokedex!$A:$A=$L$1,Pokedex!$AI:$AI=4),4)"),"0")</f>
        <v>0</v>
      </c>
      <c r="G79" s="909" t="str">
        <f aca="false">IFERROR(__xludf.dummyfunction("countif(FILTER(Pokedex!$AI:$AI,Pokedex!$A:$A=$L$1,Pokedex!$AI:$AI=1),1)"),"3")</f>
        <v>3</v>
      </c>
      <c r="H79" s="908" t="str">
        <f aca="false">IFERROR(__xludf.dummyfunction("countif(FILTER(Pokedex!$AI:$AI,Pokedex!$A:$A=$L$1,Pokedex!$AI:$AI=2),2)"),"1")</f>
        <v>1</v>
      </c>
      <c r="I79" s="908" t="n">
        <f aca="false">SUM(F79:H79)</f>
        <v>0</v>
      </c>
      <c r="J79" s="44"/>
      <c r="K79" s="823"/>
      <c r="L79" s="823"/>
      <c r="M79" s="477"/>
      <c r="N79" s="477"/>
      <c r="O79" s="44"/>
      <c r="P79" s="44"/>
      <c r="Q79" s="44"/>
      <c r="R79" s="824"/>
      <c r="S79" s="638"/>
      <c r="T79" s="638"/>
      <c r="U79" s="638"/>
      <c r="V79" s="638"/>
      <c r="W79" s="638"/>
      <c r="X79" s="638"/>
      <c r="Y79" s="638"/>
      <c r="Z79" s="638"/>
      <c r="AA79" s="638"/>
      <c r="AB79" s="638"/>
      <c r="AC79" s="638"/>
      <c r="AD79" s="638"/>
      <c r="AE79" s="638"/>
    </row>
    <row r="80" customFormat="false" ht="15.75" hidden="false" customHeight="false" outlineLevel="0" collapsed="false">
      <c r="A80" s="916" t="s">
        <v>801</v>
      </c>
      <c r="B80" s="916"/>
      <c r="C80" s="911" t="str">
        <f aca="false">IFERROR(__xludf.dummyfunction("countif(FILTER(Pokedex!$AJ:$AJ,Pokedex!$A:$A=$L$1,Pokedex!$AJ:$AJ=0-2),0-2)"),"0")</f>
        <v>0</v>
      </c>
      <c r="D80" s="912" t="str">
        <f aca="false">IFERROR(__xludf.dummyfunction("countif(FILTER(Pokedex!$AJ:$AJ,Pokedex!$A:$A=$L$1,Pokedex!$AJ:$AJ=0-1),0-1)"),"5")</f>
        <v>5</v>
      </c>
      <c r="E80" s="912" t="n">
        <f aca="false">SUM(C80:D80)</f>
        <v>0</v>
      </c>
      <c r="F80" s="913" t="str">
        <f aca="false">IFERROR(__xludf.dummyfunction("countif(FILTER(Pokedex!$AJ:$AJ,Pokedex!$A:$A=$L$1,Pokedex!$AJ:$AJ=4),4)"),"0")</f>
        <v>0</v>
      </c>
      <c r="G80" s="914" t="str">
        <f aca="false">IFERROR(__xludf.dummyfunction("countif(FILTER(Pokedex!$AJ:$AJ,Pokedex!$A:$A=$L$1,Pokedex!$AJ:$AJ=1),1)"),"2")</f>
        <v>2</v>
      </c>
      <c r="H80" s="913" t="str">
        <f aca="false">IFERROR(__xludf.dummyfunction("countif(FILTER(Pokedex!$AJ:$AJ,Pokedex!$A:$A=$L$1,Pokedex!$AJ:$AJ=2),2)"),"0")</f>
        <v>0</v>
      </c>
      <c r="I80" s="913" t="n">
        <f aca="false">SUM(F80:H80)</f>
        <v>0</v>
      </c>
      <c r="J80" s="44"/>
      <c r="K80" s="823"/>
      <c r="L80" s="823"/>
      <c r="M80" s="477"/>
      <c r="N80" s="477"/>
      <c r="O80" s="44"/>
      <c r="P80" s="44"/>
      <c r="Q80" s="44"/>
      <c r="R80" s="824"/>
      <c r="S80" s="638"/>
      <c r="T80" s="638"/>
      <c r="U80" s="638"/>
      <c r="V80" s="638"/>
      <c r="W80" s="638"/>
      <c r="X80" s="638"/>
      <c r="Y80" s="638"/>
      <c r="Z80" s="638"/>
      <c r="AA80" s="638"/>
      <c r="AB80" s="638"/>
      <c r="AC80" s="638"/>
      <c r="AD80" s="638"/>
      <c r="AE80" s="638"/>
    </row>
    <row r="81" customFormat="false" ht="15.75" hidden="false" customHeight="false" outlineLevel="0" collapsed="false">
      <c r="A81" s="915" t="s">
        <v>802</v>
      </c>
      <c r="B81" s="915"/>
      <c r="C81" s="906" t="str">
        <f aca="false">IFERROR(__xludf.dummyfunction("countif(FILTER(Pokedex!$AK:$AK,Pokedex!$A:$A=$L$1,Pokedex!$AK:$AK=0-2),0-2)"),"0")</f>
        <v>0</v>
      </c>
      <c r="D81" s="907" t="str">
        <f aca="false">IFERROR(__xludf.dummyfunction("countif(FILTER(Pokedex!$AK:$AK,Pokedex!$A:$A=$L$1,Pokedex!$AK:$AK=0-1),0-1)"),"0")</f>
        <v>0</v>
      </c>
      <c r="E81" s="907" t="n">
        <f aca="false">SUM(C81:D81)</f>
        <v>0</v>
      </c>
      <c r="F81" s="908" t="str">
        <f aca="false">IFERROR(__xludf.dummyfunction("countif(FILTER(Pokedex!$AK:$AK,Pokedex!$A:$A=$L$1,Pokedex!$AK:$AK=4),4)"),"1")</f>
        <v>1</v>
      </c>
      <c r="G81" s="909" t="str">
        <f aca="false">IFERROR(__xludf.dummyfunction("countif(FILTER(Pokedex!$AK:$AK,Pokedex!$A:$A=$L$1,Pokedex!$AK:$AK=1),1)"),"1")</f>
        <v>1</v>
      </c>
      <c r="H81" s="908" t="str">
        <f aca="false">IFERROR(__xludf.dummyfunction("countif(FILTER(Pokedex!$AK:$AK,Pokedex!$A:$A=$L$1,Pokedex!$AK:$AK=2),2)"),"0")</f>
        <v>0</v>
      </c>
      <c r="I81" s="908" t="n">
        <f aca="false">SUM(F81:H81)</f>
        <v>0</v>
      </c>
      <c r="J81" s="44"/>
      <c r="K81" s="823"/>
      <c r="L81" s="823"/>
      <c r="M81" s="477"/>
      <c r="N81" s="477"/>
      <c r="O81" s="44"/>
      <c r="P81" s="44"/>
      <c r="Q81" s="44"/>
      <c r="R81" s="824"/>
      <c r="S81" s="638"/>
      <c r="T81" s="638"/>
      <c r="U81" s="638"/>
      <c r="V81" s="638"/>
      <c r="W81" s="638"/>
      <c r="X81" s="638"/>
      <c r="Y81" s="638"/>
      <c r="Z81" s="638"/>
      <c r="AA81" s="638"/>
      <c r="AB81" s="638"/>
      <c r="AC81" s="638"/>
      <c r="AD81" s="638"/>
      <c r="AE81" s="638"/>
    </row>
    <row r="82" customFormat="false" ht="15.75" hidden="false" customHeight="false" outlineLevel="0" collapsed="false">
      <c r="A82" s="916" t="s">
        <v>803</v>
      </c>
      <c r="B82" s="916"/>
      <c r="C82" s="911" t="str">
        <f aca="false">IFERROR(__xludf.dummyfunction("countif(FILTER(Pokedex!$AL:$AL,Pokedex!$A:$A=$L$1,Pokedex!$AL:$AL=0-2),0-2)"),"0")</f>
        <v>0</v>
      </c>
      <c r="D82" s="912" t="str">
        <f aca="false">IFERROR(__xludf.dummyfunction("countif(FILTER(Pokedex!$AL:$AL,Pokedex!$A:$A=$L$1,Pokedex!$AL:$AL=0-1),0-1)"),"0")</f>
        <v>0</v>
      </c>
      <c r="E82" s="912" t="n">
        <f aca="false">SUM(C82:D82)</f>
        <v>0</v>
      </c>
      <c r="F82" s="913" t="str">
        <f aca="false">IFERROR(__xludf.dummyfunction("countif(FILTER(Pokedex!$AL:$AL,Pokedex!$A:$A=$L$1,Pokedex!$AL:$AL=4),4)"),"0")</f>
        <v>0</v>
      </c>
      <c r="G82" s="914" t="str">
        <f aca="false">IFERROR(__xludf.dummyfunction("countif(FILTER(Pokedex!$AL:$AL,Pokedex!$A:$A=$L$1,Pokedex!$AL:$AL=1),1)"),"4")</f>
        <v>4</v>
      </c>
      <c r="H82" s="913" t="str">
        <f aca="false">IFERROR(__xludf.dummyfunction("countif(FILTER(Pokedex!$AL:$AL,Pokedex!$A:$A=$L$1,Pokedex!$AL:$AL=2),2)"),"2")</f>
        <v>2</v>
      </c>
      <c r="I82" s="913" t="n">
        <f aca="false">SUM(F82:H82)</f>
        <v>0</v>
      </c>
      <c r="J82" s="44"/>
      <c r="K82" s="893"/>
      <c r="L82" s="893"/>
      <c r="M82" s="831"/>
      <c r="N82" s="831"/>
      <c r="O82" s="44"/>
      <c r="P82" s="44"/>
      <c r="Q82" s="44"/>
      <c r="R82" s="824"/>
      <c r="S82" s="638"/>
      <c r="T82" s="638"/>
      <c r="U82" s="638"/>
      <c r="V82" s="638"/>
      <c r="W82" s="638"/>
      <c r="X82" s="638"/>
      <c r="Y82" s="638"/>
      <c r="Z82" s="638"/>
      <c r="AA82" s="638"/>
      <c r="AB82" s="638"/>
      <c r="AC82" s="638"/>
      <c r="AD82" s="638"/>
      <c r="AE82" s="638"/>
    </row>
    <row r="83" customFormat="false" ht="15.75" hidden="false" customHeight="false" outlineLevel="0" collapsed="false">
      <c r="A83" s="915" t="s">
        <v>907</v>
      </c>
      <c r="B83" s="915"/>
      <c r="C83" s="906" t="str">
        <f aca="false">IFERROR(__xludf.dummyfunction("countif(FILTER(Pokedex!$AM:$AM,Pokedex!$A:$A=$L$1,Pokedex!$AM:$AM=0-2),0-2)"),"0")</f>
        <v>0</v>
      </c>
      <c r="D83" s="907" t="str">
        <f aca="false">IFERROR(__xludf.dummyfunction("countif(FILTER(Pokedex!$AM:$AM,Pokedex!$A:$A=$L$1,Pokedex!$AM:$AM=0-1),0-1)"),"4")</f>
        <v>4</v>
      </c>
      <c r="E83" s="907" t="n">
        <f aca="false">SUM(C83:D83)</f>
        <v>0</v>
      </c>
      <c r="F83" s="908" t="str">
        <f aca="false">IFERROR(__xludf.dummyfunction("countif(FILTER(Pokedex!$AM:$AM,Pokedex!$A:$A=$L$1,Pokedex!$AM:$AM=4),4)"),"0")</f>
        <v>0</v>
      </c>
      <c r="G83" s="909" t="str">
        <f aca="false">IFERROR(__xludf.dummyfunction("countif(FILTER(Pokedex!$AM:$AM,Pokedex!$A:$A=$L$1,Pokedex!$AM:$AM=1),1)"),"2")</f>
        <v>2</v>
      </c>
      <c r="H83" s="908" t="str">
        <f aca="false">IFERROR(__xludf.dummyfunction("countif(FILTER(Pokedex!$AM:$AM,Pokedex!$A:$A=$L$1,Pokedex!$AM:$AM=2),2)"),"0")</f>
        <v>0</v>
      </c>
      <c r="I83" s="908" t="n">
        <f aca="false">SUM(F83:H83)</f>
        <v>0</v>
      </c>
      <c r="J83" s="44"/>
      <c r="K83" s="7"/>
      <c r="L83" s="7"/>
      <c r="M83" s="7"/>
      <c r="N83" s="7"/>
      <c r="O83" s="44"/>
      <c r="P83" s="44"/>
      <c r="Q83" s="44"/>
      <c r="R83" s="824"/>
      <c r="S83" s="638"/>
      <c r="T83" s="638"/>
      <c r="U83" s="638"/>
      <c r="V83" s="638"/>
      <c r="W83" s="638"/>
      <c r="X83" s="638"/>
      <c r="Y83" s="638"/>
      <c r="Z83" s="638"/>
      <c r="AA83" s="638"/>
      <c r="AB83" s="638"/>
      <c r="AC83" s="638"/>
      <c r="AD83" s="638"/>
      <c r="AE83" s="638"/>
    </row>
    <row r="84" customFormat="false" ht="15.75" hidden="false" customHeight="false" outlineLevel="0" collapsed="false">
      <c r="A84" s="916" t="s">
        <v>805</v>
      </c>
      <c r="B84" s="916"/>
      <c r="C84" s="911" t="str">
        <f aca="false">IFERROR(__xludf.dummyfunction("countif(FILTER(Pokedex!$AN:$AN,Pokedex!$A:$A=$L$1,Pokedex!$AN:$AN=0-2),0-2)"),"0")</f>
        <v>0</v>
      </c>
      <c r="D84" s="912" t="str">
        <f aca="false">IFERROR(__xludf.dummyfunction("countif(FILTER(Pokedex!$AN:$AN,Pokedex!$A:$A=$L$1,Pokedex!$AN:$AN=0-1),0-1)"),"4")</f>
        <v>4</v>
      </c>
      <c r="E84" s="912" t="n">
        <f aca="false">SUM(C84:D84)</f>
        <v>0</v>
      </c>
      <c r="F84" s="913" t="str">
        <f aca="false">IFERROR(__xludf.dummyfunction("countif(FILTER(Pokedex!$AN:$AN,Pokedex!$A:$A=$L$1,Pokedex!$AN:$AN=4),4)"),"0")</f>
        <v>0</v>
      </c>
      <c r="G84" s="914" t="str">
        <f aca="false">IFERROR(__xludf.dummyfunction("countif(FILTER(Pokedex!$AN:$AN,Pokedex!$A:$A=$L$1,Pokedex!$AN:$AN=1),1)"),"2")</f>
        <v>2</v>
      </c>
      <c r="H84" s="913" t="str">
        <f aca="false">IFERROR(__xludf.dummyfunction("countif(FILTER(Pokedex!$AN:$AN,Pokedex!$A:$A=$L$1,Pokedex!$AN:$AN=2),2)"),"1")</f>
        <v>1</v>
      </c>
      <c r="I84" s="913" t="n">
        <f aca="false">SUM(F84:H84)</f>
        <v>0</v>
      </c>
      <c r="J84" s="44"/>
      <c r="K84" s="341" t="s">
        <v>2087</v>
      </c>
      <c r="L84" s="341"/>
      <c r="M84" s="341"/>
      <c r="N84" s="341"/>
      <c r="O84" s="44"/>
      <c r="P84" s="44"/>
      <c r="Q84" s="44"/>
      <c r="R84" s="824"/>
      <c r="S84" s="638"/>
      <c r="T84" s="638"/>
      <c r="U84" s="638"/>
      <c r="V84" s="638"/>
      <c r="W84" s="638"/>
      <c r="X84" s="638"/>
      <c r="Y84" s="638"/>
      <c r="Z84" s="638"/>
      <c r="AA84" s="638"/>
      <c r="AB84" s="638"/>
      <c r="AC84" s="638"/>
      <c r="AD84" s="638"/>
      <c r="AE84" s="638"/>
    </row>
    <row r="85" customFormat="false" ht="15.75" hidden="false" customHeight="false" outlineLevel="0" collapsed="false">
      <c r="A85" s="915" t="s">
        <v>839</v>
      </c>
      <c r="B85" s="915"/>
      <c r="C85" s="906" t="str">
        <f aca="false">IFERROR(__xludf.dummyfunction("countif(FILTER(Pokedex!$AO:$AO,Pokedex!$A:$A=$L$1,Pokedex!$AO:$AO=0-2),0-2)"),"0")</f>
        <v>0</v>
      </c>
      <c r="D85" s="907" t="str">
        <f aca="false">IFERROR(__xludf.dummyfunction("countif(FILTER(Pokedex!$AO:$AO,Pokedex!$A:$A=$L$1,Pokedex!$AO:$AO=0-1),0-1)"),"0")</f>
        <v>0</v>
      </c>
      <c r="E85" s="907" t="n">
        <f aca="false">SUM(C85:D85)</f>
        <v>0</v>
      </c>
      <c r="F85" s="908" t="str">
        <f aca="false">IFERROR(__xludf.dummyfunction("countif(FILTER(Pokedex!$AO:$AO,Pokedex!$A:$A=$L$1,Pokedex!$AO:$AO=4),4)"),"0")</f>
        <v>0</v>
      </c>
      <c r="G85" s="909" t="str">
        <f aca="false">IFERROR(__xludf.dummyfunction("countif(FILTER(Pokedex!$AO:$AO,Pokedex!$A:$A=$L$1,Pokedex!$AO:$AO=1),1)"),"1")</f>
        <v>1</v>
      </c>
      <c r="H85" s="908" t="str">
        <f aca="false">IFERROR(__xludf.dummyfunction("countif(FILTER(Pokedex!$AO:$AO,Pokedex!$A:$A=$L$1,Pokedex!$AO:$AO=2),2)"),"0")</f>
        <v>0</v>
      </c>
      <c r="I85" s="908" t="n">
        <f aca="false">SUM(F85:H85)</f>
        <v>0</v>
      </c>
      <c r="J85" s="44"/>
      <c r="K85" s="891" t="str">
        <f aca="false">IFERROR(__xludf.dummyfunction("if(isna(filter($R$40:$R$51,isblank($R$40:$R$51)=FALSE)),""NONE"",filter($R$40:$R$51,isblank($R$40:$R$51)=FALSE))"),"Beedrill-Mega")</f>
        <v>Beedrill-Mega</v>
      </c>
      <c r="L85" s="891"/>
      <c r="M85" s="892" t="str">
        <f aca="false">IFERROR(__xludf.dummyfunction("if(isna(filter($S$40:$S$51,isblank($S$40:$S$51)=FALSE)),""N/A"",filter($S$40:$S$51,isblank($S$40:$S$51)=FALSE))"),"Baton Pass")</f>
        <v>Baton Pass</v>
      </c>
      <c r="N85" s="892"/>
      <c r="O85" s="44"/>
      <c r="P85" s="44"/>
      <c r="Q85" s="44"/>
      <c r="R85" s="824"/>
      <c r="S85" s="638"/>
      <c r="T85" s="638"/>
      <c r="U85" s="638"/>
      <c r="V85" s="638"/>
      <c r="W85" s="638"/>
      <c r="X85" s="638"/>
      <c r="Y85" s="638"/>
      <c r="Z85" s="638"/>
      <c r="AA85" s="638"/>
      <c r="AB85" s="638"/>
      <c r="AC85" s="638"/>
      <c r="AD85" s="638"/>
      <c r="AE85" s="638"/>
    </row>
    <row r="86" customFormat="false" ht="15.75" hidden="false" customHeight="false" outlineLevel="0" collapsed="false">
      <c r="A86" s="916" t="s">
        <v>843</v>
      </c>
      <c r="B86" s="916"/>
      <c r="C86" s="911" t="str">
        <f aca="false">IFERROR(__xludf.dummyfunction("countif(FILTER(Pokedex!$AP:$AP,Pokedex!$A:$A=$L$1,Pokedex!$AP:$AP=0-2),0-2)"),"2")</f>
        <v>2</v>
      </c>
      <c r="D86" s="912" t="str">
        <f aca="false">IFERROR(__xludf.dummyfunction("countif(FILTER(Pokedex!$AP:$AP,Pokedex!$A:$A=$L$1,Pokedex!$AP:$AP=0-1),0-1)"),"0")</f>
        <v>0</v>
      </c>
      <c r="E86" s="912" t="n">
        <f aca="false">SUM(C86:D86)</f>
        <v>0</v>
      </c>
      <c r="F86" s="913" t="str">
        <f aca="false">IFERROR(__xludf.dummyfunction("countif(FILTER(Pokedex!$AP:$AP,Pokedex!$A:$A=$L$1,Pokedex!$AP:$AP=4),4)"),"1")</f>
        <v>1</v>
      </c>
      <c r="G86" s="914" t="str">
        <f aca="false">IFERROR(__xludf.dummyfunction("countif(FILTER(Pokedex!$AP:$AP,Pokedex!$A:$A=$L$1,Pokedex!$AP:$AP=1),1)"),"2")</f>
        <v>2</v>
      </c>
      <c r="H86" s="913" t="str">
        <f aca="false">IFERROR(__xludf.dummyfunction("countif(FILTER(Pokedex!$AP:$AP,Pokedex!$A:$A=$L$1,Pokedex!$AP:$AP=2),2)"),"0")</f>
        <v>0</v>
      </c>
      <c r="I86" s="913" t="n">
        <f aca="false">SUM(F86:H86)</f>
        <v>0</v>
      </c>
      <c r="J86" s="44"/>
      <c r="K86" s="823"/>
      <c r="L86" s="823"/>
      <c r="M86" s="477"/>
      <c r="N86" s="477"/>
      <c r="O86" s="44"/>
      <c r="P86" s="44"/>
      <c r="Q86" s="44"/>
      <c r="R86" s="824"/>
      <c r="S86" s="638"/>
      <c r="T86" s="638"/>
      <c r="U86" s="638"/>
      <c r="V86" s="638"/>
      <c r="W86" s="638"/>
      <c r="X86" s="638"/>
      <c r="Y86" s="638"/>
      <c r="Z86" s="638"/>
      <c r="AA86" s="638"/>
      <c r="AB86" s="638"/>
      <c r="AC86" s="638"/>
      <c r="AD86" s="638"/>
      <c r="AE86" s="638"/>
    </row>
    <row r="87" customFormat="false" ht="15.75" hidden="false" customHeight="false" outlineLevel="0" collapsed="false">
      <c r="A87" s="915" t="s">
        <v>828</v>
      </c>
      <c r="B87" s="915"/>
      <c r="C87" s="906" t="str">
        <f aca="false">IFERROR(__xludf.dummyfunction("countif(FILTER(Pokedex!$AQ:$AQ,Pokedex!$A:$A=$L$1,Pokedex!$AQ:$AQ=0-2),0-2)"),"0")</f>
        <v>0</v>
      </c>
      <c r="D87" s="907" t="str">
        <f aca="false">IFERROR(__xludf.dummyfunction("countif(FILTER(Pokedex!$AQ:$AQ,Pokedex!$A:$A=$L$1,Pokedex!$AQ:$AQ=0-1),0-1)"),"4")</f>
        <v>4</v>
      </c>
      <c r="E87" s="907" t="n">
        <f aca="false">SUM(C87:D87)</f>
        <v>0</v>
      </c>
      <c r="F87" s="908" t="str">
        <f aca="false">IFERROR(__xludf.dummyfunction("countif(FILTER(Pokedex!$AQ:$AQ,Pokedex!$A:$A=$L$1,Pokedex!$AQ:$AQ=4),4)"),"1")</f>
        <v>1</v>
      </c>
      <c r="G87" s="909" t="str">
        <f aca="false">IFERROR(__xludf.dummyfunction("countif(FILTER(Pokedex!$AQ:$AQ,Pokedex!$A:$A=$L$1,Pokedex!$AQ:$AQ=1),1)"),"1")</f>
        <v>1</v>
      </c>
      <c r="H87" s="908" t="str">
        <f aca="false">IFERROR(__xludf.dummyfunction("countif(FILTER(Pokedex!$AQ:$AQ,Pokedex!$A:$A=$L$1,Pokedex!$AQ:$AQ=2),2)"),"0")</f>
        <v>0</v>
      </c>
      <c r="I87" s="908" t="n">
        <f aca="false">SUM(F87:H87)</f>
        <v>0</v>
      </c>
      <c r="J87" s="44"/>
      <c r="K87" s="823"/>
      <c r="L87" s="823"/>
      <c r="M87" s="477"/>
      <c r="N87" s="477"/>
      <c r="O87" s="44"/>
      <c r="P87" s="44"/>
      <c r="Q87" s="44"/>
      <c r="R87" s="824"/>
      <c r="S87" s="638"/>
      <c r="T87" s="638"/>
      <c r="U87" s="638"/>
      <c r="V87" s="638"/>
      <c r="W87" s="638"/>
      <c r="X87" s="638"/>
      <c r="Y87" s="638"/>
      <c r="Z87" s="638"/>
      <c r="AA87" s="638"/>
      <c r="AB87" s="638"/>
      <c r="AC87" s="638"/>
      <c r="AD87" s="638"/>
      <c r="AE87" s="638"/>
    </row>
    <row r="88" customFormat="false" ht="15.75" hidden="false" customHeight="false" outlineLevel="0" collapsed="false">
      <c r="A88" s="916" t="s">
        <v>809</v>
      </c>
      <c r="B88" s="916"/>
      <c r="C88" s="911" t="str">
        <f aca="false">IFERROR(__xludf.dummyfunction("countif(FILTER(Pokedex!$AR:$AR,Pokedex!$A:$A=$L$1,Pokedex!$AR:$AR=0-2),0-2)"),"0")</f>
        <v>0</v>
      </c>
      <c r="D88" s="912" t="str">
        <f aca="false">IFERROR(__xludf.dummyfunction("countif(FILTER(Pokedex!$AR:$AR,Pokedex!$A:$A=$L$1,Pokedex!$AR:$AR=0-1),0-1)"),"2")</f>
        <v>2</v>
      </c>
      <c r="E88" s="912" t="n">
        <f aca="false">SUM(C88:D88)</f>
        <v>0</v>
      </c>
      <c r="F88" s="913" t="str">
        <f aca="false">IFERROR(__xludf.dummyfunction("countif(FILTER(Pokedex!$AR:$AR,Pokedex!$A:$A=$L$1,Pokedex!$AR:$AR=4),4)"),"0")</f>
        <v>0</v>
      </c>
      <c r="G88" s="914" t="str">
        <f aca="false">IFERROR(__xludf.dummyfunction("countif(FILTER(Pokedex!$AR:$AR,Pokedex!$A:$A=$L$1,Pokedex!$AR:$AR=1),1)"),"2")</f>
        <v>2</v>
      </c>
      <c r="H88" s="913" t="str">
        <f aca="false">IFERROR(__xludf.dummyfunction("countif(FILTER(Pokedex!$AR:$AR,Pokedex!$A:$A=$L$1,Pokedex!$AR:$AR=2),2)"),"0")</f>
        <v>0</v>
      </c>
      <c r="I88" s="913" t="n">
        <f aca="false">SUM(F88:H88)</f>
        <v>0</v>
      </c>
      <c r="J88" s="44"/>
      <c r="K88" s="823"/>
      <c r="L88" s="823"/>
      <c r="M88" s="477"/>
      <c r="N88" s="477"/>
      <c r="O88" s="44"/>
      <c r="P88" s="44"/>
      <c r="Q88" s="44"/>
      <c r="R88" s="824"/>
      <c r="S88" s="638"/>
      <c r="T88" s="638"/>
      <c r="U88" s="638"/>
      <c r="V88" s="638"/>
      <c r="W88" s="638"/>
      <c r="X88" s="638"/>
      <c r="Y88" s="638"/>
      <c r="Z88" s="638"/>
      <c r="AA88" s="638"/>
      <c r="AB88" s="638"/>
      <c r="AC88" s="638"/>
      <c r="AD88" s="638"/>
      <c r="AE88" s="638"/>
    </row>
    <row r="89" customFormat="false" ht="15.75" hidden="false" customHeight="false" outlineLevel="0" collapsed="false">
      <c r="A89" s="915" t="s">
        <v>810</v>
      </c>
      <c r="B89" s="915"/>
      <c r="C89" s="906" t="str">
        <f aca="false">IFERROR(__xludf.dummyfunction("countif(FILTER(Pokedex!$AS:$AS,Pokedex!$A:$A=$L$1,Pokedex!$AS:$AS=0-2),0-2)"),"0")</f>
        <v>0</v>
      </c>
      <c r="D89" s="907" t="str">
        <f aca="false">IFERROR(__xludf.dummyfunction("countif(FILTER(Pokedex!$AS:$AS,Pokedex!$A:$A=$L$1,Pokedex!$AS:$AS=0-1),0-1)"),"3")</f>
        <v>3</v>
      </c>
      <c r="E89" s="907" t="n">
        <f aca="false">SUM(C89:D89)</f>
        <v>0</v>
      </c>
      <c r="F89" s="908" t="str">
        <f aca="false">IFERROR(__xludf.dummyfunction("countif(FILTER(Pokedex!$AS:$AS,Pokedex!$A:$A=$L$1,Pokedex!$AS:$AS=4),4)"),"0")</f>
        <v>0</v>
      </c>
      <c r="G89" s="909" t="str">
        <f aca="false">IFERROR(__xludf.dummyfunction("countif(FILTER(Pokedex!$AS:$AS,Pokedex!$A:$A=$L$1,Pokedex!$AS:$AS=1),1)"),"3")</f>
        <v>3</v>
      </c>
      <c r="H89" s="908" t="str">
        <f aca="false">IFERROR(__xludf.dummyfunction("countif(FILTER(Pokedex!$AS:$AS,Pokedex!$A:$A=$L$1,Pokedex!$AS:$AS=2),2)"),"1")</f>
        <v>1</v>
      </c>
      <c r="I89" s="908" t="n">
        <f aca="false">SUM(F89:H89)</f>
        <v>0</v>
      </c>
      <c r="J89" s="44"/>
      <c r="K89" s="823"/>
      <c r="L89" s="823"/>
      <c r="M89" s="477"/>
      <c r="N89" s="477"/>
      <c r="O89" s="44"/>
      <c r="P89" s="44"/>
      <c r="Q89" s="44"/>
      <c r="R89" s="824"/>
      <c r="S89" s="638"/>
      <c r="T89" s="638"/>
      <c r="U89" s="638"/>
      <c r="V89" s="638"/>
      <c r="W89" s="638"/>
      <c r="X89" s="638"/>
      <c r="Y89" s="638"/>
      <c r="Z89" s="638"/>
      <c r="AA89" s="638"/>
      <c r="AB89" s="638"/>
      <c r="AC89" s="638"/>
      <c r="AD89" s="638"/>
      <c r="AE89" s="638"/>
    </row>
    <row r="90" customFormat="false" ht="15.75" hidden="false" customHeight="false" outlineLevel="0" collapsed="false">
      <c r="A90" s="917" t="s">
        <v>811</v>
      </c>
      <c r="B90" s="917"/>
      <c r="C90" s="918" t="str">
        <f aca="false">IFERROR(__xludf.dummyfunction("countif(FILTER(Pokedex!$AT:$AT,Pokedex!$A:$A=$L$1,Pokedex!$AT:$AT=0-2),0-2)"),"0")</f>
        <v>0</v>
      </c>
      <c r="D90" s="919" t="str">
        <f aca="false">IFERROR(__xludf.dummyfunction("countif(FILTER(Pokedex!$AT:$AT,Pokedex!$A:$A=$L$1,Pokedex!$AT:$AT=0-1),0-1)"),"0")</f>
        <v>0</v>
      </c>
      <c r="E90" s="919" t="n">
        <f aca="false">SUM(C90:D90)</f>
        <v>0</v>
      </c>
      <c r="F90" s="920" t="str">
        <f aca="false">IFERROR(__xludf.dummyfunction("countif(FILTER(Pokedex!$AT:$AT,Pokedex!$A:$A=$L$1,Pokedex!$AT:$AT=4),4)"),"0")</f>
        <v>0</v>
      </c>
      <c r="G90" s="921" t="str">
        <f aca="false">IFERROR(__xludf.dummyfunction("countif(FILTER(Pokedex!$AT:$AT,Pokedex!$A:$A=$L$1,Pokedex!$AT:$AT=1),1)"),"6")</f>
        <v>6</v>
      </c>
      <c r="H90" s="920" t="str">
        <f aca="false">IFERROR(__xludf.dummyfunction("countif(FILTER(Pokedex!$AT:$AT,Pokedex!$A:$A=$L$1,Pokedex!$AT:$AT=2),2)"),"0")</f>
        <v>0</v>
      </c>
      <c r="I90" s="920" t="n">
        <f aca="false">SUM(F90:H90)</f>
        <v>0</v>
      </c>
      <c r="J90" s="44"/>
      <c r="K90" s="823"/>
      <c r="L90" s="823"/>
      <c r="M90" s="477"/>
      <c r="N90" s="477"/>
      <c r="O90" s="44"/>
      <c r="P90" s="44"/>
      <c r="Q90" s="44"/>
      <c r="R90" s="824"/>
      <c r="S90" s="638"/>
      <c r="T90" s="638"/>
      <c r="U90" s="638"/>
      <c r="V90" s="638"/>
      <c r="W90" s="638"/>
      <c r="X90" s="638"/>
      <c r="Y90" s="638"/>
      <c r="Z90" s="638"/>
      <c r="AA90" s="638"/>
      <c r="AB90" s="638"/>
      <c r="AC90" s="638"/>
      <c r="AD90" s="638"/>
      <c r="AE90" s="638"/>
    </row>
    <row r="91" customFormat="false" ht="15.75" hidden="false" customHeight="false" outlineLevel="0" collapsed="false">
      <c r="A91" s="922" t="s">
        <v>2088</v>
      </c>
      <c r="B91" s="922"/>
      <c r="C91" s="923" t="n">
        <f aca="false">SUM(C73:C90)</f>
        <v>0</v>
      </c>
      <c r="D91" s="924" t="n">
        <f aca="false">SUM(D73:D90)</f>
        <v>0</v>
      </c>
      <c r="E91" s="924" t="n">
        <f aca="false">SUM(E73:E90)</f>
        <v>0</v>
      </c>
      <c r="F91" s="925" t="n">
        <f aca="false">SUM(F73:F90)</f>
        <v>0</v>
      </c>
      <c r="G91" s="926" t="n">
        <f aca="false">SUM(G73:G90)</f>
        <v>0</v>
      </c>
      <c r="H91" s="925" t="n">
        <f aca="false">SUM(H73:H90)</f>
        <v>0</v>
      </c>
      <c r="I91" s="925" t="n">
        <f aca="false">SUM(I73:I90)</f>
        <v>0</v>
      </c>
      <c r="J91" s="44"/>
      <c r="K91" s="823"/>
      <c r="L91" s="823"/>
      <c r="M91" s="477"/>
      <c r="N91" s="477"/>
      <c r="O91" s="44"/>
      <c r="P91" s="44"/>
      <c r="Q91" s="44"/>
      <c r="R91" s="824"/>
      <c r="S91" s="638"/>
      <c r="T91" s="638"/>
      <c r="U91" s="638"/>
      <c r="V91" s="638"/>
      <c r="W91" s="638"/>
      <c r="X91" s="638"/>
      <c r="Y91" s="638"/>
      <c r="Z91" s="638"/>
      <c r="AA91" s="638"/>
      <c r="AB91" s="638"/>
      <c r="AC91" s="638"/>
      <c r="AD91" s="638"/>
      <c r="AE91" s="638"/>
    </row>
    <row r="92" customFormat="false" ht="15.75" hidden="false" customHeight="false" outlineLevel="0" collapsed="false">
      <c r="A92" s="245"/>
      <c r="B92" s="738"/>
      <c r="C92" s="927" t="s">
        <v>2082</v>
      </c>
      <c r="D92" s="928" t="s">
        <v>2083</v>
      </c>
      <c r="E92" s="928" t="s">
        <v>2063</v>
      </c>
      <c r="F92" s="902" t="s">
        <v>2084</v>
      </c>
      <c r="G92" s="903" t="s">
        <v>2085</v>
      </c>
      <c r="H92" s="904" t="s">
        <v>2086</v>
      </c>
      <c r="I92" s="904" t="s">
        <v>2063</v>
      </c>
      <c r="J92" s="44"/>
      <c r="K92" s="823"/>
      <c r="L92" s="823"/>
      <c r="M92" s="477"/>
      <c r="N92" s="477"/>
      <c r="O92" s="44"/>
      <c r="P92" s="44"/>
      <c r="Q92" s="44"/>
      <c r="R92" s="824"/>
      <c r="S92" s="638"/>
      <c r="T92" s="638"/>
      <c r="U92" s="638"/>
      <c r="V92" s="638"/>
      <c r="W92" s="638"/>
      <c r="X92" s="638"/>
      <c r="Y92" s="638"/>
      <c r="Z92" s="638"/>
      <c r="AA92" s="638"/>
      <c r="AB92" s="638"/>
      <c r="AC92" s="638"/>
      <c r="AD92" s="638"/>
      <c r="AE92" s="638"/>
    </row>
    <row r="93" customFormat="false" ht="15.75" hidden="false" customHeight="false" outlineLevel="0" collapsed="false">
      <c r="A93" s="245"/>
      <c r="B93" s="245"/>
      <c r="C93" s="929" t="s">
        <v>2079</v>
      </c>
      <c r="D93" s="929"/>
      <c r="E93" s="929"/>
      <c r="F93" s="930" t="s">
        <v>2080</v>
      </c>
      <c r="G93" s="930"/>
      <c r="H93" s="930"/>
      <c r="I93" s="930"/>
      <c r="J93" s="44"/>
      <c r="K93" s="823"/>
      <c r="L93" s="823"/>
      <c r="M93" s="477"/>
      <c r="N93" s="477"/>
      <c r="O93" s="44"/>
      <c r="P93" s="44"/>
      <c r="Q93" s="44"/>
      <c r="R93" s="824"/>
      <c r="S93" s="638"/>
      <c r="T93" s="638"/>
      <c r="U93" s="638"/>
      <c r="V93" s="638"/>
      <c r="W93" s="638"/>
      <c r="X93" s="638"/>
      <c r="Y93" s="638"/>
      <c r="Z93" s="638"/>
      <c r="AA93" s="638"/>
      <c r="AB93" s="638"/>
      <c r="AC93" s="638"/>
      <c r="AD93" s="638"/>
      <c r="AE93" s="638"/>
    </row>
    <row r="94" customFormat="false" ht="15.75" hidden="false" customHeight="false" outlineLevel="0" collapsed="false">
      <c r="A94" s="44"/>
      <c r="B94" s="44"/>
      <c r="C94" s="44"/>
      <c r="D94" s="44"/>
      <c r="E94" s="44"/>
      <c r="F94" s="44"/>
      <c r="G94" s="44"/>
      <c r="H94" s="44"/>
      <c r="I94" s="44"/>
      <c r="J94" s="44"/>
      <c r="K94" s="823"/>
      <c r="L94" s="823"/>
      <c r="M94" s="477"/>
      <c r="N94" s="477"/>
      <c r="O94" s="44"/>
      <c r="P94" s="44"/>
      <c r="Q94" s="44"/>
      <c r="R94" s="824"/>
      <c r="S94" s="638"/>
      <c r="T94" s="638"/>
      <c r="U94" s="638"/>
      <c r="V94" s="638"/>
      <c r="W94" s="638"/>
      <c r="X94" s="638"/>
      <c r="Y94" s="638"/>
      <c r="Z94" s="638"/>
      <c r="AA94" s="638"/>
      <c r="AB94" s="638"/>
      <c r="AC94" s="638"/>
      <c r="AD94" s="638"/>
      <c r="AE94" s="638"/>
    </row>
    <row r="95" customFormat="false" ht="15.75" hidden="false" customHeight="false" outlineLevel="0" collapsed="false">
      <c r="A95" s="44"/>
      <c r="B95" s="44"/>
      <c r="C95" s="44"/>
      <c r="D95" s="44"/>
      <c r="E95" s="44"/>
      <c r="F95" s="44"/>
      <c r="G95" s="44"/>
      <c r="H95" s="44"/>
      <c r="I95" s="44"/>
      <c r="J95" s="93"/>
      <c r="K95" s="893"/>
      <c r="L95" s="893"/>
      <c r="M95" s="831"/>
      <c r="N95" s="831"/>
      <c r="O95" s="44"/>
      <c r="P95" s="44"/>
      <c r="Q95" s="44"/>
      <c r="R95" s="824"/>
      <c r="S95" s="638"/>
      <c r="T95" s="638"/>
      <c r="U95" s="638"/>
      <c r="V95" s="638"/>
      <c r="W95" s="638"/>
      <c r="X95" s="638"/>
      <c r="Y95" s="638"/>
      <c r="Z95" s="638"/>
      <c r="AA95" s="638"/>
      <c r="AB95" s="638"/>
      <c r="AC95" s="638"/>
      <c r="AD95" s="638"/>
      <c r="AE95" s="638"/>
    </row>
    <row r="96" customFormat="false" ht="15.75" hidden="false" customHeight="false" outlineLevel="0" collapsed="false">
      <c r="O96" s="44"/>
      <c r="P96" s="44"/>
      <c r="Q96" s="44"/>
      <c r="R96" s="824"/>
      <c r="S96" s="638"/>
      <c r="T96" s="638"/>
      <c r="U96" s="638"/>
      <c r="V96" s="638"/>
      <c r="W96" s="638"/>
      <c r="X96" s="638"/>
      <c r="Y96" s="638"/>
      <c r="Z96" s="638"/>
      <c r="AA96" s="638"/>
      <c r="AB96" s="638"/>
      <c r="AC96" s="638"/>
      <c r="AD96" s="638"/>
      <c r="AE96" s="638"/>
    </row>
    <row r="97" customFormat="false" ht="15.75" hidden="false" customHeight="false" outlineLevel="0" collapsed="false">
      <c r="A97" s="44"/>
      <c r="B97" s="44"/>
      <c r="C97" s="44"/>
      <c r="D97" s="44"/>
      <c r="E97" s="44"/>
      <c r="F97" s="44"/>
      <c r="G97" s="44"/>
      <c r="H97" s="44"/>
      <c r="I97" s="44"/>
      <c r="J97" s="44"/>
      <c r="K97" s="44"/>
      <c r="L97" s="44"/>
      <c r="M97" s="44"/>
      <c r="N97" s="44"/>
      <c r="O97" s="44"/>
      <c r="P97" s="44"/>
      <c r="Q97" s="44"/>
      <c r="R97" s="824"/>
      <c r="S97" s="638"/>
      <c r="T97" s="638"/>
      <c r="U97" s="638"/>
      <c r="V97" s="638"/>
      <c r="W97" s="638"/>
      <c r="X97" s="638"/>
      <c r="Y97" s="638"/>
      <c r="Z97" s="638"/>
      <c r="AA97" s="638"/>
      <c r="AB97" s="638"/>
      <c r="AC97" s="638"/>
      <c r="AD97" s="638"/>
      <c r="AE97" s="638"/>
    </row>
    <row r="98" customFormat="false" ht="15.75" hidden="false" customHeight="false" outlineLevel="0" collapsed="false">
      <c r="A98" s="44"/>
      <c r="B98" s="44"/>
      <c r="C98" s="44"/>
      <c r="D98" s="44"/>
      <c r="E98" s="44"/>
      <c r="F98" s="44"/>
      <c r="G98" s="44"/>
      <c r="H98" s="44"/>
      <c r="I98" s="44"/>
      <c r="J98" s="44"/>
      <c r="K98" s="44"/>
      <c r="L98" s="44"/>
      <c r="M98" s="44"/>
      <c r="N98" s="44"/>
      <c r="O98" s="44"/>
      <c r="P98" s="44"/>
      <c r="Q98" s="44"/>
      <c r="R98" s="824"/>
      <c r="S98" s="638"/>
      <c r="T98" s="638"/>
      <c r="U98" s="638"/>
      <c r="V98" s="638"/>
      <c r="W98" s="638"/>
      <c r="X98" s="638"/>
      <c r="Y98" s="638"/>
      <c r="Z98" s="638"/>
      <c r="AA98" s="638"/>
      <c r="AB98" s="638"/>
      <c r="AC98" s="638"/>
      <c r="AD98" s="638"/>
      <c r="AE98" s="638"/>
    </row>
    <row r="99" customFormat="false" ht="15.75" hidden="false" customHeight="false" outlineLevel="0" collapsed="false">
      <c r="A99" s="245"/>
      <c r="B99" s="245"/>
      <c r="C99" s="2"/>
      <c r="D99" s="2"/>
      <c r="E99" s="2"/>
      <c r="F99" s="2"/>
      <c r="G99" s="2"/>
      <c r="H99" s="2"/>
      <c r="I99" s="2"/>
      <c r="J99" s="93"/>
      <c r="K99" s="931"/>
      <c r="L99" s="931"/>
      <c r="M99" s="93"/>
      <c r="N99" s="931"/>
      <c r="O99" s="44"/>
      <c r="P99" s="44"/>
      <c r="Q99" s="44"/>
      <c r="R99" s="824"/>
      <c r="S99" s="638"/>
      <c r="T99" s="638"/>
      <c r="U99" s="638"/>
      <c r="V99" s="638"/>
      <c r="W99" s="638"/>
      <c r="X99" s="638"/>
      <c r="Y99" s="638"/>
      <c r="Z99" s="638"/>
      <c r="AA99" s="638"/>
      <c r="AB99" s="638"/>
      <c r="AC99" s="638"/>
      <c r="AD99" s="638"/>
      <c r="AE99" s="638"/>
    </row>
    <row r="100" customFormat="false" ht="15.75" hidden="false" customHeight="false" outlineLevel="0" collapsed="false">
      <c r="A100" s="245"/>
      <c r="B100" s="245"/>
      <c r="C100" s="931"/>
      <c r="D100" s="93"/>
      <c r="E100" s="931"/>
      <c r="F100" s="931"/>
      <c r="G100" s="93"/>
      <c r="H100" s="931"/>
      <c r="I100" s="931"/>
      <c r="J100" s="93"/>
      <c r="K100" s="931"/>
      <c r="L100" s="931"/>
      <c r="M100" s="93"/>
      <c r="N100" s="931"/>
      <c r="O100" s="44"/>
      <c r="P100" s="44"/>
      <c r="Q100" s="44"/>
      <c r="R100" s="824"/>
      <c r="S100" s="638"/>
      <c r="T100" s="638"/>
      <c r="U100" s="638"/>
      <c r="V100" s="638"/>
      <c r="W100" s="638"/>
      <c r="X100" s="638"/>
      <c r="Y100" s="638"/>
      <c r="Z100" s="638"/>
      <c r="AA100" s="638"/>
      <c r="AB100" s="638"/>
      <c r="AC100" s="638"/>
      <c r="AD100" s="638"/>
      <c r="AE100" s="638"/>
    </row>
  </sheetData>
  <mergeCells count="373">
    <mergeCell ref="A1:D8"/>
    <mergeCell ref="E1:F1"/>
    <mergeCell ref="G1:J1"/>
    <mergeCell ref="L1:N1"/>
    <mergeCell ref="R1:S1"/>
    <mergeCell ref="E2:F2"/>
    <mergeCell ref="G2:N2"/>
    <mergeCell ref="E3:F3"/>
    <mergeCell ref="G3:N3"/>
    <mergeCell ref="E4:F4"/>
    <mergeCell ref="G4:N4"/>
    <mergeCell ref="E5:F5"/>
    <mergeCell ref="G5:N5"/>
    <mergeCell ref="E6:F6"/>
    <mergeCell ref="G6:N6"/>
    <mergeCell ref="E7:F7"/>
    <mergeCell ref="G7:N7"/>
    <mergeCell ref="A9:D9"/>
    <mergeCell ref="I9:L9"/>
    <mergeCell ref="A10:B11"/>
    <mergeCell ref="C10:I10"/>
    <mergeCell ref="J10:M10"/>
    <mergeCell ref="J11:M11"/>
    <mergeCell ref="A12:B12"/>
    <mergeCell ref="J12:M12"/>
    <mergeCell ref="A13:B13"/>
    <mergeCell ref="J13:M13"/>
    <mergeCell ref="A14:B14"/>
    <mergeCell ref="J14:M14"/>
    <mergeCell ref="A15:B15"/>
    <mergeCell ref="A16:B16"/>
    <mergeCell ref="A17:B17"/>
    <mergeCell ref="A18:B18"/>
    <mergeCell ref="A19:B19"/>
    <mergeCell ref="R19:S19"/>
    <mergeCell ref="A20:B20"/>
    <mergeCell ref="A21:B21"/>
    <mergeCell ref="A22:B22"/>
    <mergeCell ref="A23:C23"/>
    <mergeCell ref="A27:C27"/>
    <mergeCell ref="D27:F27"/>
    <mergeCell ref="G27:H27"/>
    <mergeCell ref="J27:L27"/>
    <mergeCell ref="A28:C28"/>
    <mergeCell ref="D28:F28"/>
    <mergeCell ref="G28:H28"/>
    <mergeCell ref="J28:L28"/>
    <mergeCell ref="A29:C29"/>
    <mergeCell ref="D29:F29"/>
    <mergeCell ref="G29:H29"/>
    <mergeCell ref="J29:L29"/>
    <mergeCell ref="A30:C30"/>
    <mergeCell ref="D30:F30"/>
    <mergeCell ref="G30:H30"/>
    <mergeCell ref="J30:M30"/>
    <mergeCell ref="A32:C32"/>
    <mergeCell ref="D32:F32"/>
    <mergeCell ref="G32:H32"/>
    <mergeCell ref="I32:J32"/>
    <mergeCell ref="K32:N32"/>
    <mergeCell ref="A33:C33"/>
    <mergeCell ref="D33:F33"/>
    <mergeCell ref="G33:H33"/>
    <mergeCell ref="I33:J33"/>
    <mergeCell ref="K33:N33"/>
    <mergeCell ref="A34:C34"/>
    <mergeCell ref="D34:F34"/>
    <mergeCell ref="G34:H34"/>
    <mergeCell ref="I34:J34"/>
    <mergeCell ref="K34:N34"/>
    <mergeCell ref="A35:C35"/>
    <mergeCell ref="D35:F35"/>
    <mergeCell ref="G35:H35"/>
    <mergeCell ref="I35:J35"/>
    <mergeCell ref="K35:N35"/>
    <mergeCell ref="A36:C36"/>
    <mergeCell ref="D36:F36"/>
    <mergeCell ref="G36:H36"/>
    <mergeCell ref="I36:J36"/>
    <mergeCell ref="K36:N36"/>
    <mergeCell ref="A37:C37"/>
    <mergeCell ref="D37:F37"/>
    <mergeCell ref="G37:H37"/>
    <mergeCell ref="I37:J37"/>
    <mergeCell ref="K37:N37"/>
    <mergeCell ref="A38:C38"/>
    <mergeCell ref="D38:F38"/>
    <mergeCell ref="G38:H38"/>
    <mergeCell ref="I38:J38"/>
    <mergeCell ref="K38:N38"/>
    <mergeCell ref="A39:C39"/>
    <mergeCell ref="D39:F39"/>
    <mergeCell ref="G39:H39"/>
    <mergeCell ref="I39:J39"/>
    <mergeCell ref="K39:N39"/>
    <mergeCell ref="R39:S39"/>
    <mergeCell ref="A40:C40"/>
    <mergeCell ref="D40:F40"/>
    <mergeCell ref="G40:H40"/>
    <mergeCell ref="I40:J40"/>
    <mergeCell ref="K40:N40"/>
    <mergeCell ref="A41:C41"/>
    <mergeCell ref="D41:F41"/>
    <mergeCell ref="G41:H41"/>
    <mergeCell ref="I41:J41"/>
    <mergeCell ref="K41:N41"/>
    <mergeCell ref="A43:C43"/>
    <mergeCell ref="K43:L43"/>
    <mergeCell ref="M43:N43"/>
    <mergeCell ref="A44:C44"/>
    <mergeCell ref="K44:L44"/>
    <mergeCell ref="M44:N44"/>
    <mergeCell ref="A45:C45"/>
    <mergeCell ref="K45:L45"/>
    <mergeCell ref="M45:N45"/>
    <mergeCell ref="A46:C46"/>
    <mergeCell ref="K46:L46"/>
    <mergeCell ref="M46:N46"/>
    <mergeCell ref="A47:C47"/>
    <mergeCell ref="K47:L47"/>
    <mergeCell ref="M47:N47"/>
    <mergeCell ref="A48:C48"/>
    <mergeCell ref="K48:L48"/>
    <mergeCell ref="M48:N48"/>
    <mergeCell ref="A49:C49"/>
    <mergeCell ref="K49:L49"/>
    <mergeCell ref="M49:N49"/>
    <mergeCell ref="A50:C50"/>
    <mergeCell ref="K50:L50"/>
    <mergeCell ref="M50:N50"/>
    <mergeCell ref="A51:C51"/>
    <mergeCell ref="K51:L51"/>
    <mergeCell ref="M51:N51"/>
    <mergeCell ref="A52:C52"/>
    <mergeCell ref="K52:L52"/>
    <mergeCell ref="M52:N52"/>
    <mergeCell ref="A53:C53"/>
    <mergeCell ref="K53:L53"/>
    <mergeCell ref="M53:N53"/>
    <mergeCell ref="A54:C54"/>
    <mergeCell ref="K54:L54"/>
    <mergeCell ref="M54:N54"/>
    <mergeCell ref="Q54:S54"/>
    <mergeCell ref="T54:V54"/>
    <mergeCell ref="W54:X54"/>
    <mergeCell ref="Y54:Z54"/>
    <mergeCell ref="AA54:AD54"/>
    <mergeCell ref="A55:C55"/>
    <mergeCell ref="Q55:S55"/>
    <mergeCell ref="T55:V55"/>
    <mergeCell ref="W55:X55"/>
    <mergeCell ref="Y55:Z55"/>
    <mergeCell ref="AA55:AD55"/>
    <mergeCell ref="A56:C56"/>
    <mergeCell ref="Q56:S56"/>
    <mergeCell ref="T56:V56"/>
    <mergeCell ref="W56:X56"/>
    <mergeCell ref="Y56:Z56"/>
    <mergeCell ref="AA56:AD56"/>
    <mergeCell ref="Q57:S57"/>
    <mergeCell ref="T57:V57"/>
    <mergeCell ref="W57:X57"/>
    <mergeCell ref="Y57:Z57"/>
    <mergeCell ref="AA57:AD57"/>
    <mergeCell ref="A58:C58"/>
    <mergeCell ref="D58:I58"/>
    <mergeCell ref="K58:N58"/>
    <mergeCell ref="Q58:S58"/>
    <mergeCell ref="T58:V58"/>
    <mergeCell ref="W58:X58"/>
    <mergeCell ref="Y58:Z58"/>
    <mergeCell ref="AA58:AD58"/>
    <mergeCell ref="A59:C59"/>
    <mergeCell ref="D59:E59"/>
    <mergeCell ref="F59:G59"/>
    <mergeCell ref="H59:I59"/>
    <mergeCell ref="K59:L59"/>
    <mergeCell ref="M59:N59"/>
    <mergeCell ref="Q59:S59"/>
    <mergeCell ref="T59:V59"/>
    <mergeCell ref="W59:X59"/>
    <mergeCell ref="Y59:Z59"/>
    <mergeCell ref="AA59:AD59"/>
    <mergeCell ref="A60:C60"/>
    <mergeCell ref="D60:E60"/>
    <mergeCell ref="F60:G60"/>
    <mergeCell ref="H60:I60"/>
    <mergeCell ref="K60:L60"/>
    <mergeCell ref="M60:N60"/>
    <mergeCell ref="Q60:S60"/>
    <mergeCell ref="T60:V60"/>
    <mergeCell ref="W60:X60"/>
    <mergeCell ref="Y60:Z60"/>
    <mergeCell ref="AA60:AD60"/>
    <mergeCell ref="A61:C61"/>
    <mergeCell ref="D61:E61"/>
    <mergeCell ref="F61:G61"/>
    <mergeCell ref="H61:I61"/>
    <mergeCell ref="K61:L61"/>
    <mergeCell ref="M61:N61"/>
    <mergeCell ref="Q61:S61"/>
    <mergeCell ref="T61:V61"/>
    <mergeCell ref="W61:X61"/>
    <mergeCell ref="Y61:Z61"/>
    <mergeCell ref="AA61:AD61"/>
    <mergeCell ref="A62:C62"/>
    <mergeCell ref="D62:E62"/>
    <mergeCell ref="F62:G62"/>
    <mergeCell ref="H62:I62"/>
    <mergeCell ref="K62:L62"/>
    <mergeCell ref="M62:N62"/>
    <mergeCell ref="Q62:S62"/>
    <mergeCell ref="T62:V62"/>
    <mergeCell ref="W62:X62"/>
    <mergeCell ref="Y62:Z62"/>
    <mergeCell ref="AA62:AD62"/>
    <mergeCell ref="A63:C63"/>
    <mergeCell ref="D63:E63"/>
    <mergeCell ref="F63:G63"/>
    <mergeCell ref="H63:I63"/>
    <mergeCell ref="K63:L63"/>
    <mergeCell ref="M63:N63"/>
    <mergeCell ref="Q63:S63"/>
    <mergeCell ref="T63:V63"/>
    <mergeCell ref="W63:X63"/>
    <mergeCell ref="Y63:Z63"/>
    <mergeCell ref="AA63:AD63"/>
    <mergeCell ref="A64:C64"/>
    <mergeCell ref="D64:E64"/>
    <mergeCell ref="F64:G64"/>
    <mergeCell ref="H64:I64"/>
    <mergeCell ref="K64:L64"/>
    <mergeCell ref="M64:N64"/>
    <mergeCell ref="Q64:S64"/>
    <mergeCell ref="T64:V64"/>
    <mergeCell ref="W64:X64"/>
    <mergeCell ref="Y64:Z64"/>
    <mergeCell ref="AA64:AD64"/>
    <mergeCell ref="A65:C65"/>
    <mergeCell ref="D65:E65"/>
    <mergeCell ref="F65:G65"/>
    <mergeCell ref="H65:I65"/>
    <mergeCell ref="K65:L65"/>
    <mergeCell ref="M65:N65"/>
    <mergeCell ref="Q65:S65"/>
    <mergeCell ref="T65:V65"/>
    <mergeCell ref="W65:X65"/>
    <mergeCell ref="Y65:Z65"/>
    <mergeCell ref="AA65:AD65"/>
    <mergeCell ref="A66:C66"/>
    <mergeCell ref="D66:E66"/>
    <mergeCell ref="F66:G66"/>
    <mergeCell ref="H66:I66"/>
    <mergeCell ref="K66:L66"/>
    <mergeCell ref="M66:N66"/>
    <mergeCell ref="Q66:S66"/>
    <mergeCell ref="T66:V66"/>
    <mergeCell ref="W66:X66"/>
    <mergeCell ref="Y66:Z66"/>
    <mergeCell ref="AA66:AD66"/>
    <mergeCell ref="A67:C67"/>
    <mergeCell ref="D67:E67"/>
    <mergeCell ref="F67:G67"/>
    <mergeCell ref="H67:I67"/>
    <mergeCell ref="K67:L67"/>
    <mergeCell ref="M67:N67"/>
    <mergeCell ref="Q67:S67"/>
    <mergeCell ref="T67:V67"/>
    <mergeCell ref="W67:X67"/>
    <mergeCell ref="Y67:Z67"/>
    <mergeCell ref="AA67:AD67"/>
    <mergeCell ref="A68:C68"/>
    <mergeCell ref="D68:E68"/>
    <mergeCell ref="F68:G68"/>
    <mergeCell ref="H68:I68"/>
    <mergeCell ref="K68:L68"/>
    <mergeCell ref="M68:N68"/>
    <mergeCell ref="Q68:S68"/>
    <mergeCell ref="T68:V68"/>
    <mergeCell ref="W68:X68"/>
    <mergeCell ref="Y68:Z68"/>
    <mergeCell ref="AA68:AD68"/>
    <mergeCell ref="A69:C69"/>
    <mergeCell ref="D69:E69"/>
    <mergeCell ref="F69:G69"/>
    <mergeCell ref="H69:I69"/>
    <mergeCell ref="K69:L69"/>
    <mergeCell ref="M69:N69"/>
    <mergeCell ref="Q69:S69"/>
    <mergeCell ref="T69:V69"/>
    <mergeCell ref="W69:X69"/>
    <mergeCell ref="Y69:Z69"/>
    <mergeCell ref="AA69:AD69"/>
    <mergeCell ref="Q70:S70"/>
    <mergeCell ref="T70:V70"/>
    <mergeCell ref="W70:X70"/>
    <mergeCell ref="Y70:Z70"/>
    <mergeCell ref="AA70:AD70"/>
    <mergeCell ref="A71:B72"/>
    <mergeCell ref="C71:E71"/>
    <mergeCell ref="F71:I71"/>
    <mergeCell ref="K71:N71"/>
    <mergeCell ref="Q71:S71"/>
    <mergeCell ref="T71:V71"/>
    <mergeCell ref="W71:X71"/>
    <mergeCell ref="Y71:Z71"/>
    <mergeCell ref="AA71:AD71"/>
    <mergeCell ref="K72:L72"/>
    <mergeCell ref="M72:N72"/>
    <mergeCell ref="A73:B73"/>
    <mergeCell ref="K73:L73"/>
    <mergeCell ref="M73:N73"/>
    <mergeCell ref="A74:B74"/>
    <mergeCell ref="K74:L74"/>
    <mergeCell ref="M74:N74"/>
    <mergeCell ref="A75:B75"/>
    <mergeCell ref="K75:L75"/>
    <mergeCell ref="M75:N75"/>
    <mergeCell ref="A76:B76"/>
    <mergeCell ref="K76:L76"/>
    <mergeCell ref="M76:N76"/>
    <mergeCell ref="A77:B77"/>
    <mergeCell ref="K77:L77"/>
    <mergeCell ref="M77:N77"/>
    <mergeCell ref="A78:B78"/>
    <mergeCell ref="K78:L78"/>
    <mergeCell ref="M78:N78"/>
    <mergeCell ref="A79:B79"/>
    <mergeCell ref="K79:L79"/>
    <mergeCell ref="M79:N79"/>
    <mergeCell ref="A80:B80"/>
    <mergeCell ref="K80:L80"/>
    <mergeCell ref="M80:N80"/>
    <mergeCell ref="A81:B81"/>
    <mergeCell ref="K81:L81"/>
    <mergeCell ref="M81:N81"/>
    <mergeCell ref="A82:B82"/>
    <mergeCell ref="K82:L82"/>
    <mergeCell ref="M82:N82"/>
    <mergeCell ref="A83:B83"/>
    <mergeCell ref="A84:B84"/>
    <mergeCell ref="K84:N84"/>
    <mergeCell ref="A85:B85"/>
    <mergeCell ref="K85:L85"/>
    <mergeCell ref="M85:N85"/>
    <mergeCell ref="A86:B86"/>
    <mergeCell ref="K86:L86"/>
    <mergeCell ref="M86:N86"/>
    <mergeCell ref="A87:B87"/>
    <mergeCell ref="K87:L87"/>
    <mergeCell ref="M87:N87"/>
    <mergeCell ref="A88:B88"/>
    <mergeCell ref="K88:L88"/>
    <mergeCell ref="M88:N88"/>
    <mergeCell ref="A89:B89"/>
    <mergeCell ref="K89:L89"/>
    <mergeCell ref="M89:N89"/>
    <mergeCell ref="A90:B90"/>
    <mergeCell ref="K90:L90"/>
    <mergeCell ref="M90:N90"/>
    <mergeCell ref="A91:B91"/>
    <mergeCell ref="K91:L91"/>
    <mergeCell ref="M91:N91"/>
    <mergeCell ref="K92:L92"/>
    <mergeCell ref="M92:N92"/>
    <mergeCell ref="C93:E93"/>
    <mergeCell ref="F93:I93"/>
    <mergeCell ref="K93:L93"/>
    <mergeCell ref="M93:N93"/>
    <mergeCell ref="K94:L94"/>
    <mergeCell ref="M94:N94"/>
    <mergeCell ref="K95:L95"/>
    <mergeCell ref="M95:N95"/>
  </mergeCells>
  <conditionalFormatting sqref="J29:M30">
    <cfRule type="containsText" priority="2" aboveAverage="0" equalAverage="0" bottom="0" percent="0" rank="0" text="ERROR" dxfId="1"/>
  </conditionalFormatting>
  <conditionalFormatting sqref="N9">
    <cfRule type="notContainsText" priority="3" aboveAverage="0" equalAverage="0" bottom="0" percent="0" rank="0" text="OUT" dxfId="0"/>
  </conditionalFormatting>
  <conditionalFormatting sqref="N9">
    <cfRule type="containsText" priority="4" aboveAverage="0" equalAverage="0" bottom="0" percent="0" rank="0" text="OUT" dxfId="1"/>
  </conditionalFormatting>
  <conditionalFormatting sqref="N8">
    <cfRule type="containsText" priority="5" aboveAverage="0" equalAverage="0" bottom="0" percent="0" rank="0" text="Win" dxfId="3"/>
  </conditionalFormatting>
  <conditionalFormatting sqref="N8">
    <cfRule type="containsText" priority="6" aboveAverage="0" equalAverage="0" bottom="0" percent="0" rank="0" text="Lose" dxfId="4"/>
  </conditionalFormatting>
  <conditionalFormatting sqref="M27">
    <cfRule type="cellIs" priority="7" operator="lessThanOrEqual" aboveAverage="0" equalAverage="0" bottom="0" percent="0" rank="0" text="" dxfId="4">
      <formula>0</formula>
    </cfRule>
  </conditionalFormatting>
  <conditionalFormatting sqref="M27">
    <cfRule type="cellIs" priority="8" operator="greaterThan" aboveAverage="0" equalAverage="0" bottom="0" percent="0" rank="0" text="" dxfId="3">
      <formula>0</formula>
    </cfRule>
  </conditionalFormatting>
  <conditionalFormatting sqref="A12:I22,A44:N54,A59:I69">
    <cfRule type="expression" priority="9" aboveAverage="0" equalAverage="0" bottom="0" percent="0" rank="0" text="" dxfId="0">
      <formula>AND(NOT(ISBLANK($A:$A)),$A:$A=$J$11)</formula>
    </cfRule>
  </conditionalFormatting>
  <conditionalFormatting sqref="A12:I22,A44:N54,A59:I69">
    <cfRule type="expression" priority="10" aboveAverage="0" equalAverage="0" bottom="0" percent="0" rank="0" text="" dxfId="1">
      <formula>AND(NOT(ISBLANK($A:$A)),$A:$A=$J$13)</formula>
    </cfRule>
  </conditionalFormatting>
  <conditionalFormatting sqref="A12:I22,A44:N54,A59:I69">
    <cfRule type="expression" priority="11" aboveAverage="0" equalAverage="0" bottom="0" percent="0" rank="0" text="" dxfId="1">
      <formula>AND(NOT(ISBLANK($A:$A)),$A:$A=$J$14)</formula>
    </cfRule>
  </conditionalFormatting>
  <printOptions headings="false" gridLines="false" gridLinesSet="true" horizontalCentered="false" verticalCentered="false"/>
  <pageMargins left="0.747916666666667" right="0.747916666666667" top="0.984027777777778" bottom="0.984027777777778" header="0.511805555555555" footer="0.511805555555555"/>
  <pageSetup paperSize="1" scale="100" firstPageNumber="0" fitToWidth="1" fitToHeight="1" pageOrder="downThenOver" orientation="portrait" usePrinterDefaults="false" blackAndWhite="false" draft="false" cellComments="none" useFirstPageNumber="false" horizontalDpi="300" verticalDpi="300" copies="1"/>
  <headerFooter differentFirst="false" differentOddEven="false">
    <oddHeader/>
    <oddFooter/>
  </headerFooter>
  <drawing r:id="rId1"/>
</worksheet>
</file>

<file path=xl/worksheets/sheet15.xml><?xml version="1.0" encoding="utf-8"?>
<worksheet xmlns="http://schemas.openxmlformats.org/spreadsheetml/2006/main" xmlns:r="http://schemas.openxmlformats.org/officeDocument/2006/relationships">
  <sheetPr filterMode="false">
    <tabColor rgb="FFC27BA0"/>
    <pageSetUpPr fitToPage="false"/>
  </sheetPr>
  <dimension ref="A1:AE100"/>
  <sheetViews>
    <sheetView windowProtection="false"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A1" activeCellId="0" sqref="A1"/>
    </sheetView>
  </sheetViews>
  <sheetFormatPr defaultRowHeight="15.75"/>
  <cols>
    <col collapsed="false" hidden="false" max="2" min="1" style="0" width="10.6632653061225"/>
    <col collapsed="false" hidden="false" max="14" min="3" style="0" width="7.1530612244898"/>
    <col collapsed="false" hidden="false" max="15" min="15" style="0" width="1.48469387755102"/>
    <col collapsed="false" hidden="true" max="31" min="16" style="0" width="0"/>
    <col collapsed="false" hidden="false" max="1025" min="32" style="0" width="14.1734693877551"/>
  </cols>
  <sheetData>
    <row r="1" customFormat="false" ht="15.75" hidden="false" customHeight="false" outlineLevel="0" collapsed="false">
      <c r="A1" s="765" t="s">
        <v>466</v>
      </c>
      <c r="B1" s="765"/>
      <c r="C1" s="765"/>
      <c r="D1" s="765"/>
      <c r="E1" s="766" t="s">
        <v>2038</v>
      </c>
      <c r="F1" s="766"/>
      <c r="G1" s="767" t="s">
        <v>2097</v>
      </c>
      <c r="H1" s="767"/>
      <c r="I1" s="767"/>
      <c r="J1" s="767"/>
      <c r="K1" s="768" t="s">
        <v>2040</v>
      </c>
      <c r="L1" s="769" t="s">
        <v>705</v>
      </c>
      <c r="M1" s="769"/>
      <c r="N1" s="769"/>
      <c r="O1" s="44"/>
      <c r="P1" s="44"/>
      <c r="Q1" s="770" t="e">
        <f aca="false">flg!$l$1</f>
        <v>#NAME?</v>
      </c>
      <c r="R1" s="341" t="s">
        <v>1681</v>
      </c>
      <c r="S1" s="341"/>
      <c r="T1" s="771"/>
      <c r="U1" s="771"/>
      <c r="V1" s="771"/>
      <c r="W1" s="771"/>
      <c r="X1" s="771"/>
      <c r="Y1" s="771"/>
      <c r="Z1" s="771"/>
      <c r="AA1" s="771"/>
      <c r="AB1" s="771"/>
      <c r="AC1" s="771"/>
      <c r="AD1" s="771"/>
      <c r="AE1" s="771"/>
    </row>
    <row r="2" customFormat="false" ht="15.75" hidden="false" customHeight="false" outlineLevel="0" collapsed="false">
      <c r="A2" s="765"/>
      <c r="B2" s="765"/>
      <c r="C2" s="765"/>
      <c r="D2" s="765"/>
      <c r="E2" s="772" t="s">
        <v>2041</v>
      </c>
      <c r="F2" s="772"/>
      <c r="G2" s="773" t="s">
        <v>2098</v>
      </c>
      <c r="H2" s="773"/>
      <c r="I2" s="773"/>
      <c r="J2" s="773"/>
      <c r="K2" s="773"/>
      <c r="L2" s="773"/>
      <c r="M2" s="773"/>
      <c r="N2" s="773"/>
      <c r="O2" s="44"/>
      <c r="P2" s="44"/>
      <c r="Q2" s="774" t="e">
        <f aca="false">fst!$l$1</f>
        <v>#NAME?</v>
      </c>
      <c r="R2" s="386" t="str">
        <f aca="false">IFERROR(__xludf.dummyfunction("{ if(isna(FILTER(MoveDex!$T:$T,MoveDex!$S:$S=$L$1)),,FILTER(MoveDex!$T:$T,MoveDex!$S:$S=$L$1)) ; if(isna(FILTER(MoveDex!$X:$X,MoveDex!$W:$W=$L$1)),,FILTER(MoveDex!$X:$X,MoveDex!$W:$W=$L$1)) ; if(isna(FILTER(MoveDex!$AB:$AB,MoveDex!$AA:$AA=$L$1)),,FILTER(M"&amp;"oveDex!$AB:$AB,MoveDex!$AA:$AA=$L$1)) ; if(isna(FILTER(MoveDex!$AF:$AF,MoveDex!$AE:$AE=$L$1)),,FILTER(MoveDex!$AF:$AF,MoveDex!$AE:$AE=$L$1)) }"),"Aerodactyl-Mega")</f>
        <v>Aerodactyl-Mega</v>
      </c>
      <c r="S2" s="386" t="str">
        <f aca="false">IFERROR(__xludf.dummyfunction("{ if(isna(FILTER(MoveDex!$U:$U,MoveDex!$S:$S=$L$1)),,FILTER(MoveDex!$U:$U,MoveDex!$S:$S=$L$1)) ; if(isna(FILTER(MoveDex!$Y:$Y,MoveDex!$W:$W=$L$1)),,FILTER(MoveDex!$Y:$Y,MoveDex!$W:$W=$L$1)) ; if(isna(FILTER(MoveDex!$AC:$AC,MoveDex!$AA:$AA=$L$1)),,FILTER(M"&amp;"oveDex!$AC:$AC,MoveDex!$AA:$AA=$L$1)) ; if(isna(FILTER(MoveDex!$AG:$AG,MoveDex!$AE:$AE=$L$1)),,FILTER(MoveDex!$AG:$AG,MoveDex!$AE:$AE=$L$1)) }"),"Stealth Rock")</f>
        <v>Stealth Rock</v>
      </c>
      <c r="T2" s="777"/>
      <c r="U2" s="777"/>
      <c r="V2" s="777"/>
      <c r="W2" s="777"/>
      <c r="X2" s="777"/>
      <c r="Y2" s="777"/>
      <c r="Z2" s="777"/>
      <c r="AA2" s="777"/>
      <c r="AB2" s="777"/>
      <c r="AC2" s="777"/>
      <c r="AD2" s="777"/>
      <c r="AE2" s="777"/>
    </row>
    <row r="3" customFormat="false" ht="15.75" hidden="false" customHeight="false" outlineLevel="0" collapsed="false">
      <c r="A3" s="765"/>
      <c r="B3" s="765"/>
      <c r="C3" s="765"/>
      <c r="D3" s="765"/>
      <c r="E3" s="772" t="s">
        <v>2043</v>
      </c>
      <c r="F3" s="772"/>
      <c r="G3" s="773" t="s">
        <v>642</v>
      </c>
      <c r="H3" s="773"/>
      <c r="I3" s="773"/>
      <c r="J3" s="773"/>
      <c r="K3" s="773"/>
      <c r="L3" s="773"/>
      <c r="M3" s="773"/>
      <c r="N3" s="773"/>
      <c r="O3" s="44"/>
      <c r="P3" s="44"/>
      <c r="Q3" s="774" t="e">
        <f aca="false">phi!$l$1</f>
        <v>#NAME?</v>
      </c>
      <c r="R3" s="778" t="s">
        <v>105</v>
      </c>
      <c r="S3" s="511" t="s">
        <v>1106</v>
      </c>
      <c r="T3" s="638"/>
      <c r="U3" s="638"/>
      <c r="V3" s="638"/>
      <c r="W3" s="638"/>
      <c r="X3" s="638"/>
      <c r="Y3" s="638"/>
      <c r="Z3" s="638"/>
      <c r="AA3" s="638"/>
      <c r="AB3" s="638"/>
      <c r="AC3" s="638"/>
      <c r="AD3" s="638"/>
      <c r="AE3" s="638"/>
    </row>
    <row r="4" customFormat="false" ht="15.75" hidden="false" customHeight="false" outlineLevel="0" collapsed="false">
      <c r="A4" s="765"/>
      <c r="B4" s="765"/>
      <c r="C4" s="765"/>
      <c r="D4" s="765"/>
      <c r="E4" s="772" t="s">
        <v>2044</v>
      </c>
      <c r="F4" s="772"/>
      <c r="G4" s="773" t="s">
        <v>2045</v>
      </c>
      <c r="H4" s="773"/>
      <c r="I4" s="773"/>
      <c r="J4" s="773"/>
      <c r="K4" s="773"/>
      <c r="L4" s="773"/>
      <c r="M4" s="773"/>
      <c r="N4" s="773"/>
      <c r="O4" s="44"/>
      <c r="P4" s="44"/>
      <c r="Q4" s="774" t="e">
        <f aca="false">stl!$l$1</f>
        <v>#NAME?</v>
      </c>
      <c r="R4" s="778" t="s">
        <v>94</v>
      </c>
      <c r="S4" s="511" t="s">
        <v>1106</v>
      </c>
      <c r="T4" s="638"/>
      <c r="U4" s="638"/>
      <c r="V4" s="638"/>
      <c r="W4" s="638"/>
      <c r="X4" s="638"/>
      <c r="Y4" s="638"/>
      <c r="Z4" s="638"/>
      <c r="AA4" s="638"/>
      <c r="AB4" s="638"/>
      <c r="AC4" s="638"/>
      <c r="AD4" s="638"/>
      <c r="AE4" s="638"/>
    </row>
    <row r="5" customFormat="false" ht="15.75" hidden="false" customHeight="false" outlineLevel="0" collapsed="false">
      <c r="A5" s="765"/>
      <c r="B5" s="765"/>
      <c r="C5" s="765"/>
      <c r="D5" s="765"/>
      <c r="E5" s="772" t="s">
        <v>2046</v>
      </c>
      <c r="F5" s="772"/>
      <c r="G5" s="773" t="s">
        <v>2099</v>
      </c>
      <c r="H5" s="773"/>
      <c r="I5" s="773"/>
      <c r="J5" s="773"/>
      <c r="K5" s="773"/>
      <c r="L5" s="773"/>
      <c r="M5" s="773"/>
      <c r="N5" s="773"/>
      <c r="O5" s="44"/>
      <c r="P5" s="44"/>
      <c r="Q5" s="779" t="e">
        <f aca="false">bor!$l$1</f>
        <v>#NAME?</v>
      </c>
      <c r="R5" s="778" t="s">
        <v>248</v>
      </c>
      <c r="S5" s="511" t="s">
        <v>1106</v>
      </c>
      <c r="T5" s="638"/>
      <c r="U5" s="638"/>
      <c r="V5" s="638"/>
      <c r="W5" s="638"/>
      <c r="X5" s="638"/>
      <c r="Y5" s="638"/>
      <c r="Z5" s="638"/>
      <c r="AA5" s="638"/>
      <c r="AB5" s="638"/>
      <c r="AC5" s="638"/>
      <c r="AD5" s="638"/>
      <c r="AE5" s="638"/>
    </row>
    <row r="6" customFormat="false" ht="15.75" hidden="false" customHeight="false" outlineLevel="0" collapsed="false">
      <c r="A6" s="765"/>
      <c r="B6" s="765"/>
      <c r="C6" s="765"/>
      <c r="D6" s="765"/>
      <c r="E6" s="772" t="s">
        <v>2048</v>
      </c>
      <c r="F6" s="772"/>
      <c r="G6" s="773" t="s">
        <v>2049</v>
      </c>
      <c r="H6" s="773"/>
      <c r="I6" s="773"/>
      <c r="J6" s="773"/>
      <c r="K6" s="773"/>
      <c r="L6" s="773"/>
      <c r="M6" s="773"/>
      <c r="N6" s="773"/>
      <c r="O6" s="44"/>
      <c r="P6" s="44"/>
      <c r="Q6" s="779" t="e">
        <f aca="false">pit!$l$1</f>
        <v>#NAME?</v>
      </c>
      <c r="R6" s="778" t="s">
        <v>24</v>
      </c>
      <c r="S6" s="511" t="s">
        <v>1107</v>
      </c>
      <c r="T6" s="638"/>
      <c r="U6" s="638"/>
      <c r="V6" s="638"/>
      <c r="W6" s="638"/>
      <c r="X6" s="638"/>
      <c r="Y6" s="638"/>
      <c r="Z6" s="638"/>
      <c r="AA6" s="638"/>
      <c r="AB6" s="638"/>
      <c r="AC6" s="638"/>
      <c r="AD6" s="638"/>
      <c r="AE6" s="638"/>
    </row>
    <row r="7" customFormat="false" ht="15.75" hidden="false" customHeight="false" outlineLevel="0" collapsed="false">
      <c r="A7" s="765"/>
      <c r="B7" s="765"/>
      <c r="C7" s="765"/>
      <c r="D7" s="765"/>
      <c r="E7" s="780" t="s">
        <v>2050</v>
      </c>
      <c r="F7" s="780"/>
      <c r="G7" s="781" t="s">
        <v>2100</v>
      </c>
      <c r="H7" s="781"/>
      <c r="I7" s="781"/>
      <c r="J7" s="781"/>
      <c r="K7" s="781"/>
      <c r="L7" s="781"/>
      <c r="M7" s="781"/>
      <c r="N7" s="781"/>
      <c r="O7" s="44"/>
      <c r="P7" s="44"/>
      <c r="Q7" s="779" t="e">
        <f aca="false">sfa!$l$1</f>
        <v>#NAME?</v>
      </c>
      <c r="R7" s="778" t="s">
        <v>24</v>
      </c>
      <c r="S7" s="511" t="s">
        <v>1108</v>
      </c>
      <c r="T7" s="638"/>
      <c r="U7" s="638"/>
      <c r="V7" s="638"/>
      <c r="W7" s="638"/>
      <c r="X7" s="638"/>
      <c r="Y7" s="638"/>
      <c r="Z7" s="638"/>
      <c r="AA7" s="638"/>
      <c r="AB7" s="638"/>
      <c r="AC7" s="638"/>
      <c r="AD7" s="638"/>
      <c r="AE7" s="638"/>
    </row>
    <row r="8" customFormat="false" ht="15.75" hidden="false" customHeight="false" outlineLevel="0" collapsed="false">
      <c r="A8" s="765"/>
      <c r="B8" s="765"/>
      <c r="C8" s="765"/>
      <c r="D8" s="765"/>
      <c r="E8" s="782" t="s">
        <v>2051</v>
      </c>
      <c r="F8" s="783" t="n">
        <f aca="false">COUNTIF(MatchSource!T3:T19, "WIN")</f>
        <v>10</v>
      </c>
      <c r="G8" s="784" t="s">
        <v>2052</v>
      </c>
      <c r="H8" s="785" t="n">
        <f aca="false">COUNTIF(MatchSource!T3:T19, "LOSE")</f>
        <v>3</v>
      </c>
      <c r="I8" s="786" t="s">
        <v>2053</v>
      </c>
      <c r="J8" s="787" t="n">
        <f aca="false">MatchSource!T44</f>
        <v>14</v>
      </c>
      <c r="K8" s="88" t="s">
        <v>2054</v>
      </c>
      <c r="L8" s="788" t="n">
        <f aca="false">COUNTIF(MatchSource!T3:T19, "DNP")</f>
        <v>4</v>
      </c>
      <c r="M8" s="562" t="s">
        <v>2055</v>
      </c>
      <c r="N8" s="789" t="str">
        <f aca="false">MatchSource!T23</f>
        <v>DNP-2</v>
      </c>
      <c r="O8" s="44"/>
      <c r="P8" s="44"/>
      <c r="Q8" s="779" t="e">
        <f aca="false">tbl!$l$1</f>
        <v>#NAME?</v>
      </c>
      <c r="R8" s="790"/>
      <c r="S8" s="791"/>
      <c r="T8" s="792"/>
      <c r="U8" s="792"/>
      <c r="V8" s="792"/>
      <c r="W8" s="792"/>
      <c r="X8" s="792"/>
      <c r="Y8" s="792"/>
      <c r="Z8" s="792"/>
      <c r="AA8" s="792"/>
      <c r="AB8" s="792"/>
      <c r="AC8" s="792"/>
      <c r="AD8" s="792"/>
      <c r="AE8" s="792"/>
    </row>
    <row r="9" customFormat="false" ht="15.75" hidden="false" customHeight="false" outlineLevel="0" collapsed="false">
      <c r="A9" s="793" t="str">
        <f aca="false">$G$1</f>
        <v>Jacksonville Jumpluffs</v>
      </c>
      <c r="B9" s="793"/>
      <c r="C9" s="793"/>
      <c r="D9" s="793"/>
      <c r="E9" s="794" t="s">
        <v>171</v>
      </c>
      <c r="F9" s="795" t="n">
        <v>5</v>
      </c>
      <c r="G9" s="794" t="s">
        <v>172</v>
      </c>
      <c r="H9" s="795" t="n">
        <v>5</v>
      </c>
      <c r="I9" s="796" t="e">
        <f aca="false">CONCATENATE("Currently #",MATCH($G$1,Main!$A$3:$A$6,0)," in Sun/Moon Division")</f>
        <v>#N/A</v>
      </c>
      <c r="J9" s="796"/>
      <c r="K9" s="796"/>
      <c r="L9" s="796"/>
      <c r="M9" s="797" t="s">
        <v>2056</v>
      </c>
      <c r="N9" s="798" t="e">
        <f aca="false" t="array" ref="N9:N9">INDEX(Main!$L$3:$O$11,MATCH($G$1,Main!$M$3:$M$11,0),1)</f>
        <v>#N/A</v>
      </c>
      <c r="O9" s="44"/>
      <c r="P9" s="44"/>
      <c r="Q9" s="799" t="str">
        <f aca="false">BBG!$L$1</f>
        <v>BBG</v>
      </c>
      <c r="R9" s="790"/>
      <c r="S9" s="791"/>
      <c r="T9" s="792"/>
      <c r="U9" s="792"/>
      <c r="V9" s="792"/>
      <c r="W9" s="792"/>
      <c r="X9" s="792"/>
      <c r="Y9" s="792"/>
      <c r="Z9" s="792"/>
      <c r="AA9" s="792"/>
      <c r="AB9" s="792"/>
      <c r="AC9" s="792"/>
      <c r="AD9" s="792"/>
      <c r="AE9" s="792"/>
    </row>
    <row r="10" customFormat="false" ht="15.75" hidden="false" customHeight="false" outlineLevel="0" collapsed="false">
      <c r="A10" s="800" t="s">
        <v>2057</v>
      </c>
      <c r="B10" s="800"/>
      <c r="C10" s="801" t="s">
        <v>2058</v>
      </c>
      <c r="D10" s="801"/>
      <c r="E10" s="801"/>
      <c r="F10" s="801"/>
      <c r="G10" s="801"/>
      <c r="H10" s="801"/>
      <c r="I10" s="801"/>
      <c r="J10" s="802" t="s">
        <v>264</v>
      </c>
      <c r="K10" s="802"/>
      <c r="L10" s="802"/>
      <c r="M10" s="802"/>
      <c r="N10" s="44"/>
      <c r="O10" s="44"/>
      <c r="P10" s="44"/>
      <c r="Q10" s="799" t="str">
        <f aca="false">SEA!$L$1</f>
        <v>SEA</v>
      </c>
      <c r="R10" s="790"/>
      <c r="S10" s="791"/>
      <c r="T10" s="792"/>
      <c r="U10" s="792"/>
      <c r="V10" s="792"/>
      <c r="W10" s="792"/>
      <c r="X10" s="792"/>
      <c r="Y10" s="792"/>
      <c r="Z10" s="792"/>
      <c r="AA10" s="792"/>
      <c r="AB10" s="792"/>
      <c r="AC10" s="792"/>
      <c r="AD10" s="792"/>
    </row>
    <row r="11" customFormat="false" ht="15.75" hidden="false" customHeight="false" outlineLevel="0" collapsed="false">
      <c r="A11" s="800"/>
      <c r="B11" s="800"/>
      <c r="C11" s="803" t="s">
        <v>2059</v>
      </c>
      <c r="D11" s="804" t="s">
        <v>5</v>
      </c>
      <c r="E11" s="805" t="s">
        <v>6</v>
      </c>
      <c r="F11" s="806" t="s">
        <v>170</v>
      </c>
      <c r="G11" s="807" t="s">
        <v>191</v>
      </c>
      <c r="H11" s="808" t="s">
        <v>7</v>
      </c>
      <c r="I11" s="809" t="s">
        <v>2060</v>
      </c>
      <c r="J11" s="810" t="str">
        <f aca="false">DraftRosters!$H$16</f>
        <v>Gallade</v>
      </c>
      <c r="K11" s="810"/>
      <c r="L11" s="810"/>
      <c r="M11" s="810"/>
      <c r="N11" s="44"/>
      <c r="O11" s="44"/>
      <c r="P11" s="44"/>
      <c r="Q11" s="799" t="str">
        <f aca="false">JVJ!$L$1</f>
        <v>JVJ</v>
      </c>
      <c r="R11" s="790"/>
      <c r="S11" s="791"/>
      <c r="T11" s="792"/>
      <c r="U11" s="792"/>
      <c r="V11" s="792"/>
      <c r="W11" s="792"/>
      <c r="X11" s="792"/>
      <c r="Y11" s="792"/>
      <c r="Z11" s="792"/>
      <c r="AA11" s="792"/>
      <c r="AB11" s="792"/>
      <c r="AC11" s="792"/>
      <c r="AD11" s="792"/>
    </row>
    <row r="12" customFormat="false" ht="15.75" hidden="false" customHeight="false" outlineLevel="0" collapsed="false">
      <c r="A12" s="811" t="str">
        <f aca="false">IFERROR(__xludf.dummyfunction("if(isna(filter(DraftRosters!$H$4:$H$14,not(isblank(DraftRosters!$H$4:$H$14)))), ""NONE DRAFTED"", filter(DraftRosters!$H$4:$H$14,not(isblank(DraftRosters!$H$4:$H$14))))"),"Celesteela")</f>
        <v>Celesteela</v>
      </c>
      <c r="B12" s="811"/>
      <c r="C12" s="812" t="str">
        <f aca="false" t="array" ref="C12:C12">IF(ISNA(INDEX(Pokedex!J$2:J$610,MATCH($A12,Pokedex!$B$2:$B$610,0))),"-",INDEX(Pokedex!J$2:J$610,MATCH($A12,Pokedex!$B$2:$B$610,0)))</f>
        <v>Tier 1</v>
      </c>
      <c r="D12" s="813" t="n">
        <f aca="false" t="array" ref="D12:D12">IF(ISNA(INDEX(Pokedex!E$2:E$610,MATCH($A12,Pokedex!$B$2:$B$610,0))),"-",INDEX(Pokedex!E$2:E$610,MATCH($A12,Pokedex!$B$2:$B$610,0)))</f>
        <v>0</v>
      </c>
      <c r="E12" s="813" t="n">
        <f aca="false" t="array" ref="E12:E12">IF(ISNA(INDEX(Pokedex!F$2:F$610,MATCH($A12,Pokedex!$B$2:$B$610,0))),"-",INDEX(Pokedex!F$2:F$610,MATCH($A12,Pokedex!$B$2:$B$610,0)))</f>
        <v>0</v>
      </c>
      <c r="F12" s="814" t="e">
        <f aca="false" t="array" ref="F12:F12">IF(ISNA(INDEX(Pokedex!G$2:G$610,MATCH($A12,Pokedex!$B$2:$B$610,0))),"-",INDEX(Pokedex!G$2:G$610,MATCH($A12,Pokedex!$B$2:$B$610,0)))</f>
        <v>#NAME?</v>
      </c>
      <c r="G12" s="814" t="n">
        <f aca="false" t="array" ref="G12:G12">IF(ISNA(INDEX(Pokedex!H$2:H$610,MATCH($A12,Pokedex!$B$2:$B$610,0))),"-",INDEX(Pokedex!H$2:H$610,MATCH($A12,Pokedex!$B$2:$B$610,0)))</f>
        <v>7</v>
      </c>
      <c r="H12" s="813" t="n">
        <f aca="false" t="array" ref="H12:H12">IF(ISNA(INDEX(Pokedex!I$2:I$610,MATCH($A12,Pokedex!$B$2:$B$610,0))),"-",INDEX(Pokedex!I$2:I$610,MATCH($A12,Pokedex!$B$2:$B$610,0)))</f>
        <v>0</v>
      </c>
      <c r="I12" s="815" t="n">
        <f aca="false" t="array" ref="I12:I12">IF(ISNA(INDEX(ExpandedStats!$A$3:$A$240,MATCH($A12,ExpandedStats!$C$3:$C$240,0))),"-",INDEX(ExpandedStats!$A$3:$A$240,MATCH($A12,ExpandedStats!$C$3:$C$240,0)))</f>
        <v>27</v>
      </c>
      <c r="J12" s="816" t="s">
        <v>2061</v>
      </c>
      <c r="K12" s="816"/>
      <c r="L12" s="816"/>
      <c r="M12" s="816"/>
      <c r="N12" s="44"/>
      <c r="O12" s="44"/>
      <c r="P12" s="44"/>
      <c r="Q12" s="799" t="str">
        <f aca="false">KKS!$L$1</f>
        <v>KKS</v>
      </c>
      <c r="R12" s="790"/>
      <c r="S12" s="791"/>
      <c r="T12" s="792"/>
      <c r="U12" s="792"/>
      <c r="V12" s="792"/>
      <c r="W12" s="792"/>
      <c r="X12" s="792"/>
      <c r="Y12" s="792"/>
      <c r="Z12" s="792"/>
      <c r="AA12" s="792"/>
      <c r="AB12" s="792"/>
      <c r="AC12" s="792"/>
      <c r="AD12" s="792"/>
    </row>
    <row r="13" customFormat="false" ht="15.75" hidden="false" customHeight="false" outlineLevel="0" collapsed="false">
      <c r="A13" s="817" t="s">
        <v>125</v>
      </c>
      <c r="B13" s="817"/>
      <c r="C13" s="818" t="str">
        <f aca="false" t="array" ref="C13:C13">IF(ISNA(INDEX(Pokedex!J$2:J$610,MATCH($A13,Pokedex!$B$2:$B$610,0))),"-",INDEX(Pokedex!J$2:J$610,MATCH($A13,Pokedex!$B$2:$B$610,0)))</f>
        <v>Tier 2</v>
      </c>
      <c r="D13" s="50" t="n">
        <f aca="false" t="array" ref="D13:D13">IF(ISNA(INDEX(Pokedex!E$2:E$610,MATCH($A13,Pokedex!$B$2:$B$610,0))),"-",INDEX(Pokedex!E$2:E$610,MATCH($A13,Pokedex!$B$2:$B$610,0)))</f>
        <v>0</v>
      </c>
      <c r="E13" s="50" t="n">
        <f aca="false" t="array" ref="E13:E13">IF(ISNA(INDEX(Pokedex!F$2:F$610,MATCH($A13,Pokedex!$B$2:$B$610,0))),"-",INDEX(Pokedex!F$2:F$610,MATCH($A13,Pokedex!$B$2:$B$610,0)))</f>
        <v>0</v>
      </c>
      <c r="F13" s="469" t="e">
        <f aca="false" t="array" ref="F13:F13">IF(ISNA(INDEX(Pokedex!G$2:G$610,MATCH($A13,Pokedex!$B$2:$B$610,0))),"-",INDEX(Pokedex!G$2:G$610,MATCH($A13,Pokedex!$B$2:$B$610,0)))</f>
        <v>#NAME?</v>
      </c>
      <c r="G13" s="50" t="n">
        <f aca="false" t="array" ref="G13:G13">IF(ISNA(INDEX(Pokedex!H$2:H$610,MATCH($A13,Pokedex!$B$2:$B$610,0))),"-",INDEX(Pokedex!H$2:H$610,MATCH($A13,Pokedex!$B$2:$B$610,0)))</f>
        <v>1</v>
      </c>
      <c r="H13" s="477" t="n">
        <f aca="false" t="array" ref="H13:H13">IF(ISNA(INDEX(Pokedex!I$2:I$610,MATCH($A13,Pokedex!$B$2:$B$610,0))),"-",INDEX(Pokedex!I$2:I$610,MATCH($A13,Pokedex!$B$2:$B$610,0)))</f>
        <v>0</v>
      </c>
      <c r="I13" s="477" t="n">
        <f aca="false" t="array" ref="I13:I13">IF(ISNA(INDEX(ExpandedStats!$A$3:$A$240,MATCH($A13,ExpandedStats!$C$3:$C$240,0))),"-",INDEX(ExpandedStats!$A$3:$A$240,MATCH($A13,ExpandedStats!$C$3:$C$240,0)))</f>
        <v>69</v>
      </c>
      <c r="J13" s="819" t="str">
        <f aca="false">DraftRosters!$H$18</f>
        <v>Accelgor</v>
      </c>
      <c r="K13" s="819"/>
      <c r="L13" s="819"/>
      <c r="M13" s="819"/>
      <c r="N13" s="44"/>
      <c r="O13" s="44"/>
      <c r="P13" s="44"/>
      <c r="Q13" s="83" t="str">
        <f aca="false">LVC!$L$1</f>
        <v>LVC</v>
      </c>
      <c r="R13" s="820"/>
      <c r="S13" s="821"/>
      <c r="T13" s="792"/>
      <c r="U13" s="792"/>
      <c r="V13" s="792"/>
      <c r="W13" s="792"/>
      <c r="X13" s="792"/>
      <c r="Y13" s="792"/>
      <c r="Z13" s="792"/>
      <c r="AA13" s="792"/>
      <c r="AB13" s="792"/>
      <c r="AC13" s="792"/>
      <c r="AD13" s="792"/>
    </row>
    <row r="14" customFormat="false" ht="15.75" hidden="false" customHeight="false" outlineLevel="0" collapsed="false">
      <c r="A14" s="817" t="s">
        <v>20</v>
      </c>
      <c r="B14" s="817"/>
      <c r="C14" s="818" t="str">
        <f aca="false" t="array" ref="C14:C14">IF(ISNA(INDEX(Pokedex!J$2:J$610,MATCH($A14,Pokedex!$B$2:$B$610,0))),"-",INDEX(Pokedex!J$2:J$610,MATCH($A14,Pokedex!$B$2:$B$610,0)))</f>
        <v>Tier 3</v>
      </c>
      <c r="D14" s="51" t="n">
        <f aca="false" t="array" ref="D14:D14">IF(ISNA(INDEX(Pokedex!E$2:E$610,MATCH($A14,Pokedex!$B$2:$B$610,0))),"-",INDEX(Pokedex!E$2:E$610,MATCH($A14,Pokedex!$B$2:$B$610,0)))</f>
        <v>0</v>
      </c>
      <c r="E14" s="50" t="n">
        <f aca="false" t="array" ref="E14:E14">IF(ISNA(INDEX(Pokedex!F$2:F$610,MATCH($A14,Pokedex!$B$2:$B$610,0))),"-",INDEX(Pokedex!F$2:F$610,MATCH($A14,Pokedex!$B$2:$B$610,0)))</f>
        <v>0</v>
      </c>
      <c r="F14" s="469" t="e">
        <f aca="false" t="array" ref="F14:F14">IF(ISNA(INDEX(Pokedex!G$2:G$610,MATCH($A14,Pokedex!$B$2:$B$610,0))),"-",INDEX(Pokedex!G$2:G$610,MATCH($A14,Pokedex!$B$2:$B$610,0)))</f>
        <v>#NAME?</v>
      </c>
      <c r="G14" s="50" t="n">
        <f aca="false" t="array" ref="G14:G14">IF(ISNA(INDEX(Pokedex!H$2:H$610,MATCH($A14,Pokedex!$B$2:$B$610,0))),"-",INDEX(Pokedex!H$2:H$610,MATCH($A14,Pokedex!$B$2:$B$610,0)))</f>
        <v>4</v>
      </c>
      <c r="H14" s="477" t="n">
        <f aca="false" t="array" ref="H14:H14">IF(ISNA(INDEX(Pokedex!I$2:I$610,MATCH($A14,Pokedex!$B$2:$B$610,0))),"-",INDEX(Pokedex!I$2:I$610,MATCH($A14,Pokedex!$B$2:$B$610,0)))</f>
        <v>0</v>
      </c>
      <c r="I14" s="727" t="n">
        <f aca="false" t="array" ref="I14:I14">IF(ISNA(INDEX(ExpandedStats!$A$3:$A$240,MATCH($A14,ExpandedStats!$C$3:$C$240,0))),"-",INDEX(ExpandedStats!$A$3:$A$240,MATCH($A14,ExpandedStats!$C$3:$C$240,0)))</f>
        <v>41</v>
      </c>
      <c r="J14" s="810" t="str">
        <f aca="false">DraftRosters!$H$19</f>
        <v>Celesteela</v>
      </c>
      <c r="K14" s="810"/>
      <c r="L14" s="810"/>
      <c r="M14" s="810"/>
      <c r="N14" s="44"/>
      <c r="O14" s="44"/>
      <c r="P14" s="44"/>
      <c r="Q14" s="331" t="str">
        <f aca="false">BTB!$L$1</f>
        <v>BTB</v>
      </c>
      <c r="R14" s="822"/>
      <c r="S14" s="792"/>
      <c r="T14" s="792"/>
      <c r="U14" s="792"/>
      <c r="V14" s="792"/>
      <c r="W14" s="792"/>
      <c r="X14" s="792"/>
      <c r="Y14" s="792"/>
      <c r="Z14" s="792"/>
      <c r="AA14" s="792"/>
      <c r="AB14" s="792"/>
      <c r="AC14" s="792"/>
      <c r="AD14" s="792"/>
    </row>
    <row r="15" customFormat="false" ht="15.75" hidden="false" customHeight="false" outlineLevel="0" collapsed="false">
      <c r="A15" s="817" t="s">
        <v>248</v>
      </c>
      <c r="B15" s="817"/>
      <c r="C15" s="818" t="str">
        <f aca="false" t="array" ref="C15:C15">IF(ISNA(INDEX(Pokedex!J$2:J$610,MATCH($A15,Pokedex!$B$2:$B$610,0))),"-",INDEX(Pokedex!J$2:J$610,MATCH($A15,Pokedex!$B$2:$B$610,0)))</f>
        <v>Tier 3</v>
      </c>
      <c r="D15" s="50" t="str">
        <f aca="false" t="array" ref="D15:D15">IF(ISNA(INDEX(Pokedex!E$2:E$610,MATCH($A15,Pokedex!$B$2:$B$610,0))),"-",INDEX(Pokedex!E$2:E$610,MATCH($A15,Pokedex!$B$2:$B$610,0)))</f>
        <v>-</v>
      </c>
      <c r="E15" s="50" t="str">
        <f aca="false" t="array" ref="E15:E15">IF(ISNA(INDEX(Pokedex!F$2:F$610,MATCH($A15,Pokedex!$B$2:$B$610,0))),"-",INDEX(Pokedex!F$2:F$610,MATCH($A15,Pokedex!$B$2:$B$610,0)))</f>
        <v>-</v>
      </c>
      <c r="F15" s="469" t="str">
        <f aca="false" t="array" ref="F15:F15">IF(ISNA(INDEX(Pokedex!G$2:G$610,MATCH($A15,Pokedex!$B$2:$B$610,0))),"-",INDEX(Pokedex!G$2:G$610,MATCH($A15,Pokedex!$B$2:$B$610,0)))</f>
        <v>-</v>
      </c>
      <c r="G15" s="50" t="n">
        <f aca="false" t="array" ref="G15:G15">IF(ISNA(INDEX(Pokedex!H$2:H$610,MATCH($A15,Pokedex!$B$2:$B$610,0))),"-",INDEX(Pokedex!H$2:H$610,MATCH($A15,Pokedex!$B$2:$B$610,0)))</f>
        <v>0</v>
      </c>
      <c r="H15" s="477" t="n">
        <f aca="false" t="array" ref="H15:H15">IF(ISNA(INDEX(Pokedex!I$2:I$610,MATCH($A15,Pokedex!$B$2:$B$610,0))),"-",INDEX(Pokedex!I$2:I$610,MATCH($A15,Pokedex!$B$2:$B$610,0)))</f>
        <v>0</v>
      </c>
      <c r="I15" s="50" t="str">
        <f aca="false" t="array" ref="I15:I15">IF(ISNA(INDEX(ExpandedStats!$A$3:$A$240,MATCH($A15,ExpandedStats!$C$3:$C$240,0))),"-",INDEX(ExpandedStats!$A$3:$A$240,MATCH($A15,ExpandedStats!$C$3:$C$240,0)))</f>
        <v>-</v>
      </c>
      <c r="J15" s="823"/>
      <c r="K15" s="111"/>
      <c r="L15" s="111"/>
      <c r="M15" s="111"/>
      <c r="N15" s="44"/>
      <c r="O15" s="44"/>
      <c r="P15" s="44"/>
      <c r="Q15" s="331" t="str">
        <f aca="false">SGP!$L$1</f>
        <v>SGP</v>
      </c>
      <c r="R15" s="822"/>
      <c r="S15" s="792"/>
      <c r="T15" s="792"/>
      <c r="U15" s="792"/>
      <c r="V15" s="792"/>
      <c r="W15" s="792"/>
      <c r="X15" s="792"/>
      <c r="Y15" s="792"/>
      <c r="Z15" s="792"/>
      <c r="AA15" s="792"/>
      <c r="AB15" s="792"/>
      <c r="AC15" s="792"/>
      <c r="AD15" s="792"/>
    </row>
    <row r="16" customFormat="false" ht="15.75" hidden="false" customHeight="false" outlineLevel="0" collapsed="false">
      <c r="A16" s="817" t="s">
        <v>24</v>
      </c>
      <c r="B16" s="817"/>
      <c r="C16" s="818" t="str">
        <f aca="false" t="array" ref="C16:C16">IF(ISNA(INDEX(Pokedex!J$2:J$610,MATCH($A16,Pokedex!$B$2:$B$610,0))),"-",INDEX(Pokedex!J$2:J$610,MATCH($A16,Pokedex!$B$2:$B$610,0)))</f>
        <v>Tier 4</v>
      </c>
      <c r="D16" s="51" t="n">
        <f aca="false" t="array" ref="D16:D16">IF(ISNA(INDEX(Pokedex!E$2:E$610,MATCH($A16,Pokedex!$B$2:$B$610,0))),"-",INDEX(Pokedex!E$2:E$610,MATCH($A16,Pokedex!$B$2:$B$610,0)))</f>
        <v>0</v>
      </c>
      <c r="E16" s="50" t="n">
        <f aca="false" t="array" ref="E16:E16">IF(ISNA(INDEX(Pokedex!F$2:F$610,MATCH($A16,Pokedex!$B$2:$B$610,0))),"-",INDEX(Pokedex!F$2:F$610,MATCH($A16,Pokedex!$B$2:$B$610,0)))</f>
        <v>0</v>
      </c>
      <c r="F16" s="469" t="e">
        <f aca="false" t="array" ref="F16:F16">IF(ISNA(INDEX(Pokedex!G$2:G$610,MATCH($A16,Pokedex!$B$2:$B$610,0))),"-",INDEX(Pokedex!G$2:G$610,MATCH($A16,Pokedex!$B$2:$B$610,0)))</f>
        <v>#NAME?</v>
      </c>
      <c r="G16" s="50" t="n">
        <f aca="false" t="array" ref="G16:G16">IF(ISNA(INDEX(Pokedex!H$2:H$610,MATCH($A16,Pokedex!$B$2:$B$610,0))),"-",INDEX(Pokedex!H$2:H$610,MATCH($A16,Pokedex!$B$2:$B$610,0)))</f>
        <v>2</v>
      </c>
      <c r="H16" s="477" t="n">
        <f aca="false" t="array" ref="H16:H16">IF(ISNA(INDEX(Pokedex!I$2:I$610,MATCH($A16,Pokedex!$B$2:$B$610,0))),"-",INDEX(Pokedex!I$2:I$610,MATCH($A16,Pokedex!$B$2:$B$610,0)))</f>
        <v>0</v>
      </c>
      <c r="I16" s="51" t="n">
        <f aca="false" t="array" ref="I16:I16">IF(ISNA(INDEX(ExpandedStats!$A$3:$A$240,MATCH($A16,ExpandedStats!$C$3:$C$240,0))),"-",INDEX(ExpandedStats!$A$3:$A$240,MATCH($A16,ExpandedStats!$C$3:$C$240,0)))</f>
        <v>52</v>
      </c>
      <c r="J16" s="823"/>
      <c r="K16" s="111"/>
      <c r="L16" s="111"/>
      <c r="M16" s="111"/>
      <c r="N16" s="44"/>
      <c r="O16" s="44"/>
      <c r="P16" s="44"/>
      <c r="Q16" s="340" t="str">
        <f aca="false">FTT!$L$1</f>
        <v>FTT</v>
      </c>
      <c r="R16" s="822"/>
      <c r="S16" s="792"/>
      <c r="T16" s="792"/>
      <c r="U16" s="792"/>
      <c r="V16" s="792"/>
      <c r="W16" s="792"/>
      <c r="X16" s="792"/>
      <c r="Y16" s="792"/>
      <c r="Z16" s="792"/>
      <c r="AA16" s="792"/>
      <c r="AB16" s="792"/>
      <c r="AC16" s="792"/>
      <c r="AD16" s="792"/>
    </row>
    <row r="17" customFormat="false" ht="15.75" hidden="false" customHeight="false" outlineLevel="0" collapsed="false">
      <c r="A17" s="817" t="s">
        <v>105</v>
      </c>
      <c r="B17" s="817"/>
      <c r="C17" s="818" t="str">
        <f aca="false" t="array" ref="C17:C17">IF(ISNA(INDEX(Pokedex!J$2:J$610,MATCH($A17,Pokedex!$B$2:$B$610,0))),"-",INDEX(Pokedex!J$2:J$610,MATCH($A17,Pokedex!$B$2:$B$610,0)))</f>
        <v>Tier 5</v>
      </c>
      <c r="D17" s="50" t="n">
        <f aca="false" t="array" ref="D17:D17">IF(ISNA(INDEX(Pokedex!E$2:E$610,MATCH($A17,Pokedex!$B$2:$B$610,0))),"-",INDEX(Pokedex!E$2:E$610,MATCH($A17,Pokedex!$B$2:$B$610,0)))</f>
        <v>0</v>
      </c>
      <c r="E17" s="50" t="n">
        <f aca="false" t="array" ref="E17:E17">IF(ISNA(INDEX(Pokedex!F$2:F$610,MATCH($A17,Pokedex!$B$2:$B$610,0))),"-",INDEX(Pokedex!F$2:F$610,MATCH($A17,Pokedex!$B$2:$B$610,0)))</f>
        <v>0</v>
      </c>
      <c r="F17" s="469" t="e">
        <f aca="false" t="array" ref="F17:F17">IF(ISNA(INDEX(Pokedex!G$2:G$610,MATCH($A17,Pokedex!$B$2:$B$610,0))),"-",INDEX(Pokedex!G$2:G$610,MATCH($A17,Pokedex!$B$2:$B$610,0)))</f>
        <v>#NAME?</v>
      </c>
      <c r="G17" s="50" t="n">
        <f aca="false" t="array" ref="G17:G17">IF(ISNA(INDEX(Pokedex!H$2:H$610,MATCH($A17,Pokedex!$B$2:$B$610,0))),"-",INDEX(Pokedex!H$2:H$610,MATCH($A17,Pokedex!$B$2:$B$610,0)))</f>
        <v>2</v>
      </c>
      <c r="H17" s="477" t="n">
        <f aca="false" t="array" ref="H17:H17">IF(ISNA(INDEX(Pokedex!I$2:I$610,MATCH($A17,Pokedex!$B$2:$B$610,0))),"-",INDEX(Pokedex!I$2:I$610,MATCH($A17,Pokedex!$B$2:$B$610,0)))</f>
        <v>0</v>
      </c>
      <c r="I17" s="50" t="n">
        <f aca="false" t="array" ref="I17:I17">IF(ISNA(INDEX(ExpandedStats!$A$3:$A$240,MATCH($A17,ExpandedStats!$C$3:$C$240,0))),"-",INDEX(ExpandedStats!$A$3:$A$240,MATCH($A17,ExpandedStats!$C$3:$C$240,0)))</f>
        <v>71</v>
      </c>
      <c r="J17" s="823"/>
      <c r="K17" s="111"/>
      <c r="L17" s="111"/>
      <c r="M17" s="111"/>
      <c r="N17" s="44"/>
      <c r="O17" s="44"/>
      <c r="P17" s="44"/>
      <c r="Q17" s="93"/>
      <c r="R17" s="824"/>
      <c r="S17" s="638"/>
      <c r="T17" s="638"/>
      <c r="U17" s="638"/>
      <c r="V17" s="638"/>
      <c r="W17" s="638"/>
      <c r="X17" s="638"/>
      <c r="Y17" s="638"/>
      <c r="Z17" s="638"/>
      <c r="AA17" s="638"/>
      <c r="AB17" s="638"/>
      <c r="AC17" s="638"/>
      <c r="AD17" s="638"/>
    </row>
    <row r="18" customFormat="false" ht="15.75" hidden="false" customHeight="false" outlineLevel="0" collapsed="false">
      <c r="A18" s="817" t="s">
        <v>32</v>
      </c>
      <c r="B18" s="817"/>
      <c r="C18" s="818" t="str">
        <f aca="false" t="array" ref="C18:C18">IF(ISNA(INDEX(Pokedex!J$2:J$610,MATCH($A18,Pokedex!$B$2:$B$610,0))),"-",INDEX(Pokedex!J$2:J$610,MATCH($A18,Pokedex!$B$2:$B$610,0)))</f>
        <v>M2</v>
      </c>
      <c r="D18" s="51" t="n">
        <f aca="false" t="array" ref="D18:D18">IF(ISNA(INDEX(Pokedex!E$2:E$610,MATCH($A18,Pokedex!$B$2:$B$610,0))),"-",INDEX(Pokedex!E$2:E$610,MATCH($A18,Pokedex!$B$2:$B$610,0)))</f>
        <v>0</v>
      </c>
      <c r="E18" s="50" t="n">
        <f aca="false" t="array" ref="E18:E18">IF(ISNA(INDEX(Pokedex!F$2:F$610,MATCH($A18,Pokedex!$B$2:$B$610,0))),"-",INDEX(Pokedex!F$2:F$610,MATCH($A18,Pokedex!$B$2:$B$610,0)))</f>
        <v>0</v>
      </c>
      <c r="F18" s="469" t="e">
        <f aca="false" t="array" ref="F18:F18">IF(ISNA(INDEX(Pokedex!G$2:G$610,MATCH($A18,Pokedex!$B$2:$B$610,0))),"-",INDEX(Pokedex!G$2:G$610,MATCH($A18,Pokedex!$B$2:$B$610,0)))</f>
        <v>#NAME?</v>
      </c>
      <c r="G18" s="50" t="n">
        <f aca="false" t="array" ref="G18:G18">IF(ISNA(INDEX(Pokedex!H$2:H$610,MATCH($A18,Pokedex!$B$2:$B$610,0))),"-",INDEX(Pokedex!H$2:H$610,MATCH($A18,Pokedex!$B$2:$B$610,0)))</f>
        <v>6</v>
      </c>
      <c r="H18" s="477" t="n">
        <f aca="false" t="array" ref="H18:H18">IF(ISNA(INDEX(Pokedex!I$2:I$610,MATCH($A18,Pokedex!$B$2:$B$610,0))),"-",INDEX(Pokedex!I$2:I$610,MATCH($A18,Pokedex!$B$2:$B$610,0)))</f>
        <v>0</v>
      </c>
      <c r="I18" s="51" t="n">
        <f aca="false" t="array" ref="I18:I18">IF(ISNA(INDEX(ExpandedStats!$A$3:$A$240,MATCH($A18,ExpandedStats!$C$3:$C$240,0))),"-",INDEX(ExpandedStats!$A$3:$A$240,MATCH($A18,ExpandedStats!$C$3:$C$240,0)))</f>
        <v>8</v>
      </c>
      <c r="J18" s="823"/>
      <c r="K18" s="111"/>
      <c r="L18" s="111"/>
      <c r="M18" s="111"/>
      <c r="N18" s="44"/>
      <c r="O18" s="44"/>
      <c r="P18" s="44"/>
      <c r="Q18" s="93"/>
      <c r="T18" s="825"/>
      <c r="U18" s="825"/>
      <c r="V18" s="825"/>
      <c r="W18" s="825"/>
      <c r="X18" s="825"/>
      <c r="Y18" s="825"/>
      <c r="Z18" s="825"/>
      <c r="AA18" s="825"/>
      <c r="AB18" s="825"/>
      <c r="AC18" s="825"/>
      <c r="AD18" s="825"/>
    </row>
    <row r="19" customFormat="false" ht="15.75" hidden="false" customHeight="false" outlineLevel="0" collapsed="false">
      <c r="A19" s="817" t="s">
        <v>94</v>
      </c>
      <c r="B19" s="817"/>
      <c r="C19" s="818" t="str">
        <f aca="false" t="array" ref="C19:C19">IF(ISNA(INDEX(Pokedex!J$2:J$610,MATCH($A19,Pokedex!$B$2:$B$610,0))),"-",INDEX(Pokedex!J$2:J$610,MATCH($A19,Pokedex!$B$2:$B$610,0)))</f>
        <v>Tier 3</v>
      </c>
      <c r="D19" s="50" t="n">
        <f aca="false" t="array" ref="D19:D19">IF(ISNA(INDEX(Pokedex!E$2:E$610,MATCH($A19,Pokedex!$B$2:$B$610,0))),"-",INDEX(Pokedex!E$2:E$610,MATCH($A19,Pokedex!$B$2:$B$610,0)))</f>
        <v>0</v>
      </c>
      <c r="E19" s="50" t="n">
        <f aca="false" t="array" ref="E19:E19">IF(ISNA(INDEX(Pokedex!F$2:F$610,MATCH($A19,Pokedex!$B$2:$B$610,0))),"-",INDEX(Pokedex!F$2:F$610,MATCH($A19,Pokedex!$B$2:$B$610,0)))</f>
        <v>0</v>
      </c>
      <c r="F19" s="469" t="e">
        <f aca="false" t="array" ref="F19:F19">IF(ISNA(INDEX(Pokedex!G$2:G$610,MATCH($A19,Pokedex!$B$2:$B$610,0))),"-",INDEX(Pokedex!G$2:G$610,MATCH($A19,Pokedex!$B$2:$B$610,0)))</f>
        <v>#NAME?</v>
      </c>
      <c r="G19" s="50" t="n">
        <f aca="false" t="array" ref="G19:G19">IF(ISNA(INDEX(Pokedex!H$2:H$610,MATCH($A19,Pokedex!$B$2:$B$610,0))),"-",INDEX(Pokedex!H$2:H$610,MATCH($A19,Pokedex!$B$2:$B$610,0)))</f>
        <v>7</v>
      </c>
      <c r="H19" s="477" t="n">
        <f aca="false" t="array" ref="H19:H19">IF(ISNA(INDEX(Pokedex!I$2:I$610,MATCH($A19,Pokedex!$B$2:$B$610,0))),"-",INDEX(Pokedex!I$2:I$610,MATCH($A19,Pokedex!$B$2:$B$610,0)))</f>
        <v>0</v>
      </c>
      <c r="I19" s="50" t="n">
        <f aca="false" t="array" ref="I19:I19">IF(ISNA(INDEX(ExpandedStats!$A$3:$A$240,MATCH($A19,ExpandedStats!$C$3:$C$240,0))),"-",INDEX(ExpandedStats!$A$3:$A$240,MATCH($A19,ExpandedStats!$C$3:$C$240,0)))</f>
        <v>2</v>
      </c>
      <c r="J19" s="823"/>
      <c r="K19" s="111"/>
      <c r="L19" s="111"/>
      <c r="M19" s="111"/>
      <c r="N19" s="44"/>
      <c r="O19" s="44"/>
      <c r="P19" s="44"/>
      <c r="Q19" s="93"/>
      <c r="R19" s="341" t="s">
        <v>2062</v>
      </c>
      <c r="S19" s="341"/>
      <c r="T19" s="771"/>
      <c r="U19" s="771"/>
      <c r="V19" s="771"/>
      <c r="W19" s="771"/>
      <c r="X19" s="771"/>
      <c r="Y19" s="771"/>
      <c r="Z19" s="771"/>
      <c r="AA19" s="771"/>
      <c r="AB19" s="771"/>
      <c r="AC19" s="771"/>
      <c r="AD19" s="771"/>
    </row>
    <row r="20" customFormat="false" ht="15.75" hidden="false" customHeight="false" outlineLevel="0" collapsed="false">
      <c r="A20" s="817" t="s">
        <v>106</v>
      </c>
      <c r="B20" s="817"/>
      <c r="C20" s="818" t="str">
        <f aca="false" t="array" ref="C20:C20">IF(ISNA(INDEX(Pokedex!J$2:J$610,MATCH($A20,Pokedex!$B$2:$B$610,0))),"-",INDEX(Pokedex!J$2:J$610,MATCH($A20,Pokedex!$B$2:$B$610,0)))</f>
        <v>Tier 3</v>
      </c>
      <c r="D20" s="51" t="n">
        <f aca="false" t="array" ref="D20:D20">IF(ISNA(INDEX(Pokedex!E$2:E$610,MATCH($A20,Pokedex!$B$2:$B$610,0))),"-",INDEX(Pokedex!E$2:E$610,MATCH($A20,Pokedex!$B$2:$B$610,0)))</f>
        <v>0</v>
      </c>
      <c r="E20" s="50" t="n">
        <f aca="false" t="array" ref="E20:E20">IF(ISNA(INDEX(Pokedex!F$2:F$610,MATCH($A20,Pokedex!$B$2:$B$610,0))),"-",INDEX(Pokedex!F$2:F$610,MATCH($A20,Pokedex!$B$2:$B$610,0)))</f>
        <v>0</v>
      </c>
      <c r="F20" s="469" t="e">
        <f aca="false" t="array" ref="F20:F20">IF(ISNA(INDEX(Pokedex!G$2:G$610,MATCH($A20,Pokedex!$B$2:$B$610,0))),"-",INDEX(Pokedex!G$2:G$610,MATCH($A20,Pokedex!$B$2:$B$610,0)))</f>
        <v>#NAME?</v>
      </c>
      <c r="G20" s="50" t="n">
        <f aca="false" t="array" ref="G20:G20">IF(ISNA(INDEX(Pokedex!H$2:H$610,MATCH($A20,Pokedex!$B$2:$B$610,0))),"-",INDEX(Pokedex!H$2:H$610,MATCH($A20,Pokedex!$B$2:$B$610,0)))</f>
        <v>4</v>
      </c>
      <c r="H20" s="477" t="n">
        <f aca="false" t="array" ref="H20:H20">IF(ISNA(INDEX(Pokedex!I$2:I$610,MATCH($A20,Pokedex!$B$2:$B$610,0))),"-",INDEX(Pokedex!I$2:I$610,MATCH($A20,Pokedex!$B$2:$B$610,0)))</f>
        <v>0</v>
      </c>
      <c r="I20" s="727" t="n">
        <f aca="false" t="array" ref="I20:I20">IF(ISNA(INDEX(ExpandedStats!$A$3:$A$240,MATCH($A20,ExpandedStats!$C$3:$C$240,0))),"-",INDEX(ExpandedStats!$A$3:$A$240,MATCH($A20,ExpandedStats!$C$3:$C$240,0)))</f>
        <v>19</v>
      </c>
      <c r="K20" s="44"/>
      <c r="L20" s="44"/>
      <c r="M20" s="44"/>
      <c r="N20" s="44"/>
      <c r="O20" s="44"/>
      <c r="P20" s="44"/>
      <c r="Q20" s="93"/>
      <c r="R20" s="386" t="str">
        <f aca="false">IFERROR(__xludf.dummyfunction("{ if(isna(FILTER(MoveDex!$AJ:$AJ,MoveDex!$AI:$AI=$L$1)),,FILTER(MoveDex!$AJ:$AJ,MoveDex!$AI:$AI=$L$1)) ; if(isna(FILTER(MoveDex!$AN:$AN,MoveDex!$AM:$AM=$L$1)),,FILTER(MoveDex!$AN:$AN,MoveDex!$AM:$AM=$L$1)) }"),"Aerodactyl-Mega")</f>
        <v>Aerodactyl-Mega</v>
      </c>
      <c r="S20" s="386" t="str">
        <f aca="false">IFERROR(__xludf.dummyfunction("{ if(isna(FILTER(MoveDex!$AK:$AK,MoveDex!$AI:$AI=$L$1)),,FILTER(MoveDex!$AK:$AK,MoveDex!$AI:$AI=$L$1)) ; if(isna(FILTER(MoveDex!$AO:$AO,MoveDex!$AM:$AM=$L$1)),,FILTER(MoveDex!$AO:$AO,MoveDex!$AM:$AM=$L$1)) }"),"Defog")</f>
        <v>Defog</v>
      </c>
      <c r="T20" s="825"/>
      <c r="U20" s="825"/>
      <c r="V20" s="825"/>
      <c r="W20" s="825"/>
      <c r="X20" s="825"/>
      <c r="Y20" s="825"/>
      <c r="Z20" s="825"/>
      <c r="AA20" s="825"/>
      <c r="AB20" s="825"/>
      <c r="AC20" s="825"/>
      <c r="AD20" s="825"/>
    </row>
    <row r="21" customFormat="false" ht="15.75" hidden="false" customHeight="false" outlineLevel="0" collapsed="false">
      <c r="A21" s="817" t="s">
        <v>258</v>
      </c>
      <c r="B21" s="817"/>
      <c r="C21" s="818" t="str">
        <f aca="false" t="array" ref="C21:C21">IF(ISNA(INDEX(Pokedex!J$2:J$610,MATCH($A21,Pokedex!$B$2:$B$610,0))),"-",INDEX(Pokedex!J$2:J$610,MATCH($A21,Pokedex!$B$2:$B$610,0)))</f>
        <v>Tier 4</v>
      </c>
      <c r="D21" s="50" t="str">
        <f aca="false" t="array" ref="D21:D21">IF(ISNA(INDEX(Pokedex!E$2:E$610,MATCH($A21,Pokedex!$B$2:$B$610,0))),"-",INDEX(Pokedex!E$2:E$610,MATCH($A21,Pokedex!$B$2:$B$610,0)))</f>
        <v>-</v>
      </c>
      <c r="E21" s="50" t="str">
        <f aca="false" t="array" ref="E21:E21">IF(ISNA(INDEX(Pokedex!F$2:F$610,MATCH($A21,Pokedex!$B$2:$B$610,0))),"-",INDEX(Pokedex!F$2:F$610,MATCH($A21,Pokedex!$B$2:$B$610,0)))</f>
        <v>-</v>
      </c>
      <c r="F21" s="469" t="str">
        <f aca="false" t="array" ref="F21:F21">IF(ISNA(INDEX(Pokedex!G$2:G$610,MATCH($A21,Pokedex!$B$2:$B$610,0))),"-",INDEX(Pokedex!G$2:G$610,MATCH($A21,Pokedex!$B$2:$B$610,0)))</f>
        <v>-</v>
      </c>
      <c r="G21" s="50" t="n">
        <f aca="false" t="array" ref="G21:G21">IF(ISNA(INDEX(Pokedex!H$2:H$610,MATCH($A21,Pokedex!$B$2:$B$610,0))),"-",INDEX(Pokedex!H$2:H$610,MATCH($A21,Pokedex!$B$2:$B$610,0)))</f>
        <v>0</v>
      </c>
      <c r="H21" s="477" t="n">
        <f aca="false" t="array" ref="H21:H21">IF(ISNA(INDEX(Pokedex!I$2:I$610,MATCH($A21,Pokedex!$B$2:$B$610,0))),"-",INDEX(Pokedex!I$2:I$610,MATCH($A21,Pokedex!$B$2:$B$610,0)))</f>
        <v>0</v>
      </c>
      <c r="I21" s="50" t="str">
        <f aca="false" t="array" ref="I21:I21">IF(ISNA(INDEX(ExpandedStats!$A$3:$A$240,MATCH($A21,ExpandedStats!$C$3:$C$240,0))),"-",INDEX(ExpandedStats!$A$3:$A$240,MATCH($A21,ExpandedStats!$C$3:$C$240,0)))</f>
        <v>-</v>
      </c>
      <c r="J21" s="823"/>
      <c r="K21" s="111"/>
      <c r="L21" s="111"/>
      <c r="M21" s="111"/>
      <c r="N21" s="44"/>
      <c r="O21" s="44"/>
      <c r="P21" s="44"/>
      <c r="Q21" s="93"/>
      <c r="R21" s="778" t="s">
        <v>125</v>
      </c>
      <c r="S21" s="511" t="s">
        <v>1110</v>
      </c>
      <c r="T21" s="638"/>
      <c r="U21" s="638"/>
      <c r="V21" s="638"/>
      <c r="W21" s="638"/>
      <c r="X21" s="638"/>
      <c r="Y21" s="638"/>
      <c r="Z21" s="638"/>
      <c r="AA21" s="638"/>
      <c r="AB21" s="638"/>
      <c r="AC21" s="638"/>
      <c r="AD21" s="638"/>
    </row>
    <row r="22" customFormat="false" ht="15.75" hidden="false" customHeight="false" outlineLevel="0" collapsed="false">
      <c r="A22" s="826" t="s">
        <v>28</v>
      </c>
      <c r="B22" s="936"/>
      <c r="C22" s="827" t="str">
        <f aca="false" t="array" ref="C22:C22">IF(ISNA(INDEX(Pokedex!J$2:J$610,MATCH($A22,Pokedex!$B$2:$B$610,0))),"-",INDEX(Pokedex!J$2:J$610,MATCH($A22,Pokedex!$B$2:$B$610,0)))</f>
        <v>Tier 4</v>
      </c>
      <c r="D22" s="828" t="n">
        <f aca="false" t="array" ref="D22:D22">IF(ISNA(INDEX(Pokedex!E$2:E$610,MATCH($A22,Pokedex!$B$2:$B$610,0))),"-",INDEX(Pokedex!E$2:E$610,MATCH($A22,Pokedex!$B$2:$B$610,0)))</f>
        <v>0</v>
      </c>
      <c r="E22" s="50" t="n">
        <f aca="false" t="array" ref="E22:E22">IF(ISNA(INDEX(Pokedex!F$2:F$610,MATCH($A22,Pokedex!$B$2:$B$610,0))),"-",INDEX(Pokedex!F$2:F$610,MATCH($A22,Pokedex!$B$2:$B$610,0)))</f>
        <v>0</v>
      </c>
      <c r="F22" s="829" t="e">
        <f aca="false" t="array" ref="F22:F22">IF(ISNA(INDEX(Pokedex!G$2:G$610,MATCH($A22,Pokedex!$B$2:$B$610,0))),"-",INDEX(Pokedex!G$2:G$610,MATCH($A22,Pokedex!$B$2:$B$610,0)))</f>
        <v>#NAME?</v>
      </c>
      <c r="G22" s="830" t="n">
        <f aca="false" t="array" ref="G22:G22">IF(ISNA(INDEX(Pokedex!H$2:H$610,MATCH($A22,Pokedex!$B$2:$B$610,0))),"-",INDEX(Pokedex!H$2:H$610,MATCH($A22,Pokedex!$B$2:$B$610,0)))</f>
        <v>7</v>
      </c>
      <c r="H22" s="831" t="n">
        <f aca="false" t="array" ref="H22:H22">IF(ISNA(INDEX(Pokedex!I$2:I$610,MATCH($A22,Pokedex!$B$2:$B$610,0))),"-",INDEX(Pokedex!I$2:I$610,MATCH($A22,Pokedex!$B$2:$B$610,0)))</f>
        <v>0</v>
      </c>
      <c r="I22" s="828" t="n">
        <f aca="false" t="array" ref="I22:I22">IF(ISNA(INDEX(ExpandedStats!$A$3:$A$240,MATCH($A22,ExpandedStats!$C$3:$C$240,0))),"-",INDEX(ExpandedStats!$A$3:$A$240,MATCH($A22,ExpandedStats!$C$3:$C$240,0)))</f>
        <v>21</v>
      </c>
      <c r="J22" s="823"/>
      <c r="K22" s="111"/>
      <c r="L22" s="111"/>
      <c r="M22" s="111"/>
      <c r="N22" s="44"/>
      <c r="O22" s="44"/>
      <c r="P22" s="44"/>
      <c r="Q22" s="93"/>
      <c r="R22" s="778" t="s">
        <v>258</v>
      </c>
      <c r="S22" s="511" t="s">
        <v>1110</v>
      </c>
      <c r="T22" s="638"/>
      <c r="U22" s="638"/>
      <c r="V22" s="638"/>
      <c r="W22" s="638"/>
      <c r="X22" s="638"/>
      <c r="Y22" s="638"/>
      <c r="Z22" s="638"/>
      <c r="AA22" s="638"/>
      <c r="AB22" s="638"/>
      <c r="AC22" s="638"/>
      <c r="AD22" s="638"/>
    </row>
    <row r="23" customFormat="false" ht="15.75" hidden="false" customHeight="false" outlineLevel="0" collapsed="false">
      <c r="A23" s="832" t="s">
        <v>2063</v>
      </c>
      <c r="B23" s="832"/>
      <c r="C23" s="832"/>
      <c r="D23" s="833" t="n">
        <f aca="false">SUM(D12:D22)</f>
        <v>0</v>
      </c>
      <c r="E23" s="834" t="n">
        <f aca="false">SUM(E12:E22)</f>
        <v>0</v>
      </c>
      <c r="F23" s="111"/>
      <c r="G23" s="111"/>
      <c r="H23" s="111"/>
      <c r="I23" s="111"/>
      <c r="J23" s="111"/>
      <c r="K23" s="111"/>
      <c r="L23" s="111"/>
      <c r="M23" s="111"/>
      <c r="N23" s="44"/>
      <c r="O23" s="44"/>
      <c r="P23" s="44"/>
      <c r="Q23" s="44"/>
      <c r="R23" s="778"/>
      <c r="S23" s="511"/>
      <c r="T23" s="638"/>
      <c r="U23" s="638"/>
      <c r="V23" s="638"/>
      <c r="W23" s="638"/>
      <c r="X23" s="638"/>
      <c r="Y23" s="638"/>
      <c r="Z23" s="638"/>
      <c r="AA23" s="638"/>
      <c r="AB23" s="638"/>
      <c r="AC23" s="638"/>
      <c r="AD23" s="638"/>
    </row>
    <row r="24" customFormat="false" ht="15.75" hidden="false" customHeight="false" outlineLevel="0" collapsed="false">
      <c r="A24" s="400"/>
      <c r="B24" s="400"/>
      <c r="C24" s="400"/>
      <c r="D24" s="835"/>
      <c r="E24" s="835"/>
      <c r="F24" s="111"/>
      <c r="G24" s="111"/>
      <c r="H24" s="111"/>
      <c r="I24" s="111"/>
      <c r="J24" s="111"/>
      <c r="K24" s="111"/>
      <c r="L24" s="111"/>
      <c r="M24" s="111"/>
      <c r="N24" s="44"/>
      <c r="O24" s="44"/>
      <c r="P24" s="44"/>
      <c r="Q24" s="44"/>
      <c r="R24" s="778"/>
      <c r="S24" s="511"/>
      <c r="T24" s="638"/>
      <c r="U24" s="638"/>
      <c r="V24" s="638"/>
      <c r="W24" s="638"/>
      <c r="X24" s="638"/>
      <c r="Y24" s="638"/>
      <c r="Z24" s="638"/>
      <c r="AA24" s="638"/>
      <c r="AB24" s="638"/>
      <c r="AC24" s="638"/>
      <c r="AD24" s="638"/>
    </row>
    <row r="25" customFormat="false" ht="15.75" hidden="false" customHeight="false" outlineLevel="0" collapsed="false">
      <c r="A25" s="400"/>
      <c r="B25" s="400"/>
      <c r="C25" s="400"/>
      <c r="D25" s="44"/>
      <c r="E25" s="44"/>
      <c r="F25" s="44"/>
      <c r="G25" s="44"/>
      <c r="H25" s="44"/>
      <c r="I25" s="44"/>
      <c r="J25" s="111"/>
      <c r="K25" s="111"/>
      <c r="L25" s="111"/>
      <c r="M25" s="111"/>
      <c r="N25" s="44"/>
      <c r="O25" s="44"/>
      <c r="P25" s="44"/>
      <c r="Q25" s="44"/>
      <c r="R25" s="778"/>
      <c r="S25" s="511"/>
      <c r="T25" s="638"/>
      <c r="U25" s="638"/>
      <c r="V25" s="638"/>
      <c r="W25" s="638"/>
      <c r="X25" s="638"/>
      <c r="Y25" s="638"/>
      <c r="Z25" s="638"/>
      <c r="AA25" s="638"/>
      <c r="AB25" s="638"/>
      <c r="AC25" s="638"/>
      <c r="AD25" s="638"/>
      <c r="AE25" s="638"/>
    </row>
    <row r="26" customFormat="false" ht="15.75" hidden="false" customHeight="false" outlineLevel="0" collapsed="false">
      <c r="A26" s="400"/>
      <c r="B26" s="400"/>
      <c r="C26" s="400"/>
      <c r="D26" s="44"/>
      <c r="E26" s="44"/>
      <c r="F26" s="44"/>
      <c r="G26" s="44"/>
      <c r="H26" s="44"/>
      <c r="I26" s="44"/>
      <c r="J26" s="400"/>
      <c r="K26" s="400"/>
      <c r="L26" s="400"/>
      <c r="M26" s="400"/>
      <c r="N26" s="44"/>
      <c r="O26" s="44"/>
      <c r="P26" s="44"/>
      <c r="Q26" s="44"/>
      <c r="R26" s="790"/>
      <c r="S26" s="791"/>
      <c r="T26" s="792"/>
      <c r="U26" s="792"/>
      <c r="V26" s="792"/>
      <c r="W26" s="792"/>
      <c r="X26" s="792"/>
      <c r="Y26" s="792"/>
      <c r="Z26" s="792"/>
      <c r="AA26" s="792"/>
      <c r="AB26" s="792"/>
      <c r="AC26" s="792"/>
      <c r="AD26" s="792"/>
      <c r="AE26" s="792"/>
    </row>
    <row r="27" customFormat="false" ht="15.75" hidden="false" customHeight="false" outlineLevel="0" collapsed="false">
      <c r="A27" s="118" t="s">
        <v>208</v>
      </c>
      <c r="B27" s="118"/>
      <c r="C27" s="118"/>
      <c r="D27" s="836" t="s">
        <v>207</v>
      </c>
      <c r="E27" s="836"/>
      <c r="F27" s="836"/>
      <c r="G27" s="837" t="s">
        <v>209</v>
      </c>
      <c r="H27" s="837"/>
      <c r="I27" s="44"/>
      <c r="J27" s="838" t="s">
        <v>2064</v>
      </c>
      <c r="K27" s="838"/>
      <c r="L27" s="838"/>
      <c r="M27" s="839" t="e">
        <f aca="false">IF($A$28="CHECK ERROR BLOCK",0,IF(NOT($A$28="NONE"),minus(3,COUNTIF(A28:A30,"*")), 3))</f>
        <v>#NAME?</v>
      </c>
      <c r="N27" s="44"/>
      <c r="O27" s="44"/>
      <c r="P27" s="44"/>
      <c r="Q27" s="44"/>
      <c r="R27" s="790"/>
      <c r="S27" s="791"/>
      <c r="T27" s="792"/>
      <c r="U27" s="792"/>
      <c r="V27" s="792"/>
      <c r="W27" s="792"/>
      <c r="X27" s="792"/>
      <c r="Y27" s="792"/>
      <c r="Z27" s="792"/>
      <c r="AA27" s="792"/>
      <c r="AB27" s="792"/>
      <c r="AC27" s="792"/>
      <c r="AD27" s="792"/>
      <c r="AE27" s="792"/>
    </row>
    <row r="28" customFormat="false" ht="15.75" hidden="false" customHeight="false" outlineLevel="0" collapsed="false">
      <c r="A28" s="840" t="str">
        <f aca="false">IFERROR(__xludf.dummyfunction("if(ISNA(filter(Transactions!$O$3:$V$100,Transactions!$M$3:$M$100=$L$1)),""NONE"",if(countif(Transactions!$M$3:$M$100,$L$1)&gt;3,""CHECK ERROR BLOCK"",(filter(Transactions!$O$3:$V$100,Transactions!$M$3:$M$100=$L$1))))"),"Toxapex")</f>
        <v>Toxapex</v>
      </c>
      <c r="B28" s="840"/>
      <c r="C28" s="840"/>
      <c r="D28" s="841" t="s">
        <v>125</v>
      </c>
      <c r="E28" s="841"/>
      <c r="F28" s="841"/>
      <c r="G28" s="842" t="s">
        <v>2029</v>
      </c>
      <c r="H28" s="842"/>
      <c r="I28" s="44"/>
      <c r="J28" s="843" t="s">
        <v>2065</v>
      </c>
      <c r="K28" s="843"/>
      <c r="L28" s="843"/>
      <c r="M28" s="844" t="s">
        <v>2066</v>
      </c>
      <c r="N28" s="44"/>
      <c r="O28" s="44"/>
      <c r="P28" s="44"/>
      <c r="Q28" s="44"/>
      <c r="R28" s="790"/>
      <c r="S28" s="791"/>
      <c r="T28" s="792"/>
      <c r="U28" s="792"/>
      <c r="V28" s="792"/>
      <c r="W28" s="792"/>
      <c r="X28" s="792"/>
      <c r="Y28" s="792"/>
      <c r="Z28" s="792"/>
      <c r="AA28" s="792"/>
      <c r="AB28" s="792"/>
      <c r="AC28" s="792"/>
      <c r="AD28" s="792"/>
      <c r="AE28" s="792"/>
    </row>
    <row r="29" customFormat="false" ht="15.75" hidden="false" customHeight="true" outlineLevel="0" collapsed="false">
      <c r="A29" s="840" t="s">
        <v>98</v>
      </c>
      <c r="B29" s="840"/>
      <c r="C29" s="840"/>
      <c r="D29" s="841" t="s">
        <v>258</v>
      </c>
      <c r="E29" s="841"/>
      <c r="F29" s="841"/>
      <c r="G29" s="845" t="s">
        <v>123</v>
      </c>
      <c r="H29" s="845"/>
      <c r="I29" s="44"/>
      <c r="J29" s="846" t="s">
        <v>2067</v>
      </c>
      <c r="K29" s="846"/>
      <c r="L29" s="846"/>
      <c r="M29" s="847" t="n">
        <v>1</v>
      </c>
      <c r="N29" s="44"/>
      <c r="O29" s="44"/>
      <c r="P29" s="44"/>
      <c r="Q29" s="44"/>
      <c r="R29" s="790"/>
      <c r="S29" s="791"/>
      <c r="T29" s="792"/>
      <c r="U29" s="792"/>
      <c r="V29" s="792"/>
      <c r="W29" s="792"/>
      <c r="X29" s="792"/>
      <c r="Y29" s="792"/>
      <c r="Z29" s="792"/>
      <c r="AA29" s="792"/>
      <c r="AB29" s="792"/>
      <c r="AC29" s="792"/>
      <c r="AD29" s="792"/>
      <c r="AE29" s="792"/>
    </row>
    <row r="30" customFormat="false" ht="15.75" hidden="false" customHeight="false" outlineLevel="0" collapsed="false">
      <c r="A30" s="848" t="s">
        <v>266</v>
      </c>
      <c r="B30" s="848"/>
      <c r="C30" s="848"/>
      <c r="D30" s="849" t="s">
        <v>248</v>
      </c>
      <c r="E30" s="849"/>
      <c r="F30" s="849"/>
      <c r="G30" s="850" t="s">
        <v>123</v>
      </c>
      <c r="H30" s="850"/>
      <c r="I30" s="44"/>
      <c r="J30" s="851" t="str">
        <f aca="false">IF($A$28="CHECK ERROR BLOCK","ERROR - MAXIMUM NUMBER OF FREE AGENCY TRANSACTIONS LOGGED IN TRANSACTIONS TAB","")</f>
        <v/>
      </c>
      <c r="K30" s="851"/>
      <c r="L30" s="851"/>
      <c r="M30" s="851"/>
      <c r="N30" s="44"/>
      <c r="O30" s="44"/>
      <c r="P30" s="44"/>
      <c r="Q30" s="44"/>
      <c r="R30" s="790"/>
      <c r="S30" s="791"/>
      <c r="T30" s="792"/>
      <c r="U30" s="792"/>
      <c r="V30" s="792"/>
      <c r="W30" s="792"/>
      <c r="X30" s="792"/>
      <c r="Y30" s="792"/>
      <c r="Z30" s="792"/>
      <c r="AA30" s="792"/>
      <c r="AB30" s="792"/>
      <c r="AC30" s="792"/>
      <c r="AD30" s="792"/>
      <c r="AE30" s="792"/>
    </row>
    <row r="31" customFormat="false" ht="15.75" hidden="false" customHeight="false" outlineLevel="0" collapsed="false">
      <c r="A31" s="44"/>
      <c r="B31" s="44"/>
      <c r="C31" s="44"/>
      <c r="D31" s="44"/>
      <c r="E31" s="44"/>
      <c r="F31" s="44"/>
      <c r="G31" s="44"/>
      <c r="H31" s="44"/>
      <c r="I31" s="44"/>
      <c r="J31" s="44"/>
      <c r="K31" s="44"/>
      <c r="L31" s="44"/>
      <c r="M31" s="44"/>
      <c r="N31" s="44"/>
      <c r="O31" s="44"/>
      <c r="P31" s="44"/>
      <c r="Q31" s="44"/>
      <c r="R31" s="820"/>
      <c r="S31" s="821"/>
      <c r="T31" s="792"/>
      <c r="U31" s="792"/>
      <c r="V31" s="792"/>
      <c r="W31" s="792"/>
      <c r="X31" s="792"/>
      <c r="Y31" s="792"/>
      <c r="Z31" s="792"/>
      <c r="AA31" s="792"/>
      <c r="AB31" s="792"/>
      <c r="AC31" s="792"/>
      <c r="AD31" s="792"/>
      <c r="AE31" s="792"/>
    </row>
    <row r="32" customFormat="false" ht="15.75" hidden="false" customHeight="false" outlineLevel="0" collapsed="false">
      <c r="A32" s="118" t="s">
        <v>2068</v>
      </c>
      <c r="B32" s="118"/>
      <c r="C32" s="118"/>
      <c r="D32" s="852" t="s">
        <v>2069</v>
      </c>
      <c r="E32" s="852"/>
      <c r="F32" s="852"/>
      <c r="G32" s="837" t="s">
        <v>209</v>
      </c>
      <c r="H32" s="837"/>
      <c r="I32" s="272" t="s">
        <v>2070</v>
      </c>
      <c r="J32" s="272"/>
      <c r="K32" s="363" t="s">
        <v>213</v>
      </c>
      <c r="L32" s="363"/>
      <c r="M32" s="363"/>
      <c r="N32" s="363"/>
      <c r="O32" s="44"/>
      <c r="P32" s="44"/>
      <c r="Q32" s="44"/>
      <c r="R32" s="824"/>
      <c r="S32" s="638"/>
      <c r="T32" s="638"/>
      <c r="U32" s="638"/>
      <c r="V32" s="638"/>
      <c r="W32" s="638"/>
      <c r="X32" s="638"/>
      <c r="Y32" s="638"/>
      <c r="Z32" s="638"/>
      <c r="AA32" s="638"/>
      <c r="AB32" s="638"/>
      <c r="AC32" s="638"/>
      <c r="AD32" s="638"/>
      <c r="AE32" s="638"/>
    </row>
    <row r="33" customFormat="false" ht="15.75" hidden="false" customHeight="false" outlineLevel="0" collapsed="false">
      <c r="A33" s="840" t="str">
        <f aca="false">IFERROR(__xludf.dummyfunction("if(isna(filter($Q$55:$AD$70,not(isblank($Q$55:$Q$70)))),""NONE"",filter($Q$55:$AD$70,not(isblank($Q$55:$Q$70))))"),"Marowak-Alola")</f>
        <v>Marowak-Alola</v>
      </c>
      <c r="B33" s="840"/>
      <c r="C33" s="840"/>
      <c r="D33" s="853" t="s">
        <v>98</v>
      </c>
      <c r="E33" s="853"/>
      <c r="F33" s="853"/>
      <c r="G33" s="854" t="s">
        <v>83</v>
      </c>
      <c r="H33" s="854"/>
      <c r="I33" s="855" t="s">
        <v>711</v>
      </c>
      <c r="J33" s="855"/>
      <c r="K33" s="856" t="s">
        <v>2030</v>
      </c>
      <c r="L33" s="856"/>
      <c r="M33" s="856"/>
      <c r="N33" s="856"/>
      <c r="O33" s="44"/>
      <c r="P33" s="44"/>
      <c r="Q33" s="44"/>
      <c r="R33" s="824"/>
      <c r="S33" s="638"/>
      <c r="T33" s="638"/>
      <c r="U33" s="638"/>
      <c r="V33" s="638"/>
      <c r="W33" s="638"/>
      <c r="X33" s="638"/>
      <c r="Y33" s="638"/>
      <c r="Z33" s="638"/>
      <c r="AA33" s="638"/>
      <c r="AB33" s="638"/>
      <c r="AC33" s="638"/>
      <c r="AD33" s="638"/>
      <c r="AE33" s="638"/>
    </row>
    <row r="34" customFormat="false" ht="15.75" hidden="false" customHeight="false" outlineLevel="0" collapsed="false">
      <c r="A34" s="840" t="s">
        <v>88</v>
      </c>
      <c r="B34" s="840"/>
      <c r="C34" s="840"/>
      <c r="D34" s="857" t="s">
        <v>94</v>
      </c>
      <c r="E34" s="857"/>
      <c r="F34" s="857"/>
      <c r="G34" s="854" t="s">
        <v>83</v>
      </c>
      <c r="H34" s="854"/>
      <c r="I34" s="855" t="s">
        <v>711</v>
      </c>
      <c r="J34" s="855"/>
      <c r="K34" s="479" t="s">
        <v>2030</v>
      </c>
      <c r="L34" s="479"/>
      <c r="M34" s="479"/>
      <c r="N34" s="479"/>
      <c r="O34" s="44"/>
      <c r="P34" s="44"/>
      <c r="Q34" s="44"/>
      <c r="R34" s="824"/>
      <c r="S34" s="638"/>
      <c r="T34" s="638"/>
      <c r="U34" s="638"/>
      <c r="V34" s="638"/>
      <c r="W34" s="638"/>
      <c r="X34" s="638"/>
      <c r="Y34" s="638"/>
      <c r="Z34" s="638"/>
      <c r="AA34" s="638"/>
      <c r="AB34" s="638"/>
      <c r="AC34" s="638"/>
      <c r="AD34" s="638"/>
      <c r="AE34" s="638"/>
    </row>
    <row r="35" customFormat="false" ht="15.75" hidden="false" customHeight="false" outlineLevel="0" collapsed="false">
      <c r="A35" s="817"/>
      <c r="B35" s="817"/>
      <c r="C35" s="817"/>
      <c r="D35" s="858"/>
      <c r="E35" s="858"/>
      <c r="F35" s="858"/>
      <c r="G35" s="859"/>
      <c r="H35" s="859"/>
      <c r="I35" s="860"/>
      <c r="J35" s="860"/>
      <c r="K35" s="856"/>
      <c r="L35" s="856"/>
      <c r="M35" s="856"/>
      <c r="N35" s="856"/>
      <c r="O35" s="44"/>
      <c r="P35" s="44"/>
      <c r="Q35" s="44"/>
      <c r="R35" s="824"/>
      <c r="S35" s="638"/>
      <c r="T35" s="638"/>
      <c r="U35" s="638"/>
      <c r="V35" s="638"/>
      <c r="W35" s="638"/>
      <c r="X35" s="638"/>
      <c r="Y35" s="638"/>
      <c r="Z35" s="638"/>
      <c r="AA35" s="638"/>
      <c r="AB35" s="638"/>
      <c r="AC35" s="638"/>
      <c r="AD35" s="638"/>
      <c r="AE35" s="638"/>
    </row>
    <row r="36" customFormat="false" ht="15.75" hidden="false" customHeight="false" outlineLevel="0" collapsed="false">
      <c r="A36" s="840"/>
      <c r="B36" s="840"/>
      <c r="C36" s="840"/>
      <c r="D36" s="857"/>
      <c r="E36" s="857"/>
      <c r="F36" s="857"/>
      <c r="G36" s="854"/>
      <c r="H36" s="854"/>
      <c r="I36" s="855"/>
      <c r="J36" s="855"/>
      <c r="K36" s="479"/>
      <c r="L36" s="479"/>
      <c r="M36" s="479"/>
      <c r="N36" s="479"/>
      <c r="O36" s="44"/>
      <c r="P36" s="44"/>
      <c r="Q36" s="44"/>
      <c r="R36" s="824"/>
      <c r="S36" s="638"/>
      <c r="T36" s="638"/>
      <c r="U36" s="638"/>
      <c r="V36" s="638"/>
      <c r="W36" s="638"/>
      <c r="X36" s="638"/>
      <c r="Y36" s="638"/>
      <c r="Z36" s="638"/>
      <c r="AA36" s="638"/>
      <c r="AB36" s="638"/>
      <c r="AC36" s="638"/>
      <c r="AD36" s="638"/>
      <c r="AE36" s="638"/>
    </row>
    <row r="37" customFormat="false" ht="15.75" hidden="false" customHeight="false" outlineLevel="0" collapsed="false">
      <c r="A37" s="817"/>
      <c r="B37" s="817"/>
      <c r="C37" s="817"/>
      <c r="D37" s="858"/>
      <c r="E37" s="858"/>
      <c r="F37" s="858"/>
      <c r="G37" s="859"/>
      <c r="H37" s="859"/>
      <c r="I37" s="860"/>
      <c r="J37" s="860"/>
      <c r="K37" s="856"/>
      <c r="L37" s="856"/>
      <c r="M37" s="856"/>
      <c r="N37" s="856"/>
      <c r="O37" s="44"/>
      <c r="P37" s="44"/>
      <c r="Q37" s="44"/>
      <c r="R37" s="824"/>
      <c r="S37" s="638"/>
      <c r="T37" s="638"/>
      <c r="U37" s="638"/>
      <c r="V37" s="638"/>
      <c r="W37" s="638"/>
      <c r="X37" s="638"/>
      <c r="Y37" s="638"/>
      <c r="Z37" s="638"/>
      <c r="AA37" s="638"/>
      <c r="AB37" s="638"/>
      <c r="AC37" s="638"/>
      <c r="AD37" s="638"/>
      <c r="AE37" s="638"/>
    </row>
    <row r="38" customFormat="false" ht="15.75" hidden="false" customHeight="false" outlineLevel="0" collapsed="false">
      <c r="A38" s="840"/>
      <c r="B38" s="840"/>
      <c r="C38" s="840"/>
      <c r="D38" s="857"/>
      <c r="E38" s="857"/>
      <c r="F38" s="857"/>
      <c r="G38" s="854"/>
      <c r="H38" s="854"/>
      <c r="I38" s="855"/>
      <c r="J38" s="855"/>
      <c r="K38" s="479"/>
      <c r="L38" s="479"/>
      <c r="M38" s="479"/>
      <c r="N38" s="479"/>
      <c r="O38" s="44"/>
      <c r="P38" s="44"/>
      <c r="Q38" s="44"/>
      <c r="R38" s="824"/>
      <c r="S38" s="638"/>
      <c r="T38" s="638"/>
      <c r="U38" s="638"/>
      <c r="V38" s="638"/>
      <c r="W38" s="638"/>
      <c r="X38" s="638"/>
      <c r="Y38" s="638"/>
      <c r="Z38" s="638"/>
      <c r="AA38" s="638"/>
      <c r="AB38" s="638"/>
      <c r="AC38" s="638"/>
      <c r="AD38" s="638"/>
      <c r="AE38" s="638"/>
    </row>
    <row r="39" customFormat="false" ht="15.75" hidden="false" customHeight="false" outlineLevel="0" collapsed="false">
      <c r="A39" s="817"/>
      <c r="B39" s="817"/>
      <c r="C39" s="817"/>
      <c r="D39" s="858"/>
      <c r="E39" s="858"/>
      <c r="F39" s="858"/>
      <c r="G39" s="859"/>
      <c r="H39" s="859"/>
      <c r="I39" s="860"/>
      <c r="J39" s="860"/>
      <c r="K39" s="856"/>
      <c r="L39" s="856"/>
      <c r="M39" s="856"/>
      <c r="N39" s="856"/>
      <c r="O39" s="44"/>
      <c r="P39" s="44"/>
      <c r="Q39" s="44"/>
      <c r="R39" s="341" t="s">
        <v>2071</v>
      </c>
      <c r="S39" s="341"/>
      <c r="T39" s="771"/>
      <c r="U39" s="771"/>
      <c r="V39" s="771"/>
      <c r="W39" s="771"/>
      <c r="X39" s="771"/>
      <c r="Y39" s="771"/>
      <c r="Z39" s="771"/>
      <c r="AA39" s="771"/>
      <c r="AB39" s="771"/>
      <c r="AC39" s="771"/>
      <c r="AD39" s="771"/>
      <c r="AE39" s="771"/>
    </row>
    <row r="40" customFormat="false" ht="15.75" hidden="false" customHeight="false" outlineLevel="0" collapsed="false">
      <c r="A40" s="840"/>
      <c r="B40" s="840"/>
      <c r="C40" s="840"/>
      <c r="D40" s="857"/>
      <c r="E40" s="857"/>
      <c r="F40" s="857"/>
      <c r="G40" s="854"/>
      <c r="H40" s="854"/>
      <c r="I40" s="855"/>
      <c r="J40" s="855"/>
      <c r="K40" s="479"/>
      <c r="L40" s="479"/>
      <c r="M40" s="479"/>
      <c r="N40" s="479"/>
      <c r="O40" s="44"/>
      <c r="P40" s="44"/>
      <c r="Q40" s="44"/>
      <c r="R40" s="386" t="str">
        <f aca="false">IFERROR(__xludf.dummyfunction("{ if(isna(FILTER(MoveDex!$AR:$AR,MoveDex!$AQ:$AQ=$L$1)),,FILTER(MoveDex!$AR:$AR,MoveDex!$AQ:$AQ=$L$1)) ; if(isna(FILTER(MoveDex!$AV:$AV,MoveDex!$AU:$AU=$L$1)),,FILTER(MoveDex!$AV:$AV,MoveDex!$AU:$AU=$L$1)) ; if(isna(FILTER(MoveDex!$AZ:$AZ,MoveDex!$AY:$AY="&amp;"$L$1)),,FILTER(MoveDex!$AZ:$AZ,MoveDex!$AY:$AY=$L$1)) }"),"")</f>
        <v/>
      </c>
      <c r="S40" s="386" t="str">
        <f aca="false">IFERROR(__xludf.dummyfunction("{ if(isna(FILTER(MoveDex!$AS:$AS,MoveDex!$AQ:$AQ=$L$1)),,FILTER(MoveDex!$AS:$AS,MoveDex!$AQ:$AQ=$L$1)) ; if(isna(FILTER(MoveDex!$AW:$AW,MoveDex!$AU:$AU=$L$1)),,FILTER(MoveDex!$AW:$AW,MoveDex!$AU:$AU=$L$1)) ; if(isna(FILTER(MoveDex!$BA:$BA,MoveDex!$AY:$AY="&amp;"$L$1)),,FILTER(MoveDex!$BA:$BA,MoveDex!$AY:$AY=$L$1)) }"),"")</f>
        <v/>
      </c>
      <c r="T40" s="777"/>
      <c r="U40" s="777"/>
      <c r="V40" s="777"/>
      <c r="W40" s="777"/>
      <c r="X40" s="777"/>
      <c r="Y40" s="777"/>
      <c r="Z40" s="777"/>
      <c r="AA40" s="777"/>
      <c r="AB40" s="777"/>
      <c r="AC40" s="777"/>
      <c r="AD40" s="777"/>
      <c r="AE40" s="777"/>
    </row>
    <row r="41" customFormat="false" ht="15.75" hidden="false" customHeight="false" outlineLevel="0" collapsed="false">
      <c r="A41" s="826"/>
      <c r="B41" s="826"/>
      <c r="C41" s="826"/>
      <c r="D41" s="861"/>
      <c r="E41" s="861"/>
      <c r="F41" s="861"/>
      <c r="G41" s="830"/>
      <c r="H41" s="830"/>
      <c r="I41" s="862"/>
      <c r="J41" s="862"/>
      <c r="K41" s="863"/>
      <c r="L41" s="863"/>
      <c r="M41" s="863"/>
      <c r="N41" s="863"/>
      <c r="O41" s="44"/>
      <c r="P41" s="44"/>
      <c r="Q41" s="44"/>
      <c r="R41" s="778" t="s">
        <v>20</v>
      </c>
      <c r="S41" s="511" t="s">
        <v>1114</v>
      </c>
      <c r="T41" s="638"/>
      <c r="U41" s="638"/>
      <c r="V41" s="638"/>
      <c r="W41" s="638"/>
      <c r="X41" s="638"/>
      <c r="Y41" s="638"/>
      <c r="Z41" s="638"/>
      <c r="AA41" s="638"/>
      <c r="AB41" s="638"/>
      <c r="AC41" s="638"/>
      <c r="AD41" s="638"/>
      <c r="AE41" s="638"/>
    </row>
    <row r="42" customFormat="false" ht="15.75" hidden="false" customHeight="false" outlineLevel="0" collapsed="false">
      <c r="A42" s="44"/>
      <c r="B42" s="44"/>
      <c r="C42" s="44"/>
      <c r="D42" s="44"/>
      <c r="E42" s="44"/>
      <c r="F42" s="44"/>
      <c r="G42" s="44"/>
      <c r="H42" s="44"/>
      <c r="I42" s="44"/>
      <c r="J42" s="44"/>
      <c r="K42" s="44"/>
      <c r="L42" s="44"/>
      <c r="M42" s="44"/>
      <c r="N42" s="44"/>
      <c r="O42" s="44"/>
      <c r="P42" s="44"/>
      <c r="Q42" s="44"/>
      <c r="R42" s="778" t="s">
        <v>24</v>
      </c>
      <c r="S42" s="511" t="s">
        <v>1115</v>
      </c>
      <c r="T42" s="638"/>
      <c r="U42" s="638"/>
      <c r="V42" s="638"/>
      <c r="W42" s="638"/>
      <c r="X42" s="638"/>
      <c r="Y42" s="638"/>
      <c r="Z42" s="638"/>
      <c r="AA42" s="638"/>
      <c r="AB42" s="638"/>
      <c r="AC42" s="638"/>
      <c r="AD42" s="638"/>
      <c r="AE42" s="638"/>
    </row>
    <row r="43" customFormat="false" ht="15.75" hidden="false" customHeight="false" outlineLevel="0" collapsed="false">
      <c r="A43" s="864" t="s">
        <v>2072</v>
      </c>
      <c r="B43" s="864"/>
      <c r="C43" s="864"/>
      <c r="D43" s="562" t="s">
        <v>777</v>
      </c>
      <c r="E43" s="865" t="s">
        <v>778</v>
      </c>
      <c r="F43" s="865" t="s">
        <v>779</v>
      </c>
      <c r="G43" s="865" t="s">
        <v>780</v>
      </c>
      <c r="H43" s="865" t="s">
        <v>781</v>
      </c>
      <c r="I43" s="865" t="s">
        <v>782</v>
      </c>
      <c r="J43" s="363" t="s">
        <v>2063</v>
      </c>
      <c r="K43" s="562" t="s">
        <v>2073</v>
      </c>
      <c r="L43" s="562"/>
      <c r="M43" s="866" t="s">
        <v>2074</v>
      </c>
      <c r="N43" s="866"/>
      <c r="O43" s="44"/>
      <c r="P43" s="44"/>
      <c r="Q43" s="44"/>
      <c r="R43" s="778" t="s">
        <v>258</v>
      </c>
      <c r="S43" s="511" t="s">
        <v>1115</v>
      </c>
      <c r="T43" s="638"/>
      <c r="U43" s="638"/>
      <c r="V43" s="638"/>
      <c r="W43" s="638"/>
      <c r="X43" s="638"/>
      <c r="Y43" s="638"/>
      <c r="Z43" s="638"/>
      <c r="AA43" s="638"/>
      <c r="AB43" s="638"/>
      <c r="AC43" s="638"/>
      <c r="AD43" s="638"/>
      <c r="AE43" s="638"/>
    </row>
    <row r="44" customFormat="false" ht="15.75" hidden="false" customHeight="false" outlineLevel="0" collapsed="false">
      <c r="A44" s="811" t="str">
        <f aca="false">$A$12</f>
        <v>Celesteela</v>
      </c>
      <c r="B44" s="811"/>
      <c r="C44" s="811"/>
      <c r="D44" s="867" t="n">
        <f aca="false" t="array" ref="D44:D44">IF(ISNA(INDEX(Pokedex!L$2:L$610,MATCH($A44,Pokedex!$B$2:$B$610,0))),"-",INDEX(Pokedex!L$2:L$610,MATCH($A44,Pokedex!$B$2:$B$610,0)))</f>
        <v>97</v>
      </c>
      <c r="E44" s="868" t="n">
        <f aca="false" t="array" ref="E44:E44">IF(ISNA(INDEX(Pokedex!M$2:M$610,MATCH($A44,Pokedex!$B$2:$B$610,0))),"-",INDEX(Pokedex!M$2:M$610,MATCH($A44,Pokedex!$B$2:$B$610,0)))</f>
        <v>101</v>
      </c>
      <c r="F44" s="868" t="n">
        <f aca="false" t="array" ref="F44:F44">IF(ISNA(INDEX(Pokedex!N$2:N$610,MATCH($A44,Pokedex!$B$2:$B$610,0))),"-",INDEX(Pokedex!N$2:N$610,MATCH($A44,Pokedex!$B$2:$B$610,0)))</f>
        <v>103</v>
      </c>
      <c r="G44" s="868" t="n">
        <f aca="false" t="array" ref="G44:G44">IF(ISNA(INDEX(Pokedex!O$2:O$610,MATCH($A44,Pokedex!$B$2:$B$610,0))),"-",INDEX(Pokedex!O$2:O$610,MATCH($A44,Pokedex!$B$2:$B$610,0)))</f>
        <v>107</v>
      </c>
      <c r="H44" s="868" t="n">
        <f aca="false" t="array" ref="H44:H44">IF(ISNA(INDEX(Pokedex!P$2:P$610,MATCH($A44,Pokedex!$B$2:$B$610,0))),"-",INDEX(Pokedex!P$2:P$610,MATCH($A44,Pokedex!$B$2:$B$610,0)))</f>
        <v>101</v>
      </c>
      <c r="I44" s="869" t="n">
        <f aca="false" t="array" ref="I44:I44">IF(ISNA(INDEX(Pokedex!Q$2:Q$610,MATCH($A44,Pokedex!$B$2:$B$610,0))),"-",INDEX(Pokedex!Q$2:Q$610,MATCH($A44,Pokedex!$B$2:$B$610,0)))</f>
        <v>61</v>
      </c>
      <c r="J44" s="868" t="n">
        <f aca="false">SUM(D44:I44)</f>
        <v>570</v>
      </c>
      <c r="K44" s="867" t="str">
        <f aca="false" t="array" ref="K44:K44">IF(ISNA(INDEX(Pokedex!R$2:R$610,MATCH($A44,Pokedex!$B$2:$B$610,0))),"-",INDEX(Pokedex!R$2:R$610,MATCH($A44,Pokedex!$B$2:$B$610,0)))</f>
        <v>Flying</v>
      </c>
      <c r="L44" s="867"/>
      <c r="M44" s="869" t="str">
        <f aca="false" t="array" ref="M44:M44">IF(ISNA(INDEX(Pokedex!S$2:S$610,MATCH($A44,Pokedex!$B$2:$B$610,0))),"-",INDEX(Pokedex!S$2:S$610,MATCH($A44,Pokedex!$B$2:$B$610,0)))</f>
        <v>Steel</v>
      </c>
      <c r="N44" s="869"/>
      <c r="O44" s="44"/>
      <c r="P44" s="44"/>
      <c r="Q44" s="44"/>
      <c r="R44" s="778" t="s">
        <v>20</v>
      </c>
      <c r="S44" s="511" t="s">
        <v>1115</v>
      </c>
      <c r="T44" s="638"/>
      <c r="U44" s="638"/>
      <c r="V44" s="638"/>
      <c r="W44" s="638"/>
      <c r="X44" s="638"/>
      <c r="Y44" s="638"/>
      <c r="Z44" s="638"/>
      <c r="AA44" s="638"/>
      <c r="AB44" s="638"/>
      <c r="AC44" s="638"/>
      <c r="AD44" s="638"/>
      <c r="AE44" s="638"/>
    </row>
    <row r="45" customFormat="false" ht="15.75" hidden="false" customHeight="false" outlineLevel="0" collapsed="false">
      <c r="A45" s="817" t="str">
        <f aca="false">$A$13</f>
        <v>Rotom-Wash</v>
      </c>
      <c r="B45" s="817"/>
      <c r="C45" s="817"/>
      <c r="D45" s="855" t="n">
        <f aca="false" t="array" ref="D45:D45">IF(ISNA(INDEX(Pokedex!L$2:L$610,MATCH($A45,Pokedex!$B$2:$B$610,0))),"-",INDEX(Pokedex!L$2:L$610,MATCH($A45,Pokedex!$B$2:$B$610,0)))</f>
        <v>50</v>
      </c>
      <c r="E45" s="51" t="n">
        <f aca="false" t="array" ref="E45:E45">IF(ISNA(INDEX(Pokedex!M$2:M$610,MATCH($A45,Pokedex!$B$2:$B$610,0))),"-",INDEX(Pokedex!M$2:M$610,MATCH($A45,Pokedex!$B$2:$B$610,0)))</f>
        <v>65</v>
      </c>
      <c r="F45" s="51" t="n">
        <f aca="false" t="array" ref="F45:F45">IF(ISNA(INDEX(Pokedex!N$2:N$610,MATCH($A45,Pokedex!$B$2:$B$610,0))),"-",INDEX(Pokedex!N$2:N$610,MATCH($A45,Pokedex!$B$2:$B$610,0)))</f>
        <v>107</v>
      </c>
      <c r="G45" s="51" t="n">
        <f aca="false" t="array" ref="G45:G45">IF(ISNA(INDEX(Pokedex!O$2:O$610,MATCH($A45,Pokedex!$B$2:$B$610,0))),"-",INDEX(Pokedex!O$2:O$610,MATCH($A45,Pokedex!$B$2:$B$610,0)))</f>
        <v>105</v>
      </c>
      <c r="H45" s="51" t="n">
        <f aca="false" t="array" ref="H45:H45">IF(ISNA(INDEX(Pokedex!P$2:P$610,MATCH($A45,Pokedex!$B$2:$B$610,0))),"-",INDEX(Pokedex!P$2:P$610,MATCH($A45,Pokedex!$B$2:$B$610,0)))</f>
        <v>107</v>
      </c>
      <c r="I45" s="727" t="n">
        <f aca="false" t="array" ref="I45:I45">IF(ISNA(INDEX(Pokedex!Q$2:Q$610,MATCH($A45,Pokedex!$B$2:$B$610,0))),"-",INDEX(Pokedex!Q$2:Q$610,MATCH($A45,Pokedex!$B$2:$B$610,0)))</f>
        <v>86</v>
      </c>
      <c r="J45" s="51" t="n">
        <f aca="false">SUM(D45:I45)</f>
        <v>520</v>
      </c>
      <c r="K45" s="855" t="str">
        <f aca="false" t="array" ref="K45:K45">IF(ISNA(INDEX(Pokedex!R$2:R$610,MATCH($A45,Pokedex!$B$2:$B$610,0))),"-",INDEX(Pokedex!R$2:R$610,MATCH($A45,Pokedex!$B$2:$B$610,0)))</f>
        <v>Electric</v>
      </c>
      <c r="L45" s="855"/>
      <c r="M45" s="727" t="str">
        <f aca="false" t="array" ref="M45:M45">IF(ISNA(INDEX(Pokedex!S$2:S$610,MATCH($A45,Pokedex!$B$2:$B$610,0))),"-",INDEX(Pokedex!S$2:S$610,MATCH($A45,Pokedex!$B$2:$B$610,0)))</f>
        <v>Water</v>
      </c>
      <c r="N45" s="727"/>
      <c r="O45" s="44"/>
      <c r="P45" s="44"/>
      <c r="Q45" s="44"/>
      <c r="R45" s="778"/>
      <c r="S45" s="511"/>
      <c r="T45" s="638"/>
      <c r="U45" s="638"/>
      <c r="V45" s="638"/>
      <c r="W45" s="638"/>
      <c r="X45" s="638"/>
      <c r="Y45" s="638"/>
      <c r="Z45" s="638"/>
      <c r="AA45" s="638"/>
      <c r="AB45" s="638"/>
      <c r="AC45" s="638"/>
      <c r="AD45" s="638"/>
      <c r="AE45" s="638"/>
    </row>
    <row r="46" customFormat="false" ht="15.75" hidden="false" customHeight="false" outlineLevel="0" collapsed="false">
      <c r="A46" s="817" t="str">
        <f aca="false">$A$14</f>
        <v>Umbreon</v>
      </c>
      <c r="B46" s="817"/>
      <c r="C46" s="817"/>
      <c r="D46" s="855" t="n">
        <f aca="false" t="array" ref="D46:D46">IF(ISNA(INDEX(Pokedex!L$2:L$610,MATCH($A46,Pokedex!$B$2:$B$610,0))),"-",INDEX(Pokedex!L$2:L$610,MATCH($A46,Pokedex!$B$2:$B$610,0)))</f>
        <v>95</v>
      </c>
      <c r="E46" s="51" t="n">
        <f aca="false" t="array" ref="E46:E46">IF(ISNA(INDEX(Pokedex!M$2:M$610,MATCH($A46,Pokedex!$B$2:$B$610,0))),"-",INDEX(Pokedex!M$2:M$610,MATCH($A46,Pokedex!$B$2:$B$610,0)))</f>
        <v>65</v>
      </c>
      <c r="F46" s="51" t="n">
        <f aca="false" t="array" ref="F46:F46">IF(ISNA(INDEX(Pokedex!N$2:N$610,MATCH($A46,Pokedex!$B$2:$B$610,0))),"-",INDEX(Pokedex!N$2:N$610,MATCH($A46,Pokedex!$B$2:$B$610,0)))</f>
        <v>110</v>
      </c>
      <c r="G46" s="51" t="n">
        <f aca="false" t="array" ref="G46:G46">IF(ISNA(INDEX(Pokedex!O$2:O$610,MATCH($A46,Pokedex!$B$2:$B$610,0))),"-",INDEX(Pokedex!O$2:O$610,MATCH($A46,Pokedex!$B$2:$B$610,0)))</f>
        <v>60</v>
      </c>
      <c r="H46" s="51" t="n">
        <f aca="false" t="array" ref="H46:H46">IF(ISNA(INDEX(Pokedex!P$2:P$610,MATCH($A46,Pokedex!$B$2:$B$610,0))),"-",INDEX(Pokedex!P$2:P$610,MATCH($A46,Pokedex!$B$2:$B$610,0)))</f>
        <v>130</v>
      </c>
      <c r="I46" s="727" t="n">
        <f aca="false" t="array" ref="I46:I46">IF(ISNA(INDEX(Pokedex!Q$2:Q$610,MATCH($A46,Pokedex!$B$2:$B$610,0))),"-",INDEX(Pokedex!Q$2:Q$610,MATCH($A46,Pokedex!$B$2:$B$610,0)))</f>
        <v>65</v>
      </c>
      <c r="J46" s="51" t="n">
        <f aca="false">SUM(D46:I46)</f>
        <v>525</v>
      </c>
      <c r="K46" s="855" t="str">
        <f aca="false" t="array" ref="K46:K46">IF(ISNA(INDEX(Pokedex!R$2:R$610,MATCH($A46,Pokedex!$B$2:$B$610,0))),"-",INDEX(Pokedex!R$2:R$610,MATCH($A46,Pokedex!$B$2:$B$610,0)))</f>
        <v>Dark</v>
      </c>
      <c r="L46" s="855"/>
      <c r="M46" s="727" t="n">
        <f aca="false">IF(ISNA(INDEX(Pokedex!S$2:S$610,MATCH($A46,Pokedex!$B$2:$B$610,0))),"-",INDEX(Pokedex!S$2:S$610,MATCH($A46,Pokedex!$B$2:$B$610,0)))</f>
        <v>0</v>
      </c>
      <c r="N46" s="727"/>
      <c r="O46" s="44"/>
      <c r="P46" s="44"/>
      <c r="Q46" s="44"/>
      <c r="R46" s="790"/>
      <c r="S46" s="791"/>
      <c r="T46" s="792"/>
      <c r="U46" s="792"/>
      <c r="V46" s="792"/>
      <c r="W46" s="792"/>
      <c r="X46" s="792"/>
      <c r="Y46" s="792"/>
      <c r="Z46" s="792"/>
      <c r="AA46" s="792"/>
      <c r="AB46" s="792"/>
      <c r="AC46" s="792"/>
      <c r="AD46" s="792"/>
      <c r="AE46" s="792"/>
    </row>
    <row r="47" customFormat="false" ht="15.75" hidden="false" customHeight="false" outlineLevel="0" collapsed="false">
      <c r="A47" s="817" t="str">
        <f aca="false">$A$15</f>
        <v>Minior</v>
      </c>
      <c r="B47" s="817"/>
      <c r="C47" s="817"/>
      <c r="D47" s="855" t="n">
        <f aca="false" t="array" ref="D47:D47">IF(ISNA(INDEX(Pokedex!L$2:L$610,MATCH($A47,Pokedex!$B$2:$B$610,0))),"-",INDEX(Pokedex!L$2:L$610,MATCH($A47,Pokedex!$B$2:$B$610,0)))</f>
        <v>60</v>
      </c>
      <c r="E47" s="51" t="n">
        <f aca="false" t="array" ref="E47:E47">IF(ISNA(INDEX(Pokedex!M$2:M$610,MATCH($A47,Pokedex!$B$2:$B$610,0))),"-",INDEX(Pokedex!M$2:M$610,MATCH($A47,Pokedex!$B$2:$B$610,0)))</f>
        <v>60</v>
      </c>
      <c r="F47" s="51" t="n">
        <f aca="false" t="array" ref="F47:F47">IF(ISNA(INDEX(Pokedex!N$2:N$610,MATCH($A47,Pokedex!$B$2:$B$610,0))),"-",INDEX(Pokedex!N$2:N$610,MATCH($A47,Pokedex!$B$2:$B$610,0)))</f>
        <v>100</v>
      </c>
      <c r="G47" s="51" t="n">
        <f aca="false" t="array" ref="G47:G47">IF(ISNA(INDEX(Pokedex!O$2:O$610,MATCH($A47,Pokedex!$B$2:$B$610,0))),"-",INDEX(Pokedex!O$2:O$610,MATCH($A47,Pokedex!$B$2:$B$610,0)))</f>
        <v>60</v>
      </c>
      <c r="H47" s="51" t="n">
        <f aca="false" t="array" ref="H47:H47">IF(ISNA(INDEX(Pokedex!P$2:P$610,MATCH($A47,Pokedex!$B$2:$B$610,0))),"-",INDEX(Pokedex!P$2:P$610,MATCH($A47,Pokedex!$B$2:$B$610,0)))</f>
        <v>100</v>
      </c>
      <c r="I47" s="727" t="n">
        <f aca="false" t="array" ref="I47:I47">IF(ISNA(INDEX(Pokedex!Q$2:Q$610,MATCH($A47,Pokedex!$B$2:$B$610,0))),"-",INDEX(Pokedex!Q$2:Q$610,MATCH($A47,Pokedex!$B$2:$B$610,0)))</f>
        <v>60</v>
      </c>
      <c r="J47" s="51" t="n">
        <f aca="false">SUM(D47:I47)</f>
        <v>440</v>
      </c>
      <c r="K47" s="855" t="str">
        <f aca="false" t="array" ref="K47:K47">IF(ISNA(INDEX(Pokedex!R$2:R$610,MATCH($A47,Pokedex!$B$2:$B$610,0))),"-",INDEX(Pokedex!R$2:R$610,MATCH($A47,Pokedex!$B$2:$B$610,0)))</f>
        <v>Flying</v>
      </c>
      <c r="L47" s="855"/>
      <c r="M47" s="727" t="str">
        <f aca="false" t="array" ref="M47:M47">IF(ISNA(INDEX(Pokedex!S$2:S$610,MATCH($A47,Pokedex!$B$2:$B$610,0))),"-",INDEX(Pokedex!S$2:S$610,MATCH($A47,Pokedex!$B$2:$B$610,0)))</f>
        <v>Rock</v>
      </c>
      <c r="N47" s="727"/>
      <c r="O47" s="44"/>
      <c r="P47" s="44"/>
      <c r="Q47" s="44"/>
      <c r="R47" s="790"/>
      <c r="S47" s="791"/>
      <c r="T47" s="792"/>
      <c r="U47" s="792"/>
      <c r="V47" s="792"/>
      <c r="W47" s="792"/>
      <c r="X47" s="792"/>
      <c r="Y47" s="792"/>
      <c r="Z47" s="792"/>
      <c r="AA47" s="792"/>
      <c r="AB47" s="792"/>
      <c r="AC47" s="792"/>
      <c r="AD47" s="792"/>
      <c r="AE47" s="792"/>
    </row>
    <row r="48" customFormat="false" ht="15.75" hidden="false" customHeight="false" outlineLevel="0" collapsed="false">
      <c r="A48" s="817" t="str">
        <f aca="false">$A$16</f>
        <v>Accelgor</v>
      </c>
      <c r="B48" s="817"/>
      <c r="C48" s="817"/>
      <c r="D48" s="855" t="n">
        <f aca="false" t="array" ref="D48:D48">IF(ISNA(INDEX(Pokedex!L$2:L$610,MATCH($A48,Pokedex!$B$2:$B$610,0))),"-",INDEX(Pokedex!L$2:L$610,MATCH($A48,Pokedex!$B$2:$B$610,0)))</f>
        <v>80</v>
      </c>
      <c r="E48" s="51" t="n">
        <f aca="false" t="array" ref="E48:E48">IF(ISNA(INDEX(Pokedex!M$2:M$610,MATCH($A48,Pokedex!$B$2:$B$610,0))),"-",INDEX(Pokedex!M$2:M$610,MATCH($A48,Pokedex!$B$2:$B$610,0)))</f>
        <v>70</v>
      </c>
      <c r="F48" s="51" t="n">
        <f aca="false" t="array" ref="F48:F48">IF(ISNA(INDEX(Pokedex!N$2:N$610,MATCH($A48,Pokedex!$B$2:$B$610,0))),"-",INDEX(Pokedex!N$2:N$610,MATCH($A48,Pokedex!$B$2:$B$610,0)))</f>
        <v>40</v>
      </c>
      <c r="G48" s="51" t="n">
        <f aca="false" t="array" ref="G48:G48">IF(ISNA(INDEX(Pokedex!O$2:O$610,MATCH($A48,Pokedex!$B$2:$B$610,0))),"-",INDEX(Pokedex!O$2:O$610,MATCH($A48,Pokedex!$B$2:$B$610,0)))</f>
        <v>100</v>
      </c>
      <c r="H48" s="51" t="n">
        <f aca="false" t="array" ref="H48:H48">IF(ISNA(INDEX(Pokedex!P$2:P$610,MATCH($A48,Pokedex!$B$2:$B$610,0))),"-",INDEX(Pokedex!P$2:P$610,MATCH($A48,Pokedex!$B$2:$B$610,0)))</f>
        <v>60</v>
      </c>
      <c r="I48" s="727" t="n">
        <f aca="false" t="array" ref="I48:I48">IF(ISNA(INDEX(Pokedex!Q$2:Q$610,MATCH($A48,Pokedex!$B$2:$B$610,0))),"-",INDEX(Pokedex!Q$2:Q$610,MATCH($A48,Pokedex!$B$2:$B$610,0)))</f>
        <v>145</v>
      </c>
      <c r="J48" s="51" t="n">
        <f aca="false">SUM(D48:I48)</f>
        <v>495</v>
      </c>
      <c r="K48" s="855" t="str">
        <f aca="false" t="array" ref="K48:K48">IF(ISNA(INDEX(Pokedex!R$2:R$610,MATCH($A48,Pokedex!$B$2:$B$610,0))),"-",INDEX(Pokedex!R$2:R$610,MATCH($A48,Pokedex!$B$2:$B$610,0)))</f>
        <v>Bug</v>
      </c>
      <c r="L48" s="855"/>
      <c r="M48" s="727" t="n">
        <f aca="false">IF(ISNA(INDEX(Pokedex!S$2:S$610,MATCH($A48,Pokedex!$B$2:$B$610,0))),"-",INDEX(Pokedex!S$2:S$610,MATCH($A48,Pokedex!$B$2:$B$610,0)))</f>
        <v>0</v>
      </c>
      <c r="N48" s="727"/>
      <c r="O48" s="44"/>
      <c r="P48" s="44"/>
      <c r="Q48" s="44"/>
      <c r="R48" s="790"/>
      <c r="S48" s="791"/>
      <c r="T48" s="792"/>
      <c r="U48" s="792"/>
      <c r="V48" s="792"/>
      <c r="W48" s="792"/>
      <c r="X48" s="792"/>
      <c r="Y48" s="792"/>
      <c r="Z48" s="792"/>
      <c r="AA48" s="792"/>
      <c r="AB48" s="792"/>
      <c r="AC48" s="792"/>
      <c r="AD48" s="792"/>
      <c r="AE48" s="792"/>
    </row>
    <row r="49" customFormat="false" ht="15.75" hidden="false" customHeight="false" outlineLevel="0" collapsed="false">
      <c r="A49" s="817" t="str">
        <f aca="false">$A$17</f>
        <v>Golem-Alola</v>
      </c>
      <c r="B49" s="817"/>
      <c r="C49" s="817"/>
      <c r="D49" s="855" t="n">
        <f aca="false" t="array" ref="D49:D49">IF(ISNA(INDEX(Pokedex!L$2:L$610,MATCH($A49,Pokedex!$B$2:$B$610,0))),"-",INDEX(Pokedex!L$2:L$610,MATCH($A49,Pokedex!$B$2:$B$610,0)))</f>
        <v>80</v>
      </c>
      <c r="E49" s="51" t="n">
        <f aca="false" t="array" ref="E49:E49">IF(ISNA(INDEX(Pokedex!M$2:M$610,MATCH($A49,Pokedex!$B$2:$B$610,0))),"-",INDEX(Pokedex!M$2:M$610,MATCH($A49,Pokedex!$B$2:$B$610,0)))</f>
        <v>120</v>
      </c>
      <c r="F49" s="51" t="n">
        <f aca="false" t="array" ref="F49:F49">IF(ISNA(INDEX(Pokedex!N$2:N$610,MATCH($A49,Pokedex!$B$2:$B$610,0))),"-",INDEX(Pokedex!N$2:N$610,MATCH($A49,Pokedex!$B$2:$B$610,0)))</f>
        <v>130</v>
      </c>
      <c r="G49" s="51" t="n">
        <f aca="false" t="array" ref="G49:G49">IF(ISNA(INDEX(Pokedex!O$2:O$610,MATCH($A49,Pokedex!$B$2:$B$610,0))),"-",INDEX(Pokedex!O$2:O$610,MATCH($A49,Pokedex!$B$2:$B$610,0)))</f>
        <v>55</v>
      </c>
      <c r="H49" s="51" t="n">
        <f aca="false" t="array" ref="H49:H49">IF(ISNA(INDEX(Pokedex!P$2:P$610,MATCH($A49,Pokedex!$B$2:$B$610,0))),"-",INDEX(Pokedex!P$2:P$610,MATCH($A49,Pokedex!$B$2:$B$610,0)))</f>
        <v>65</v>
      </c>
      <c r="I49" s="727" t="n">
        <f aca="false" t="array" ref="I49:I49">IF(ISNA(INDEX(Pokedex!Q$2:Q$610,MATCH($A49,Pokedex!$B$2:$B$610,0))),"-",INDEX(Pokedex!Q$2:Q$610,MATCH($A49,Pokedex!$B$2:$B$610,0)))</f>
        <v>45</v>
      </c>
      <c r="J49" s="51" t="n">
        <f aca="false">SUM(D49:I49)</f>
        <v>495</v>
      </c>
      <c r="K49" s="855" t="str">
        <f aca="false" t="array" ref="K49:K49">IF(ISNA(INDEX(Pokedex!R$2:R$610,MATCH($A49,Pokedex!$B$2:$B$610,0))),"-",INDEX(Pokedex!R$2:R$610,MATCH($A49,Pokedex!$B$2:$B$610,0)))</f>
        <v>Electric</v>
      </c>
      <c r="L49" s="855"/>
      <c r="M49" s="727" t="str">
        <f aca="false" t="array" ref="M49:M49">IF(ISNA(INDEX(Pokedex!S$2:S$610,MATCH($A49,Pokedex!$B$2:$B$610,0))),"-",INDEX(Pokedex!S$2:S$610,MATCH($A49,Pokedex!$B$2:$B$610,0)))</f>
        <v>Rock</v>
      </c>
      <c r="N49" s="727"/>
      <c r="O49" s="44"/>
      <c r="P49" s="44"/>
      <c r="Q49" s="44"/>
      <c r="R49" s="790"/>
      <c r="S49" s="791"/>
      <c r="T49" s="792"/>
      <c r="U49" s="792"/>
      <c r="V49" s="792"/>
      <c r="W49" s="792"/>
      <c r="X49" s="792"/>
      <c r="Y49" s="792"/>
      <c r="Z49" s="792"/>
      <c r="AA49" s="792"/>
      <c r="AB49" s="792"/>
      <c r="AC49" s="792"/>
      <c r="AD49" s="792"/>
      <c r="AE49" s="792"/>
    </row>
    <row r="50" customFormat="false" ht="15.75" hidden="false" customHeight="false" outlineLevel="0" collapsed="false">
      <c r="A50" s="817" t="str">
        <f aca="false">$A$18</f>
        <v>Aerodactyl-Mega</v>
      </c>
      <c r="B50" s="817"/>
      <c r="C50" s="817"/>
      <c r="D50" s="855" t="n">
        <f aca="false" t="array" ref="D50:D50">IF(ISNA(INDEX(Pokedex!L$2:L$610,MATCH($A50,Pokedex!$B$2:$B$610,0))),"-",INDEX(Pokedex!L$2:L$610,MATCH($A50,Pokedex!$B$2:$B$610,0)))</f>
        <v>80</v>
      </c>
      <c r="E50" s="51" t="n">
        <f aca="false" t="array" ref="E50:E50">IF(ISNA(INDEX(Pokedex!M$2:M$610,MATCH($A50,Pokedex!$B$2:$B$610,0))),"-",INDEX(Pokedex!M$2:M$610,MATCH($A50,Pokedex!$B$2:$B$610,0)))</f>
        <v>135</v>
      </c>
      <c r="F50" s="51" t="n">
        <f aca="false" t="array" ref="F50:F50">IF(ISNA(INDEX(Pokedex!N$2:N$610,MATCH($A50,Pokedex!$B$2:$B$610,0))),"-",INDEX(Pokedex!N$2:N$610,MATCH($A50,Pokedex!$B$2:$B$610,0)))</f>
        <v>85</v>
      </c>
      <c r="G50" s="51" t="n">
        <f aca="false" t="array" ref="G50:G50">IF(ISNA(INDEX(Pokedex!O$2:O$610,MATCH($A50,Pokedex!$B$2:$B$610,0))),"-",INDEX(Pokedex!O$2:O$610,MATCH($A50,Pokedex!$B$2:$B$610,0)))</f>
        <v>70</v>
      </c>
      <c r="H50" s="51" t="n">
        <f aca="false" t="array" ref="H50:H50">IF(ISNA(INDEX(Pokedex!P$2:P$610,MATCH($A50,Pokedex!$B$2:$B$610,0))),"-",INDEX(Pokedex!P$2:P$610,MATCH($A50,Pokedex!$B$2:$B$610,0)))</f>
        <v>95</v>
      </c>
      <c r="I50" s="727" t="n">
        <f aca="false" t="array" ref="I50:I50">IF(ISNA(INDEX(Pokedex!Q$2:Q$610,MATCH($A50,Pokedex!$B$2:$B$610,0))),"-",INDEX(Pokedex!Q$2:Q$610,MATCH($A50,Pokedex!$B$2:$B$610,0)))</f>
        <v>150</v>
      </c>
      <c r="J50" s="51" t="n">
        <f aca="false">SUM(D50:I50)</f>
        <v>615</v>
      </c>
      <c r="K50" s="855" t="str">
        <f aca="false" t="array" ref="K50:K50">IF(ISNA(INDEX(Pokedex!R$2:R$610,MATCH($A50,Pokedex!$B$2:$B$610,0))),"-",INDEX(Pokedex!R$2:R$610,MATCH($A50,Pokedex!$B$2:$B$610,0)))</f>
        <v>Flying</v>
      </c>
      <c r="L50" s="855"/>
      <c r="M50" s="727" t="str">
        <f aca="false" t="array" ref="M50:M50">IF(ISNA(INDEX(Pokedex!S$2:S$610,MATCH($A50,Pokedex!$B$2:$B$610,0))),"-",INDEX(Pokedex!S$2:S$610,MATCH($A50,Pokedex!$B$2:$B$610,0)))</f>
        <v>Rock</v>
      </c>
      <c r="N50" s="727"/>
      <c r="O50" s="44"/>
      <c r="P50" s="44"/>
      <c r="Q50" s="44"/>
      <c r="R50" s="790"/>
      <c r="S50" s="791"/>
      <c r="T50" s="792"/>
      <c r="U50" s="792"/>
      <c r="V50" s="792"/>
      <c r="W50" s="792"/>
      <c r="X50" s="792"/>
      <c r="Y50" s="792"/>
      <c r="Z50" s="792"/>
      <c r="AA50" s="792"/>
      <c r="AB50" s="792"/>
      <c r="AC50" s="792"/>
      <c r="AD50" s="792"/>
      <c r="AE50" s="792"/>
    </row>
    <row r="51" customFormat="false" ht="15.75" hidden="false" customHeight="false" outlineLevel="0" collapsed="false">
      <c r="A51" s="817" t="str">
        <f aca="false">$A$19</f>
        <v>Metagross</v>
      </c>
      <c r="B51" s="817"/>
      <c r="C51" s="817"/>
      <c r="D51" s="855" t="n">
        <f aca="false" t="array" ref="D51:D51">IF(ISNA(INDEX(Pokedex!L$2:L$610,MATCH($A51,Pokedex!$B$2:$B$610,0))),"-",INDEX(Pokedex!L$2:L$610,MATCH($A51,Pokedex!$B$2:$B$610,0)))</f>
        <v>80</v>
      </c>
      <c r="E51" s="51" t="n">
        <f aca="false" t="array" ref="E51:E51">IF(ISNA(INDEX(Pokedex!M$2:M$610,MATCH($A51,Pokedex!$B$2:$B$610,0))),"-",INDEX(Pokedex!M$2:M$610,MATCH($A51,Pokedex!$B$2:$B$610,0)))</f>
        <v>135</v>
      </c>
      <c r="F51" s="51" t="n">
        <f aca="false" t="array" ref="F51:F51">IF(ISNA(INDEX(Pokedex!N$2:N$610,MATCH($A51,Pokedex!$B$2:$B$610,0))),"-",INDEX(Pokedex!N$2:N$610,MATCH($A51,Pokedex!$B$2:$B$610,0)))</f>
        <v>130</v>
      </c>
      <c r="G51" s="51" t="n">
        <f aca="false" t="array" ref="G51:G51">IF(ISNA(INDEX(Pokedex!O$2:O$610,MATCH($A51,Pokedex!$B$2:$B$610,0))),"-",INDEX(Pokedex!O$2:O$610,MATCH($A51,Pokedex!$B$2:$B$610,0)))</f>
        <v>95</v>
      </c>
      <c r="H51" s="51" t="n">
        <f aca="false" t="array" ref="H51:H51">IF(ISNA(INDEX(Pokedex!P$2:P$610,MATCH($A51,Pokedex!$B$2:$B$610,0))),"-",INDEX(Pokedex!P$2:P$610,MATCH($A51,Pokedex!$B$2:$B$610,0)))</f>
        <v>90</v>
      </c>
      <c r="I51" s="727" t="n">
        <f aca="false" t="array" ref="I51:I51">IF(ISNA(INDEX(Pokedex!Q$2:Q$610,MATCH($A51,Pokedex!$B$2:$B$610,0))),"-",INDEX(Pokedex!Q$2:Q$610,MATCH($A51,Pokedex!$B$2:$B$610,0)))</f>
        <v>70</v>
      </c>
      <c r="J51" s="51" t="n">
        <f aca="false">SUM(D51:I51)</f>
        <v>600</v>
      </c>
      <c r="K51" s="855" t="str">
        <f aca="false" t="array" ref="K51:K51">IF(ISNA(INDEX(Pokedex!R$2:R$610,MATCH($A51,Pokedex!$B$2:$B$610,0))),"-",INDEX(Pokedex!R$2:R$610,MATCH($A51,Pokedex!$B$2:$B$610,0)))</f>
        <v>Psychic</v>
      </c>
      <c r="L51" s="855"/>
      <c r="M51" s="727" t="str">
        <f aca="false" t="array" ref="M51:M51">IF(ISNA(INDEX(Pokedex!S$2:S$610,MATCH($A51,Pokedex!$B$2:$B$610,0))),"-",INDEX(Pokedex!S$2:S$610,MATCH($A51,Pokedex!$B$2:$B$610,0)))</f>
        <v>Steel</v>
      </c>
      <c r="N51" s="727"/>
      <c r="O51" s="44"/>
      <c r="P51" s="44"/>
      <c r="Q51" s="44"/>
      <c r="R51" s="820"/>
      <c r="S51" s="821"/>
      <c r="T51" s="792"/>
      <c r="U51" s="792"/>
      <c r="V51" s="792"/>
      <c r="W51" s="792"/>
      <c r="X51" s="792"/>
      <c r="Y51" s="792"/>
      <c r="Z51" s="792"/>
      <c r="AA51" s="792"/>
      <c r="AB51" s="792"/>
      <c r="AC51" s="792"/>
      <c r="AD51" s="792"/>
      <c r="AE51" s="792"/>
    </row>
    <row r="52" customFormat="false" ht="15.75" hidden="false" customHeight="false" outlineLevel="0" collapsed="false">
      <c r="A52" s="817" t="str">
        <f aca="false">$A$20</f>
        <v>Porygon2</v>
      </c>
      <c r="B52" s="817"/>
      <c r="C52" s="817"/>
      <c r="D52" s="855" t="n">
        <f aca="false" t="array" ref="D52:D52">IF(ISNA(INDEX(Pokedex!L$2:L$610,MATCH($A52,Pokedex!$B$2:$B$610,0))),"-",INDEX(Pokedex!L$2:L$610,MATCH($A52,Pokedex!$B$2:$B$610,0)))</f>
        <v>85</v>
      </c>
      <c r="E52" s="51" t="n">
        <f aca="false" t="array" ref="E52:E52">IF(ISNA(INDEX(Pokedex!M$2:M$610,MATCH($A52,Pokedex!$B$2:$B$610,0))),"-",INDEX(Pokedex!M$2:M$610,MATCH($A52,Pokedex!$B$2:$B$610,0)))</f>
        <v>80</v>
      </c>
      <c r="F52" s="51" t="n">
        <f aca="false" t="array" ref="F52:F52">IF(ISNA(INDEX(Pokedex!N$2:N$610,MATCH($A52,Pokedex!$B$2:$B$610,0))),"-",INDEX(Pokedex!N$2:N$610,MATCH($A52,Pokedex!$B$2:$B$610,0)))</f>
        <v>90</v>
      </c>
      <c r="G52" s="51" t="n">
        <f aca="false" t="array" ref="G52:G52">IF(ISNA(INDEX(Pokedex!O$2:O$610,MATCH($A52,Pokedex!$B$2:$B$610,0))),"-",INDEX(Pokedex!O$2:O$610,MATCH($A52,Pokedex!$B$2:$B$610,0)))</f>
        <v>105</v>
      </c>
      <c r="H52" s="51" t="n">
        <f aca="false" t="array" ref="H52:H52">IF(ISNA(INDEX(Pokedex!P$2:P$610,MATCH($A52,Pokedex!$B$2:$B$610,0))),"-",INDEX(Pokedex!P$2:P$610,MATCH($A52,Pokedex!$B$2:$B$610,0)))</f>
        <v>95</v>
      </c>
      <c r="I52" s="727" t="n">
        <f aca="false" t="array" ref="I52:I52">IF(ISNA(INDEX(Pokedex!Q$2:Q$610,MATCH($A52,Pokedex!$B$2:$B$610,0))),"-",INDEX(Pokedex!Q$2:Q$610,MATCH($A52,Pokedex!$B$2:$B$610,0)))</f>
        <v>60</v>
      </c>
      <c r="J52" s="51" t="n">
        <f aca="false">SUM(D52:I52)</f>
        <v>515</v>
      </c>
      <c r="K52" s="855" t="str">
        <f aca="false" t="array" ref="K52:K52">IF(ISNA(INDEX(Pokedex!R$2:R$610,MATCH($A52,Pokedex!$B$2:$B$610,0))),"-",INDEX(Pokedex!R$2:R$610,MATCH($A52,Pokedex!$B$2:$B$610,0)))</f>
        <v>Normal</v>
      </c>
      <c r="L52" s="855"/>
      <c r="M52" s="727" t="n">
        <f aca="false">IF(ISNA(INDEX(Pokedex!S$2:S$610,MATCH($A52,Pokedex!$B$2:$B$610,0))),"-",INDEX(Pokedex!S$2:S$610,MATCH($A52,Pokedex!$B$2:$B$610,0)))</f>
        <v>0</v>
      </c>
      <c r="N52" s="727"/>
      <c r="O52" s="44"/>
      <c r="P52" s="44"/>
      <c r="Q52" s="44"/>
      <c r="R52" s="824"/>
      <c r="S52" s="638"/>
      <c r="T52" s="638"/>
      <c r="U52" s="638"/>
      <c r="V52" s="638"/>
      <c r="W52" s="638"/>
      <c r="X52" s="638"/>
      <c r="Y52" s="638"/>
      <c r="Z52" s="638"/>
      <c r="AA52" s="638"/>
      <c r="AB52" s="638"/>
      <c r="AC52" s="638"/>
      <c r="AD52" s="638"/>
      <c r="AE52" s="638"/>
    </row>
    <row r="53" customFormat="false" ht="15.75" hidden="false" customHeight="false" outlineLevel="0" collapsed="false">
      <c r="A53" s="817" t="str">
        <f aca="false">$A$21</f>
        <v>Swellow</v>
      </c>
      <c r="B53" s="817"/>
      <c r="C53" s="817"/>
      <c r="D53" s="855" t="n">
        <f aca="false" t="array" ref="D53:D53">IF(ISNA(INDEX(Pokedex!L$2:L$610,MATCH($A53,Pokedex!$B$2:$B$610,0))),"-",INDEX(Pokedex!L$2:L$610,MATCH($A53,Pokedex!$B$2:$B$610,0)))</f>
        <v>60</v>
      </c>
      <c r="E53" s="51" t="n">
        <f aca="false" t="array" ref="E53:E53">IF(ISNA(INDEX(Pokedex!M$2:M$610,MATCH($A53,Pokedex!$B$2:$B$610,0))),"-",INDEX(Pokedex!M$2:M$610,MATCH($A53,Pokedex!$B$2:$B$610,0)))</f>
        <v>85</v>
      </c>
      <c r="F53" s="51" t="n">
        <f aca="false" t="array" ref="F53:F53">IF(ISNA(INDEX(Pokedex!N$2:N$610,MATCH($A53,Pokedex!$B$2:$B$610,0))),"-",INDEX(Pokedex!N$2:N$610,MATCH($A53,Pokedex!$B$2:$B$610,0)))</f>
        <v>60</v>
      </c>
      <c r="G53" s="51" t="n">
        <f aca="false" t="array" ref="G53:G53">IF(ISNA(INDEX(Pokedex!O$2:O$610,MATCH($A53,Pokedex!$B$2:$B$610,0))),"-",INDEX(Pokedex!O$2:O$610,MATCH($A53,Pokedex!$B$2:$B$610,0)))</f>
        <v>75</v>
      </c>
      <c r="H53" s="51" t="n">
        <f aca="false" t="array" ref="H53:H53">IF(ISNA(INDEX(Pokedex!P$2:P$610,MATCH($A53,Pokedex!$B$2:$B$610,0))),"-",INDEX(Pokedex!P$2:P$610,MATCH($A53,Pokedex!$B$2:$B$610,0)))</f>
        <v>50</v>
      </c>
      <c r="I53" s="727" t="n">
        <f aca="false" t="array" ref="I53:I53">IF(ISNA(INDEX(Pokedex!Q$2:Q$610,MATCH($A53,Pokedex!$B$2:$B$610,0))),"-",INDEX(Pokedex!Q$2:Q$610,MATCH($A53,Pokedex!$B$2:$B$610,0)))</f>
        <v>125</v>
      </c>
      <c r="J53" s="51" t="n">
        <f aca="false">SUM(D53:I53)</f>
        <v>455</v>
      </c>
      <c r="K53" s="855" t="str">
        <f aca="false" t="array" ref="K53:K53">IF(ISNA(INDEX(Pokedex!R$2:R$610,MATCH($A53,Pokedex!$B$2:$B$610,0))),"-",INDEX(Pokedex!R$2:R$610,MATCH($A53,Pokedex!$B$2:$B$610,0)))</f>
        <v>Flying</v>
      </c>
      <c r="L53" s="855"/>
      <c r="M53" s="727" t="str">
        <f aca="false" t="array" ref="M53:M53">IF(ISNA(INDEX(Pokedex!S$2:S$610,MATCH($A53,Pokedex!$B$2:$B$610,0))),"-",INDEX(Pokedex!S$2:S$610,MATCH($A53,Pokedex!$B$2:$B$610,0)))</f>
        <v>Normal</v>
      </c>
      <c r="N53" s="727"/>
      <c r="O53" s="44"/>
      <c r="P53" s="44"/>
      <c r="Q53" s="44"/>
      <c r="R53" s="824"/>
      <c r="S53" s="638"/>
      <c r="T53" s="638"/>
      <c r="U53" s="638"/>
      <c r="V53" s="638"/>
      <c r="W53" s="638"/>
      <c r="X53" s="638"/>
      <c r="Y53" s="638"/>
      <c r="Z53" s="638"/>
      <c r="AA53" s="638"/>
      <c r="AB53" s="638"/>
      <c r="AC53" s="638"/>
      <c r="AD53" s="638"/>
      <c r="AE53" s="638"/>
    </row>
    <row r="54" customFormat="false" ht="15.75" hidden="false" customHeight="false" outlineLevel="0" collapsed="false">
      <c r="A54" s="826" t="str">
        <f aca="false">$A$22</f>
        <v>Gallade</v>
      </c>
      <c r="B54" s="826"/>
      <c r="C54" s="826"/>
      <c r="D54" s="870" t="n">
        <f aca="false" t="array" ref="D54:D54">IF(ISNA(INDEX(Pokedex!L$2:L$610,MATCH($A54,Pokedex!$B$2:$B$610,0))),"-",INDEX(Pokedex!L$2:L$610,MATCH($A54,Pokedex!$B$2:$B$610,0)))</f>
        <v>68</v>
      </c>
      <c r="E54" s="828" t="n">
        <f aca="false" t="array" ref="E54:E54">IF(ISNA(INDEX(Pokedex!M$2:M$610,MATCH($A54,Pokedex!$B$2:$B$610,0))),"-",INDEX(Pokedex!M$2:M$610,MATCH($A54,Pokedex!$B$2:$B$610,0)))</f>
        <v>125</v>
      </c>
      <c r="F54" s="828" t="n">
        <f aca="false" t="array" ref="F54:F54">IF(ISNA(INDEX(Pokedex!N$2:N$610,MATCH($A54,Pokedex!$B$2:$B$610,0))),"-",INDEX(Pokedex!N$2:N$610,MATCH($A54,Pokedex!$B$2:$B$610,0)))</f>
        <v>65</v>
      </c>
      <c r="G54" s="828" t="n">
        <f aca="false" t="array" ref="G54:G54">IF(ISNA(INDEX(Pokedex!O$2:O$610,MATCH($A54,Pokedex!$B$2:$B$610,0))),"-",INDEX(Pokedex!O$2:O$610,MATCH($A54,Pokedex!$B$2:$B$610,0)))</f>
        <v>65</v>
      </c>
      <c r="H54" s="828" t="n">
        <f aca="false" t="array" ref="H54:H54">IF(ISNA(INDEX(Pokedex!P$2:P$610,MATCH($A54,Pokedex!$B$2:$B$610,0))),"-",INDEX(Pokedex!P$2:P$610,MATCH($A54,Pokedex!$B$2:$B$610,0)))</f>
        <v>115</v>
      </c>
      <c r="I54" s="744" t="n">
        <f aca="false" t="array" ref="I54:I54">IF(ISNA(INDEX(Pokedex!Q$2:Q$610,MATCH($A54,Pokedex!$B$2:$B$610,0))),"-",INDEX(Pokedex!Q$2:Q$610,MATCH($A54,Pokedex!$B$2:$B$610,0)))</f>
        <v>80</v>
      </c>
      <c r="J54" s="828" t="n">
        <f aca="false">SUM(D54:I54)</f>
        <v>518</v>
      </c>
      <c r="K54" s="870" t="str">
        <f aca="false" t="array" ref="K54:K54">IF(ISNA(INDEX(Pokedex!R$2:R$610,MATCH($A54,Pokedex!$B$2:$B$610,0))),"-",INDEX(Pokedex!R$2:R$610,MATCH($A54,Pokedex!$B$2:$B$610,0)))</f>
        <v>Fighting</v>
      </c>
      <c r="L54" s="870"/>
      <c r="M54" s="744" t="str">
        <f aca="false" t="array" ref="M54:M54">IF(ISNA(INDEX(Pokedex!S$2:S$610,MATCH($A54,Pokedex!$B$2:$B$610,0))),"-",INDEX(Pokedex!S$2:S$610,MATCH($A54,Pokedex!$B$2:$B$610,0)))</f>
        <v>Psychic</v>
      </c>
      <c r="N54" s="744"/>
      <c r="O54" s="44"/>
      <c r="P54" s="44"/>
      <c r="Q54" s="871" t="s">
        <v>2068</v>
      </c>
      <c r="R54" s="871"/>
      <c r="S54" s="871"/>
      <c r="T54" s="871" t="s">
        <v>2069</v>
      </c>
      <c r="U54" s="871"/>
      <c r="V54" s="871"/>
      <c r="W54" s="872" t="s">
        <v>209</v>
      </c>
      <c r="X54" s="872"/>
      <c r="Y54" s="332" t="s">
        <v>2070</v>
      </c>
      <c r="Z54" s="332"/>
      <c r="AA54" s="172" t="s">
        <v>213</v>
      </c>
      <c r="AB54" s="172"/>
      <c r="AC54" s="172"/>
      <c r="AD54" s="172"/>
      <c r="AE54" s="873"/>
    </row>
    <row r="55" customFormat="false" ht="15.75" hidden="false" customHeight="false" outlineLevel="0" collapsed="false">
      <c r="A55" s="874" t="s">
        <v>2075</v>
      </c>
      <c r="B55" s="874"/>
      <c r="C55" s="874"/>
      <c r="D55" s="875" t="n">
        <f aca="false">IF(ISERROR(AVERAGE(D44:D54)),"-",AVERAGE(D44:D54))</f>
        <v>75.9090909090909</v>
      </c>
      <c r="E55" s="876" t="n">
        <f aca="false">IF(ISERROR(AVERAGE(E44:E54)),"-",AVERAGE(E44:E54))</f>
        <v>94.6363636363637</v>
      </c>
      <c r="F55" s="876" t="n">
        <f aca="false">IF(ISERROR(AVERAGE(F44:F54)),"-",AVERAGE(F44:F54))</f>
        <v>92.7272727272727</v>
      </c>
      <c r="G55" s="876" t="n">
        <f aca="false">IF(ISERROR(AVERAGE(G44:G54)),"-",AVERAGE(G44:G54))</f>
        <v>81.5454545454545</v>
      </c>
      <c r="H55" s="876" t="n">
        <f aca="false">IF(ISERROR(AVERAGE(H44:H54)),"-",AVERAGE(H44:H54))</f>
        <v>91.6363636363636</v>
      </c>
      <c r="I55" s="877" t="n">
        <f aca="false">IF(ISERROR(AVERAGE(I44:I54)),"-",AVERAGE(I44:I54))</f>
        <v>86.0909090909091</v>
      </c>
      <c r="J55" s="877" t="n">
        <f aca="false">IF(ISERROR(AVERAGE(J44:J54)),"-",AVERAGE(J44:J54))</f>
        <v>522.545454545455</v>
      </c>
      <c r="K55" s="44"/>
      <c r="L55" s="44"/>
      <c r="M55" s="44"/>
      <c r="N55" s="44"/>
      <c r="O55" s="44"/>
      <c r="P55" s="44"/>
      <c r="Q55" s="878" t="str">
        <f aca="false">IFERROR(__xludf.dummyfunction("{if(isna(filter(Transactions!$AR$3:$AR$100,Transactions!$AU$3:$AU$100=$L$1)),,filter(Transactions!$AR$3:$AR$100,Transactions!$AU$3:$AU$100=$L$1));if(isna(filter(Transactions!$AW$3:$AW$100,Transactions!$AP$3:$AP$100=$L$1)),,filter(Transactions!$AW$3:$AW$10"&amp;"0,Transactions!$AP$3:$AP$100=$L$1))}"),"")</f>
        <v/>
      </c>
      <c r="R55" s="878"/>
      <c r="S55" s="878"/>
      <c r="T55" s="878" t="str">
        <f aca="false">IFERROR(__xludf.dummyfunction("{if(isna(filter(Transactions!$AW$3:$AW$100,Transactions!$AU$3:$AU$100=$L$1)),,filter(Transactions!$AW$3:$AW$100,Transactions!$AU$3:$AU$100=$L$1));if(isna(filter(Transactions!$AR$3:$AR$100,Transactions!$AP$3:$AP$100=$L$1)),,filter(Transactions!$AR$3:$AR$10"&amp;"0,Transactions!$AP$3:$AP$100=$L$1))}"),"")</f>
        <v/>
      </c>
      <c r="U55" s="878"/>
      <c r="V55" s="878"/>
      <c r="W55" s="879" t="str">
        <f aca="false">IFERROR(__xludf.dummyfunction("{if(isna(filter(Transactions!$AZ$3:$AZ$100,Transactions!$AU$3:$AU$100=$L$1)),,filter(Transactions!$AZ$3:$AZ$100,Transactions!$AU$3:$AU$100=$L$1));if(isna(filter(Transactions!$AZ$3:$AZ$100,Transactions!$AP$3:$AP$100=$L$1)),,filter(Transactions!$AZ$3:$AZ$10"&amp;"0,Transactions!$AP$3:$AP$100=$L$1))}"),"")</f>
        <v/>
      </c>
      <c r="X55" s="879"/>
      <c r="Y55" s="879" t="str">
        <f aca="false">IFERROR(__xludf.dummyfunction("{if(isna(filter(Transactions!$AP$3:$AP$100,Transactions!$AU$3:$AU$100=$L$1)),,filter(Transactions!$AP$3:$AP$100,Transactions!$AU$3:$AU$100=$L$1));if(isna(filter(Transactions!$AU$3:$AU$100,Transactions!$AP$3:$AP$100=$L$1)),,filter(Transactions!$AU$3:$AU$10"&amp;"0,Transactions!$AP$3:$AP$100=$L$1))}"),"")</f>
        <v/>
      </c>
      <c r="Z55" s="879"/>
      <c r="AA55" s="880" t="str">
        <f aca="false">IFERROR(__xludf.dummyfunction("{if(isna(filter(Transactions!$BB$3:$BB$100,Transactions!$AU$3:$AU$100=$L$1)),,filter(Transactions!$BB$3:$BB$100,Transactions!$AU$3:$AU$100=$L$1));if(isna(filter(Transactions!$BB$3:$BB$100,Transactions!$AP$3:$AP$100=$L$1)),,filter(Transactions!$BB$3:$BB$10"&amp;"0,Transactions!$AP$3:$AP$100=$L$1))}"),"")</f>
        <v/>
      </c>
      <c r="AB55" s="880"/>
      <c r="AC55" s="880"/>
      <c r="AD55" s="880"/>
      <c r="AE55" s="881"/>
    </row>
    <row r="56" customFormat="false" ht="15.75" hidden="false" customHeight="false" outlineLevel="0" collapsed="false">
      <c r="A56" s="832" t="s">
        <v>2063</v>
      </c>
      <c r="B56" s="832"/>
      <c r="C56" s="832"/>
      <c r="D56" s="882" t="n">
        <f aca="false">SUM(D44:D54)</f>
        <v>835</v>
      </c>
      <c r="E56" s="883" t="n">
        <f aca="false">SUM(E44:E54)</f>
        <v>1041</v>
      </c>
      <c r="F56" s="883" t="n">
        <f aca="false">SUM(F44:F54)</f>
        <v>1020</v>
      </c>
      <c r="G56" s="883" t="n">
        <f aca="false">SUM(G44:G54)</f>
        <v>897</v>
      </c>
      <c r="H56" s="883" t="n">
        <f aca="false">SUM(H44:H54)</f>
        <v>1008</v>
      </c>
      <c r="I56" s="783" t="n">
        <f aca="false">SUM(I44:I54)</f>
        <v>947</v>
      </c>
      <c r="J56" s="783" t="n">
        <f aca="false">SUM(J44:J54)</f>
        <v>5748</v>
      </c>
      <c r="K56" s="44"/>
      <c r="L56" s="44"/>
      <c r="M56" s="44"/>
      <c r="N56" s="44"/>
      <c r="O56" s="44"/>
      <c r="P56" s="44"/>
      <c r="Q56" s="884" t="s">
        <v>84</v>
      </c>
      <c r="R56" s="884"/>
      <c r="S56" s="884"/>
      <c r="T56" s="884" t="s">
        <v>98</v>
      </c>
      <c r="U56" s="884"/>
      <c r="V56" s="884"/>
      <c r="W56" s="885" t="s">
        <v>83</v>
      </c>
      <c r="X56" s="885"/>
      <c r="Y56" s="885" t="s">
        <v>711</v>
      </c>
      <c r="Z56" s="885"/>
      <c r="AA56" s="757" t="s">
        <v>2030</v>
      </c>
      <c r="AB56" s="757"/>
      <c r="AC56" s="757"/>
      <c r="AD56" s="757"/>
      <c r="AE56" s="886"/>
    </row>
    <row r="57" customFormat="false" ht="15.75" hidden="false" customHeight="false" outlineLevel="0" collapsed="false">
      <c r="A57" s="44"/>
      <c r="B57" s="44"/>
      <c r="C57" s="44"/>
      <c r="D57" s="44"/>
      <c r="E57" s="44"/>
      <c r="F57" s="44"/>
      <c r="G57" s="44"/>
      <c r="H57" s="44"/>
      <c r="I57" s="44"/>
      <c r="J57" s="44"/>
      <c r="K57" s="44"/>
      <c r="L57" s="44"/>
      <c r="M57" s="44"/>
      <c r="N57" s="44"/>
      <c r="O57" s="44"/>
      <c r="P57" s="44"/>
      <c r="Q57" s="887" t="s">
        <v>88</v>
      </c>
      <c r="R57" s="887"/>
      <c r="S57" s="887"/>
      <c r="T57" s="887" t="s">
        <v>94</v>
      </c>
      <c r="U57" s="887"/>
      <c r="V57" s="887"/>
      <c r="W57" s="888" t="s">
        <v>83</v>
      </c>
      <c r="X57" s="888"/>
      <c r="Y57" s="888" t="s">
        <v>711</v>
      </c>
      <c r="Z57" s="888"/>
      <c r="AA57" s="889" t="s">
        <v>2030</v>
      </c>
      <c r="AB57" s="889"/>
      <c r="AC57" s="889"/>
      <c r="AD57" s="889"/>
      <c r="AE57" s="881"/>
    </row>
    <row r="58" customFormat="false" ht="15.75" hidden="false" customHeight="false" outlineLevel="0" collapsed="false">
      <c r="A58" s="852" t="s">
        <v>773</v>
      </c>
      <c r="B58" s="852"/>
      <c r="C58" s="852"/>
      <c r="D58" s="342" t="s">
        <v>2076</v>
      </c>
      <c r="E58" s="342"/>
      <c r="F58" s="342"/>
      <c r="G58" s="342"/>
      <c r="H58" s="342"/>
      <c r="I58" s="342"/>
      <c r="J58" s="50"/>
      <c r="K58" s="341" t="s">
        <v>2077</v>
      </c>
      <c r="L58" s="341"/>
      <c r="M58" s="341"/>
      <c r="N58" s="341"/>
      <c r="O58" s="44"/>
      <c r="P58" s="44"/>
      <c r="Q58" s="884"/>
      <c r="R58" s="884"/>
      <c r="S58" s="884"/>
      <c r="T58" s="884"/>
      <c r="U58" s="884"/>
      <c r="V58" s="884"/>
      <c r="W58" s="885"/>
      <c r="X58" s="885"/>
      <c r="Y58" s="885"/>
      <c r="Z58" s="885"/>
      <c r="AA58" s="757"/>
      <c r="AB58" s="757"/>
      <c r="AC58" s="757"/>
      <c r="AD58" s="757"/>
      <c r="AE58" s="886"/>
    </row>
    <row r="59" customFormat="false" ht="15.75" hidden="false" customHeight="false" outlineLevel="0" collapsed="false">
      <c r="A59" s="890" t="str">
        <f aca="false">$A$12</f>
        <v>Celesteela</v>
      </c>
      <c r="B59" s="890"/>
      <c r="C59" s="890"/>
      <c r="D59" s="867" t="str">
        <f aca="false" t="array" ref="D59:D59">IF(ISNA(INDEX(Pokedex!T$2:T$610,MATCH($A59,Pokedex!$B$2:$B$610,0))),"-",INDEX(Pokedex!T$2:T$610,MATCH($A59,Pokedex!$B$2:$B$610,0)))</f>
        <v>Beast Boost</v>
      </c>
      <c r="E59" s="867"/>
      <c r="F59" s="868" t="n">
        <f aca="false">IF(ISNA(INDEX(Pokedex!U$2:U$610,MATCH($A59,Pokedex!$B$2:$B$610,0))),"-",INDEX(Pokedex!U$2:U$610,MATCH($A59,Pokedex!$B$2:$B$610,0)))</f>
        <v>0</v>
      </c>
      <c r="G59" s="868"/>
      <c r="H59" s="869" t="n">
        <f aca="false">IF(ISNA(INDEX(Pokedex!V$2:V$610,MATCH($A59,Pokedex!$B$2:$B$610,0))),"-",INDEX(Pokedex!V$2:V$610,MATCH($A59,Pokedex!$B$2:$B$610,0)))</f>
        <v>0</v>
      </c>
      <c r="I59" s="869"/>
      <c r="J59" s="44"/>
      <c r="K59" s="891" t="str">
        <f aca="false">IFERROR(__xludf.dummyfunction("if(isna(filter($R$2:$R$13,isblank($R$2:$R$13)=FALSE)),""NONE"",filter($R$2:$R$13,isblank($R$2:$R$13)=FALSE))"),"Aerodactyl-Mega")</f>
        <v>Aerodactyl-Mega</v>
      </c>
      <c r="L59" s="891"/>
      <c r="M59" s="892" t="str">
        <f aca="false">IFERROR(__xludf.dummyfunction("if(isna(filter($S$2:$S$13,isblank($S$2:$S$13)=FALSE)),""N/A"",filter($S$2:$S$13,isblank($S$2:$S$13)=FALSE))"),"Stealth Rock")</f>
        <v>Stealth Rock</v>
      </c>
      <c r="N59" s="892"/>
      <c r="O59" s="44"/>
      <c r="P59" s="44"/>
      <c r="Q59" s="887"/>
      <c r="R59" s="887"/>
      <c r="S59" s="887"/>
      <c r="T59" s="887"/>
      <c r="U59" s="887"/>
      <c r="V59" s="887"/>
      <c r="W59" s="888"/>
      <c r="X59" s="888"/>
      <c r="Y59" s="888"/>
      <c r="Z59" s="888"/>
      <c r="AA59" s="889"/>
      <c r="AB59" s="889"/>
      <c r="AC59" s="889"/>
      <c r="AD59" s="889"/>
      <c r="AE59" s="881"/>
    </row>
    <row r="60" customFormat="false" ht="15.75" hidden="false" customHeight="false" outlineLevel="0" collapsed="false">
      <c r="A60" s="840" t="str">
        <f aca="false">$A$13</f>
        <v>Rotom-Wash</v>
      </c>
      <c r="B60" s="840"/>
      <c r="C60" s="840"/>
      <c r="D60" s="855" t="str">
        <f aca="false" t="array" ref="D60:D60">IF(ISNA(INDEX(Pokedex!T$2:T$610,MATCH($A60,Pokedex!$B$2:$B$610,0))),"-",INDEX(Pokedex!T$2:T$610,MATCH($A60,Pokedex!$B$2:$B$610,0)))</f>
        <v>Levitate</v>
      </c>
      <c r="E60" s="855"/>
      <c r="F60" s="854" t="n">
        <f aca="false">IF(ISNA(INDEX(Pokedex!U$2:U$610,MATCH($A60,Pokedex!$B$2:$B$610,0))),"-",INDEX(Pokedex!U$2:U$610,MATCH($A60,Pokedex!$B$2:$B$610,0)))</f>
        <v>0</v>
      </c>
      <c r="G60" s="854"/>
      <c r="H60" s="727" t="n">
        <f aca="false">IF(ISNA(INDEX(Pokedex!V$2:V$610,MATCH($A60,Pokedex!$B$2:$B$610,0))),"-",INDEX(Pokedex!V$2:V$610,MATCH($A60,Pokedex!$B$2:$B$610,0)))</f>
        <v>0</v>
      </c>
      <c r="I60" s="727"/>
      <c r="J60" s="44"/>
      <c r="K60" s="823" t="s">
        <v>105</v>
      </c>
      <c r="L60" s="823"/>
      <c r="M60" s="477" t="s">
        <v>1106</v>
      </c>
      <c r="N60" s="477"/>
      <c r="O60" s="44"/>
      <c r="P60" s="44"/>
      <c r="Q60" s="884"/>
      <c r="R60" s="884"/>
      <c r="S60" s="884"/>
      <c r="T60" s="884"/>
      <c r="U60" s="884"/>
      <c r="V60" s="884"/>
      <c r="W60" s="885"/>
      <c r="X60" s="885"/>
      <c r="Y60" s="885"/>
      <c r="Z60" s="885"/>
      <c r="AA60" s="757"/>
      <c r="AB60" s="757"/>
      <c r="AC60" s="757"/>
      <c r="AD60" s="757"/>
      <c r="AE60" s="886"/>
    </row>
    <row r="61" customFormat="false" ht="15.75" hidden="false" customHeight="false" outlineLevel="0" collapsed="false">
      <c r="A61" s="840" t="str">
        <f aca="false">$A$14</f>
        <v>Umbreon</v>
      </c>
      <c r="B61" s="840"/>
      <c r="C61" s="840"/>
      <c r="D61" s="855" t="str">
        <f aca="false" t="array" ref="D61:D61">IF(ISNA(INDEX(Pokedex!T$2:T$610,MATCH($A61,Pokedex!$B$2:$B$610,0))),"-",INDEX(Pokedex!T$2:T$610,MATCH($A61,Pokedex!$B$2:$B$610,0)))</f>
        <v>Inner Focus</v>
      </c>
      <c r="E61" s="855"/>
      <c r="F61" s="854" t="str">
        <f aca="false" t="array" ref="F61:F61">IF(ISNA(INDEX(Pokedex!U$2:U$610,MATCH($A61,Pokedex!$B$2:$B$610,0))),"-",INDEX(Pokedex!U$2:U$610,MATCH($A61,Pokedex!$B$2:$B$610,0)))</f>
        <v>Synchronize</v>
      </c>
      <c r="G61" s="854"/>
      <c r="H61" s="727" t="n">
        <f aca="false">IF(ISNA(INDEX(Pokedex!V$2:V$610,MATCH($A61,Pokedex!$B$2:$B$610,0))),"-",INDEX(Pokedex!V$2:V$610,MATCH($A61,Pokedex!$B$2:$B$610,0)))</f>
        <v>0</v>
      </c>
      <c r="I61" s="727"/>
      <c r="J61" s="44"/>
      <c r="K61" s="823" t="s">
        <v>94</v>
      </c>
      <c r="L61" s="823"/>
      <c r="M61" s="477" t="s">
        <v>1106</v>
      </c>
      <c r="N61" s="477"/>
      <c r="O61" s="44"/>
      <c r="P61" s="44"/>
      <c r="Q61" s="887"/>
      <c r="R61" s="887"/>
      <c r="S61" s="887"/>
      <c r="T61" s="887"/>
      <c r="U61" s="887"/>
      <c r="V61" s="887"/>
      <c r="W61" s="888"/>
      <c r="X61" s="888"/>
      <c r="Y61" s="888"/>
      <c r="Z61" s="888"/>
      <c r="AA61" s="889"/>
      <c r="AB61" s="889"/>
      <c r="AC61" s="889"/>
      <c r="AD61" s="889"/>
      <c r="AE61" s="881"/>
    </row>
    <row r="62" customFormat="false" ht="15.75" hidden="false" customHeight="false" outlineLevel="0" collapsed="false">
      <c r="A62" s="840" t="str">
        <f aca="false">$A$15</f>
        <v>Minior</v>
      </c>
      <c r="B62" s="840"/>
      <c r="C62" s="840"/>
      <c r="D62" s="855" t="str">
        <f aca="false" t="array" ref="D62:D62">IF(ISNA(INDEX(Pokedex!T$2:T$610,MATCH($A62,Pokedex!$B$2:$B$610,0))),"-",INDEX(Pokedex!T$2:T$610,MATCH($A62,Pokedex!$B$2:$B$610,0)))</f>
        <v>Shields Down</v>
      </c>
      <c r="E62" s="855"/>
      <c r="F62" s="854" t="n">
        <f aca="false">IF(ISNA(INDEX(Pokedex!U$2:U$610,MATCH($A62,Pokedex!$B$2:$B$610,0))),"-",INDEX(Pokedex!U$2:U$610,MATCH($A62,Pokedex!$B$2:$B$610,0)))</f>
        <v>0</v>
      </c>
      <c r="G62" s="854"/>
      <c r="H62" s="727" t="n">
        <f aca="false">IF(ISNA(INDEX(Pokedex!V$2:V$610,MATCH($A62,Pokedex!$B$2:$B$610,0))),"-",INDEX(Pokedex!V$2:V$610,MATCH($A62,Pokedex!$B$2:$B$610,0)))</f>
        <v>0</v>
      </c>
      <c r="I62" s="727"/>
      <c r="J62" s="44"/>
      <c r="K62" s="823" t="s">
        <v>248</v>
      </c>
      <c r="L62" s="823"/>
      <c r="M62" s="477" t="s">
        <v>1106</v>
      </c>
      <c r="N62" s="477"/>
      <c r="O62" s="44"/>
      <c r="P62" s="44"/>
      <c r="Q62" s="884"/>
      <c r="R62" s="884"/>
      <c r="S62" s="884"/>
      <c r="T62" s="884"/>
      <c r="U62" s="884"/>
      <c r="V62" s="884"/>
      <c r="W62" s="885"/>
      <c r="X62" s="885"/>
      <c r="Y62" s="885"/>
      <c r="Z62" s="885"/>
      <c r="AA62" s="757"/>
      <c r="AB62" s="757"/>
      <c r="AC62" s="757"/>
      <c r="AD62" s="757"/>
      <c r="AE62" s="886"/>
    </row>
    <row r="63" customFormat="false" ht="15.75" hidden="false" customHeight="false" outlineLevel="0" collapsed="false">
      <c r="A63" s="840" t="str">
        <f aca="false">$A$16</f>
        <v>Accelgor</v>
      </c>
      <c r="B63" s="840"/>
      <c r="C63" s="840"/>
      <c r="D63" s="855" t="str">
        <f aca="false" t="array" ref="D63:D63">IF(ISNA(INDEX(Pokedex!T$2:T$610,MATCH($A63,Pokedex!$B$2:$B$610,0))),"-",INDEX(Pokedex!T$2:T$610,MATCH($A63,Pokedex!$B$2:$B$610,0)))</f>
        <v>Hydration</v>
      </c>
      <c r="E63" s="855"/>
      <c r="F63" s="854" t="str">
        <f aca="false" t="array" ref="F63:F63">IF(ISNA(INDEX(Pokedex!U$2:U$610,MATCH($A63,Pokedex!$B$2:$B$610,0))),"-",INDEX(Pokedex!U$2:U$610,MATCH($A63,Pokedex!$B$2:$B$610,0)))</f>
        <v>Sticky Hold</v>
      </c>
      <c r="G63" s="854"/>
      <c r="H63" s="727" t="str">
        <f aca="false" t="array" ref="H63:H63">IF(ISNA(INDEX(Pokedex!V$2:V$610,MATCH($A63,Pokedex!$B$2:$B$610,0))),"-",INDEX(Pokedex!V$2:V$610,MATCH($A63,Pokedex!$B$2:$B$610,0)))</f>
        <v>Unburden</v>
      </c>
      <c r="I63" s="727"/>
      <c r="J63" s="44"/>
      <c r="K63" s="823" t="s">
        <v>24</v>
      </c>
      <c r="L63" s="823"/>
      <c r="M63" s="477" t="s">
        <v>1107</v>
      </c>
      <c r="N63" s="477"/>
      <c r="O63" s="44"/>
      <c r="P63" s="44"/>
      <c r="Q63" s="887"/>
      <c r="R63" s="887"/>
      <c r="S63" s="887"/>
      <c r="T63" s="887"/>
      <c r="U63" s="887"/>
      <c r="V63" s="887"/>
      <c r="W63" s="888"/>
      <c r="X63" s="888"/>
      <c r="Y63" s="888"/>
      <c r="Z63" s="888"/>
      <c r="AA63" s="889"/>
      <c r="AB63" s="889"/>
      <c r="AC63" s="889"/>
      <c r="AD63" s="889"/>
      <c r="AE63" s="881"/>
    </row>
    <row r="64" customFormat="false" ht="15.75" hidden="false" customHeight="false" outlineLevel="0" collapsed="false">
      <c r="A64" s="840" t="str">
        <f aca="false">$A$17</f>
        <v>Golem-Alola</v>
      </c>
      <c r="B64" s="840"/>
      <c r="C64" s="840"/>
      <c r="D64" s="855" t="str">
        <f aca="false" t="array" ref="D64:D64">IF(ISNA(INDEX(Pokedex!T$2:T$610,MATCH($A64,Pokedex!$B$2:$B$610,0))),"-",INDEX(Pokedex!T$2:T$610,MATCH($A64,Pokedex!$B$2:$B$610,0)))</f>
        <v>Galvanize</v>
      </c>
      <c r="E64" s="855"/>
      <c r="F64" s="854" t="str">
        <f aca="false" t="array" ref="F64:F64">IF(ISNA(INDEX(Pokedex!U$2:U$610,MATCH($A64,Pokedex!$B$2:$B$610,0))),"-",INDEX(Pokedex!U$2:U$610,MATCH($A64,Pokedex!$B$2:$B$610,0)))</f>
        <v>Magnet Pull</v>
      </c>
      <c r="G64" s="854"/>
      <c r="H64" s="727" t="str">
        <f aca="false" t="array" ref="H64:H64">IF(ISNA(INDEX(Pokedex!V$2:V$610,MATCH($A64,Pokedex!$B$2:$B$610,0))),"-",INDEX(Pokedex!V$2:V$610,MATCH($A64,Pokedex!$B$2:$B$610,0)))</f>
        <v>Sturdy</v>
      </c>
      <c r="I64" s="727"/>
      <c r="J64" s="44"/>
      <c r="K64" s="823" t="s">
        <v>24</v>
      </c>
      <c r="L64" s="823"/>
      <c r="M64" s="477" t="s">
        <v>1108</v>
      </c>
      <c r="N64" s="477"/>
      <c r="O64" s="44"/>
      <c r="P64" s="44"/>
      <c r="Q64" s="884"/>
      <c r="R64" s="884"/>
      <c r="S64" s="884"/>
      <c r="T64" s="884"/>
      <c r="U64" s="884"/>
      <c r="V64" s="884"/>
      <c r="W64" s="885"/>
      <c r="X64" s="885"/>
      <c r="Y64" s="885"/>
      <c r="Z64" s="885"/>
      <c r="AA64" s="757"/>
      <c r="AB64" s="757"/>
      <c r="AC64" s="757"/>
      <c r="AD64" s="757"/>
      <c r="AE64" s="886"/>
    </row>
    <row r="65" customFormat="false" ht="15.75" hidden="false" customHeight="false" outlineLevel="0" collapsed="false">
      <c r="A65" s="840" t="str">
        <f aca="false">$A$18</f>
        <v>Aerodactyl-Mega</v>
      </c>
      <c r="B65" s="840"/>
      <c r="C65" s="840"/>
      <c r="D65" s="855" t="str">
        <f aca="false" t="array" ref="D65:D65">IF(ISNA(INDEX(Pokedex!T$2:T$610,MATCH($A65,Pokedex!$B$2:$B$610,0))),"-",INDEX(Pokedex!T$2:T$610,MATCH($A65,Pokedex!$B$2:$B$610,0)))</f>
        <v>Tough Claws</v>
      </c>
      <c r="E65" s="855"/>
      <c r="F65" s="854" t="n">
        <f aca="false">IF(ISNA(INDEX(Pokedex!U$2:U$610,MATCH($A65,Pokedex!$B$2:$B$610,0))),"-",INDEX(Pokedex!U$2:U$610,MATCH($A65,Pokedex!$B$2:$B$610,0)))</f>
        <v>0</v>
      </c>
      <c r="G65" s="854"/>
      <c r="H65" s="727" t="n">
        <f aca="false">IF(ISNA(INDEX(Pokedex!V$2:V$610,MATCH($A65,Pokedex!$B$2:$B$610,0))),"-",INDEX(Pokedex!V$2:V$610,MATCH($A65,Pokedex!$B$2:$B$610,0)))</f>
        <v>0</v>
      </c>
      <c r="I65" s="727"/>
      <c r="J65" s="44"/>
      <c r="K65" s="823"/>
      <c r="L65" s="823"/>
      <c r="M65" s="477"/>
      <c r="N65" s="477"/>
      <c r="O65" s="44"/>
      <c r="P65" s="44"/>
      <c r="Q65" s="887"/>
      <c r="R65" s="887"/>
      <c r="S65" s="887"/>
      <c r="T65" s="887"/>
      <c r="U65" s="887"/>
      <c r="V65" s="887"/>
      <c r="W65" s="888"/>
      <c r="X65" s="888"/>
      <c r="Y65" s="888"/>
      <c r="Z65" s="888"/>
      <c r="AA65" s="889"/>
      <c r="AB65" s="889"/>
      <c r="AC65" s="889"/>
      <c r="AD65" s="889"/>
      <c r="AE65" s="881"/>
    </row>
    <row r="66" customFormat="false" ht="15.75" hidden="false" customHeight="false" outlineLevel="0" collapsed="false">
      <c r="A66" s="840" t="str">
        <f aca="false">$A$19</f>
        <v>Metagross</v>
      </c>
      <c r="B66" s="840"/>
      <c r="C66" s="840"/>
      <c r="D66" s="855" t="str">
        <f aca="false" t="array" ref="D66:D66">IF(ISNA(INDEX(Pokedex!T$2:T$610,MATCH($A66,Pokedex!$B$2:$B$610,0))),"-",INDEX(Pokedex!T$2:T$610,MATCH($A66,Pokedex!$B$2:$B$610,0)))</f>
        <v>Clear Body</v>
      </c>
      <c r="E66" s="855"/>
      <c r="F66" s="854" t="str">
        <f aca="false" t="array" ref="F66:F66">IF(ISNA(INDEX(Pokedex!U$2:U$610,MATCH($A66,Pokedex!$B$2:$B$610,0))),"-",INDEX(Pokedex!U$2:U$610,MATCH($A66,Pokedex!$B$2:$B$610,0)))</f>
        <v>Light Metal</v>
      </c>
      <c r="G66" s="854"/>
      <c r="H66" s="727" t="n">
        <f aca="false">IF(ISNA(INDEX(Pokedex!V$2:V$610,MATCH($A66,Pokedex!$B$2:$B$610,0))),"-",INDEX(Pokedex!V$2:V$610,MATCH($A66,Pokedex!$B$2:$B$610,0)))</f>
        <v>0</v>
      </c>
      <c r="I66" s="727"/>
      <c r="J66" s="44"/>
      <c r="K66" s="823"/>
      <c r="L66" s="823"/>
      <c r="M66" s="477"/>
      <c r="N66" s="477"/>
      <c r="O66" s="44"/>
      <c r="P66" s="44"/>
      <c r="Q66" s="884"/>
      <c r="R66" s="884"/>
      <c r="S66" s="884"/>
      <c r="T66" s="884"/>
      <c r="U66" s="884"/>
      <c r="V66" s="884"/>
      <c r="W66" s="885"/>
      <c r="X66" s="885"/>
      <c r="Y66" s="885"/>
      <c r="Z66" s="885"/>
      <c r="AA66" s="757"/>
      <c r="AB66" s="757"/>
      <c r="AC66" s="757"/>
      <c r="AD66" s="757"/>
      <c r="AE66" s="886"/>
    </row>
    <row r="67" customFormat="false" ht="15.75" hidden="false" customHeight="false" outlineLevel="0" collapsed="false">
      <c r="A67" s="840" t="str">
        <f aca="false">$A$20</f>
        <v>Porygon2</v>
      </c>
      <c r="B67" s="840"/>
      <c r="C67" s="840"/>
      <c r="D67" s="855" t="str">
        <f aca="false" t="array" ref="D67:D67">IF(ISNA(INDEX(Pokedex!T$2:T$610,MATCH($A67,Pokedex!$B$2:$B$610,0))),"-",INDEX(Pokedex!T$2:T$610,MATCH($A67,Pokedex!$B$2:$B$610,0)))</f>
        <v>Adaptability</v>
      </c>
      <c r="E67" s="855"/>
      <c r="F67" s="854" t="str">
        <f aca="false" t="array" ref="F67:F67">IF(ISNA(INDEX(Pokedex!U$2:U$610,MATCH($A67,Pokedex!$B$2:$B$610,0))),"-",INDEX(Pokedex!U$2:U$610,MATCH($A67,Pokedex!$B$2:$B$610,0)))</f>
        <v>Download</v>
      </c>
      <c r="G67" s="854"/>
      <c r="H67" s="727" t="str">
        <f aca="false" t="array" ref="H67:H67">IF(ISNA(INDEX(Pokedex!V$2:V$610,MATCH($A67,Pokedex!$B$2:$B$610,0))),"-",INDEX(Pokedex!V$2:V$610,MATCH($A67,Pokedex!$B$2:$B$610,0)))</f>
        <v>Trace</v>
      </c>
      <c r="I67" s="727"/>
      <c r="J67" s="44"/>
      <c r="K67" s="823"/>
      <c r="L67" s="823"/>
      <c r="M67" s="477"/>
      <c r="N67" s="477"/>
      <c r="O67" s="44"/>
      <c r="P67" s="44"/>
      <c r="Q67" s="887"/>
      <c r="R67" s="887"/>
      <c r="S67" s="887"/>
      <c r="T67" s="887"/>
      <c r="U67" s="887"/>
      <c r="V67" s="887"/>
      <c r="W67" s="888"/>
      <c r="X67" s="888"/>
      <c r="Y67" s="888"/>
      <c r="Z67" s="888"/>
      <c r="AA67" s="889"/>
      <c r="AB67" s="889"/>
      <c r="AC67" s="889"/>
      <c r="AD67" s="889"/>
      <c r="AE67" s="881"/>
    </row>
    <row r="68" customFormat="false" ht="15.75" hidden="false" customHeight="false" outlineLevel="0" collapsed="false">
      <c r="A68" s="840" t="str">
        <f aca="false">$A$21</f>
        <v>Swellow</v>
      </c>
      <c r="B68" s="840"/>
      <c r="C68" s="840"/>
      <c r="D68" s="855" t="str">
        <f aca="false" t="array" ref="D68:D68">IF(ISNA(INDEX(Pokedex!T$2:T$610,MATCH($A68,Pokedex!$B$2:$B$610,0))),"-",INDEX(Pokedex!T$2:T$610,MATCH($A68,Pokedex!$B$2:$B$610,0)))</f>
        <v>Guts</v>
      </c>
      <c r="E68" s="855"/>
      <c r="F68" s="854" t="str">
        <f aca="false" t="array" ref="F68:F68">IF(ISNA(INDEX(Pokedex!U$2:U$610,MATCH($A68,Pokedex!$B$2:$B$610,0))),"-",INDEX(Pokedex!U$2:U$610,MATCH($A68,Pokedex!$B$2:$B$610,0)))</f>
        <v>Scrappy</v>
      </c>
      <c r="G68" s="854"/>
      <c r="H68" s="727" t="n">
        <f aca="false">IF(ISNA(INDEX(Pokedex!V$2:V$610,MATCH($A68,Pokedex!$B$2:$B$610,0))),"-",INDEX(Pokedex!V$2:V$610,MATCH($A68,Pokedex!$B$2:$B$610,0)))</f>
        <v>0</v>
      </c>
      <c r="I68" s="727"/>
      <c r="J68" s="44"/>
      <c r="K68" s="823"/>
      <c r="L68" s="823"/>
      <c r="M68" s="477"/>
      <c r="N68" s="477"/>
      <c r="O68" s="44"/>
      <c r="P68" s="44"/>
      <c r="Q68" s="884"/>
      <c r="R68" s="884"/>
      <c r="S68" s="884"/>
      <c r="T68" s="884"/>
      <c r="U68" s="884"/>
      <c r="V68" s="884"/>
      <c r="W68" s="885"/>
      <c r="X68" s="885"/>
      <c r="Y68" s="885"/>
      <c r="Z68" s="885"/>
      <c r="AA68" s="757"/>
      <c r="AB68" s="757"/>
      <c r="AC68" s="757"/>
      <c r="AD68" s="757"/>
      <c r="AE68" s="886"/>
    </row>
    <row r="69" customFormat="false" ht="15.75" hidden="false" customHeight="false" outlineLevel="0" collapsed="false">
      <c r="A69" s="848" t="str">
        <f aca="false">$A$22</f>
        <v>Gallade</v>
      </c>
      <c r="B69" s="848"/>
      <c r="C69" s="848"/>
      <c r="D69" s="870" t="str">
        <f aca="false" t="array" ref="D69:D69">IF(ISNA(INDEX(Pokedex!T$2:T$610,MATCH($A69,Pokedex!$B$2:$B$610,0))),"-",INDEX(Pokedex!T$2:T$610,MATCH($A69,Pokedex!$B$2:$B$610,0)))</f>
        <v>Justified</v>
      </c>
      <c r="E69" s="870"/>
      <c r="F69" s="828" t="str">
        <f aca="false" t="array" ref="F69:F69">IF(ISNA(INDEX(Pokedex!U$2:U$610,MATCH($A69,Pokedex!$B$2:$B$610,0))),"-",INDEX(Pokedex!U$2:U$610,MATCH($A69,Pokedex!$B$2:$B$610,0)))</f>
        <v>Steadfast</v>
      </c>
      <c r="G69" s="828"/>
      <c r="H69" s="744" t="n">
        <f aca="false">IF(ISNA(INDEX(Pokedex!V$2:V$610,MATCH($A69,Pokedex!$B$2:$B$610,0))),"-",INDEX(Pokedex!V$2:V$610,MATCH($A69,Pokedex!$B$2:$B$610,0)))</f>
        <v>0</v>
      </c>
      <c r="I69" s="744"/>
      <c r="J69" s="44"/>
      <c r="K69" s="893"/>
      <c r="L69" s="893"/>
      <c r="M69" s="831"/>
      <c r="N69" s="831"/>
      <c r="O69" s="44"/>
      <c r="P69" s="44"/>
      <c r="Q69" s="887"/>
      <c r="R69" s="887"/>
      <c r="S69" s="887"/>
      <c r="T69" s="887"/>
      <c r="U69" s="887"/>
      <c r="V69" s="887"/>
      <c r="W69" s="888"/>
      <c r="X69" s="888"/>
      <c r="Y69" s="888"/>
      <c r="Z69" s="888"/>
      <c r="AA69" s="889"/>
      <c r="AB69" s="889"/>
      <c r="AC69" s="889"/>
      <c r="AD69" s="889"/>
      <c r="AE69" s="881"/>
    </row>
    <row r="70" customFormat="false" ht="15.75" hidden="false" customHeight="false" outlineLevel="0" collapsed="false">
      <c r="A70" s="44"/>
      <c r="B70" s="44"/>
      <c r="C70" s="44"/>
      <c r="D70" s="44"/>
      <c r="E70" s="44"/>
      <c r="F70" s="44"/>
      <c r="G70" s="44"/>
      <c r="H70" s="44"/>
      <c r="I70" s="44"/>
      <c r="J70" s="44"/>
      <c r="K70" s="7"/>
      <c r="L70" s="7"/>
      <c r="M70" s="7"/>
      <c r="N70" s="7"/>
      <c r="O70" s="44"/>
      <c r="P70" s="44"/>
      <c r="Q70" s="884"/>
      <c r="R70" s="884"/>
      <c r="S70" s="884"/>
      <c r="T70" s="884"/>
      <c r="U70" s="884"/>
      <c r="V70" s="884"/>
      <c r="W70" s="885"/>
      <c r="X70" s="885"/>
      <c r="Y70" s="885"/>
      <c r="Z70" s="885"/>
      <c r="AA70" s="757"/>
      <c r="AB70" s="757"/>
      <c r="AC70" s="757"/>
      <c r="AD70" s="757"/>
      <c r="AE70" s="886"/>
    </row>
    <row r="71" customFormat="false" ht="15.75" hidden="false" customHeight="true" outlineLevel="0" collapsed="false">
      <c r="A71" s="894" t="s">
        <v>2078</v>
      </c>
      <c r="B71" s="894"/>
      <c r="C71" s="895" t="s">
        <v>2079</v>
      </c>
      <c r="D71" s="895"/>
      <c r="E71" s="895"/>
      <c r="F71" s="896" t="s">
        <v>2080</v>
      </c>
      <c r="G71" s="896"/>
      <c r="H71" s="896"/>
      <c r="I71" s="896"/>
      <c r="J71" s="44"/>
      <c r="K71" s="341" t="s">
        <v>2081</v>
      </c>
      <c r="L71" s="341"/>
      <c r="M71" s="341"/>
      <c r="N71" s="341"/>
      <c r="O71" s="44"/>
      <c r="P71" s="44"/>
      <c r="Q71" s="897"/>
      <c r="R71" s="897"/>
      <c r="S71" s="897"/>
      <c r="T71" s="897"/>
      <c r="U71" s="897"/>
      <c r="V71" s="897"/>
      <c r="W71" s="898"/>
      <c r="X71" s="898"/>
      <c r="Y71" s="898"/>
      <c r="Z71" s="898"/>
      <c r="AA71" s="899"/>
      <c r="AB71" s="899"/>
      <c r="AC71" s="899"/>
      <c r="AD71" s="899"/>
      <c r="AE71" s="881"/>
    </row>
    <row r="72" customFormat="false" ht="15.75" hidden="false" customHeight="false" outlineLevel="0" collapsed="false">
      <c r="A72" s="894"/>
      <c r="B72" s="894"/>
      <c r="C72" s="900" t="s">
        <v>2082</v>
      </c>
      <c r="D72" s="901" t="s">
        <v>2083</v>
      </c>
      <c r="E72" s="901" t="s">
        <v>2063</v>
      </c>
      <c r="F72" s="902" t="s">
        <v>2084</v>
      </c>
      <c r="G72" s="903" t="s">
        <v>2085</v>
      </c>
      <c r="H72" s="904" t="s">
        <v>2086</v>
      </c>
      <c r="I72" s="904" t="s">
        <v>2063</v>
      </c>
      <c r="J72" s="44"/>
      <c r="K72" s="891" t="str">
        <f aca="false">IFERROR(__xludf.dummyfunction("if(isna(filter($R$20:$R$31,isblank($R$20:$R$31)=FALSE)),""NONE"",filter($R$20:$R$31,isblank($R$20:$R$31)=FALSE))"),"Aerodactyl-Mega")</f>
        <v>Aerodactyl-Mega</v>
      </c>
      <c r="L72" s="891"/>
      <c r="M72" s="892" t="str">
        <f aca="false">IFERROR(__xludf.dummyfunction("if(isna(filter($S$20:$S$31,isblank($S$20:$S$31)=FALSE)),""N/A"",filter($S$20:$S$31,isblank($S$20:$S$31)=FALSE))"),"Defog")</f>
        <v>Defog</v>
      </c>
      <c r="N72" s="892"/>
      <c r="O72" s="44"/>
      <c r="P72" s="44"/>
      <c r="Q72" s="44"/>
      <c r="R72" s="824"/>
      <c r="S72" s="638"/>
      <c r="T72" s="638"/>
      <c r="U72" s="638"/>
      <c r="V72" s="638"/>
      <c r="W72" s="638"/>
      <c r="X72" s="638"/>
      <c r="Y72" s="638"/>
      <c r="Z72" s="638"/>
      <c r="AA72" s="638"/>
      <c r="AB72" s="638"/>
      <c r="AC72" s="638"/>
      <c r="AD72" s="638"/>
      <c r="AE72" s="638"/>
    </row>
    <row r="73" customFormat="false" ht="15.75" hidden="false" customHeight="false" outlineLevel="0" collapsed="false">
      <c r="A73" s="905" t="s">
        <v>794</v>
      </c>
      <c r="B73" s="905"/>
      <c r="C73" s="906" t="str">
        <f aca="false">IFERROR(__xludf.dummyfunction("countif(FILTER(Pokedex!$AC:$AC,Pokedex!$A:$A=$L$1,Pokedex!$AC:$AC=0-2),0-2)"),"0")</f>
        <v>0</v>
      </c>
      <c r="D73" s="907" t="str">
        <f aca="false">IFERROR(__xludf.dummyfunction("countif(FILTER(Pokedex!$AC:$AC,Pokedex!$A:$A=$L$1,Pokedex!$AC:$AC=0-1),0-1)"),"1")</f>
        <v>1</v>
      </c>
      <c r="E73" s="907" t="n">
        <f aca="false">SUM(C73:D73)</f>
        <v>0</v>
      </c>
      <c r="F73" s="908" t="str">
        <f aca="false">IFERROR(__xludf.dummyfunction("countif(FILTER(Pokedex!$AC:$AC,Pokedex!$A:$A=$L$1,Pokedex!$AC:$AC=4),4)"),"0")</f>
        <v>0</v>
      </c>
      <c r="G73" s="909" t="str">
        <f aca="false">IFERROR(__xludf.dummyfunction("countif(FILTER(Pokedex!$AC:$AC,Pokedex!$A:$A=$L$1,Pokedex!$AC:$AC=1),1)"),"3")</f>
        <v>3</v>
      </c>
      <c r="H73" s="908" t="str">
        <f aca="false">IFERROR(__xludf.dummyfunction("countif(FILTER(Pokedex!$AC:$AC,Pokedex!$A:$A=$L$1,Pokedex!$AC:$AC=2),2)"),"1")</f>
        <v>1</v>
      </c>
      <c r="I73" s="908" t="n">
        <f aca="false">SUM(F73:H73)</f>
        <v>0</v>
      </c>
      <c r="J73" s="44"/>
      <c r="K73" s="823" t="s">
        <v>125</v>
      </c>
      <c r="L73" s="823"/>
      <c r="M73" s="477" t="s">
        <v>1110</v>
      </c>
      <c r="N73" s="477"/>
      <c r="O73" s="44"/>
      <c r="P73" s="44"/>
      <c r="Q73" s="44"/>
      <c r="R73" s="824"/>
      <c r="S73" s="638"/>
      <c r="T73" s="638"/>
      <c r="U73" s="638"/>
      <c r="V73" s="638"/>
      <c r="W73" s="638"/>
      <c r="X73" s="638"/>
      <c r="Y73" s="638"/>
      <c r="Z73" s="638"/>
      <c r="AA73" s="638"/>
      <c r="AB73" s="638"/>
      <c r="AC73" s="638"/>
      <c r="AD73" s="638"/>
      <c r="AE73" s="638"/>
    </row>
    <row r="74" customFormat="false" ht="15.75" hidden="false" customHeight="false" outlineLevel="0" collapsed="false">
      <c r="A74" s="910" t="s">
        <v>795</v>
      </c>
      <c r="B74" s="910"/>
      <c r="C74" s="911" t="str">
        <f aca="false">IFERROR(__xludf.dummyfunction("countif(FILTER(Pokedex!$AD:$AD,Pokedex!$A:$A=$L$1,Pokedex!$AD:$AD=0-2),0-2)"),"0")</f>
        <v>0</v>
      </c>
      <c r="D74" s="912" t="str">
        <f aca="false">IFERROR(__xludf.dummyfunction("countif(FILTER(Pokedex!$AD:$AD,Pokedex!$A:$A=$L$1,Pokedex!$AD:$AD=0-1),0-1)"),"1")</f>
        <v>1</v>
      </c>
      <c r="E74" s="912" t="n">
        <f aca="false">SUM(C74:D74)</f>
        <v>0</v>
      </c>
      <c r="F74" s="913" t="str">
        <f aca="false">IFERROR(__xludf.dummyfunction("countif(FILTER(Pokedex!$AD:$AD,Pokedex!$A:$A=$L$1,Pokedex!$AD:$AD=4),4)"),"0")</f>
        <v>0</v>
      </c>
      <c r="G74" s="914" t="str">
        <f aca="false">IFERROR(__xludf.dummyfunction("countif(FILTER(Pokedex!$AD:$AD,Pokedex!$A:$A=$L$1,Pokedex!$AD:$AD=1),1)"),"1")</f>
        <v>1</v>
      </c>
      <c r="H74" s="913" t="str">
        <f aca="false">IFERROR(__xludf.dummyfunction("countif(FILTER(Pokedex!$AD:$AD,Pokedex!$A:$A=$L$1,Pokedex!$AD:$AD=2),2)"),"0")</f>
        <v>0</v>
      </c>
      <c r="I74" s="913" t="n">
        <f aca="false">SUM(F74:H74)</f>
        <v>0</v>
      </c>
      <c r="J74" s="44"/>
      <c r="K74" s="823" t="s">
        <v>258</v>
      </c>
      <c r="L74" s="823"/>
      <c r="M74" s="477" t="s">
        <v>1110</v>
      </c>
      <c r="N74" s="477"/>
      <c r="O74" s="44"/>
      <c r="P74" s="44"/>
      <c r="Q74" s="44"/>
      <c r="R74" s="824"/>
      <c r="S74" s="638"/>
      <c r="T74" s="638"/>
      <c r="U74" s="638"/>
      <c r="V74" s="638"/>
      <c r="W74" s="638"/>
      <c r="X74" s="638"/>
      <c r="Y74" s="638"/>
      <c r="Z74" s="638"/>
      <c r="AA74" s="638"/>
      <c r="AB74" s="638"/>
      <c r="AC74" s="638"/>
      <c r="AD74" s="638"/>
      <c r="AE74" s="638"/>
    </row>
    <row r="75" customFormat="false" ht="15.75" hidden="false" customHeight="false" outlineLevel="0" collapsed="false">
      <c r="A75" s="915" t="s">
        <v>835</v>
      </c>
      <c r="B75" s="915"/>
      <c r="C75" s="906" t="str">
        <f aca="false">IFERROR(__xludf.dummyfunction("countif(FILTER(Pokedex!$AE:$AE,Pokedex!$A:$A=$L$1,Pokedex!$AE:$AE=0-2),0-2)"),"0")</f>
        <v>0</v>
      </c>
      <c r="D75" s="907" t="str">
        <f aca="false">IFERROR(__xludf.dummyfunction("countif(FILTER(Pokedex!$AE:$AE,Pokedex!$A:$A=$L$1,Pokedex!$AE:$AE=0-1),0-1)"),"0")</f>
        <v>0</v>
      </c>
      <c r="E75" s="907" t="n">
        <f aca="false">SUM(C75:D75)</f>
        <v>0</v>
      </c>
      <c r="F75" s="908" t="str">
        <f aca="false">IFERROR(__xludf.dummyfunction("countif(FILTER(Pokedex!$AE:$AE,Pokedex!$A:$A=$L$1,Pokedex!$AE:$AE=4),4)"),"0")</f>
        <v>0</v>
      </c>
      <c r="G75" s="909" t="str">
        <f aca="false">IFERROR(__xludf.dummyfunction("countif(FILTER(Pokedex!$AE:$AE,Pokedex!$A:$A=$L$1,Pokedex!$AE:$AE=1),1)"),"2")</f>
        <v>2</v>
      </c>
      <c r="H75" s="908" t="str">
        <f aca="false">IFERROR(__xludf.dummyfunction("countif(FILTER(Pokedex!$AE:$AE,Pokedex!$A:$A=$L$1,Pokedex!$AE:$AE=2),2)"),"0")</f>
        <v>0</v>
      </c>
      <c r="I75" s="908" t="n">
        <f aca="false">SUM(F75:H75)</f>
        <v>0</v>
      </c>
      <c r="J75" s="44"/>
      <c r="K75" s="823"/>
      <c r="L75" s="823"/>
      <c r="M75" s="477"/>
      <c r="N75" s="477"/>
      <c r="O75" s="44"/>
      <c r="P75" s="44"/>
      <c r="Q75" s="44"/>
      <c r="R75" s="824"/>
      <c r="S75" s="638"/>
      <c r="T75" s="638"/>
      <c r="U75" s="638"/>
      <c r="V75" s="638"/>
      <c r="W75" s="638"/>
      <c r="X75" s="638"/>
      <c r="Y75" s="638"/>
      <c r="Z75" s="638"/>
      <c r="AA75" s="638"/>
      <c r="AB75" s="638"/>
      <c r="AC75" s="638"/>
      <c r="AD75" s="638"/>
      <c r="AE75" s="638"/>
    </row>
    <row r="76" customFormat="false" ht="15.75" hidden="false" customHeight="false" outlineLevel="0" collapsed="false">
      <c r="A76" s="916" t="s">
        <v>845</v>
      </c>
      <c r="B76" s="916"/>
      <c r="C76" s="911" t="str">
        <f aca="false">IFERROR(__xludf.dummyfunction("countif(FILTER(Pokedex!$AF:$AF,Pokedex!$A:$A=$L$1,Pokedex!$AF:$AF=0-2),0-2)"),"0")</f>
        <v>0</v>
      </c>
      <c r="D76" s="912" t="str">
        <f aca="false">IFERROR(__xludf.dummyfunction("countif(FILTER(Pokedex!$AF:$AF,Pokedex!$A:$A=$L$1,Pokedex!$AF:$AF=0-1),0-1)"),"4")</f>
        <v>4</v>
      </c>
      <c r="E76" s="912" t="n">
        <f aca="false">SUM(C76:D76)</f>
        <v>0</v>
      </c>
      <c r="F76" s="913" t="str">
        <f aca="false">IFERROR(__xludf.dummyfunction("countif(FILTER(Pokedex!$AF:$AF,Pokedex!$A:$A=$L$1,Pokedex!$AF:$AF=4),4)"),"0")</f>
        <v>0</v>
      </c>
      <c r="G76" s="914" t="str">
        <f aca="false">IFERROR(__xludf.dummyfunction("countif(FILTER(Pokedex!$AF:$AF,Pokedex!$A:$A=$L$1,Pokedex!$AF:$AF=1),1)"),"1")</f>
        <v>1</v>
      </c>
      <c r="H76" s="913" t="str">
        <f aca="false">IFERROR(__xludf.dummyfunction("countif(FILTER(Pokedex!$AF:$AF,Pokedex!$A:$A=$L$1,Pokedex!$AF:$AF=2),2)"),"0")</f>
        <v>0</v>
      </c>
      <c r="I76" s="913" t="n">
        <f aca="false">SUM(F76:H76)</f>
        <v>0</v>
      </c>
      <c r="J76" s="44"/>
      <c r="K76" s="823"/>
      <c r="L76" s="823"/>
      <c r="M76" s="477"/>
      <c r="N76" s="477"/>
      <c r="O76" s="44"/>
      <c r="P76" s="44"/>
      <c r="Q76" s="44"/>
      <c r="R76" s="824"/>
      <c r="S76" s="638"/>
      <c r="T76" s="638"/>
      <c r="U76" s="638"/>
      <c r="V76" s="638"/>
      <c r="W76" s="638"/>
      <c r="X76" s="638"/>
      <c r="Y76" s="638"/>
      <c r="Z76" s="638"/>
      <c r="AA76" s="638"/>
      <c r="AB76" s="638"/>
      <c r="AC76" s="638"/>
      <c r="AD76" s="638"/>
      <c r="AE76" s="638"/>
    </row>
    <row r="77" customFormat="false" ht="15.75" hidden="false" customHeight="false" outlineLevel="0" collapsed="false">
      <c r="A77" s="915" t="s">
        <v>798</v>
      </c>
      <c r="B77" s="915"/>
      <c r="C77" s="906" t="str">
        <f aca="false">IFERROR(__xludf.dummyfunction("countif(FILTER(Pokedex!$AG:$AG,Pokedex!$A:$A=$L$1,Pokedex!$AG:$AG=0-2),0-2)"),"0")</f>
        <v>0</v>
      </c>
      <c r="D77" s="907" t="str">
        <f aca="false">IFERROR(__xludf.dummyfunction("countif(FILTER(Pokedex!$AG:$AG,Pokedex!$A:$A=$L$1,Pokedex!$AG:$AG=0-1),0-1)"),"2")</f>
        <v>2</v>
      </c>
      <c r="E77" s="907" t="n">
        <f aca="false">SUM(C77:D77)</f>
        <v>0</v>
      </c>
      <c r="F77" s="908" t="str">
        <f aca="false">IFERROR(__xludf.dummyfunction("countif(FILTER(Pokedex!$AG:$AG,Pokedex!$A:$A=$L$1,Pokedex!$AG:$AG=4),4)"),"0")</f>
        <v>0</v>
      </c>
      <c r="G77" s="909" t="str">
        <f aca="false">IFERROR(__xludf.dummyfunction("countif(FILTER(Pokedex!$AG:$AG,Pokedex!$A:$A=$L$1,Pokedex!$AG:$AG=1),1)"),"2")</f>
        <v>2</v>
      </c>
      <c r="H77" s="908" t="str">
        <f aca="false">IFERROR(__xludf.dummyfunction("countif(FILTER(Pokedex!$AG:$AG,Pokedex!$A:$A=$L$1,Pokedex!$AG:$AG=2),2)"),"0")</f>
        <v>0</v>
      </c>
      <c r="I77" s="908" t="n">
        <f aca="false">SUM(F77:H77)</f>
        <v>0</v>
      </c>
      <c r="J77" s="44"/>
      <c r="K77" s="823"/>
      <c r="L77" s="823"/>
      <c r="M77" s="477"/>
      <c r="N77" s="477"/>
      <c r="O77" s="44"/>
      <c r="P77" s="44"/>
      <c r="Q77" s="44"/>
      <c r="R77" s="824"/>
      <c r="S77" s="638"/>
      <c r="T77" s="638"/>
      <c r="U77" s="638"/>
      <c r="V77" s="638"/>
      <c r="W77" s="638"/>
      <c r="X77" s="638"/>
      <c r="Y77" s="638"/>
      <c r="Z77" s="638"/>
      <c r="AA77" s="638"/>
      <c r="AB77" s="638"/>
      <c r="AC77" s="638"/>
      <c r="AD77" s="638"/>
      <c r="AE77" s="638"/>
    </row>
    <row r="78" customFormat="false" ht="15.75" hidden="false" customHeight="false" outlineLevel="0" collapsed="false">
      <c r="A78" s="916" t="s">
        <v>881</v>
      </c>
      <c r="B78" s="916"/>
      <c r="C78" s="911" t="str">
        <f aca="false">IFERROR(__xludf.dummyfunction("countif(FILTER(Pokedex!$AH:$AH,Pokedex!$A:$A=$L$1,Pokedex!$AH:$AH=0-2),0-2)"),"0")</f>
        <v>0</v>
      </c>
      <c r="D78" s="912" t="str">
        <f aca="false">IFERROR(__xludf.dummyfunction("countif(FILTER(Pokedex!$AH:$AH,Pokedex!$A:$A=$L$1,Pokedex!$AH:$AH=0-1),0-1)"),"3")</f>
        <v>3</v>
      </c>
      <c r="E78" s="912" t="n">
        <f aca="false">SUM(C78:D78)</f>
        <v>0</v>
      </c>
      <c r="F78" s="913" t="str">
        <f aca="false">IFERROR(__xludf.dummyfunction("countif(FILTER(Pokedex!$AH:$AH,Pokedex!$A:$A=$L$1,Pokedex!$AH:$AH=4),4)"),"0")</f>
        <v>0</v>
      </c>
      <c r="G78" s="914" t="str">
        <f aca="false">IFERROR(__xludf.dummyfunction("countif(FILTER(Pokedex!$AH:$AH,Pokedex!$A:$A=$L$1,Pokedex!$AH:$AH=1),1)"),"2")</f>
        <v>2</v>
      </c>
      <c r="H78" s="913" t="str">
        <f aca="false">IFERROR(__xludf.dummyfunction("countif(FILTER(Pokedex!$AH:$AH,Pokedex!$A:$A=$L$1,Pokedex!$AH:$AH=2),2)"),"0")</f>
        <v>0</v>
      </c>
      <c r="I78" s="913" t="n">
        <f aca="false">SUM(F78:H78)</f>
        <v>0</v>
      </c>
      <c r="J78" s="44"/>
      <c r="K78" s="823"/>
      <c r="L78" s="823"/>
      <c r="M78" s="477"/>
      <c r="N78" s="477"/>
      <c r="O78" s="44"/>
      <c r="P78" s="44"/>
      <c r="Q78" s="44"/>
      <c r="R78" s="824"/>
      <c r="S78" s="638"/>
      <c r="T78" s="638"/>
      <c r="U78" s="638"/>
      <c r="V78" s="638"/>
      <c r="W78" s="638"/>
      <c r="X78" s="638"/>
      <c r="Y78" s="638"/>
      <c r="Z78" s="638"/>
      <c r="AA78" s="638"/>
      <c r="AB78" s="638"/>
      <c r="AC78" s="638"/>
      <c r="AD78" s="638"/>
      <c r="AE78" s="638"/>
    </row>
    <row r="79" customFormat="false" ht="15.75" hidden="false" customHeight="false" outlineLevel="0" collapsed="false">
      <c r="A79" s="915" t="s">
        <v>800</v>
      </c>
      <c r="B79" s="915"/>
      <c r="C79" s="906" t="str">
        <f aca="false">IFERROR(__xludf.dummyfunction("countif(FILTER(Pokedex!$AI:$AI,Pokedex!$A:$A=$L$1,Pokedex!$AI:$AI=0-2),0-2)"),"0")</f>
        <v>0</v>
      </c>
      <c r="D79" s="907" t="str">
        <f aca="false">IFERROR(__xludf.dummyfunction("countif(FILTER(Pokedex!$AI:$AI,Pokedex!$A:$A=$L$1,Pokedex!$AI:$AI=0-1),0-1)"),"3")</f>
        <v>3</v>
      </c>
      <c r="E79" s="907" t="n">
        <f aca="false">SUM(C79:D79)</f>
        <v>0</v>
      </c>
      <c r="F79" s="908" t="str">
        <f aca="false">IFERROR(__xludf.dummyfunction("countif(FILTER(Pokedex!$AI:$AI,Pokedex!$A:$A=$L$1,Pokedex!$AI:$AI=4),4)"),"0")</f>
        <v>0</v>
      </c>
      <c r="G79" s="909" t="str">
        <f aca="false">IFERROR(__xludf.dummyfunction("countif(FILTER(Pokedex!$AI:$AI,Pokedex!$A:$A=$L$1,Pokedex!$AI:$AI=1),1)"),"4")</f>
        <v>4</v>
      </c>
      <c r="H79" s="908" t="str">
        <f aca="false">IFERROR(__xludf.dummyfunction("countif(FILTER(Pokedex!$AI:$AI,Pokedex!$A:$A=$L$1,Pokedex!$AI:$AI=2),2)"),"0")</f>
        <v>0</v>
      </c>
      <c r="I79" s="908" t="n">
        <f aca="false">SUM(F79:H79)</f>
        <v>0</v>
      </c>
      <c r="J79" s="44"/>
      <c r="K79" s="823"/>
      <c r="L79" s="823"/>
      <c r="M79" s="477"/>
      <c r="N79" s="477"/>
      <c r="O79" s="44"/>
      <c r="P79" s="44"/>
      <c r="Q79" s="44"/>
      <c r="R79" s="824"/>
      <c r="S79" s="638"/>
      <c r="T79" s="638"/>
      <c r="U79" s="638"/>
      <c r="V79" s="638"/>
      <c r="W79" s="638"/>
      <c r="X79" s="638"/>
      <c r="Y79" s="638"/>
      <c r="Z79" s="638"/>
      <c r="AA79" s="638"/>
      <c r="AB79" s="638"/>
      <c r="AC79" s="638"/>
      <c r="AD79" s="638"/>
      <c r="AE79" s="638"/>
    </row>
    <row r="80" customFormat="false" ht="15.75" hidden="false" customHeight="false" outlineLevel="0" collapsed="false">
      <c r="A80" s="916" t="s">
        <v>801</v>
      </c>
      <c r="B80" s="916"/>
      <c r="C80" s="911" t="str">
        <f aca="false">IFERROR(__xludf.dummyfunction("countif(FILTER(Pokedex!$AJ:$AJ,Pokedex!$A:$A=$L$1,Pokedex!$AJ:$AJ=0-2),0-2)"),"0")</f>
        <v>0</v>
      </c>
      <c r="D80" s="912" t="str">
        <f aca="false">IFERROR(__xludf.dummyfunction("countif(FILTER(Pokedex!$AJ:$AJ,Pokedex!$A:$A=$L$1,Pokedex!$AJ:$AJ=0-1),0-1)"),"2")</f>
        <v>2</v>
      </c>
      <c r="E80" s="912" t="n">
        <f aca="false">SUM(C80:D80)</f>
        <v>0</v>
      </c>
      <c r="F80" s="913" t="str">
        <f aca="false">IFERROR(__xludf.dummyfunction("countif(FILTER(Pokedex!$AJ:$AJ,Pokedex!$A:$A=$L$1,Pokedex!$AJ:$AJ=4),4)"),"0")</f>
        <v>0</v>
      </c>
      <c r="G80" s="914" t="str">
        <f aca="false">IFERROR(__xludf.dummyfunction("countif(FILTER(Pokedex!$AJ:$AJ,Pokedex!$A:$A=$L$1,Pokedex!$AJ:$AJ=1),1)"),"5")</f>
        <v>5</v>
      </c>
      <c r="H80" s="913" t="str">
        <f aca="false">IFERROR(__xludf.dummyfunction("countif(FILTER(Pokedex!$AJ:$AJ,Pokedex!$A:$A=$L$1,Pokedex!$AJ:$AJ=2),2)"),"1")</f>
        <v>1</v>
      </c>
      <c r="I80" s="913" t="n">
        <f aca="false">SUM(F80:H80)</f>
        <v>0</v>
      </c>
      <c r="J80" s="44"/>
      <c r="K80" s="823"/>
      <c r="L80" s="823"/>
      <c r="M80" s="477"/>
      <c r="N80" s="477"/>
      <c r="O80" s="44"/>
      <c r="P80" s="44"/>
      <c r="Q80" s="44"/>
      <c r="R80" s="824"/>
      <c r="S80" s="638"/>
      <c r="T80" s="638"/>
      <c r="U80" s="638"/>
      <c r="V80" s="638"/>
      <c r="W80" s="638"/>
      <c r="X80" s="638"/>
      <c r="Y80" s="638"/>
      <c r="Z80" s="638"/>
      <c r="AA80" s="638"/>
      <c r="AB80" s="638"/>
      <c r="AC80" s="638"/>
      <c r="AD80" s="638"/>
      <c r="AE80" s="638"/>
    </row>
    <row r="81" customFormat="false" ht="15.75" hidden="false" customHeight="false" outlineLevel="0" collapsed="false">
      <c r="A81" s="915" t="s">
        <v>802</v>
      </c>
      <c r="B81" s="915"/>
      <c r="C81" s="906" t="str">
        <f aca="false">IFERROR(__xludf.dummyfunction("countif(FILTER(Pokedex!$AK:$AK,Pokedex!$A:$A=$L$1,Pokedex!$AK:$AK=0-2),0-2)"),"0")</f>
        <v>0</v>
      </c>
      <c r="D81" s="907" t="str">
        <f aca="false">IFERROR(__xludf.dummyfunction("countif(FILTER(Pokedex!$AK:$AK,Pokedex!$A:$A=$L$1,Pokedex!$AK:$AK=0-1),0-1)"),"2")</f>
        <v>2</v>
      </c>
      <c r="E81" s="907" t="n">
        <f aca="false">SUM(C81:D81)</f>
        <v>0</v>
      </c>
      <c r="F81" s="908" t="str">
        <f aca="false">IFERROR(__xludf.dummyfunction("countif(FILTER(Pokedex!$AK:$AK,Pokedex!$A:$A=$L$1,Pokedex!$AK:$AK=4),4)"),"2")</f>
        <v>2</v>
      </c>
      <c r="G81" s="909" t="str">
        <f aca="false">IFERROR(__xludf.dummyfunction("countif(FILTER(Pokedex!$AK:$AK,Pokedex!$A:$A=$L$1,Pokedex!$AK:$AK=1),1)"),"1")</f>
        <v>1</v>
      </c>
      <c r="H81" s="908" t="str">
        <f aca="false">IFERROR(__xludf.dummyfunction("countif(FILTER(Pokedex!$AK:$AK,Pokedex!$A:$A=$L$1,Pokedex!$AK:$AK=2),2)"),"0")</f>
        <v>0</v>
      </c>
      <c r="I81" s="908" t="n">
        <f aca="false">SUM(F81:H81)</f>
        <v>0</v>
      </c>
      <c r="J81" s="44"/>
      <c r="K81" s="823"/>
      <c r="L81" s="823"/>
      <c r="M81" s="477"/>
      <c r="N81" s="477"/>
      <c r="O81" s="44"/>
      <c r="P81" s="44"/>
      <c r="Q81" s="44"/>
      <c r="R81" s="824"/>
      <c r="S81" s="638"/>
      <c r="T81" s="638"/>
      <c r="U81" s="638"/>
      <c r="V81" s="638"/>
      <c r="W81" s="638"/>
      <c r="X81" s="638"/>
      <c r="Y81" s="638"/>
      <c r="Z81" s="638"/>
      <c r="AA81" s="638"/>
      <c r="AB81" s="638"/>
      <c r="AC81" s="638"/>
      <c r="AD81" s="638"/>
      <c r="AE81" s="638"/>
    </row>
    <row r="82" customFormat="false" ht="15.75" hidden="false" customHeight="false" outlineLevel="0" collapsed="false">
      <c r="A82" s="916" t="s">
        <v>803</v>
      </c>
      <c r="B82" s="916"/>
      <c r="C82" s="911" t="str">
        <f aca="false">IFERROR(__xludf.dummyfunction("countif(FILTER(Pokedex!$AL:$AL,Pokedex!$A:$A=$L$1,Pokedex!$AL:$AL=0-2),0-2)"),"0")</f>
        <v>0</v>
      </c>
      <c r="D82" s="912" t="str">
        <f aca="false">IFERROR(__xludf.dummyfunction("countif(FILTER(Pokedex!$AL:$AL,Pokedex!$A:$A=$L$1,Pokedex!$AL:$AL=0-1),0-1)"),"2")</f>
        <v>2</v>
      </c>
      <c r="E82" s="912" t="n">
        <f aca="false">SUM(C82:D82)</f>
        <v>0</v>
      </c>
      <c r="F82" s="913" t="str">
        <f aca="false">IFERROR(__xludf.dummyfunction("countif(FILTER(Pokedex!$AL:$AL,Pokedex!$A:$A=$L$1,Pokedex!$AL:$AL=4),4)"),"0")</f>
        <v>0</v>
      </c>
      <c r="G82" s="914" t="str">
        <f aca="false">IFERROR(__xludf.dummyfunction("countif(FILTER(Pokedex!$AL:$AL,Pokedex!$A:$A=$L$1,Pokedex!$AL:$AL=1),1)"),"3")</f>
        <v>3</v>
      </c>
      <c r="H82" s="913" t="str">
        <f aca="false">IFERROR(__xludf.dummyfunction("countif(FILTER(Pokedex!$AL:$AL,Pokedex!$A:$A=$L$1,Pokedex!$AL:$AL=2),2)"),"1")</f>
        <v>1</v>
      </c>
      <c r="I82" s="913" t="n">
        <f aca="false">SUM(F82:H82)</f>
        <v>0</v>
      </c>
      <c r="J82" s="44"/>
      <c r="K82" s="893"/>
      <c r="L82" s="893"/>
      <c r="M82" s="831"/>
      <c r="N82" s="831"/>
      <c r="O82" s="44"/>
      <c r="P82" s="44"/>
      <c r="Q82" s="44"/>
      <c r="R82" s="824"/>
      <c r="S82" s="638"/>
      <c r="T82" s="638"/>
      <c r="U82" s="638"/>
      <c r="V82" s="638"/>
      <c r="W82" s="638"/>
      <c r="X82" s="638"/>
      <c r="Y82" s="638"/>
      <c r="Z82" s="638"/>
      <c r="AA82" s="638"/>
      <c r="AB82" s="638"/>
      <c r="AC82" s="638"/>
      <c r="AD82" s="638"/>
      <c r="AE82" s="638"/>
    </row>
    <row r="83" customFormat="false" ht="15.75" hidden="false" customHeight="false" outlineLevel="0" collapsed="false">
      <c r="A83" s="915" t="s">
        <v>907</v>
      </c>
      <c r="B83" s="915"/>
      <c r="C83" s="906" t="str">
        <f aca="false">IFERROR(__xludf.dummyfunction("countif(FILTER(Pokedex!$AM:$AM,Pokedex!$A:$A=$L$1,Pokedex!$AM:$AM=0-2),0-2)"),"1")</f>
        <v>1</v>
      </c>
      <c r="D83" s="907" t="str">
        <f aca="false">IFERROR(__xludf.dummyfunction("countif(FILTER(Pokedex!$AM:$AM,Pokedex!$A:$A=$L$1,Pokedex!$AM:$AM=0-1),0-1)"),"2")</f>
        <v>2</v>
      </c>
      <c r="E83" s="907" t="n">
        <f aca="false">SUM(C83:D83)</f>
        <v>0</v>
      </c>
      <c r="F83" s="908" t="str">
        <f aca="false">IFERROR(__xludf.dummyfunction("countif(FILTER(Pokedex!$AM:$AM,Pokedex!$A:$A=$L$1,Pokedex!$AM:$AM=4),4)"),"4")</f>
        <v>4</v>
      </c>
      <c r="G83" s="909" t="str">
        <f aca="false">IFERROR(__xludf.dummyfunction("countif(FILTER(Pokedex!$AM:$AM,Pokedex!$A:$A=$L$1,Pokedex!$AM:$AM=1),1)"),"1")</f>
        <v>1</v>
      </c>
      <c r="H83" s="908" t="str">
        <f aca="false">IFERROR(__xludf.dummyfunction("countif(FILTER(Pokedex!$AM:$AM,Pokedex!$A:$A=$L$1,Pokedex!$AM:$AM=2),2)"),"0")</f>
        <v>0</v>
      </c>
      <c r="I83" s="908" t="n">
        <f aca="false">SUM(F83:H83)</f>
        <v>0</v>
      </c>
      <c r="J83" s="44"/>
      <c r="K83" s="7"/>
      <c r="L83" s="7"/>
      <c r="M83" s="7"/>
      <c r="N83" s="7"/>
      <c r="O83" s="44"/>
      <c r="P83" s="44"/>
      <c r="Q83" s="44"/>
      <c r="R83" s="824"/>
      <c r="S83" s="638"/>
      <c r="T83" s="638"/>
      <c r="U83" s="638"/>
      <c r="V83" s="638"/>
      <c r="W83" s="638"/>
      <c r="X83" s="638"/>
      <c r="Y83" s="638"/>
      <c r="Z83" s="638"/>
      <c r="AA83" s="638"/>
      <c r="AB83" s="638"/>
      <c r="AC83" s="638"/>
      <c r="AD83" s="638"/>
      <c r="AE83" s="638"/>
    </row>
    <row r="84" customFormat="false" ht="15.75" hidden="false" customHeight="false" outlineLevel="0" collapsed="false">
      <c r="A84" s="916" t="s">
        <v>805</v>
      </c>
      <c r="B84" s="916"/>
      <c r="C84" s="911" t="str">
        <f aca="false">IFERROR(__xludf.dummyfunction("countif(FILTER(Pokedex!$AN:$AN,Pokedex!$A:$A=$L$1,Pokedex!$AN:$AN=0-2),0-2)"),"0")</f>
        <v>0</v>
      </c>
      <c r="D84" s="912" t="str">
        <f aca="false">IFERROR(__xludf.dummyfunction("countif(FILTER(Pokedex!$AN:$AN,Pokedex!$A:$A=$L$1,Pokedex!$AN:$AN=0-1),0-1)"),"3")</f>
        <v>3</v>
      </c>
      <c r="E84" s="912" t="n">
        <f aca="false">SUM(C84:D84)</f>
        <v>0</v>
      </c>
      <c r="F84" s="913" t="str">
        <f aca="false">IFERROR(__xludf.dummyfunction("countif(FILTER(Pokedex!$AN:$AN,Pokedex!$A:$A=$L$1,Pokedex!$AN:$AN=4),4)"),"0")</f>
        <v>0</v>
      </c>
      <c r="G84" s="914" t="str">
        <f aca="false">IFERROR(__xludf.dummyfunction("countif(FILTER(Pokedex!$AN:$AN,Pokedex!$A:$A=$L$1,Pokedex!$AN:$AN=1),1)"),"2")</f>
        <v>2</v>
      </c>
      <c r="H84" s="913" t="str">
        <f aca="false">IFERROR(__xludf.dummyfunction("countif(FILTER(Pokedex!$AN:$AN,Pokedex!$A:$A=$L$1,Pokedex!$AN:$AN=2),2)"),"0")</f>
        <v>0</v>
      </c>
      <c r="I84" s="913" t="n">
        <f aca="false">SUM(F84:H84)</f>
        <v>0</v>
      </c>
      <c r="J84" s="44"/>
      <c r="K84" s="341" t="s">
        <v>2087</v>
      </c>
      <c r="L84" s="341"/>
      <c r="M84" s="341"/>
      <c r="N84" s="341"/>
      <c r="O84" s="44"/>
      <c r="P84" s="44"/>
      <c r="Q84" s="44"/>
      <c r="R84" s="824"/>
      <c r="S84" s="638"/>
      <c r="T84" s="638"/>
      <c r="U84" s="638"/>
      <c r="V84" s="638"/>
      <c r="W84" s="638"/>
      <c r="X84" s="638"/>
      <c r="Y84" s="638"/>
      <c r="Z84" s="638"/>
      <c r="AA84" s="638"/>
      <c r="AB84" s="638"/>
      <c r="AC84" s="638"/>
      <c r="AD84" s="638"/>
      <c r="AE84" s="638"/>
    </row>
    <row r="85" customFormat="false" ht="15.75" hidden="false" customHeight="false" outlineLevel="0" collapsed="false">
      <c r="A85" s="915" t="s">
        <v>839</v>
      </c>
      <c r="B85" s="915"/>
      <c r="C85" s="906" t="str">
        <f aca="false">IFERROR(__xludf.dummyfunction("countif(FILTER(Pokedex!$AO:$AO,Pokedex!$A:$A=$L$1,Pokedex!$AO:$AO=0-2),0-2)"),"0")</f>
        <v>0</v>
      </c>
      <c r="D85" s="907" t="str">
        <f aca="false">IFERROR(__xludf.dummyfunction("countif(FILTER(Pokedex!$AO:$AO,Pokedex!$A:$A=$L$1,Pokedex!$AO:$AO=0-1),0-1)"),"0")</f>
        <v>0</v>
      </c>
      <c r="E85" s="907" t="n">
        <f aca="false">SUM(C85:D85)</f>
        <v>0</v>
      </c>
      <c r="F85" s="908" t="str">
        <f aca="false">IFERROR(__xludf.dummyfunction("countif(FILTER(Pokedex!$AO:$AO,Pokedex!$A:$A=$L$1,Pokedex!$AO:$AO=4),4)"),"0")</f>
        <v>0</v>
      </c>
      <c r="G85" s="909" t="str">
        <f aca="false">IFERROR(__xludf.dummyfunction("countif(FILTER(Pokedex!$AO:$AO,Pokedex!$A:$A=$L$1,Pokedex!$AO:$AO=1),1)"),"5")</f>
        <v>5</v>
      </c>
      <c r="H85" s="908" t="str">
        <f aca="false">IFERROR(__xludf.dummyfunction("countif(FILTER(Pokedex!$AO:$AO,Pokedex!$A:$A=$L$1,Pokedex!$AO:$AO=2),2)"),"0")</f>
        <v>0</v>
      </c>
      <c r="I85" s="908" t="n">
        <f aca="false">SUM(F85:H85)</f>
        <v>0</v>
      </c>
      <c r="J85" s="44"/>
      <c r="K85" s="891" t="str">
        <f aca="false">IFERROR(__xludf.dummyfunction("if(isna(filter($R$40:$R$51,isblank($R$40:$R$51)=FALSE)),""NONE"",filter($R$40:$R$51,isblank($R$40:$R$51)=FALSE))"),"Umbreon")</f>
        <v>Umbreon</v>
      </c>
      <c r="L85" s="891"/>
      <c r="M85" s="892" t="str">
        <f aca="false">IFERROR(__xludf.dummyfunction("if(isna(filter($S$40:$S$51,isblank($S$40:$S$51)=FALSE)),""N/A"",filter($S$40:$S$51,isblank($S$40:$S$51)=FALSE))"),"Heal Bell")</f>
        <v>Heal Bell</v>
      </c>
      <c r="N85" s="892"/>
      <c r="O85" s="44"/>
      <c r="P85" s="44"/>
      <c r="Q85" s="44"/>
      <c r="R85" s="824"/>
      <c r="S85" s="638"/>
      <c r="T85" s="638"/>
      <c r="U85" s="638"/>
      <c r="V85" s="638"/>
      <c r="W85" s="638"/>
      <c r="X85" s="638"/>
      <c r="Y85" s="638"/>
      <c r="Z85" s="638"/>
      <c r="AA85" s="638"/>
      <c r="AB85" s="638"/>
      <c r="AC85" s="638"/>
      <c r="AD85" s="638"/>
      <c r="AE85" s="638"/>
    </row>
    <row r="86" customFormat="false" ht="15.75" hidden="false" customHeight="false" outlineLevel="0" collapsed="false">
      <c r="A86" s="916" t="s">
        <v>843</v>
      </c>
      <c r="B86" s="916"/>
      <c r="C86" s="911" t="str">
        <f aca="false">IFERROR(__xludf.dummyfunction("countif(FILTER(Pokedex!$AP:$AP,Pokedex!$A:$A=$L$1,Pokedex!$AP:$AP=0-2),0-2)"),"0")</f>
        <v>0</v>
      </c>
      <c r="D86" s="912" t="str">
        <f aca="false">IFERROR(__xludf.dummyfunction("countif(FILTER(Pokedex!$AP:$AP,Pokedex!$A:$A=$L$1,Pokedex!$AP:$AP=0-1),0-1)"),"0")</f>
        <v>0</v>
      </c>
      <c r="E86" s="912" t="n">
        <f aca="false">SUM(C86:D86)</f>
        <v>0</v>
      </c>
      <c r="F86" s="913" t="str">
        <f aca="false">IFERROR(__xludf.dummyfunction("countif(FILTER(Pokedex!$AP:$AP,Pokedex!$A:$A=$L$1,Pokedex!$AP:$AP=4),4)"),"2")</f>
        <v>2</v>
      </c>
      <c r="G86" s="914" t="str">
        <f aca="false">IFERROR(__xludf.dummyfunction("countif(FILTER(Pokedex!$AP:$AP,Pokedex!$A:$A=$L$1,Pokedex!$AP:$AP=1),1)"),"3")</f>
        <v>3</v>
      </c>
      <c r="H86" s="913" t="str">
        <f aca="false">IFERROR(__xludf.dummyfunction("countif(FILTER(Pokedex!$AP:$AP,Pokedex!$A:$A=$L$1,Pokedex!$AP:$AP=2),2)"),"0")</f>
        <v>0</v>
      </c>
      <c r="I86" s="913" t="n">
        <f aca="false">SUM(F86:H86)</f>
        <v>0</v>
      </c>
      <c r="J86" s="44"/>
      <c r="K86" s="823" t="s">
        <v>24</v>
      </c>
      <c r="L86" s="823"/>
      <c r="M86" s="477" t="s">
        <v>1115</v>
      </c>
      <c r="N86" s="477"/>
      <c r="O86" s="44"/>
      <c r="P86" s="44"/>
      <c r="Q86" s="44"/>
      <c r="R86" s="824"/>
      <c r="S86" s="638"/>
      <c r="T86" s="638"/>
      <c r="U86" s="638"/>
      <c r="V86" s="638"/>
      <c r="W86" s="638"/>
      <c r="X86" s="638"/>
      <c r="Y86" s="638"/>
      <c r="Z86" s="638"/>
      <c r="AA86" s="638"/>
      <c r="AB86" s="638"/>
      <c r="AC86" s="638"/>
      <c r="AD86" s="638"/>
      <c r="AE86" s="638"/>
    </row>
    <row r="87" customFormat="false" ht="15.75" hidden="false" customHeight="false" outlineLevel="0" collapsed="false">
      <c r="A87" s="915" t="s">
        <v>828</v>
      </c>
      <c r="B87" s="915"/>
      <c r="C87" s="906" t="str">
        <f aca="false">IFERROR(__xludf.dummyfunction("countif(FILTER(Pokedex!$AQ:$AQ,Pokedex!$A:$A=$L$1,Pokedex!$AQ:$AQ=0-2),0-2)"),"0")</f>
        <v>0</v>
      </c>
      <c r="D87" s="907" t="str">
        <f aca="false">IFERROR(__xludf.dummyfunction("countif(FILTER(Pokedex!$AQ:$AQ,Pokedex!$A:$A=$L$1,Pokedex!$AQ:$AQ=0-1),0-1)"),"0")</f>
        <v>0</v>
      </c>
      <c r="E87" s="907" t="n">
        <f aca="false">SUM(C87:D87)</f>
        <v>0</v>
      </c>
      <c r="F87" s="908" t="str">
        <f aca="false">IFERROR(__xludf.dummyfunction("countif(FILTER(Pokedex!$AQ:$AQ,Pokedex!$A:$A=$L$1,Pokedex!$AQ:$AQ=4),4)"),"1")</f>
        <v>1</v>
      </c>
      <c r="G87" s="909" t="str">
        <f aca="false">IFERROR(__xludf.dummyfunction("countif(FILTER(Pokedex!$AQ:$AQ,Pokedex!$A:$A=$L$1,Pokedex!$AQ:$AQ=1),1)"),"1")</f>
        <v>1</v>
      </c>
      <c r="H87" s="908" t="str">
        <f aca="false">IFERROR(__xludf.dummyfunction("countif(FILTER(Pokedex!$AQ:$AQ,Pokedex!$A:$A=$L$1,Pokedex!$AQ:$AQ=2),2)"),"1")</f>
        <v>1</v>
      </c>
      <c r="I87" s="908" t="n">
        <f aca="false">SUM(F87:H87)</f>
        <v>0</v>
      </c>
      <c r="J87" s="44"/>
      <c r="K87" s="823" t="s">
        <v>258</v>
      </c>
      <c r="L87" s="823"/>
      <c r="M87" s="477" t="s">
        <v>1115</v>
      </c>
      <c r="N87" s="477"/>
      <c r="O87" s="44"/>
      <c r="P87" s="44"/>
      <c r="Q87" s="44"/>
      <c r="R87" s="824"/>
      <c r="S87" s="638"/>
      <c r="T87" s="638"/>
      <c r="U87" s="638"/>
      <c r="V87" s="638"/>
      <c r="W87" s="638"/>
      <c r="X87" s="638"/>
      <c r="Y87" s="638"/>
      <c r="Z87" s="638"/>
      <c r="AA87" s="638"/>
      <c r="AB87" s="638"/>
      <c r="AC87" s="638"/>
      <c r="AD87" s="638"/>
      <c r="AE87" s="638"/>
    </row>
    <row r="88" customFormat="false" ht="15.75" hidden="false" customHeight="false" outlineLevel="0" collapsed="false">
      <c r="A88" s="916" t="s">
        <v>809</v>
      </c>
      <c r="B88" s="916"/>
      <c r="C88" s="911" t="str">
        <f aca="false">IFERROR(__xludf.dummyfunction("countif(FILTER(Pokedex!$AR:$AR,Pokedex!$A:$A=$L$1,Pokedex!$AR:$AR=0-2),0-2)"),"0")</f>
        <v>0</v>
      </c>
      <c r="D88" s="912" t="str">
        <f aca="false">IFERROR(__xludf.dummyfunction("countif(FILTER(Pokedex!$AR:$AR,Pokedex!$A:$A=$L$1,Pokedex!$AR:$AR=0-1),0-1)"),"4")</f>
        <v>4</v>
      </c>
      <c r="E88" s="912" t="n">
        <f aca="false">SUM(C88:D88)</f>
        <v>0</v>
      </c>
      <c r="F88" s="913" t="str">
        <f aca="false">IFERROR(__xludf.dummyfunction("countif(FILTER(Pokedex!$AR:$AR,Pokedex!$A:$A=$L$1,Pokedex!$AR:$AR=4),4)"),"0")</f>
        <v>0</v>
      </c>
      <c r="G88" s="914" t="str">
        <f aca="false">IFERROR(__xludf.dummyfunction("countif(FILTER(Pokedex!$AR:$AR,Pokedex!$A:$A=$L$1,Pokedex!$AR:$AR=1),1)"),"2")</f>
        <v>2</v>
      </c>
      <c r="H88" s="913" t="str">
        <f aca="false">IFERROR(__xludf.dummyfunction("countif(FILTER(Pokedex!$AR:$AR,Pokedex!$A:$A=$L$1,Pokedex!$AR:$AR=2),2)"),"0")</f>
        <v>0</v>
      </c>
      <c r="I88" s="913" t="n">
        <f aca="false">SUM(F88:H88)</f>
        <v>0</v>
      </c>
      <c r="J88" s="44"/>
      <c r="K88" s="823" t="s">
        <v>20</v>
      </c>
      <c r="L88" s="823"/>
      <c r="M88" s="477" t="s">
        <v>1115</v>
      </c>
      <c r="N88" s="477"/>
      <c r="O88" s="44"/>
      <c r="P88" s="44"/>
      <c r="Q88" s="44"/>
      <c r="R88" s="824"/>
      <c r="S88" s="638"/>
      <c r="T88" s="638"/>
      <c r="U88" s="638"/>
      <c r="V88" s="638"/>
      <c r="W88" s="638"/>
      <c r="X88" s="638"/>
      <c r="Y88" s="638"/>
      <c r="Z88" s="638"/>
      <c r="AA88" s="638"/>
      <c r="AB88" s="638"/>
      <c r="AC88" s="638"/>
      <c r="AD88" s="638"/>
      <c r="AE88" s="638"/>
    </row>
    <row r="89" customFormat="false" ht="15.75" hidden="false" customHeight="false" outlineLevel="0" collapsed="false">
      <c r="A89" s="915" t="s">
        <v>810</v>
      </c>
      <c r="B89" s="915"/>
      <c r="C89" s="906" t="str">
        <f aca="false">IFERROR(__xludf.dummyfunction("countif(FILTER(Pokedex!$AS:$AS,Pokedex!$A:$A=$L$1,Pokedex!$AS:$AS=0-2),0-2)"),"0")</f>
        <v>0</v>
      </c>
      <c r="D89" s="907" t="str">
        <f aca="false">IFERROR(__xludf.dummyfunction("countif(FILTER(Pokedex!$AS:$AS,Pokedex!$A:$A=$L$1,Pokedex!$AS:$AS=0-1),0-1)"),"2")</f>
        <v>2</v>
      </c>
      <c r="E89" s="907" t="n">
        <f aca="false">SUM(C89:D89)</f>
        <v>0</v>
      </c>
      <c r="F89" s="908" t="str">
        <f aca="false">IFERROR(__xludf.dummyfunction("countif(FILTER(Pokedex!$AS:$AS,Pokedex!$A:$A=$L$1,Pokedex!$AS:$AS=4),4)"),"0")</f>
        <v>0</v>
      </c>
      <c r="G89" s="909" t="str">
        <f aca="false">IFERROR(__xludf.dummyfunction("countif(FILTER(Pokedex!$AS:$AS,Pokedex!$A:$A=$L$1,Pokedex!$AS:$AS=1),1)"),"2")</f>
        <v>2</v>
      </c>
      <c r="H89" s="908" t="str">
        <f aca="false">IFERROR(__xludf.dummyfunction("countif(FILTER(Pokedex!$AS:$AS,Pokedex!$A:$A=$L$1,Pokedex!$AS:$AS=2),2)"),"1")</f>
        <v>1</v>
      </c>
      <c r="I89" s="908" t="n">
        <f aca="false">SUM(F89:H89)</f>
        <v>0</v>
      </c>
      <c r="J89" s="44"/>
      <c r="K89" s="823"/>
      <c r="L89" s="823"/>
      <c r="M89" s="477"/>
      <c r="N89" s="477"/>
      <c r="O89" s="44"/>
      <c r="P89" s="44"/>
      <c r="Q89" s="44"/>
      <c r="R89" s="824"/>
      <c r="S89" s="638"/>
      <c r="T89" s="638"/>
      <c r="U89" s="638"/>
      <c r="V89" s="638"/>
      <c r="W89" s="638"/>
      <c r="X89" s="638"/>
      <c r="Y89" s="638"/>
      <c r="Z89" s="638"/>
      <c r="AA89" s="638"/>
      <c r="AB89" s="638"/>
      <c r="AC89" s="638"/>
      <c r="AD89" s="638"/>
      <c r="AE89" s="638"/>
    </row>
    <row r="90" customFormat="false" ht="15.75" hidden="false" customHeight="false" outlineLevel="0" collapsed="false">
      <c r="A90" s="917" t="s">
        <v>811</v>
      </c>
      <c r="B90" s="917"/>
      <c r="C90" s="918" t="str">
        <f aca="false">IFERROR(__xludf.dummyfunction("countif(FILTER(Pokedex!$AT:$AT,Pokedex!$A:$A=$L$1,Pokedex!$AT:$AT=0-2),0-2)"),"0")</f>
        <v>0</v>
      </c>
      <c r="D90" s="919" t="str">
        <f aca="false">IFERROR(__xludf.dummyfunction("countif(FILTER(Pokedex!$AT:$AT,Pokedex!$A:$A=$L$1,Pokedex!$AT:$AT=0-1),0-1)"),"3")</f>
        <v>3</v>
      </c>
      <c r="E90" s="919" t="n">
        <f aca="false">SUM(C90:D90)</f>
        <v>0</v>
      </c>
      <c r="F90" s="920" t="str">
        <f aca="false">IFERROR(__xludf.dummyfunction("countif(FILTER(Pokedex!$AT:$AT,Pokedex!$A:$A=$L$1,Pokedex!$AT:$AT=4),4)"),"0")</f>
        <v>0</v>
      </c>
      <c r="G90" s="921" t="str">
        <f aca="false">IFERROR(__xludf.dummyfunction("countif(FILTER(Pokedex!$AT:$AT,Pokedex!$A:$A=$L$1,Pokedex!$AT:$AT=1),1)"),"1")</f>
        <v>1</v>
      </c>
      <c r="H90" s="920" t="str">
        <f aca="false">IFERROR(__xludf.dummyfunction("countif(FILTER(Pokedex!$AT:$AT,Pokedex!$A:$A=$L$1,Pokedex!$AT:$AT=2),2)"),"0")</f>
        <v>0</v>
      </c>
      <c r="I90" s="920" t="n">
        <f aca="false">SUM(F90:H90)</f>
        <v>0</v>
      </c>
      <c r="J90" s="44"/>
      <c r="K90" s="823"/>
      <c r="L90" s="823"/>
      <c r="M90" s="477"/>
      <c r="N90" s="477"/>
      <c r="O90" s="44"/>
      <c r="P90" s="44"/>
      <c r="Q90" s="44"/>
      <c r="R90" s="824"/>
      <c r="S90" s="638"/>
      <c r="T90" s="638"/>
      <c r="U90" s="638"/>
      <c r="V90" s="638"/>
      <c r="W90" s="638"/>
      <c r="X90" s="638"/>
      <c r="Y90" s="638"/>
      <c r="Z90" s="638"/>
      <c r="AA90" s="638"/>
      <c r="AB90" s="638"/>
      <c r="AC90" s="638"/>
      <c r="AD90" s="638"/>
      <c r="AE90" s="638"/>
    </row>
    <row r="91" customFormat="false" ht="15.75" hidden="false" customHeight="false" outlineLevel="0" collapsed="false">
      <c r="A91" s="922" t="s">
        <v>2088</v>
      </c>
      <c r="B91" s="922"/>
      <c r="C91" s="923" t="n">
        <f aca="false">SUM(C73:C90)</f>
        <v>0</v>
      </c>
      <c r="D91" s="924" t="n">
        <f aca="false">SUM(D73:D90)</f>
        <v>0</v>
      </c>
      <c r="E91" s="924" t="n">
        <f aca="false">SUM(E73:E90)</f>
        <v>0</v>
      </c>
      <c r="F91" s="925" t="n">
        <f aca="false">SUM(F73:F90)</f>
        <v>0</v>
      </c>
      <c r="G91" s="926" t="n">
        <f aca="false">SUM(G73:G90)</f>
        <v>0</v>
      </c>
      <c r="H91" s="925" t="n">
        <f aca="false">SUM(H73:H90)</f>
        <v>0</v>
      </c>
      <c r="I91" s="925" t="n">
        <f aca="false">SUM(I73:I90)</f>
        <v>0</v>
      </c>
      <c r="J91" s="44"/>
      <c r="K91" s="823"/>
      <c r="L91" s="823"/>
      <c r="M91" s="477"/>
      <c r="N91" s="477"/>
      <c r="O91" s="44"/>
      <c r="P91" s="44"/>
      <c r="Q91" s="44"/>
      <c r="R91" s="824"/>
      <c r="S91" s="638"/>
      <c r="T91" s="638"/>
      <c r="U91" s="638"/>
      <c r="V91" s="638"/>
      <c r="W91" s="638"/>
      <c r="X91" s="638"/>
      <c r="Y91" s="638"/>
      <c r="Z91" s="638"/>
      <c r="AA91" s="638"/>
      <c r="AB91" s="638"/>
      <c r="AC91" s="638"/>
      <c r="AD91" s="638"/>
      <c r="AE91" s="638"/>
    </row>
    <row r="92" customFormat="false" ht="15.75" hidden="false" customHeight="false" outlineLevel="0" collapsed="false">
      <c r="A92" s="245"/>
      <c r="B92" s="738"/>
      <c r="C92" s="927" t="s">
        <v>2082</v>
      </c>
      <c r="D92" s="928" t="s">
        <v>2083</v>
      </c>
      <c r="E92" s="928" t="s">
        <v>2063</v>
      </c>
      <c r="F92" s="902" t="s">
        <v>2084</v>
      </c>
      <c r="G92" s="903" t="s">
        <v>2085</v>
      </c>
      <c r="H92" s="904" t="s">
        <v>2086</v>
      </c>
      <c r="I92" s="904" t="s">
        <v>2063</v>
      </c>
      <c r="J92" s="44"/>
      <c r="K92" s="823"/>
      <c r="L92" s="823"/>
      <c r="M92" s="477"/>
      <c r="N92" s="477"/>
      <c r="O92" s="44"/>
      <c r="P92" s="44"/>
      <c r="Q92" s="44"/>
      <c r="R92" s="824"/>
      <c r="S92" s="638"/>
      <c r="T92" s="638"/>
      <c r="U92" s="638"/>
      <c r="V92" s="638"/>
      <c r="W92" s="638"/>
      <c r="X92" s="638"/>
      <c r="Y92" s="638"/>
      <c r="Z92" s="638"/>
      <c r="AA92" s="638"/>
      <c r="AB92" s="638"/>
      <c r="AC92" s="638"/>
      <c r="AD92" s="638"/>
      <c r="AE92" s="638"/>
    </row>
    <row r="93" customFormat="false" ht="15.75" hidden="false" customHeight="false" outlineLevel="0" collapsed="false">
      <c r="A93" s="245"/>
      <c r="B93" s="245"/>
      <c r="C93" s="929" t="s">
        <v>2079</v>
      </c>
      <c r="D93" s="929"/>
      <c r="E93" s="929"/>
      <c r="F93" s="930" t="s">
        <v>2080</v>
      </c>
      <c r="G93" s="930"/>
      <c r="H93" s="930"/>
      <c r="I93" s="930"/>
      <c r="J93" s="44"/>
      <c r="K93" s="823"/>
      <c r="L93" s="823"/>
      <c r="M93" s="477"/>
      <c r="N93" s="477"/>
      <c r="O93" s="44"/>
      <c r="P93" s="44"/>
      <c r="Q93" s="44"/>
      <c r="R93" s="824"/>
      <c r="S93" s="638"/>
      <c r="T93" s="638"/>
      <c r="U93" s="638"/>
      <c r="V93" s="638"/>
      <c r="W93" s="638"/>
      <c r="X93" s="638"/>
      <c r="Y93" s="638"/>
      <c r="Z93" s="638"/>
      <c r="AA93" s="638"/>
      <c r="AB93" s="638"/>
      <c r="AC93" s="638"/>
      <c r="AD93" s="638"/>
      <c r="AE93" s="638"/>
    </row>
    <row r="94" customFormat="false" ht="15.75" hidden="false" customHeight="false" outlineLevel="0" collapsed="false">
      <c r="A94" s="44"/>
      <c r="B94" s="44"/>
      <c r="C94" s="44"/>
      <c r="D94" s="44"/>
      <c r="E94" s="44"/>
      <c r="F94" s="44"/>
      <c r="G94" s="44"/>
      <c r="H94" s="44"/>
      <c r="I94" s="44"/>
      <c r="J94" s="44"/>
      <c r="K94" s="823"/>
      <c r="L94" s="823"/>
      <c r="M94" s="477"/>
      <c r="N94" s="477"/>
      <c r="O94" s="44"/>
      <c r="P94" s="44"/>
      <c r="Q94" s="44"/>
      <c r="R94" s="824"/>
      <c r="S94" s="638"/>
      <c r="T94" s="638"/>
      <c r="U94" s="638"/>
      <c r="V94" s="638"/>
      <c r="W94" s="638"/>
      <c r="X94" s="638"/>
      <c r="Y94" s="638"/>
      <c r="Z94" s="638"/>
      <c r="AA94" s="638"/>
      <c r="AB94" s="638"/>
      <c r="AC94" s="638"/>
      <c r="AD94" s="638"/>
      <c r="AE94" s="638"/>
    </row>
    <row r="95" customFormat="false" ht="15.75" hidden="false" customHeight="false" outlineLevel="0" collapsed="false">
      <c r="A95" s="44"/>
      <c r="B95" s="44"/>
      <c r="C95" s="44"/>
      <c r="D95" s="44"/>
      <c r="E95" s="44"/>
      <c r="F95" s="44"/>
      <c r="G95" s="44"/>
      <c r="H95" s="44"/>
      <c r="I95" s="44"/>
      <c r="J95" s="93"/>
      <c r="K95" s="893"/>
      <c r="L95" s="893"/>
      <c r="M95" s="831"/>
      <c r="N95" s="831"/>
      <c r="O95" s="44"/>
      <c r="P95" s="44"/>
      <c r="Q95" s="44"/>
      <c r="R95" s="824"/>
      <c r="S95" s="638"/>
      <c r="T95" s="638"/>
      <c r="U95" s="638"/>
      <c r="V95" s="638"/>
      <c r="W95" s="638"/>
      <c r="X95" s="638"/>
      <c r="Y95" s="638"/>
      <c r="Z95" s="638"/>
      <c r="AA95" s="638"/>
      <c r="AB95" s="638"/>
      <c r="AC95" s="638"/>
      <c r="AD95" s="638"/>
      <c r="AE95" s="638"/>
    </row>
    <row r="96" customFormat="false" ht="15.75" hidden="false" customHeight="false" outlineLevel="0" collapsed="false">
      <c r="O96" s="44"/>
      <c r="P96" s="44"/>
      <c r="Q96" s="44"/>
      <c r="R96" s="824"/>
      <c r="S96" s="638"/>
      <c r="T96" s="638"/>
      <c r="U96" s="638"/>
      <c r="V96" s="638"/>
      <c r="W96" s="638"/>
      <c r="X96" s="638"/>
      <c r="Y96" s="638"/>
      <c r="Z96" s="638"/>
      <c r="AA96" s="638"/>
      <c r="AB96" s="638"/>
      <c r="AC96" s="638"/>
      <c r="AD96" s="638"/>
      <c r="AE96" s="638"/>
    </row>
    <row r="97" customFormat="false" ht="15.75" hidden="false" customHeight="false" outlineLevel="0" collapsed="false">
      <c r="A97" s="44"/>
      <c r="B97" s="44"/>
      <c r="C97" s="44"/>
      <c r="D97" s="44"/>
      <c r="E97" s="44"/>
      <c r="F97" s="44"/>
      <c r="G97" s="44"/>
      <c r="H97" s="44"/>
      <c r="I97" s="44"/>
      <c r="J97" s="44"/>
      <c r="K97" s="44"/>
      <c r="L97" s="44"/>
      <c r="M97" s="44"/>
      <c r="N97" s="44"/>
      <c r="O97" s="44"/>
      <c r="P97" s="44"/>
      <c r="Q97" s="44"/>
      <c r="R97" s="824"/>
      <c r="S97" s="638"/>
      <c r="T97" s="638"/>
      <c r="U97" s="638"/>
      <c r="V97" s="638"/>
      <c r="W97" s="638"/>
      <c r="X97" s="638"/>
      <c r="Y97" s="638"/>
      <c r="Z97" s="638"/>
      <c r="AA97" s="638"/>
      <c r="AB97" s="638"/>
      <c r="AC97" s="638"/>
      <c r="AD97" s="638"/>
      <c r="AE97" s="638"/>
    </row>
    <row r="98" customFormat="false" ht="15.75" hidden="false" customHeight="false" outlineLevel="0" collapsed="false">
      <c r="A98" s="44"/>
      <c r="B98" s="44"/>
      <c r="C98" s="44"/>
      <c r="D98" s="44"/>
      <c r="E98" s="44"/>
      <c r="F98" s="44"/>
      <c r="G98" s="44"/>
      <c r="H98" s="44"/>
      <c r="I98" s="44"/>
      <c r="J98" s="44"/>
      <c r="K98" s="44"/>
      <c r="L98" s="44"/>
      <c r="M98" s="44"/>
      <c r="N98" s="44"/>
      <c r="O98" s="44"/>
      <c r="P98" s="44"/>
      <c r="Q98" s="44"/>
      <c r="R98" s="824"/>
      <c r="S98" s="638"/>
      <c r="T98" s="638"/>
      <c r="U98" s="638"/>
      <c r="V98" s="638"/>
      <c r="W98" s="638"/>
      <c r="X98" s="638"/>
      <c r="Y98" s="638"/>
      <c r="Z98" s="638"/>
      <c r="AA98" s="638"/>
      <c r="AB98" s="638"/>
      <c r="AC98" s="638"/>
      <c r="AD98" s="638"/>
      <c r="AE98" s="638"/>
    </row>
    <row r="99" customFormat="false" ht="15.75" hidden="false" customHeight="false" outlineLevel="0" collapsed="false">
      <c r="A99" s="245"/>
      <c r="B99" s="245"/>
      <c r="C99" s="2"/>
      <c r="D99" s="2"/>
      <c r="E99" s="2"/>
      <c r="F99" s="2"/>
      <c r="G99" s="2"/>
      <c r="H99" s="2"/>
      <c r="I99" s="2"/>
      <c r="J99" s="93"/>
      <c r="K99" s="931"/>
      <c r="L99" s="931"/>
      <c r="M99" s="93"/>
      <c r="N99" s="931"/>
      <c r="O99" s="44"/>
      <c r="P99" s="44"/>
      <c r="Q99" s="44"/>
      <c r="R99" s="824"/>
      <c r="S99" s="638"/>
      <c r="T99" s="638"/>
      <c r="U99" s="638"/>
      <c r="V99" s="638"/>
      <c r="W99" s="638"/>
      <c r="X99" s="638"/>
      <c r="Y99" s="638"/>
      <c r="Z99" s="638"/>
      <c r="AA99" s="638"/>
      <c r="AB99" s="638"/>
      <c r="AC99" s="638"/>
      <c r="AD99" s="638"/>
      <c r="AE99" s="638"/>
    </row>
    <row r="100" customFormat="false" ht="15.75" hidden="false" customHeight="false" outlineLevel="0" collapsed="false">
      <c r="A100" s="245"/>
      <c r="B100" s="245"/>
      <c r="C100" s="931"/>
      <c r="D100" s="93"/>
      <c r="E100" s="931"/>
      <c r="F100" s="931"/>
      <c r="G100" s="93"/>
      <c r="H100" s="931"/>
      <c r="I100" s="931"/>
      <c r="J100" s="93"/>
      <c r="K100" s="931"/>
      <c r="L100" s="931"/>
      <c r="M100" s="93"/>
      <c r="N100" s="931"/>
      <c r="O100" s="44"/>
      <c r="P100" s="44"/>
      <c r="Q100" s="44"/>
      <c r="R100" s="824"/>
      <c r="S100" s="638"/>
      <c r="T100" s="638"/>
      <c r="U100" s="638"/>
      <c r="V100" s="638"/>
      <c r="W100" s="638"/>
      <c r="X100" s="638"/>
      <c r="Y100" s="638"/>
      <c r="Z100" s="638"/>
      <c r="AA100" s="638"/>
      <c r="AB100" s="638"/>
      <c r="AC100" s="638"/>
      <c r="AD100" s="638"/>
      <c r="AE100" s="638"/>
    </row>
  </sheetData>
  <mergeCells count="372">
    <mergeCell ref="A1:D8"/>
    <mergeCell ref="E1:F1"/>
    <mergeCell ref="G1:J1"/>
    <mergeCell ref="L1:N1"/>
    <mergeCell ref="R1:S1"/>
    <mergeCell ref="E2:F2"/>
    <mergeCell ref="G2:N2"/>
    <mergeCell ref="E3:F3"/>
    <mergeCell ref="G3:N3"/>
    <mergeCell ref="E4:F4"/>
    <mergeCell ref="G4:N4"/>
    <mergeCell ref="E5:F5"/>
    <mergeCell ref="G5:N5"/>
    <mergeCell ref="E6:F6"/>
    <mergeCell ref="G6:N6"/>
    <mergeCell ref="E7:F7"/>
    <mergeCell ref="G7:N7"/>
    <mergeCell ref="A9:D9"/>
    <mergeCell ref="I9:L9"/>
    <mergeCell ref="A10:B11"/>
    <mergeCell ref="C10:I10"/>
    <mergeCell ref="J10:M10"/>
    <mergeCell ref="J11:M11"/>
    <mergeCell ref="A12:B12"/>
    <mergeCell ref="J12:M12"/>
    <mergeCell ref="A13:B13"/>
    <mergeCell ref="J13:M13"/>
    <mergeCell ref="A14:B14"/>
    <mergeCell ref="J14:M14"/>
    <mergeCell ref="A15:B15"/>
    <mergeCell ref="A16:B16"/>
    <mergeCell ref="A17:B17"/>
    <mergeCell ref="A18:B18"/>
    <mergeCell ref="A19:B19"/>
    <mergeCell ref="R19:S19"/>
    <mergeCell ref="A20:B20"/>
    <mergeCell ref="A21:B21"/>
    <mergeCell ref="A23:C23"/>
    <mergeCell ref="A27:C27"/>
    <mergeCell ref="D27:F27"/>
    <mergeCell ref="G27:H27"/>
    <mergeCell ref="J27:L27"/>
    <mergeCell ref="A28:C28"/>
    <mergeCell ref="D28:F28"/>
    <mergeCell ref="G28:H28"/>
    <mergeCell ref="J28:L28"/>
    <mergeCell ref="A29:C29"/>
    <mergeCell ref="D29:F29"/>
    <mergeCell ref="G29:H29"/>
    <mergeCell ref="J29:L29"/>
    <mergeCell ref="A30:C30"/>
    <mergeCell ref="D30:F30"/>
    <mergeCell ref="G30:H30"/>
    <mergeCell ref="J30:M30"/>
    <mergeCell ref="A32:C32"/>
    <mergeCell ref="D32:F32"/>
    <mergeCell ref="G32:H32"/>
    <mergeCell ref="I32:J32"/>
    <mergeCell ref="K32:N32"/>
    <mergeCell ref="A33:C33"/>
    <mergeCell ref="D33:F33"/>
    <mergeCell ref="G33:H33"/>
    <mergeCell ref="I33:J33"/>
    <mergeCell ref="K33:N33"/>
    <mergeCell ref="A34:C34"/>
    <mergeCell ref="D34:F34"/>
    <mergeCell ref="G34:H34"/>
    <mergeCell ref="I34:J34"/>
    <mergeCell ref="K34:N34"/>
    <mergeCell ref="A35:C35"/>
    <mergeCell ref="D35:F35"/>
    <mergeCell ref="G35:H35"/>
    <mergeCell ref="I35:J35"/>
    <mergeCell ref="K35:N35"/>
    <mergeCell ref="A36:C36"/>
    <mergeCell ref="D36:F36"/>
    <mergeCell ref="G36:H36"/>
    <mergeCell ref="I36:J36"/>
    <mergeCell ref="K36:N36"/>
    <mergeCell ref="A37:C37"/>
    <mergeCell ref="D37:F37"/>
    <mergeCell ref="G37:H37"/>
    <mergeCell ref="I37:J37"/>
    <mergeCell ref="K37:N37"/>
    <mergeCell ref="A38:C38"/>
    <mergeCell ref="D38:F38"/>
    <mergeCell ref="G38:H38"/>
    <mergeCell ref="I38:J38"/>
    <mergeCell ref="K38:N38"/>
    <mergeCell ref="A39:C39"/>
    <mergeCell ref="D39:F39"/>
    <mergeCell ref="G39:H39"/>
    <mergeCell ref="I39:J39"/>
    <mergeCell ref="K39:N39"/>
    <mergeCell ref="R39:S39"/>
    <mergeCell ref="A40:C40"/>
    <mergeCell ref="D40:F40"/>
    <mergeCell ref="G40:H40"/>
    <mergeCell ref="I40:J40"/>
    <mergeCell ref="K40:N40"/>
    <mergeCell ref="A41:C41"/>
    <mergeCell ref="D41:F41"/>
    <mergeCell ref="G41:H41"/>
    <mergeCell ref="I41:J41"/>
    <mergeCell ref="K41:N41"/>
    <mergeCell ref="A43:C43"/>
    <mergeCell ref="K43:L43"/>
    <mergeCell ref="M43:N43"/>
    <mergeCell ref="A44:C44"/>
    <mergeCell ref="K44:L44"/>
    <mergeCell ref="M44:N44"/>
    <mergeCell ref="A45:C45"/>
    <mergeCell ref="K45:L45"/>
    <mergeCell ref="M45:N45"/>
    <mergeCell ref="A46:C46"/>
    <mergeCell ref="K46:L46"/>
    <mergeCell ref="M46:N46"/>
    <mergeCell ref="A47:C47"/>
    <mergeCell ref="K47:L47"/>
    <mergeCell ref="M47:N47"/>
    <mergeCell ref="A48:C48"/>
    <mergeCell ref="K48:L48"/>
    <mergeCell ref="M48:N48"/>
    <mergeCell ref="A49:C49"/>
    <mergeCell ref="K49:L49"/>
    <mergeCell ref="M49:N49"/>
    <mergeCell ref="A50:C50"/>
    <mergeCell ref="K50:L50"/>
    <mergeCell ref="M50:N50"/>
    <mergeCell ref="A51:C51"/>
    <mergeCell ref="K51:L51"/>
    <mergeCell ref="M51:N51"/>
    <mergeCell ref="A52:C52"/>
    <mergeCell ref="K52:L52"/>
    <mergeCell ref="M52:N52"/>
    <mergeCell ref="A53:C53"/>
    <mergeCell ref="K53:L53"/>
    <mergeCell ref="M53:N53"/>
    <mergeCell ref="A54:C54"/>
    <mergeCell ref="K54:L54"/>
    <mergeCell ref="M54:N54"/>
    <mergeCell ref="Q54:S54"/>
    <mergeCell ref="T54:V54"/>
    <mergeCell ref="W54:X54"/>
    <mergeCell ref="Y54:Z54"/>
    <mergeCell ref="AA54:AD54"/>
    <mergeCell ref="A55:C55"/>
    <mergeCell ref="Q55:S55"/>
    <mergeCell ref="T55:V55"/>
    <mergeCell ref="W55:X55"/>
    <mergeCell ref="Y55:Z55"/>
    <mergeCell ref="AA55:AD55"/>
    <mergeCell ref="A56:C56"/>
    <mergeCell ref="Q56:S56"/>
    <mergeCell ref="T56:V56"/>
    <mergeCell ref="W56:X56"/>
    <mergeCell ref="Y56:Z56"/>
    <mergeCell ref="AA56:AD56"/>
    <mergeCell ref="Q57:S57"/>
    <mergeCell ref="T57:V57"/>
    <mergeCell ref="W57:X57"/>
    <mergeCell ref="Y57:Z57"/>
    <mergeCell ref="AA57:AD57"/>
    <mergeCell ref="A58:C58"/>
    <mergeCell ref="D58:I58"/>
    <mergeCell ref="K58:N58"/>
    <mergeCell ref="Q58:S58"/>
    <mergeCell ref="T58:V58"/>
    <mergeCell ref="W58:X58"/>
    <mergeCell ref="Y58:Z58"/>
    <mergeCell ref="AA58:AD58"/>
    <mergeCell ref="A59:C59"/>
    <mergeCell ref="D59:E59"/>
    <mergeCell ref="F59:G59"/>
    <mergeCell ref="H59:I59"/>
    <mergeCell ref="K59:L59"/>
    <mergeCell ref="M59:N59"/>
    <mergeCell ref="Q59:S59"/>
    <mergeCell ref="T59:V59"/>
    <mergeCell ref="W59:X59"/>
    <mergeCell ref="Y59:Z59"/>
    <mergeCell ref="AA59:AD59"/>
    <mergeCell ref="A60:C60"/>
    <mergeCell ref="D60:E60"/>
    <mergeCell ref="F60:G60"/>
    <mergeCell ref="H60:I60"/>
    <mergeCell ref="K60:L60"/>
    <mergeCell ref="M60:N60"/>
    <mergeCell ref="Q60:S60"/>
    <mergeCell ref="T60:V60"/>
    <mergeCell ref="W60:X60"/>
    <mergeCell ref="Y60:Z60"/>
    <mergeCell ref="AA60:AD60"/>
    <mergeCell ref="A61:C61"/>
    <mergeCell ref="D61:E61"/>
    <mergeCell ref="F61:G61"/>
    <mergeCell ref="H61:I61"/>
    <mergeCell ref="K61:L61"/>
    <mergeCell ref="M61:N61"/>
    <mergeCell ref="Q61:S61"/>
    <mergeCell ref="T61:V61"/>
    <mergeCell ref="W61:X61"/>
    <mergeCell ref="Y61:Z61"/>
    <mergeCell ref="AA61:AD61"/>
    <mergeCell ref="A62:C62"/>
    <mergeCell ref="D62:E62"/>
    <mergeCell ref="F62:G62"/>
    <mergeCell ref="H62:I62"/>
    <mergeCell ref="K62:L62"/>
    <mergeCell ref="M62:N62"/>
    <mergeCell ref="Q62:S62"/>
    <mergeCell ref="T62:V62"/>
    <mergeCell ref="W62:X62"/>
    <mergeCell ref="Y62:Z62"/>
    <mergeCell ref="AA62:AD62"/>
    <mergeCell ref="A63:C63"/>
    <mergeCell ref="D63:E63"/>
    <mergeCell ref="F63:G63"/>
    <mergeCell ref="H63:I63"/>
    <mergeCell ref="K63:L63"/>
    <mergeCell ref="M63:N63"/>
    <mergeCell ref="Q63:S63"/>
    <mergeCell ref="T63:V63"/>
    <mergeCell ref="W63:X63"/>
    <mergeCell ref="Y63:Z63"/>
    <mergeCell ref="AA63:AD63"/>
    <mergeCell ref="A64:C64"/>
    <mergeCell ref="D64:E64"/>
    <mergeCell ref="F64:G64"/>
    <mergeCell ref="H64:I64"/>
    <mergeCell ref="K64:L64"/>
    <mergeCell ref="M64:N64"/>
    <mergeCell ref="Q64:S64"/>
    <mergeCell ref="T64:V64"/>
    <mergeCell ref="W64:X64"/>
    <mergeCell ref="Y64:Z64"/>
    <mergeCell ref="AA64:AD64"/>
    <mergeCell ref="A65:C65"/>
    <mergeCell ref="D65:E65"/>
    <mergeCell ref="F65:G65"/>
    <mergeCell ref="H65:I65"/>
    <mergeCell ref="K65:L65"/>
    <mergeCell ref="M65:N65"/>
    <mergeCell ref="Q65:S65"/>
    <mergeCell ref="T65:V65"/>
    <mergeCell ref="W65:X65"/>
    <mergeCell ref="Y65:Z65"/>
    <mergeCell ref="AA65:AD65"/>
    <mergeCell ref="A66:C66"/>
    <mergeCell ref="D66:E66"/>
    <mergeCell ref="F66:G66"/>
    <mergeCell ref="H66:I66"/>
    <mergeCell ref="K66:L66"/>
    <mergeCell ref="M66:N66"/>
    <mergeCell ref="Q66:S66"/>
    <mergeCell ref="T66:V66"/>
    <mergeCell ref="W66:X66"/>
    <mergeCell ref="Y66:Z66"/>
    <mergeCell ref="AA66:AD66"/>
    <mergeCell ref="A67:C67"/>
    <mergeCell ref="D67:E67"/>
    <mergeCell ref="F67:G67"/>
    <mergeCell ref="H67:I67"/>
    <mergeCell ref="K67:L67"/>
    <mergeCell ref="M67:N67"/>
    <mergeCell ref="Q67:S67"/>
    <mergeCell ref="T67:V67"/>
    <mergeCell ref="W67:X67"/>
    <mergeCell ref="Y67:Z67"/>
    <mergeCell ref="AA67:AD67"/>
    <mergeCell ref="A68:C68"/>
    <mergeCell ref="D68:E68"/>
    <mergeCell ref="F68:G68"/>
    <mergeCell ref="H68:I68"/>
    <mergeCell ref="K68:L68"/>
    <mergeCell ref="M68:N68"/>
    <mergeCell ref="Q68:S68"/>
    <mergeCell ref="T68:V68"/>
    <mergeCell ref="W68:X68"/>
    <mergeCell ref="Y68:Z68"/>
    <mergeCell ref="AA68:AD68"/>
    <mergeCell ref="A69:C69"/>
    <mergeCell ref="D69:E69"/>
    <mergeCell ref="F69:G69"/>
    <mergeCell ref="H69:I69"/>
    <mergeCell ref="K69:L69"/>
    <mergeCell ref="M69:N69"/>
    <mergeCell ref="Q69:S69"/>
    <mergeCell ref="T69:V69"/>
    <mergeCell ref="W69:X69"/>
    <mergeCell ref="Y69:Z69"/>
    <mergeCell ref="AA69:AD69"/>
    <mergeCell ref="Q70:S70"/>
    <mergeCell ref="T70:V70"/>
    <mergeCell ref="W70:X70"/>
    <mergeCell ref="Y70:Z70"/>
    <mergeCell ref="AA70:AD70"/>
    <mergeCell ref="A71:B72"/>
    <mergeCell ref="C71:E71"/>
    <mergeCell ref="F71:I71"/>
    <mergeCell ref="K71:N71"/>
    <mergeCell ref="Q71:S71"/>
    <mergeCell ref="T71:V71"/>
    <mergeCell ref="W71:X71"/>
    <mergeCell ref="Y71:Z71"/>
    <mergeCell ref="AA71:AD71"/>
    <mergeCell ref="K72:L72"/>
    <mergeCell ref="M72:N72"/>
    <mergeCell ref="A73:B73"/>
    <mergeCell ref="K73:L73"/>
    <mergeCell ref="M73:N73"/>
    <mergeCell ref="A74:B74"/>
    <mergeCell ref="K74:L74"/>
    <mergeCell ref="M74:N74"/>
    <mergeCell ref="A75:B75"/>
    <mergeCell ref="K75:L75"/>
    <mergeCell ref="M75:N75"/>
    <mergeCell ref="A76:B76"/>
    <mergeCell ref="K76:L76"/>
    <mergeCell ref="M76:N76"/>
    <mergeCell ref="A77:B77"/>
    <mergeCell ref="K77:L77"/>
    <mergeCell ref="M77:N77"/>
    <mergeCell ref="A78:B78"/>
    <mergeCell ref="K78:L78"/>
    <mergeCell ref="M78:N78"/>
    <mergeCell ref="A79:B79"/>
    <mergeCell ref="K79:L79"/>
    <mergeCell ref="M79:N79"/>
    <mergeCell ref="A80:B80"/>
    <mergeCell ref="K80:L80"/>
    <mergeCell ref="M80:N80"/>
    <mergeCell ref="A81:B81"/>
    <mergeCell ref="K81:L81"/>
    <mergeCell ref="M81:N81"/>
    <mergeCell ref="A82:B82"/>
    <mergeCell ref="K82:L82"/>
    <mergeCell ref="M82:N82"/>
    <mergeCell ref="A83:B83"/>
    <mergeCell ref="A84:B84"/>
    <mergeCell ref="K84:N84"/>
    <mergeCell ref="A85:B85"/>
    <mergeCell ref="K85:L85"/>
    <mergeCell ref="M85:N85"/>
    <mergeCell ref="A86:B86"/>
    <mergeCell ref="K86:L86"/>
    <mergeCell ref="M86:N86"/>
    <mergeCell ref="A87:B87"/>
    <mergeCell ref="K87:L87"/>
    <mergeCell ref="M87:N87"/>
    <mergeCell ref="A88:B88"/>
    <mergeCell ref="K88:L88"/>
    <mergeCell ref="M88:N88"/>
    <mergeCell ref="A89:B89"/>
    <mergeCell ref="K89:L89"/>
    <mergeCell ref="M89:N89"/>
    <mergeCell ref="A90:B90"/>
    <mergeCell ref="K90:L90"/>
    <mergeCell ref="M90:N90"/>
    <mergeCell ref="A91:B91"/>
    <mergeCell ref="K91:L91"/>
    <mergeCell ref="M91:N91"/>
    <mergeCell ref="K92:L92"/>
    <mergeCell ref="M92:N92"/>
    <mergeCell ref="C93:E93"/>
    <mergeCell ref="F93:I93"/>
    <mergeCell ref="K93:L93"/>
    <mergeCell ref="M93:N93"/>
    <mergeCell ref="K94:L94"/>
    <mergeCell ref="M94:N94"/>
    <mergeCell ref="K95:L95"/>
    <mergeCell ref="M95:N95"/>
  </mergeCells>
  <conditionalFormatting sqref="J29:M30">
    <cfRule type="containsText" priority="2" aboveAverage="0" equalAverage="0" bottom="0" percent="0" rank="0" text="ERROR" dxfId="1"/>
  </conditionalFormatting>
  <conditionalFormatting sqref="N9">
    <cfRule type="notContainsText" priority="3" aboveAverage="0" equalAverage="0" bottom="0" percent="0" rank="0" text="OUT" dxfId="0"/>
  </conditionalFormatting>
  <conditionalFormatting sqref="N9">
    <cfRule type="containsText" priority="4" aboveAverage="0" equalAverage="0" bottom="0" percent="0" rank="0" text="OUT" dxfId="1"/>
  </conditionalFormatting>
  <conditionalFormatting sqref="N8">
    <cfRule type="containsText" priority="5" aboveAverage="0" equalAverage="0" bottom="0" percent="0" rank="0" text="Win" dxfId="3"/>
  </conditionalFormatting>
  <conditionalFormatting sqref="N8">
    <cfRule type="containsText" priority="6" aboveAverage="0" equalAverage="0" bottom="0" percent="0" rank="0" text="Lose" dxfId="4"/>
  </conditionalFormatting>
  <conditionalFormatting sqref="M27">
    <cfRule type="cellIs" priority="7" operator="lessThanOrEqual" aboveAverage="0" equalAverage="0" bottom="0" percent="0" rank="0" text="" dxfId="4">
      <formula>0</formula>
    </cfRule>
  </conditionalFormatting>
  <conditionalFormatting sqref="M27">
    <cfRule type="cellIs" priority="8" operator="greaterThan" aboveAverage="0" equalAverage="0" bottom="0" percent="0" rank="0" text="" dxfId="3">
      <formula>0</formula>
    </cfRule>
  </conditionalFormatting>
  <conditionalFormatting sqref="A12:I22,A44:N54,A59:I69">
    <cfRule type="expression" priority="9" aboveAverage="0" equalAverage="0" bottom="0" percent="0" rank="0" text="" dxfId="0">
      <formula>AND(NOT(ISBLANK($A:$A)),$A:$A=$J$11)</formula>
    </cfRule>
  </conditionalFormatting>
  <conditionalFormatting sqref="A12:I22,A44:N54,A59:I69">
    <cfRule type="expression" priority="10" aboveAverage="0" equalAverage="0" bottom="0" percent="0" rank="0" text="" dxfId="1">
      <formula>AND(NOT(ISBLANK($A:$A)),$A:$A=$J$13)</formula>
    </cfRule>
  </conditionalFormatting>
  <conditionalFormatting sqref="A12:I22,A44:N54,A59:I69">
    <cfRule type="expression" priority="11" aboveAverage="0" equalAverage="0" bottom="0" percent="0" rank="0" text="" dxfId="1">
      <formula>AND(NOT(ISBLANK($A:$A)),$A:$A=$J$14)</formula>
    </cfRule>
  </conditionalFormatting>
  <printOptions headings="false" gridLines="false" gridLinesSet="true" horizontalCentered="false" verticalCentered="false"/>
  <pageMargins left="0.747916666666667" right="0.747916666666667" top="0.984027777777778" bottom="0.984027777777778" header="0.511805555555555" footer="0.511805555555555"/>
  <pageSetup paperSize="1" scale="100" firstPageNumber="0" fitToWidth="1" fitToHeight="1" pageOrder="downThenOver" orientation="portrait" usePrinterDefaults="false" blackAndWhite="false" draft="false" cellComments="none" useFirstPageNumber="false" horizontalDpi="300" verticalDpi="300" copies="1"/>
  <headerFooter differentFirst="false" differentOddEven="false">
    <oddHeader/>
    <oddFooter/>
  </headerFooter>
  <drawing r:id="rId1"/>
</worksheet>
</file>

<file path=xl/worksheets/sheet16.xml><?xml version="1.0" encoding="utf-8"?>
<worksheet xmlns="http://schemas.openxmlformats.org/spreadsheetml/2006/main" xmlns:r="http://schemas.openxmlformats.org/officeDocument/2006/relationships">
  <sheetPr filterMode="false">
    <tabColor rgb="FF6D9EEB"/>
    <pageSetUpPr fitToPage="false"/>
  </sheetPr>
  <dimension ref="A1:AE100"/>
  <sheetViews>
    <sheetView windowProtection="false"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A1" activeCellId="0" sqref="A1"/>
    </sheetView>
  </sheetViews>
  <sheetFormatPr defaultRowHeight="15.75"/>
  <cols>
    <col collapsed="false" hidden="false" max="2" min="1" style="0" width="10.6632653061225"/>
    <col collapsed="false" hidden="false" max="14" min="3" style="0" width="7.1530612244898"/>
    <col collapsed="false" hidden="false" max="15" min="15" style="0" width="1.48469387755102"/>
    <col collapsed="false" hidden="true" max="31" min="16" style="0" width="0"/>
    <col collapsed="false" hidden="false" max="1025" min="32" style="0" width="14.1734693877551"/>
  </cols>
  <sheetData>
    <row r="1" customFormat="false" ht="15.75" hidden="false" customHeight="false" outlineLevel="0" collapsed="false">
      <c r="A1" s="765" t="s">
        <v>466</v>
      </c>
      <c r="B1" s="765"/>
      <c r="C1" s="765"/>
      <c r="D1" s="765"/>
      <c r="E1" s="766" t="s">
        <v>2038</v>
      </c>
      <c r="F1" s="766"/>
      <c r="G1" s="767" t="s">
        <v>2101</v>
      </c>
      <c r="H1" s="767"/>
      <c r="I1" s="767"/>
      <c r="J1" s="767"/>
      <c r="K1" s="768" t="s">
        <v>2040</v>
      </c>
      <c r="L1" s="769" t="s">
        <v>706</v>
      </c>
      <c r="M1" s="769"/>
      <c r="N1" s="769"/>
      <c r="O1" s="44"/>
      <c r="P1" s="44"/>
      <c r="Q1" s="770" t="e">
        <f aca="false">flg!$l$1</f>
        <v>#NAME?</v>
      </c>
      <c r="R1" s="341" t="s">
        <v>1681</v>
      </c>
      <c r="S1" s="341"/>
      <c r="T1" s="771"/>
      <c r="U1" s="771"/>
      <c r="V1" s="771"/>
      <c r="W1" s="771"/>
      <c r="X1" s="771"/>
      <c r="Y1" s="771"/>
      <c r="Z1" s="771"/>
      <c r="AA1" s="771"/>
      <c r="AB1" s="771"/>
      <c r="AC1" s="771"/>
      <c r="AD1" s="771"/>
      <c r="AE1" s="771"/>
    </row>
    <row r="2" customFormat="false" ht="15.75" hidden="false" customHeight="false" outlineLevel="0" collapsed="false">
      <c r="A2" s="765"/>
      <c r="B2" s="765"/>
      <c r="C2" s="765"/>
      <c r="D2" s="765"/>
      <c r="E2" s="772" t="s">
        <v>2041</v>
      </c>
      <c r="F2" s="772"/>
      <c r="G2" s="773" t="s">
        <v>2102</v>
      </c>
      <c r="H2" s="773"/>
      <c r="I2" s="773"/>
      <c r="J2" s="773"/>
      <c r="K2" s="773"/>
      <c r="L2" s="773"/>
      <c r="M2" s="773"/>
      <c r="N2" s="773"/>
      <c r="O2" s="44"/>
      <c r="P2" s="44"/>
      <c r="Q2" s="774" t="e">
        <f aca="false">fst!$l$1</f>
        <v>#NAME?</v>
      </c>
      <c r="R2" s="386" t="str">
        <f aca="false">IFERROR(__xludf.dummyfunction("{ if(isna(FILTER(MoveDex!$T:$T,MoveDex!$S:$S=$L$1)),,FILTER(MoveDex!$T:$T,MoveDex!$S:$S=$L$1)) ; if(isna(FILTER(MoveDex!$X:$X,MoveDex!$W:$W=$L$1)),,FILTER(MoveDex!$X:$X,MoveDex!$W:$W=$L$1)) ; if(isna(FILTER(MoveDex!$AB:$AB,MoveDex!$AA:$AA=$L$1)),,FILTER(M"&amp;"oveDex!$AB:$AB,MoveDex!$AA:$AA=$L$1)) ; if(isna(FILTER(MoveDex!$AF:$AF,MoveDex!$AE:$AE=$L$1)),,FILTER(MoveDex!$AF:$AF,MoveDex!$AE:$AE=$L$1)) }"),"Camerupt-Mega")</f>
        <v>Camerupt-Mega</v>
      </c>
      <c r="S2" s="386" t="str">
        <f aca="false">IFERROR(__xludf.dummyfunction("{ if(isna(FILTER(MoveDex!$U:$U,MoveDex!$S:$S=$L$1)),,FILTER(MoveDex!$U:$U,MoveDex!$S:$S=$L$1)) ; if(isna(FILTER(MoveDex!$Y:$Y,MoveDex!$W:$W=$L$1)),,FILTER(MoveDex!$Y:$Y,MoveDex!$W:$W=$L$1)) ; if(isna(FILTER(MoveDex!$AC:$AC,MoveDex!$AA:$AA=$L$1)),,FILTER(M"&amp;"oveDex!$AC:$AC,MoveDex!$AA:$AA=$L$1)) ; if(isna(FILTER(MoveDex!$AG:$AG,MoveDex!$AE:$AE=$L$1)),,FILTER(MoveDex!$AG:$AG,MoveDex!$AE:$AE=$L$1)) }"),"Stealth Rock")</f>
        <v>Stealth Rock</v>
      </c>
      <c r="T2" s="777"/>
      <c r="U2" s="777"/>
      <c r="V2" s="777"/>
      <c r="W2" s="777"/>
      <c r="X2" s="777"/>
      <c r="Y2" s="777"/>
      <c r="Z2" s="777"/>
      <c r="AA2" s="777"/>
      <c r="AB2" s="777"/>
      <c r="AC2" s="777"/>
      <c r="AD2" s="777"/>
      <c r="AE2" s="777"/>
    </row>
    <row r="3" customFormat="false" ht="15.75" hidden="false" customHeight="false" outlineLevel="0" collapsed="false">
      <c r="A3" s="765"/>
      <c r="B3" s="765"/>
      <c r="C3" s="765"/>
      <c r="D3" s="765"/>
      <c r="E3" s="772" t="s">
        <v>2043</v>
      </c>
      <c r="F3" s="772"/>
      <c r="G3" s="773" t="s">
        <v>246</v>
      </c>
      <c r="H3" s="773"/>
      <c r="I3" s="773"/>
      <c r="J3" s="773"/>
      <c r="K3" s="773"/>
      <c r="L3" s="773"/>
      <c r="M3" s="773"/>
      <c r="N3" s="773"/>
      <c r="O3" s="44"/>
      <c r="P3" s="44"/>
      <c r="Q3" s="774" t="e">
        <f aca="false">phi!$l$1</f>
        <v>#NAME?</v>
      </c>
      <c r="R3" s="778" t="s">
        <v>68</v>
      </c>
      <c r="S3" s="511" t="s">
        <v>1106</v>
      </c>
      <c r="T3" s="638"/>
      <c r="U3" s="638"/>
      <c r="V3" s="638"/>
      <c r="W3" s="638"/>
      <c r="X3" s="638"/>
      <c r="Y3" s="638"/>
      <c r="Z3" s="638"/>
      <c r="AA3" s="638"/>
      <c r="AB3" s="638"/>
      <c r="AC3" s="638"/>
      <c r="AD3" s="638"/>
      <c r="AE3" s="638"/>
    </row>
    <row r="4" customFormat="false" ht="15.75" hidden="false" customHeight="false" outlineLevel="0" collapsed="false">
      <c r="A4" s="765"/>
      <c r="B4" s="765"/>
      <c r="C4" s="765"/>
      <c r="D4" s="765"/>
      <c r="E4" s="772" t="s">
        <v>2044</v>
      </c>
      <c r="F4" s="772"/>
      <c r="G4" s="773" t="s">
        <v>2103</v>
      </c>
      <c r="H4" s="773"/>
      <c r="I4" s="773"/>
      <c r="J4" s="773"/>
      <c r="K4" s="773"/>
      <c r="L4" s="773"/>
      <c r="M4" s="773"/>
      <c r="N4" s="773"/>
      <c r="O4" s="44"/>
      <c r="P4" s="44"/>
      <c r="Q4" s="774" t="e">
        <f aca="false">stl!$l$1</f>
        <v>#NAME?</v>
      </c>
      <c r="R4" s="778" t="s">
        <v>68</v>
      </c>
      <c r="S4" s="511" t="s">
        <v>1107</v>
      </c>
      <c r="T4" s="638"/>
      <c r="U4" s="638"/>
      <c r="V4" s="638"/>
      <c r="W4" s="638"/>
      <c r="X4" s="638"/>
      <c r="Y4" s="638"/>
      <c r="Z4" s="638"/>
      <c r="AA4" s="638"/>
      <c r="AB4" s="638"/>
      <c r="AC4" s="638"/>
      <c r="AD4" s="638"/>
      <c r="AE4" s="638"/>
    </row>
    <row r="5" customFormat="false" ht="15.75" hidden="false" customHeight="false" outlineLevel="0" collapsed="false">
      <c r="A5" s="765"/>
      <c r="B5" s="765"/>
      <c r="C5" s="765"/>
      <c r="D5" s="765"/>
      <c r="E5" s="772" t="s">
        <v>2046</v>
      </c>
      <c r="F5" s="772"/>
      <c r="G5" s="773" t="s">
        <v>2104</v>
      </c>
      <c r="H5" s="773"/>
      <c r="I5" s="773"/>
      <c r="J5" s="773"/>
      <c r="K5" s="773"/>
      <c r="L5" s="773"/>
      <c r="M5" s="773"/>
      <c r="N5" s="773"/>
      <c r="O5" s="44"/>
      <c r="P5" s="44"/>
      <c r="Q5" s="779" t="e">
        <f aca="false">bor!$l$1</f>
        <v>#NAME?</v>
      </c>
      <c r="R5" s="778" t="s">
        <v>68</v>
      </c>
      <c r="S5" s="511" t="s">
        <v>1108</v>
      </c>
      <c r="T5" s="638"/>
      <c r="U5" s="638"/>
      <c r="V5" s="638"/>
      <c r="W5" s="638"/>
      <c r="X5" s="638"/>
      <c r="Y5" s="638"/>
      <c r="Z5" s="638"/>
      <c r="AA5" s="638"/>
      <c r="AB5" s="638"/>
      <c r="AC5" s="638"/>
      <c r="AD5" s="638"/>
      <c r="AE5" s="638"/>
    </row>
    <row r="6" customFormat="false" ht="15.75" hidden="false" customHeight="false" outlineLevel="0" collapsed="false">
      <c r="A6" s="765"/>
      <c r="B6" s="765"/>
      <c r="C6" s="765"/>
      <c r="D6" s="765"/>
      <c r="E6" s="772" t="s">
        <v>2048</v>
      </c>
      <c r="F6" s="772"/>
      <c r="G6" s="773" t="s">
        <v>2105</v>
      </c>
      <c r="H6" s="773"/>
      <c r="I6" s="773"/>
      <c r="J6" s="773"/>
      <c r="K6" s="773"/>
      <c r="L6" s="773"/>
      <c r="M6" s="773"/>
      <c r="N6" s="773"/>
      <c r="O6" s="44"/>
      <c r="P6" s="44"/>
      <c r="Q6" s="779" t="e">
        <f aca="false">pit!$l$1</f>
        <v>#NAME?</v>
      </c>
      <c r="R6" s="778"/>
      <c r="S6" s="511"/>
      <c r="T6" s="638"/>
      <c r="U6" s="638"/>
      <c r="V6" s="638"/>
      <c r="W6" s="638"/>
      <c r="X6" s="638"/>
      <c r="Y6" s="638"/>
      <c r="Z6" s="638"/>
      <c r="AA6" s="638"/>
      <c r="AB6" s="638"/>
      <c r="AC6" s="638"/>
      <c r="AD6" s="638"/>
      <c r="AE6" s="638"/>
    </row>
    <row r="7" customFormat="false" ht="15.75" hidden="false" customHeight="false" outlineLevel="0" collapsed="false">
      <c r="A7" s="765"/>
      <c r="B7" s="765"/>
      <c r="C7" s="765"/>
      <c r="D7" s="765"/>
      <c r="E7" s="780" t="s">
        <v>2050</v>
      </c>
      <c r="F7" s="780"/>
      <c r="G7" s="781" t="s">
        <v>2106</v>
      </c>
      <c r="H7" s="781"/>
      <c r="I7" s="781"/>
      <c r="J7" s="781"/>
      <c r="K7" s="781"/>
      <c r="L7" s="781"/>
      <c r="M7" s="781"/>
      <c r="N7" s="781"/>
      <c r="O7" s="44"/>
      <c r="P7" s="44"/>
      <c r="Q7" s="779" t="e">
        <f aca="false">sfa!$l$1</f>
        <v>#NAME?</v>
      </c>
      <c r="R7" s="778"/>
      <c r="S7" s="511"/>
      <c r="T7" s="638"/>
      <c r="U7" s="638"/>
      <c r="V7" s="638"/>
      <c r="W7" s="638"/>
      <c r="X7" s="638"/>
      <c r="Y7" s="638"/>
      <c r="Z7" s="638"/>
      <c r="AA7" s="638"/>
      <c r="AB7" s="638"/>
      <c r="AC7" s="638"/>
      <c r="AD7" s="638"/>
      <c r="AE7" s="638"/>
    </row>
    <row r="8" customFormat="false" ht="15.75" hidden="false" customHeight="false" outlineLevel="0" collapsed="false">
      <c r="A8" s="765"/>
      <c r="B8" s="765"/>
      <c r="C8" s="765"/>
      <c r="D8" s="765"/>
      <c r="E8" s="782" t="s">
        <v>2051</v>
      </c>
      <c r="F8" s="783" t="n">
        <f aca="false">COUNTIF(MatchSource!V3:V19, "WIN")</f>
        <v>2</v>
      </c>
      <c r="G8" s="784" t="s">
        <v>2052</v>
      </c>
      <c r="H8" s="785" t="n">
        <f aca="false">COUNTIF(MatchSource!V3:V19, "LOSE")</f>
        <v>13</v>
      </c>
      <c r="I8" s="786" t="s">
        <v>2053</v>
      </c>
      <c r="J8" s="787" t="n">
        <f aca="false">MatchSource!V44</f>
        <v>-3</v>
      </c>
      <c r="K8" s="88" t="s">
        <v>2054</v>
      </c>
      <c r="L8" s="788" t="n">
        <f aca="false">COUNTIF(MatchSource!V3:V19, "DNP")</f>
        <v>2</v>
      </c>
      <c r="M8" s="562" t="s">
        <v>2055</v>
      </c>
      <c r="N8" s="789" t="str">
        <f aca="false">MatchSource!V23</f>
        <v>Lose-1</v>
      </c>
      <c r="O8" s="44"/>
      <c r="P8" s="44"/>
      <c r="Q8" s="779" t="e">
        <f aca="false">tbl!$l$1</f>
        <v>#NAME?</v>
      </c>
      <c r="R8" s="790"/>
      <c r="S8" s="791"/>
      <c r="T8" s="792"/>
      <c r="U8" s="792"/>
      <c r="V8" s="792"/>
      <c r="W8" s="792"/>
      <c r="X8" s="792"/>
      <c r="Y8" s="792"/>
      <c r="Z8" s="792"/>
      <c r="AA8" s="792"/>
      <c r="AB8" s="792"/>
      <c r="AC8" s="792"/>
      <c r="AD8" s="792"/>
      <c r="AE8" s="792"/>
    </row>
    <row r="9" customFormat="false" ht="15.75" hidden="false" customHeight="false" outlineLevel="0" collapsed="false">
      <c r="A9" s="793" t="str">
        <f aca="false">$G$1</f>
        <v>Louisville Crobats</v>
      </c>
      <c r="B9" s="793"/>
      <c r="C9" s="793"/>
      <c r="D9" s="793"/>
      <c r="E9" s="794" t="s">
        <v>171</v>
      </c>
      <c r="F9" s="795" t="n">
        <v>2</v>
      </c>
      <c r="G9" s="794" t="s">
        <v>172</v>
      </c>
      <c r="H9" s="795" t="n">
        <v>0</v>
      </c>
      <c r="I9" s="938" t="e">
        <f aca="false">CONCATENATE("Currently #",MATCH($G$1,Main!$A$8:$A$11,0)," in Showdown Conference")</f>
        <v>#N/A</v>
      </c>
      <c r="J9" s="938"/>
      <c r="K9" s="938"/>
      <c r="L9" s="938"/>
      <c r="M9" s="797" t="s">
        <v>2056</v>
      </c>
      <c r="N9" s="798" t="e">
        <f aca="false" t="array" ref="N9:N9">INDEX(Main!$L$3:$O$11,MATCH($G$1,Main!$M$3:$M$11,0),1)</f>
        <v>#N/A</v>
      </c>
      <c r="O9" s="44"/>
      <c r="P9" s="44"/>
      <c r="Q9" s="799" t="str">
        <f aca="false">BBG!$L$1</f>
        <v>BBG</v>
      </c>
      <c r="R9" s="790"/>
      <c r="S9" s="791"/>
      <c r="T9" s="792"/>
      <c r="U9" s="792"/>
      <c r="V9" s="792"/>
      <c r="W9" s="792"/>
      <c r="X9" s="792"/>
      <c r="Y9" s="792"/>
      <c r="Z9" s="792"/>
      <c r="AA9" s="792"/>
      <c r="AB9" s="792"/>
      <c r="AC9" s="792"/>
      <c r="AD9" s="792"/>
      <c r="AE9" s="792"/>
    </row>
    <row r="10" customFormat="false" ht="15.75" hidden="false" customHeight="false" outlineLevel="0" collapsed="false">
      <c r="A10" s="800" t="s">
        <v>2057</v>
      </c>
      <c r="B10" s="800"/>
      <c r="C10" s="801" t="s">
        <v>2058</v>
      </c>
      <c r="D10" s="801"/>
      <c r="E10" s="801"/>
      <c r="F10" s="801"/>
      <c r="G10" s="801"/>
      <c r="H10" s="801"/>
      <c r="I10" s="801"/>
      <c r="J10" s="802" t="s">
        <v>264</v>
      </c>
      <c r="K10" s="802"/>
      <c r="L10" s="802"/>
      <c r="M10" s="802"/>
      <c r="N10" s="44"/>
      <c r="O10" s="44"/>
      <c r="P10" s="44"/>
      <c r="Q10" s="799" t="str">
        <f aca="false">SEA!$L$1</f>
        <v>SEA</v>
      </c>
      <c r="R10" s="790"/>
      <c r="S10" s="791"/>
      <c r="T10" s="792"/>
      <c r="U10" s="792"/>
      <c r="V10" s="792"/>
      <c r="W10" s="792"/>
      <c r="X10" s="792"/>
      <c r="Y10" s="792"/>
      <c r="Z10" s="792"/>
      <c r="AA10" s="792"/>
      <c r="AB10" s="792"/>
      <c r="AC10" s="792"/>
      <c r="AD10" s="792"/>
    </row>
    <row r="11" customFormat="false" ht="15.75" hidden="false" customHeight="false" outlineLevel="0" collapsed="false">
      <c r="A11" s="800"/>
      <c r="B11" s="800"/>
      <c r="C11" s="803" t="s">
        <v>2059</v>
      </c>
      <c r="D11" s="804" t="s">
        <v>5</v>
      </c>
      <c r="E11" s="805" t="s">
        <v>6</v>
      </c>
      <c r="F11" s="806" t="s">
        <v>170</v>
      </c>
      <c r="G11" s="807" t="s">
        <v>191</v>
      </c>
      <c r="H11" s="808" t="s">
        <v>7</v>
      </c>
      <c r="I11" s="809" t="s">
        <v>2060</v>
      </c>
      <c r="J11" s="810" t="str">
        <f aca="false">DraftRosters!$O$16</f>
        <v>Azumarill</v>
      </c>
      <c r="K11" s="810"/>
      <c r="L11" s="810"/>
      <c r="M11" s="810"/>
      <c r="N11" s="44"/>
      <c r="O11" s="44"/>
      <c r="P11" s="44"/>
      <c r="Q11" s="799" t="str">
        <f aca="false">JVJ!$L$1</f>
        <v>JVJ</v>
      </c>
      <c r="R11" s="790"/>
      <c r="S11" s="791"/>
      <c r="T11" s="792"/>
      <c r="U11" s="792"/>
      <c r="V11" s="792"/>
      <c r="W11" s="792"/>
      <c r="X11" s="792"/>
      <c r="Y11" s="792"/>
      <c r="Z11" s="792"/>
      <c r="AA11" s="792"/>
      <c r="AB11" s="792"/>
      <c r="AC11" s="792"/>
      <c r="AD11" s="792"/>
    </row>
    <row r="12" customFormat="false" ht="15.75" hidden="false" customHeight="false" outlineLevel="0" collapsed="false">
      <c r="A12" s="811" t="str">
        <f aca="false">IFERROR(__xludf.dummyfunction("if(isna(filter(DraftRosters!$O$4:$O$14,not(isblank(DraftRosters!$O$4:$O$14)))), ""NONE DRAFTED"", filter(DraftRosters!$O$4:$O$14,not(isblank(DraftRosters!$O$4:$O$14))))"),"Azumarill")</f>
        <v>Azumarill</v>
      </c>
      <c r="B12" s="811"/>
      <c r="C12" s="812" t="str">
        <f aca="false" t="array" ref="C12:C12">IF(ISNA(INDEX(Pokedex!J$2:J$610,MATCH($A12,Pokedex!$B$2:$B$610,0))),"-",INDEX(Pokedex!J$2:J$610,MATCH($A12,Pokedex!$B$2:$B$610,0)))</f>
        <v>Tier 1</v>
      </c>
      <c r="D12" s="813" t="n">
        <f aca="false" t="array" ref="D12:D12">IF(ISNA(INDEX(Pokedex!E$2:E$610,MATCH($A12,Pokedex!$B$2:$B$610,0))),"-",INDEX(Pokedex!E$2:E$610,MATCH($A12,Pokedex!$B$2:$B$610,0)))</f>
        <v>0</v>
      </c>
      <c r="E12" s="813" t="n">
        <f aca="false" t="array" ref="E12:E12">IF(ISNA(INDEX(Pokedex!F$2:F$610,MATCH($A12,Pokedex!$B$2:$B$610,0))),"-",INDEX(Pokedex!F$2:F$610,MATCH($A12,Pokedex!$B$2:$B$610,0)))</f>
        <v>0</v>
      </c>
      <c r="F12" s="814" t="e">
        <f aca="false" t="array" ref="F12:F12">IF(ISNA(INDEX(Pokedex!G$2:G$610,MATCH($A12,Pokedex!$B$2:$B$610,0))),"-",INDEX(Pokedex!G$2:G$610,MATCH($A12,Pokedex!$B$2:$B$610,0)))</f>
        <v>#NAME?</v>
      </c>
      <c r="G12" s="814" t="n">
        <f aca="false" t="array" ref="G12:G12">IF(ISNA(INDEX(Pokedex!H$2:H$610,MATCH($A12,Pokedex!$B$2:$B$610,0))),"-",INDEX(Pokedex!H$2:H$610,MATCH($A12,Pokedex!$B$2:$B$610,0)))</f>
        <v>4</v>
      </c>
      <c r="H12" s="813" t="n">
        <f aca="false" t="array" ref="H12:H12">IF(ISNA(INDEX(Pokedex!I$2:I$610,MATCH($A12,Pokedex!$B$2:$B$610,0))),"-",INDEX(Pokedex!I$2:I$610,MATCH($A12,Pokedex!$B$2:$B$610,0)))</f>
        <v>0</v>
      </c>
      <c r="I12" s="815" t="n">
        <f aca="false" t="array" ref="I12:I12">IF(ISNA(INDEX(ExpandedStats!$A$3:$A$240,MATCH($A12,ExpandedStats!$C$3:$C$240,0))),"-",INDEX(ExpandedStats!$A$3:$A$240,MATCH($A12,ExpandedStats!$C$3:$C$240,0)))</f>
        <v>45</v>
      </c>
      <c r="J12" s="816" t="s">
        <v>2061</v>
      </c>
      <c r="K12" s="816"/>
      <c r="L12" s="816"/>
      <c r="M12" s="816"/>
      <c r="N12" s="44"/>
      <c r="O12" s="44"/>
      <c r="P12" s="44"/>
      <c r="Q12" s="799" t="str">
        <f aca="false">KKS!$L$1</f>
        <v>KKS</v>
      </c>
      <c r="R12" s="790"/>
      <c r="S12" s="791"/>
      <c r="T12" s="792"/>
      <c r="U12" s="792"/>
      <c r="V12" s="792"/>
      <c r="W12" s="792"/>
      <c r="X12" s="792"/>
      <c r="Y12" s="792"/>
      <c r="Z12" s="792"/>
      <c r="AA12" s="792"/>
      <c r="AB12" s="792"/>
      <c r="AC12" s="792"/>
      <c r="AD12" s="792"/>
    </row>
    <row r="13" customFormat="false" ht="15.75" hidden="false" customHeight="false" outlineLevel="0" collapsed="false">
      <c r="A13" s="817" t="s">
        <v>244</v>
      </c>
      <c r="B13" s="817"/>
      <c r="C13" s="818" t="str">
        <f aca="false" t="array" ref="C13:C13">IF(ISNA(INDEX(Pokedex!J$2:J$610,MATCH($A13,Pokedex!$B$2:$B$610,0))),"-",INDEX(Pokedex!J$2:J$610,MATCH($A13,Pokedex!$B$2:$B$610,0)))</f>
        <v>Tier 2</v>
      </c>
      <c r="D13" s="50" t="str">
        <f aca="false" t="array" ref="D13:D13">IF(ISNA(INDEX(Pokedex!E$2:E$610,MATCH($A13,Pokedex!$B$2:$B$610,0))),"-",INDEX(Pokedex!E$2:E$610,MATCH($A13,Pokedex!$B$2:$B$610,0)))</f>
        <v>-</v>
      </c>
      <c r="E13" s="50" t="str">
        <f aca="false" t="array" ref="E13:E13">IF(ISNA(INDEX(Pokedex!F$2:F$610,MATCH($A13,Pokedex!$B$2:$B$610,0))),"-",INDEX(Pokedex!F$2:F$610,MATCH($A13,Pokedex!$B$2:$B$610,0)))</f>
        <v>-</v>
      </c>
      <c r="F13" s="469" t="str">
        <f aca="false" t="array" ref="F13:F13">IF(ISNA(INDEX(Pokedex!G$2:G$610,MATCH($A13,Pokedex!$B$2:$B$610,0))),"-",INDEX(Pokedex!G$2:G$610,MATCH($A13,Pokedex!$B$2:$B$610,0)))</f>
        <v>-</v>
      </c>
      <c r="G13" s="50" t="n">
        <f aca="false" t="array" ref="G13:G13">IF(ISNA(INDEX(Pokedex!H$2:H$610,MATCH($A13,Pokedex!$B$2:$B$610,0))),"-",INDEX(Pokedex!H$2:H$610,MATCH($A13,Pokedex!$B$2:$B$610,0)))</f>
        <v>0</v>
      </c>
      <c r="H13" s="477" t="n">
        <f aca="false" t="array" ref="H13:H13">IF(ISNA(INDEX(Pokedex!I$2:I$610,MATCH($A13,Pokedex!$B$2:$B$610,0))),"-",INDEX(Pokedex!I$2:I$610,MATCH($A13,Pokedex!$B$2:$B$610,0)))</f>
        <v>0</v>
      </c>
      <c r="I13" s="477" t="str">
        <f aca="false" t="array" ref="I13:I13">IF(ISNA(INDEX(ExpandedStats!$A$3:$A$240,MATCH($A13,ExpandedStats!$C$3:$C$240,0))),"-",INDEX(ExpandedStats!$A$3:$A$240,MATCH($A13,ExpandedStats!$C$3:$C$240,0)))</f>
        <v>-</v>
      </c>
      <c r="J13" s="819" t="str">
        <f aca="false">DraftRosters!$O$18</f>
        <v>Crobat</v>
      </c>
      <c r="K13" s="819"/>
      <c r="L13" s="819"/>
      <c r="M13" s="819"/>
      <c r="N13" s="44"/>
      <c r="O13" s="44"/>
      <c r="P13" s="44"/>
      <c r="Q13" s="83" t="str">
        <f aca="false">LVC!$L$1</f>
        <v>LVC</v>
      </c>
      <c r="R13" s="820"/>
      <c r="S13" s="821"/>
      <c r="T13" s="792"/>
      <c r="U13" s="792"/>
      <c r="V13" s="792"/>
      <c r="W13" s="792"/>
      <c r="X13" s="792"/>
      <c r="Y13" s="792"/>
      <c r="Z13" s="792"/>
      <c r="AA13" s="792"/>
      <c r="AB13" s="792"/>
      <c r="AC13" s="792"/>
      <c r="AD13" s="792"/>
    </row>
    <row r="14" customFormat="false" ht="15.75" hidden="false" customHeight="false" outlineLevel="0" collapsed="false">
      <c r="A14" s="817" t="s">
        <v>246</v>
      </c>
      <c r="B14" s="817"/>
      <c r="C14" s="818" t="str">
        <f aca="false" t="array" ref="C14:C14">IF(ISNA(INDEX(Pokedex!J$2:J$610,MATCH($A14,Pokedex!$B$2:$B$610,0))),"-",INDEX(Pokedex!J$2:J$610,MATCH($A14,Pokedex!$B$2:$B$610,0)))</f>
        <v>Tier 3</v>
      </c>
      <c r="D14" s="51" t="str">
        <f aca="false" t="array" ref="D14:D14">IF(ISNA(INDEX(Pokedex!E$2:E$610,MATCH($A14,Pokedex!$B$2:$B$610,0))),"-",INDEX(Pokedex!E$2:E$610,MATCH($A14,Pokedex!$B$2:$B$610,0)))</f>
        <v>-</v>
      </c>
      <c r="E14" s="50" t="str">
        <f aca="false" t="array" ref="E14:E14">IF(ISNA(INDEX(Pokedex!F$2:F$610,MATCH($A14,Pokedex!$B$2:$B$610,0))),"-",INDEX(Pokedex!F$2:F$610,MATCH($A14,Pokedex!$B$2:$B$610,0)))</f>
        <v>-</v>
      </c>
      <c r="F14" s="469" t="str">
        <f aca="false" t="array" ref="F14:F14">IF(ISNA(INDEX(Pokedex!G$2:G$610,MATCH($A14,Pokedex!$B$2:$B$610,0))),"-",INDEX(Pokedex!G$2:G$610,MATCH($A14,Pokedex!$B$2:$B$610,0)))</f>
        <v>-</v>
      </c>
      <c r="G14" s="50" t="n">
        <f aca="false" t="array" ref="G14:G14">IF(ISNA(INDEX(Pokedex!H$2:H$610,MATCH($A14,Pokedex!$B$2:$B$610,0))),"-",INDEX(Pokedex!H$2:H$610,MATCH($A14,Pokedex!$B$2:$B$610,0)))</f>
        <v>0</v>
      </c>
      <c r="H14" s="477" t="n">
        <f aca="false" t="array" ref="H14:H14">IF(ISNA(INDEX(Pokedex!I$2:I$610,MATCH($A14,Pokedex!$B$2:$B$610,0))),"-",INDEX(Pokedex!I$2:I$610,MATCH($A14,Pokedex!$B$2:$B$610,0)))</f>
        <v>0</v>
      </c>
      <c r="I14" s="727" t="str">
        <f aca="false" t="array" ref="I14:I14">IF(ISNA(INDEX(ExpandedStats!$A$3:$A$240,MATCH($A14,ExpandedStats!$C$3:$C$240,0))),"-",INDEX(ExpandedStats!$A$3:$A$240,MATCH($A14,ExpandedStats!$C$3:$C$240,0)))</f>
        <v>-</v>
      </c>
      <c r="J14" s="810" t="str">
        <f aca="false">DraftRosters!$O$19</f>
        <v>Tapu Koko</v>
      </c>
      <c r="K14" s="810"/>
      <c r="L14" s="810"/>
      <c r="M14" s="810"/>
      <c r="N14" s="44"/>
      <c r="O14" s="44"/>
      <c r="P14" s="44"/>
      <c r="Q14" s="331" t="str">
        <f aca="false">BTB!$L$1</f>
        <v>BTB</v>
      </c>
      <c r="R14" s="822"/>
      <c r="S14" s="792"/>
      <c r="T14" s="792"/>
      <c r="U14" s="792"/>
      <c r="V14" s="792"/>
      <c r="W14" s="792"/>
      <c r="X14" s="792"/>
      <c r="Y14" s="792"/>
      <c r="Z14" s="792"/>
      <c r="AA14" s="792"/>
      <c r="AB14" s="792"/>
      <c r="AC14" s="792"/>
      <c r="AD14" s="792"/>
    </row>
    <row r="15" customFormat="false" ht="15.75" hidden="false" customHeight="false" outlineLevel="0" collapsed="false">
      <c r="A15" s="817" t="s">
        <v>66</v>
      </c>
      <c r="B15" s="817"/>
      <c r="C15" s="818" t="str">
        <f aca="false" t="array" ref="C15:C15">IF(ISNA(INDEX(Pokedex!J$2:J$610,MATCH($A15,Pokedex!$B$2:$B$610,0))),"-",INDEX(Pokedex!J$2:J$610,MATCH($A15,Pokedex!$B$2:$B$610,0)))</f>
        <v>Tier 3</v>
      </c>
      <c r="D15" s="50" t="n">
        <f aca="false" t="array" ref="D15:D15">IF(ISNA(INDEX(Pokedex!E$2:E$610,MATCH($A15,Pokedex!$B$2:$B$610,0))),"-",INDEX(Pokedex!E$2:E$610,MATCH($A15,Pokedex!$B$2:$B$610,0)))</f>
        <v>0</v>
      </c>
      <c r="E15" s="50" t="n">
        <f aca="false" t="array" ref="E15:E15">IF(ISNA(INDEX(Pokedex!F$2:F$610,MATCH($A15,Pokedex!$B$2:$B$610,0))),"-",INDEX(Pokedex!F$2:F$610,MATCH($A15,Pokedex!$B$2:$B$610,0)))</f>
        <v>0</v>
      </c>
      <c r="F15" s="469" t="e">
        <f aca="false" t="array" ref="F15:F15">IF(ISNA(INDEX(Pokedex!G$2:G$610,MATCH($A15,Pokedex!$B$2:$B$610,0))),"-",INDEX(Pokedex!G$2:G$610,MATCH($A15,Pokedex!$B$2:$B$610,0)))</f>
        <v>#NAME?</v>
      </c>
      <c r="G15" s="50" t="n">
        <f aca="false" t="array" ref="G15:G15">IF(ISNA(INDEX(Pokedex!H$2:H$610,MATCH($A15,Pokedex!$B$2:$B$610,0))),"-",INDEX(Pokedex!H$2:H$610,MATCH($A15,Pokedex!$B$2:$B$610,0)))</f>
        <v>4</v>
      </c>
      <c r="H15" s="477" t="n">
        <f aca="false" t="array" ref="H15:H15">IF(ISNA(INDEX(Pokedex!I$2:I$610,MATCH($A15,Pokedex!$B$2:$B$610,0))),"-",INDEX(Pokedex!I$2:I$610,MATCH($A15,Pokedex!$B$2:$B$610,0)))</f>
        <v>0</v>
      </c>
      <c r="I15" s="50" t="n">
        <f aca="false" t="array" ref="I15:I15">IF(ISNA(INDEX(ExpandedStats!$A$3:$A$240,MATCH($A15,ExpandedStats!$C$3:$C$240,0))),"-",INDEX(ExpandedStats!$A$3:$A$240,MATCH($A15,ExpandedStats!$C$3:$C$240,0)))</f>
        <v>29</v>
      </c>
      <c r="J15" s="823"/>
      <c r="K15" s="111"/>
      <c r="L15" s="111"/>
      <c r="M15" s="111"/>
      <c r="N15" s="44"/>
      <c r="O15" s="44"/>
      <c r="P15" s="44"/>
      <c r="Q15" s="331" t="str">
        <f aca="false">SGP!$L$1</f>
        <v>SGP</v>
      </c>
      <c r="R15" s="822"/>
      <c r="S15" s="792"/>
      <c r="T15" s="792"/>
      <c r="U15" s="792"/>
      <c r="V15" s="792"/>
      <c r="W15" s="792"/>
      <c r="X15" s="792"/>
      <c r="Y15" s="792"/>
      <c r="Z15" s="792"/>
      <c r="AA15" s="792"/>
      <c r="AB15" s="792"/>
      <c r="AC15" s="792"/>
      <c r="AD15" s="792"/>
    </row>
    <row r="16" customFormat="false" ht="15.75" hidden="false" customHeight="false" outlineLevel="0" collapsed="false">
      <c r="A16" s="817" t="s">
        <v>64</v>
      </c>
      <c r="B16" s="817"/>
      <c r="C16" s="818" t="str">
        <f aca="false" t="array" ref="C16:C16">IF(ISNA(INDEX(Pokedex!J$2:J$610,MATCH($A16,Pokedex!$B$2:$B$610,0))),"-",INDEX(Pokedex!J$2:J$610,MATCH($A16,Pokedex!$B$2:$B$610,0)))</f>
        <v>Tier 4</v>
      </c>
      <c r="D16" s="51" t="n">
        <f aca="false" t="array" ref="D16:D16">IF(ISNA(INDEX(Pokedex!E$2:E$610,MATCH($A16,Pokedex!$B$2:$B$610,0))),"-",INDEX(Pokedex!E$2:E$610,MATCH($A16,Pokedex!$B$2:$B$610,0)))</f>
        <v>0</v>
      </c>
      <c r="E16" s="50" t="n">
        <f aca="false" t="array" ref="E16:E16">IF(ISNA(INDEX(Pokedex!F$2:F$610,MATCH($A16,Pokedex!$B$2:$B$610,0))),"-",INDEX(Pokedex!F$2:F$610,MATCH($A16,Pokedex!$B$2:$B$610,0)))</f>
        <v>0</v>
      </c>
      <c r="F16" s="469" t="e">
        <f aca="false" t="array" ref="F16:F16">IF(ISNA(INDEX(Pokedex!G$2:G$610,MATCH($A16,Pokedex!$B$2:$B$610,0))),"-",INDEX(Pokedex!G$2:G$610,MATCH($A16,Pokedex!$B$2:$B$610,0)))</f>
        <v>#NAME?</v>
      </c>
      <c r="G16" s="50" t="n">
        <f aca="false" t="array" ref="G16:G16">IF(ISNA(INDEX(Pokedex!H$2:H$610,MATCH($A16,Pokedex!$B$2:$B$610,0))),"-",INDEX(Pokedex!H$2:H$610,MATCH($A16,Pokedex!$B$2:$B$610,0)))</f>
        <v>4</v>
      </c>
      <c r="H16" s="477" t="n">
        <f aca="false" t="array" ref="H16:H16">IF(ISNA(INDEX(Pokedex!I$2:I$610,MATCH($A16,Pokedex!$B$2:$B$610,0))),"-",INDEX(Pokedex!I$2:I$610,MATCH($A16,Pokedex!$B$2:$B$610,0)))</f>
        <v>0</v>
      </c>
      <c r="I16" s="51" t="n">
        <f aca="false" t="array" ref="I16:I16">IF(ISNA(INDEX(ExpandedStats!$A$3:$A$240,MATCH($A16,ExpandedStats!$C$3:$C$240,0))),"-",INDEX(ExpandedStats!$A$3:$A$240,MATCH($A16,ExpandedStats!$C$3:$C$240,0)))</f>
        <v>36</v>
      </c>
      <c r="J16" s="823"/>
      <c r="K16" s="111"/>
      <c r="L16" s="111"/>
      <c r="M16" s="111"/>
      <c r="N16" s="44"/>
      <c r="O16" s="44"/>
      <c r="P16" s="44"/>
      <c r="Q16" s="340" t="str">
        <f aca="false">FTT!$L$1</f>
        <v>FTT</v>
      </c>
      <c r="R16" s="822"/>
      <c r="S16" s="792"/>
      <c r="T16" s="792"/>
      <c r="U16" s="792"/>
      <c r="V16" s="792"/>
      <c r="W16" s="792"/>
      <c r="X16" s="792"/>
      <c r="Y16" s="792"/>
      <c r="Z16" s="792"/>
      <c r="AA16" s="792"/>
      <c r="AB16" s="792"/>
      <c r="AC16" s="792"/>
      <c r="AD16" s="792"/>
    </row>
    <row r="17" customFormat="false" ht="15.75" hidden="false" customHeight="false" outlineLevel="0" collapsed="false">
      <c r="A17" s="817" t="s">
        <v>86</v>
      </c>
      <c r="B17" s="817"/>
      <c r="C17" s="818" t="str">
        <f aca="false" t="array" ref="C17:C17">IF(ISNA(INDEX(Pokedex!J$2:J$610,MATCH($A17,Pokedex!$B$2:$B$610,0))),"-",INDEX(Pokedex!J$2:J$610,MATCH($A17,Pokedex!$B$2:$B$610,0)))</f>
        <v>Tier 5</v>
      </c>
      <c r="D17" s="50" t="n">
        <f aca="false" t="array" ref="D17:D17">IF(ISNA(INDEX(Pokedex!E$2:E$610,MATCH($A17,Pokedex!$B$2:$B$610,0))),"-",INDEX(Pokedex!E$2:E$610,MATCH($A17,Pokedex!$B$2:$B$610,0)))</f>
        <v>0</v>
      </c>
      <c r="E17" s="50" t="n">
        <f aca="false" t="array" ref="E17:E17">IF(ISNA(INDEX(Pokedex!F$2:F$610,MATCH($A17,Pokedex!$B$2:$B$610,0))),"-",INDEX(Pokedex!F$2:F$610,MATCH($A17,Pokedex!$B$2:$B$610,0)))</f>
        <v>0</v>
      </c>
      <c r="F17" s="469" t="e">
        <f aca="false" t="array" ref="F17:F17">IF(ISNA(INDEX(Pokedex!G$2:G$610,MATCH($A17,Pokedex!$B$2:$B$610,0))),"-",INDEX(Pokedex!G$2:G$610,MATCH($A17,Pokedex!$B$2:$B$610,0)))</f>
        <v>#NAME?</v>
      </c>
      <c r="G17" s="50" t="n">
        <f aca="false" t="array" ref="G17:G17">IF(ISNA(INDEX(Pokedex!H$2:H$610,MATCH($A17,Pokedex!$B$2:$B$610,0))),"-",INDEX(Pokedex!H$2:H$610,MATCH($A17,Pokedex!$B$2:$B$610,0)))</f>
        <v>1</v>
      </c>
      <c r="H17" s="477" t="n">
        <f aca="false" t="array" ref="H17:H17">IF(ISNA(INDEX(Pokedex!I$2:I$610,MATCH($A17,Pokedex!$B$2:$B$610,0))),"-",INDEX(Pokedex!I$2:I$610,MATCH($A17,Pokedex!$B$2:$B$610,0)))</f>
        <v>0</v>
      </c>
      <c r="I17" s="50" t="n">
        <f aca="false" t="array" ref="I17:I17">IF(ISNA(INDEX(ExpandedStats!$A$3:$A$240,MATCH($A17,ExpandedStats!$C$3:$C$240,0))),"-",INDEX(ExpandedStats!$A$3:$A$240,MATCH($A17,ExpandedStats!$C$3:$C$240,0)))</f>
        <v>66</v>
      </c>
      <c r="J17" s="823"/>
      <c r="K17" s="111"/>
      <c r="L17" s="111"/>
      <c r="M17" s="111"/>
      <c r="N17" s="44"/>
      <c r="O17" s="44"/>
      <c r="P17" s="44"/>
      <c r="Q17" s="93"/>
      <c r="R17" s="824"/>
      <c r="S17" s="638"/>
      <c r="T17" s="638"/>
      <c r="U17" s="638"/>
      <c r="V17" s="638"/>
      <c r="W17" s="638"/>
      <c r="X17" s="638"/>
      <c r="Y17" s="638"/>
      <c r="Z17" s="638"/>
      <c r="AA17" s="638"/>
      <c r="AB17" s="638"/>
      <c r="AC17" s="638"/>
      <c r="AD17" s="638"/>
    </row>
    <row r="18" customFormat="false" ht="15.75" hidden="false" customHeight="false" outlineLevel="0" collapsed="false">
      <c r="A18" s="817" t="s">
        <v>62</v>
      </c>
      <c r="B18" s="817"/>
      <c r="C18" s="818" t="str">
        <f aca="false" t="array" ref="C18:C18">IF(ISNA(INDEX(Pokedex!J$2:J$610,MATCH($A18,Pokedex!$B$2:$B$610,0))),"-",INDEX(Pokedex!J$2:J$610,MATCH($A18,Pokedex!$B$2:$B$610,0)))</f>
        <v>M3</v>
      </c>
      <c r="D18" s="51" t="n">
        <f aca="false" t="array" ref="D18:D18">IF(ISNA(INDEX(Pokedex!E$2:E$610,MATCH($A18,Pokedex!$B$2:$B$610,0))),"-",INDEX(Pokedex!E$2:E$610,MATCH($A18,Pokedex!$B$2:$B$610,0)))</f>
        <v>0</v>
      </c>
      <c r="E18" s="50" t="n">
        <f aca="false" t="array" ref="E18:E18">IF(ISNA(INDEX(Pokedex!F$2:F$610,MATCH($A18,Pokedex!$B$2:$B$610,0))),"-",INDEX(Pokedex!F$2:F$610,MATCH($A18,Pokedex!$B$2:$B$610,0)))</f>
        <v>0</v>
      </c>
      <c r="F18" s="469" t="e">
        <f aca="false" t="array" ref="F18:F18">IF(ISNA(INDEX(Pokedex!G$2:G$610,MATCH($A18,Pokedex!$B$2:$B$610,0))),"-",INDEX(Pokedex!G$2:G$610,MATCH($A18,Pokedex!$B$2:$B$610,0)))</f>
        <v>#NAME?</v>
      </c>
      <c r="G18" s="50" t="n">
        <f aca="false" t="array" ref="G18:G18">IF(ISNA(INDEX(Pokedex!H$2:H$610,MATCH($A18,Pokedex!$B$2:$B$610,0))),"-",INDEX(Pokedex!H$2:H$610,MATCH($A18,Pokedex!$B$2:$B$610,0)))</f>
        <v>4</v>
      </c>
      <c r="H18" s="477" t="n">
        <f aca="false" t="array" ref="H18:H18">IF(ISNA(INDEX(Pokedex!I$2:I$610,MATCH($A18,Pokedex!$B$2:$B$610,0))),"-",INDEX(Pokedex!I$2:I$610,MATCH($A18,Pokedex!$B$2:$B$610,0)))</f>
        <v>0</v>
      </c>
      <c r="I18" s="51" t="n">
        <f aca="false" t="array" ref="I18:I18">IF(ISNA(INDEX(ExpandedStats!$A$3:$A$240,MATCH($A18,ExpandedStats!$C$3:$C$240,0))),"-",INDEX(ExpandedStats!$A$3:$A$240,MATCH($A18,ExpandedStats!$C$3:$C$240,0)))</f>
        <v>78</v>
      </c>
      <c r="J18" s="823"/>
      <c r="K18" s="111"/>
      <c r="L18" s="111"/>
      <c r="M18" s="111"/>
      <c r="N18" s="44"/>
      <c r="O18" s="44"/>
      <c r="P18" s="44"/>
      <c r="Q18" s="93"/>
      <c r="T18" s="825"/>
      <c r="U18" s="825"/>
      <c r="V18" s="825"/>
      <c r="W18" s="825"/>
      <c r="X18" s="825"/>
      <c r="Y18" s="825"/>
      <c r="Z18" s="825"/>
      <c r="AA18" s="825"/>
      <c r="AB18" s="825"/>
      <c r="AC18" s="825"/>
      <c r="AD18" s="825"/>
    </row>
    <row r="19" customFormat="false" ht="15.75" hidden="false" customHeight="false" outlineLevel="0" collapsed="false">
      <c r="A19" s="817" t="s">
        <v>60</v>
      </c>
      <c r="B19" s="817"/>
      <c r="C19" s="818" t="str">
        <f aca="false" t="array" ref="C19:C19">IF(ISNA(INDEX(Pokedex!J$2:J$610,MATCH($A19,Pokedex!$B$2:$B$610,0))),"-",INDEX(Pokedex!J$2:J$610,MATCH($A19,Pokedex!$B$2:$B$610,0)))</f>
        <v>Tier 1</v>
      </c>
      <c r="D19" s="50" t="n">
        <f aca="false" t="array" ref="D19:D19">IF(ISNA(INDEX(Pokedex!E$2:E$610,MATCH($A19,Pokedex!$B$2:$B$610,0))),"-",INDEX(Pokedex!E$2:E$610,MATCH($A19,Pokedex!$B$2:$B$610,0)))</f>
        <v>0</v>
      </c>
      <c r="E19" s="50" t="n">
        <f aca="false" t="array" ref="E19:E19">IF(ISNA(INDEX(Pokedex!F$2:F$610,MATCH($A19,Pokedex!$B$2:$B$610,0))),"-",INDEX(Pokedex!F$2:F$610,MATCH($A19,Pokedex!$B$2:$B$610,0)))</f>
        <v>0</v>
      </c>
      <c r="F19" s="469" t="e">
        <f aca="false" t="array" ref="F19:F19">IF(ISNA(INDEX(Pokedex!G$2:G$610,MATCH($A19,Pokedex!$B$2:$B$610,0))),"-",INDEX(Pokedex!G$2:G$610,MATCH($A19,Pokedex!$B$2:$B$610,0)))</f>
        <v>#NAME?</v>
      </c>
      <c r="G19" s="50" t="n">
        <f aca="false" t="array" ref="G19:G19">IF(ISNA(INDEX(Pokedex!H$2:H$610,MATCH($A19,Pokedex!$B$2:$B$610,0))),"-",INDEX(Pokedex!H$2:H$610,MATCH($A19,Pokedex!$B$2:$B$610,0)))</f>
        <v>4</v>
      </c>
      <c r="H19" s="477" t="n">
        <f aca="false" t="array" ref="H19:H19">IF(ISNA(INDEX(Pokedex!I$2:I$610,MATCH($A19,Pokedex!$B$2:$B$610,0))),"-",INDEX(Pokedex!I$2:I$610,MATCH($A19,Pokedex!$B$2:$B$610,0)))</f>
        <v>0</v>
      </c>
      <c r="I19" s="50" t="n">
        <f aca="false" t="array" ref="I19:I19">IF(ISNA(INDEX(ExpandedStats!$A$3:$A$240,MATCH($A19,ExpandedStats!$C$3:$C$240,0))),"-",INDEX(ExpandedStats!$A$3:$A$240,MATCH($A19,ExpandedStats!$C$3:$C$240,0)))</f>
        <v>17</v>
      </c>
      <c r="J19" s="823"/>
      <c r="K19" s="111"/>
      <c r="L19" s="111"/>
      <c r="M19" s="111"/>
      <c r="N19" s="44"/>
      <c r="O19" s="44"/>
      <c r="P19" s="44"/>
      <c r="Q19" s="93"/>
      <c r="R19" s="341" t="s">
        <v>2062</v>
      </c>
      <c r="S19" s="341"/>
      <c r="T19" s="771"/>
      <c r="U19" s="771"/>
      <c r="V19" s="771"/>
      <c r="W19" s="771"/>
      <c r="X19" s="771"/>
      <c r="Y19" s="771"/>
      <c r="Z19" s="771"/>
      <c r="AA19" s="771"/>
      <c r="AB19" s="771"/>
      <c r="AC19" s="771"/>
      <c r="AD19" s="771"/>
    </row>
    <row r="20" customFormat="false" ht="15.75" hidden="false" customHeight="false" outlineLevel="0" collapsed="false">
      <c r="A20" s="817" t="s">
        <v>257</v>
      </c>
      <c r="B20" s="817"/>
      <c r="C20" s="818" t="str">
        <f aca="false" t="array" ref="C20:C20">IF(ISNA(INDEX(Pokedex!J$2:J$610,MATCH($A20,Pokedex!$B$2:$B$610,0))),"-",INDEX(Pokedex!J$2:J$610,MATCH($A20,Pokedex!$B$2:$B$610,0)))</f>
        <v>Tier 2</v>
      </c>
      <c r="D20" s="51" t="str">
        <f aca="false" t="array" ref="D20:D20">IF(ISNA(INDEX(Pokedex!E$2:E$610,MATCH($A20,Pokedex!$B$2:$B$610,0))),"-",INDEX(Pokedex!E$2:E$610,MATCH($A20,Pokedex!$B$2:$B$610,0)))</f>
        <v>-</v>
      </c>
      <c r="E20" s="50" t="str">
        <f aca="false" t="array" ref="E20:E20">IF(ISNA(INDEX(Pokedex!F$2:F$610,MATCH($A20,Pokedex!$B$2:$B$610,0))),"-",INDEX(Pokedex!F$2:F$610,MATCH($A20,Pokedex!$B$2:$B$610,0)))</f>
        <v>-</v>
      </c>
      <c r="F20" s="469" t="str">
        <f aca="false" t="array" ref="F20:F20">IF(ISNA(INDEX(Pokedex!G$2:G$610,MATCH($A20,Pokedex!$B$2:$B$610,0))),"-",INDEX(Pokedex!G$2:G$610,MATCH($A20,Pokedex!$B$2:$B$610,0)))</f>
        <v>-</v>
      </c>
      <c r="G20" s="50" t="n">
        <f aca="false" t="array" ref="G20:G20">IF(ISNA(INDEX(Pokedex!H$2:H$610,MATCH($A20,Pokedex!$B$2:$B$610,0))),"-",INDEX(Pokedex!H$2:H$610,MATCH($A20,Pokedex!$B$2:$B$610,0)))</f>
        <v>0</v>
      </c>
      <c r="H20" s="477" t="n">
        <f aca="false" t="array" ref="H20:H20">IF(ISNA(INDEX(Pokedex!I$2:I$610,MATCH($A20,Pokedex!$B$2:$B$610,0))),"-",INDEX(Pokedex!I$2:I$610,MATCH($A20,Pokedex!$B$2:$B$610,0)))</f>
        <v>0</v>
      </c>
      <c r="I20" s="727" t="str">
        <f aca="false" t="array" ref="I20:I20">IF(ISNA(INDEX(ExpandedStats!$A$3:$A$240,MATCH($A20,ExpandedStats!$C$3:$C$240,0))),"-",INDEX(ExpandedStats!$A$3:$A$240,MATCH($A20,ExpandedStats!$C$3:$C$240,0)))</f>
        <v>-</v>
      </c>
      <c r="K20" s="44"/>
      <c r="L20" s="44"/>
      <c r="M20" s="44"/>
      <c r="N20" s="44"/>
      <c r="O20" s="44"/>
      <c r="P20" s="44"/>
      <c r="Q20" s="93"/>
      <c r="R20" s="386" t="str">
        <f aca="false">IFERROR(__xludf.dummyfunction("{ if(isna(FILTER(MoveDex!$AJ:$AJ,MoveDex!$AI:$AI=$L$1)),,FILTER(MoveDex!$AJ:$AJ,MoveDex!$AI:$AI=$L$1)) ; if(isna(FILTER(MoveDex!$AN:$AN,MoveDex!$AM:$AM=$L$1)),,FILTER(MoveDex!$AN:$AN,MoveDex!$AM:$AM=$L$1)) }"),"Altaria")</f>
        <v>Altaria</v>
      </c>
      <c r="S20" s="386" t="str">
        <f aca="false">IFERROR(__xludf.dummyfunction("{ if(isna(FILTER(MoveDex!$AK:$AK,MoveDex!$AI:$AI=$L$1)),,FILTER(MoveDex!$AK:$AK,MoveDex!$AI:$AI=$L$1)) ; if(isna(FILTER(MoveDex!$AO:$AO,MoveDex!$AM:$AM=$L$1)),,FILTER(MoveDex!$AO:$AO,MoveDex!$AM:$AM=$L$1)) }"),"Defog")</f>
        <v>Defog</v>
      </c>
      <c r="T20" s="825"/>
      <c r="U20" s="825"/>
      <c r="V20" s="825"/>
      <c r="W20" s="825"/>
      <c r="X20" s="825"/>
      <c r="Y20" s="825"/>
      <c r="Z20" s="825"/>
      <c r="AA20" s="825"/>
      <c r="AB20" s="825"/>
      <c r="AC20" s="825"/>
      <c r="AD20" s="825"/>
    </row>
    <row r="21" customFormat="false" ht="15.75" hidden="false" customHeight="false" outlineLevel="0" collapsed="false">
      <c r="A21" s="817" t="s">
        <v>68</v>
      </c>
      <c r="B21" s="817"/>
      <c r="C21" s="818" t="str">
        <f aca="false" t="array" ref="C21:C21">IF(ISNA(INDEX(Pokedex!J$2:J$610,MATCH($A21,Pokedex!$B$2:$B$610,0))),"-",INDEX(Pokedex!J$2:J$610,MATCH($A21,Pokedex!$B$2:$B$610,0)))</f>
        <v>Tier 3</v>
      </c>
      <c r="D21" s="50" t="n">
        <f aca="false" t="array" ref="D21:D21">IF(ISNA(INDEX(Pokedex!E$2:E$610,MATCH($A21,Pokedex!$B$2:$B$610,0))),"-",INDEX(Pokedex!E$2:E$610,MATCH($A21,Pokedex!$B$2:$B$610,0)))</f>
        <v>0</v>
      </c>
      <c r="E21" s="50" t="n">
        <f aca="false" t="array" ref="E21:E21">IF(ISNA(INDEX(Pokedex!F$2:F$610,MATCH($A21,Pokedex!$B$2:$B$610,0))),"-",INDEX(Pokedex!F$2:F$610,MATCH($A21,Pokedex!$B$2:$B$610,0)))</f>
        <v>0</v>
      </c>
      <c r="F21" s="469" t="e">
        <f aca="false" t="array" ref="F21:F21">IF(ISNA(INDEX(Pokedex!G$2:G$610,MATCH($A21,Pokedex!$B$2:$B$610,0))),"-",INDEX(Pokedex!G$2:G$610,MATCH($A21,Pokedex!$B$2:$B$610,0)))</f>
        <v>#NAME?</v>
      </c>
      <c r="G21" s="50" t="n">
        <f aca="false" t="array" ref="G21:G21">IF(ISNA(INDEX(Pokedex!H$2:H$610,MATCH($A21,Pokedex!$B$2:$B$610,0))),"-",INDEX(Pokedex!H$2:H$610,MATCH($A21,Pokedex!$B$2:$B$610,0)))</f>
        <v>3</v>
      </c>
      <c r="H21" s="477" t="n">
        <f aca="false" t="array" ref="H21:H21">IF(ISNA(INDEX(Pokedex!I$2:I$610,MATCH($A21,Pokedex!$B$2:$B$610,0))),"-",INDEX(Pokedex!I$2:I$610,MATCH($A21,Pokedex!$B$2:$B$610,0)))</f>
        <v>0</v>
      </c>
      <c r="I21" s="50" t="n">
        <f aca="false" t="array" ref="I21:I21">IF(ISNA(INDEX(ExpandedStats!$A$3:$A$240,MATCH($A21,ExpandedStats!$C$3:$C$240,0))),"-",INDEX(ExpandedStats!$A$3:$A$240,MATCH($A21,ExpandedStats!$C$3:$C$240,0)))</f>
        <v>43</v>
      </c>
      <c r="J21" s="823"/>
      <c r="K21" s="111"/>
      <c r="L21" s="111"/>
      <c r="M21" s="111"/>
      <c r="N21" s="44"/>
      <c r="O21" s="44"/>
      <c r="P21" s="44"/>
      <c r="Q21" s="93"/>
      <c r="R21" s="778" t="s">
        <v>246</v>
      </c>
      <c r="S21" s="511" t="s">
        <v>1110</v>
      </c>
      <c r="T21" s="638"/>
      <c r="U21" s="638"/>
      <c r="V21" s="638"/>
      <c r="W21" s="638"/>
      <c r="X21" s="638"/>
      <c r="Y21" s="638"/>
      <c r="Z21" s="638"/>
      <c r="AA21" s="638"/>
      <c r="AB21" s="638"/>
      <c r="AC21" s="638"/>
      <c r="AD21" s="638"/>
    </row>
    <row r="22" customFormat="false" ht="15.75" hidden="false" customHeight="false" outlineLevel="0" collapsed="false">
      <c r="A22" s="826" t="s">
        <v>261</v>
      </c>
      <c r="B22" s="826"/>
      <c r="C22" s="827" t="str">
        <f aca="false" t="array" ref="C22:C22">IF(ISNA(INDEX(Pokedex!J$2:J$610,MATCH($A22,Pokedex!$B$2:$B$610,0))),"-",INDEX(Pokedex!J$2:J$610,MATCH($A22,Pokedex!$B$2:$B$610,0)))</f>
        <v>Tier 5</v>
      </c>
      <c r="D22" s="828" t="str">
        <f aca="false" t="array" ref="D22:D22">IF(ISNA(INDEX(Pokedex!E$2:E$610,MATCH($A22,Pokedex!$B$2:$B$610,0))),"-",INDEX(Pokedex!E$2:E$610,MATCH($A22,Pokedex!$B$2:$B$610,0)))</f>
        <v>-</v>
      </c>
      <c r="E22" s="50" t="str">
        <f aca="false" t="array" ref="E22:E22">IF(ISNA(INDEX(Pokedex!F$2:F$610,MATCH($A22,Pokedex!$B$2:$B$610,0))),"-",INDEX(Pokedex!F$2:F$610,MATCH($A22,Pokedex!$B$2:$B$610,0)))</f>
        <v>-</v>
      </c>
      <c r="F22" s="829" t="str">
        <f aca="false" t="array" ref="F22:F22">IF(ISNA(INDEX(Pokedex!G$2:G$610,MATCH($A22,Pokedex!$B$2:$B$610,0))),"-",INDEX(Pokedex!G$2:G$610,MATCH($A22,Pokedex!$B$2:$B$610,0)))</f>
        <v>-</v>
      </c>
      <c r="G22" s="830" t="n">
        <f aca="false" t="array" ref="G22:G22">IF(ISNA(INDEX(Pokedex!H$2:H$610,MATCH($A22,Pokedex!$B$2:$B$610,0))),"-",INDEX(Pokedex!H$2:H$610,MATCH($A22,Pokedex!$B$2:$B$610,0)))</f>
        <v>0</v>
      </c>
      <c r="H22" s="831" t="n">
        <f aca="false" t="array" ref="H22:H22">IF(ISNA(INDEX(Pokedex!I$2:I$610,MATCH($A22,Pokedex!$B$2:$B$610,0))),"-",INDEX(Pokedex!I$2:I$610,MATCH($A22,Pokedex!$B$2:$B$610,0)))</f>
        <v>0</v>
      </c>
      <c r="I22" s="828" t="str">
        <f aca="false" t="array" ref="I22:I22">IF(ISNA(INDEX(ExpandedStats!$A$3:$A$240,MATCH($A22,ExpandedStats!$C$3:$C$240,0))),"-",INDEX(ExpandedStats!$A$3:$A$240,MATCH($A22,ExpandedStats!$C$3:$C$240,0)))</f>
        <v>-</v>
      </c>
      <c r="J22" s="823"/>
      <c r="K22" s="111"/>
      <c r="L22" s="111"/>
      <c r="M22" s="111"/>
      <c r="N22" s="44"/>
      <c r="O22" s="44"/>
      <c r="P22" s="44"/>
      <c r="Q22" s="93"/>
      <c r="R22" s="778" t="s">
        <v>257</v>
      </c>
      <c r="S22" s="511" t="s">
        <v>1110</v>
      </c>
      <c r="T22" s="638"/>
      <c r="U22" s="638"/>
      <c r="V22" s="638"/>
      <c r="W22" s="638"/>
      <c r="X22" s="638"/>
      <c r="Y22" s="638"/>
      <c r="Z22" s="638"/>
      <c r="AA22" s="638"/>
      <c r="AB22" s="638"/>
      <c r="AC22" s="638"/>
      <c r="AD22" s="638"/>
    </row>
    <row r="23" customFormat="false" ht="15.75" hidden="false" customHeight="false" outlineLevel="0" collapsed="false">
      <c r="A23" s="832" t="s">
        <v>2063</v>
      </c>
      <c r="B23" s="832"/>
      <c r="C23" s="832"/>
      <c r="D23" s="833" t="n">
        <f aca="false">SUM(D12:D22)</f>
        <v>0</v>
      </c>
      <c r="E23" s="834" t="n">
        <f aca="false">SUM(E12:E22)</f>
        <v>0</v>
      </c>
      <c r="F23" s="111"/>
      <c r="G23" s="111"/>
      <c r="H23" s="111"/>
      <c r="I23" s="111"/>
      <c r="J23" s="111"/>
      <c r="K23" s="111"/>
      <c r="L23" s="111"/>
      <c r="M23" s="111"/>
      <c r="N23" s="44"/>
      <c r="O23" s="44"/>
      <c r="P23" s="44"/>
      <c r="Q23" s="44"/>
      <c r="R23" s="778" t="s">
        <v>60</v>
      </c>
      <c r="S23" s="511" t="s">
        <v>1110</v>
      </c>
      <c r="T23" s="638"/>
      <c r="U23" s="638"/>
      <c r="V23" s="638"/>
      <c r="W23" s="638"/>
      <c r="X23" s="638"/>
      <c r="Y23" s="638"/>
      <c r="Z23" s="638"/>
      <c r="AA23" s="638"/>
      <c r="AB23" s="638"/>
      <c r="AC23" s="638"/>
      <c r="AD23" s="638"/>
    </row>
    <row r="24" customFormat="false" ht="15.75" hidden="false" customHeight="false" outlineLevel="0" collapsed="false">
      <c r="A24" s="400"/>
      <c r="B24" s="400"/>
      <c r="C24" s="400"/>
      <c r="D24" s="835"/>
      <c r="E24" s="835"/>
      <c r="F24" s="111"/>
      <c r="G24" s="111"/>
      <c r="H24" s="111"/>
      <c r="I24" s="111"/>
      <c r="J24" s="111"/>
      <c r="K24" s="111"/>
      <c r="L24" s="111"/>
      <c r="M24" s="111"/>
      <c r="N24" s="44"/>
      <c r="O24" s="44"/>
      <c r="P24" s="44"/>
      <c r="Q24" s="44"/>
      <c r="R24" s="778" t="s">
        <v>68</v>
      </c>
      <c r="S24" s="511" t="s">
        <v>1112</v>
      </c>
      <c r="T24" s="638"/>
      <c r="U24" s="638"/>
      <c r="V24" s="638"/>
      <c r="W24" s="638"/>
      <c r="X24" s="638"/>
      <c r="Y24" s="638"/>
      <c r="Z24" s="638"/>
      <c r="AA24" s="638"/>
      <c r="AB24" s="638"/>
      <c r="AC24" s="638"/>
      <c r="AD24" s="638"/>
    </row>
    <row r="25" customFormat="false" ht="15.75" hidden="false" customHeight="false" outlineLevel="0" collapsed="false">
      <c r="A25" s="400"/>
      <c r="B25" s="400"/>
      <c r="C25" s="400"/>
      <c r="D25" s="44"/>
      <c r="E25" s="44"/>
      <c r="F25" s="44"/>
      <c r="G25" s="44"/>
      <c r="H25" s="44"/>
      <c r="I25" s="44"/>
      <c r="J25" s="111"/>
      <c r="K25" s="111"/>
      <c r="L25" s="111"/>
      <c r="M25" s="111"/>
      <c r="N25" s="44"/>
      <c r="O25" s="44"/>
      <c r="P25" s="44"/>
      <c r="Q25" s="44"/>
      <c r="R25" s="778"/>
      <c r="S25" s="511"/>
      <c r="T25" s="638"/>
      <c r="U25" s="638"/>
      <c r="V25" s="638"/>
      <c r="W25" s="638"/>
      <c r="X25" s="638"/>
      <c r="Y25" s="638"/>
      <c r="Z25" s="638"/>
      <c r="AA25" s="638"/>
      <c r="AB25" s="638"/>
      <c r="AC25" s="638"/>
      <c r="AD25" s="638"/>
      <c r="AE25" s="638"/>
    </row>
    <row r="26" customFormat="false" ht="15.75" hidden="false" customHeight="false" outlineLevel="0" collapsed="false">
      <c r="A26" s="400"/>
      <c r="B26" s="400"/>
      <c r="C26" s="400"/>
      <c r="D26" s="44"/>
      <c r="E26" s="44"/>
      <c r="F26" s="44"/>
      <c r="G26" s="44"/>
      <c r="H26" s="44"/>
      <c r="I26" s="44"/>
      <c r="J26" s="400"/>
      <c r="K26" s="400"/>
      <c r="L26" s="400"/>
      <c r="M26" s="400"/>
      <c r="N26" s="44"/>
      <c r="O26" s="44"/>
      <c r="P26" s="44"/>
      <c r="Q26" s="44"/>
      <c r="R26" s="790"/>
      <c r="S26" s="791"/>
      <c r="T26" s="792"/>
      <c r="U26" s="792"/>
      <c r="V26" s="792"/>
      <c r="W26" s="792"/>
      <c r="X26" s="792"/>
      <c r="Y26" s="792"/>
      <c r="Z26" s="792"/>
      <c r="AA26" s="792"/>
      <c r="AB26" s="792"/>
      <c r="AC26" s="792"/>
      <c r="AD26" s="792"/>
      <c r="AE26" s="792"/>
    </row>
    <row r="27" customFormat="false" ht="15.75" hidden="false" customHeight="false" outlineLevel="0" collapsed="false">
      <c r="A27" s="118" t="s">
        <v>208</v>
      </c>
      <c r="B27" s="118"/>
      <c r="C27" s="118"/>
      <c r="D27" s="836" t="s">
        <v>207</v>
      </c>
      <c r="E27" s="836"/>
      <c r="F27" s="836"/>
      <c r="G27" s="837" t="s">
        <v>209</v>
      </c>
      <c r="H27" s="837"/>
      <c r="I27" s="44"/>
      <c r="J27" s="838" t="s">
        <v>2064</v>
      </c>
      <c r="K27" s="838"/>
      <c r="L27" s="838"/>
      <c r="M27" s="839" t="n">
        <f aca="false">IF($A$28="CHECK ERROR BLOCK",0,IF(NOT($A$28="NONE"),minus(3,COUNTIF(A28:A30,"*")), 3))</f>
        <v>3</v>
      </c>
      <c r="N27" s="44"/>
      <c r="O27" s="44"/>
      <c r="P27" s="44"/>
      <c r="Q27" s="44"/>
      <c r="R27" s="790"/>
      <c r="S27" s="791"/>
      <c r="T27" s="792"/>
      <c r="U27" s="792"/>
      <c r="V27" s="792"/>
      <c r="W27" s="792"/>
      <c r="X27" s="792"/>
      <c r="Y27" s="792"/>
      <c r="Z27" s="792"/>
      <c r="AA27" s="792"/>
      <c r="AB27" s="792"/>
      <c r="AC27" s="792"/>
      <c r="AD27" s="792"/>
      <c r="AE27" s="792"/>
    </row>
    <row r="28" customFormat="false" ht="15.75" hidden="false" customHeight="false" outlineLevel="0" collapsed="false">
      <c r="A28" s="840" t="str">
        <f aca="false">IFERROR(__xludf.dummyfunction("if(ISNA(filter(Transactions!$O$3:$V$100,Transactions!$M$3:$M$100=$L$1)),""NONE"",if(countif(Transactions!$M$3:$M$100,$L$1)&gt;3,""CHECK ERROR BLOCK"",(filter(Transactions!$O$3:$V$100,Transactions!$M$3:$M$100=$L$1))))"),"NONE")</f>
        <v>NONE</v>
      </c>
      <c r="B28" s="840"/>
      <c r="C28" s="840"/>
      <c r="D28" s="841"/>
      <c r="E28" s="841"/>
      <c r="F28" s="841"/>
      <c r="G28" s="842"/>
      <c r="H28" s="842"/>
      <c r="I28" s="44"/>
      <c r="J28" s="843" t="s">
        <v>2065</v>
      </c>
      <c r="K28" s="843"/>
      <c r="L28" s="843"/>
      <c r="M28" s="844" t="s">
        <v>2066</v>
      </c>
      <c r="N28" s="44"/>
      <c r="O28" s="44"/>
      <c r="P28" s="44"/>
      <c r="Q28" s="44"/>
      <c r="R28" s="790"/>
      <c r="S28" s="791"/>
      <c r="T28" s="792"/>
      <c r="U28" s="792"/>
      <c r="V28" s="792"/>
      <c r="W28" s="792"/>
      <c r="X28" s="792"/>
      <c r="Y28" s="792"/>
      <c r="Z28" s="792"/>
      <c r="AA28" s="792"/>
      <c r="AB28" s="792"/>
      <c r="AC28" s="792"/>
      <c r="AD28" s="792"/>
      <c r="AE28" s="792"/>
    </row>
    <row r="29" customFormat="false" ht="15.75" hidden="false" customHeight="true" outlineLevel="0" collapsed="false">
      <c r="A29" s="840"/>
      <c r="B29" s="840"/>
      <c r="C29" s="840"/>
      <c r="D29" s="841"/>
      <c r="E29" s="841"/>
      <c r="F29" s="841"/>
      <c r="G29" s="845"/>
      <c r="H29" s="845"/>
      <c r="I29" s="44"/>
      <c r="J29" s="846" t="s">
        <v>2067</v>
      </c>
      <c r="K29" s="846"/>
      <c r="L29" s="846"/>
      <c r="M29" s="847" t="n">
        <v>2</v>
      </c>
      <c r="N29" s="44"/>
      <c r="O29" s="44"/>
      <c r="P29" s="44"/>
      <c r="Q29" s="44"/>
      <c r="R29" s="790"/>
      <c r="S29" s="791"/>
      <c r="T29" s="792"/>
      <c r="U29" s="792"/>
      <c r="V29" s="792"/>
      <c r="W29" s="792"/>
      <c r="X29" s="792"/>
      <c r="Y29" s="792"/>
      <c r="Z29" s="792"/>
      <c r="AA29" s="792"/>
      <c r="AB29" s="792"/>
      <c r="AC29" s="792"/>
      <c r="AD29" s="792"/>
      <c r="AE29" s="792"/>
    </row>
    <row r="30" customFormat="false" ht="15.75" hidden="false" customHeight="false" outlineLevel="0" collapsed="false">
      <c r="A30" s="848"/>
      <c r="B30" s="848"/>
      <c r="C30" s="848"/>
      <c r="D30" s="849"/>
      <c r="E30" s="849"/>
      <c r="F30" s="849"/>
      <c r="G30" s="850"/>
      <c r="H30" s="850"/>
      <c r="I30" s="44"/>
      <c r="J30" s="851" t="str">
        <f aca="false">IF($A$28="CHECK ERROR BLOCK","ERROR - MAXIMUM NUMBER OF FREE AGENCY TRANSACTIONS LOGGED IN TRANSACTIONS TAB","")</f>
        <v/>
      </c>
      <c r="K30" s="851"/>
      <c r="L30" s="851"/>
      <c r="M30" s="851"/>
      <c r="N30" s="44"/>
      <c r="O30" s="44"/>
      <c r="P30" s="44"/>
      <c r="Q30" s="44"/>
      <c r="R30" s="790"/>
      <c r="S30" s="791"/>
      <c r="T30" s="792"/>
      <c r="U30" s="792"/>
      <c r="V30" s="792"/>
      <c r="W30" s="792"/>
      <c r="X30" s="792"/>
      <c r="Y30" s="792"/>
      <c r="Z30" s="792"/>
      <c r="AA30" s="792"/>
      <c r="AB30" s="792"/>
      <c r="AC30" s="792"/>
      <c r="AD30" s="792"/>
      <c r="AE30" s="792"/>
    </row>
    <row r="31" customFormat="false" ht="15.75" hidden="false" customHeight="false" outlineLevel="0" collapsed="false">
      <c r="A31" s="44"/>
      <c r="B31" s="44"/>
      <c r="C31" s="44"/>
      <c r="D31" s="44"/>
      <c r="E31" s="44"/>
      <c r="F31" s="44"/>
      <c r="G31" s="44"/>
      <c r="H31" s="44"/>
      <c r="I31" s="44"/>
      <c r="J31" s="44"/>
      <c r="K31" s="44"/>
      <c r="L31" s="44"/>
      <c r="M31" s="44"/>
      <c r="N31" s="44"/>
      <c r="O31" s="44"/>
      <c r="P31" s="44"/>
      <c r="Q31" s="44"/>
      <c r="R31" s="820"/>
      <c r="S31" s="821"/>
      <c r="T31" s="792"/>
      <c r="U31" s="792"/>
      <c r="V31" s="792"/>
      <c r="W31" s="792"/>
      <c r="X31" s="792"/>
      <c r="Y31" s="792"/>
      <c r="Z31" s="792"/>
      <c r="AA31" s="792"/>
      <c r="AB31" s="792"/>
      <c r="AC31" s="792"/>
      <c r="AD31" s="792"/>
      <c r="AE31" s="792"/>
    </row>
    <row r="32" customFormat="false" ht="15.75" hidden="false" customHeight="false" outlineLevel="0" collapsed="false">
      <c r="A32" s="118" t="s">
        <v>2068</v>
      </c>
      <c r="B32" s="118"/>
      <c r="C32" s="118"/>
      <c r="D32" s="118" t="s">
        <v>2069</v>
      </c>
      <c r="E32" s="118"/>
      <c r="F32" s="118"/>
      <c r="G32" s="837" t="s">
        <v>209</v>
      </c>
      <c r="H32" s="837"/>
      <c r="I32" s="272" t="s">
        <v>2070</v>
      </c>
      <c r="J32" s="272"/>
      <c r="K32" s="363" t="s">
        <v>213</v>
      </c>
      <c r="L32" s="363"/>
      <c r="M32" s="363"/>
      <c r="N32" s="363"/>
      <c r="O32" s="44"/>
      <c r="P32" s="44"/>
      <c r="Q32" s="44"/>
      <c r="R32" s="824"/>
      <c r="S32" s="638"/>
      <c r="T32" s="638"/>
      <c r="U32" s="638"/>
      <c r="V32" s="638"/>
      <c r="W32" s="638"/>
      <c r="X32" s="638"/>
      <c r="Y32" s="638"/>
      <c r="Z32" s="638"/>
      <c r="AA32" s="638"/>
      <c r="AB32" s="638"/>
      <c r="AC32" s="638"/>
      <c r="AD32" s="638"/>
      <c r="AE32" s="638"/>
    </row>
    <row r="33" customFormat="false" ht="15.75" hidden="false" customHeight="false" outlineLevel="0" collapsed="false">
      <c r="A33" s="840" t="str">
        <f aca="false">IFERROR(__xludf.dummyfunction("if(isna(filter($Q$55:$AD$70,not(isblank($Q$55:$Q$70)))),""NONE"",filter($Q$55:$AD$70,not(isblank($Q$55:$Q$70))))"),"NONE")</f>
        <v>NONE</v>
      </c>
      <c r="B33" s="840"/>
      <c r="C33" s="840"/>
      <c r="D33" s="853"/>
      <c r="E33" s="853"/>
      <c r="F33" s="853"/>
      <c r="G33" s="855"/>
      <c r="H33" s="855"/>
      <c r="I33" s="855"/>
      <c r="J33" s="855"/>
      <c r="K33" s="856"/>
      <c r="L33" s="856"/>
      <c r="M33" s="856"/>
      <c r="N33" s="856"/>
      <c r="O33" s="44"/>
      <c r="P33" s="44"/>
      <c r="Q33" s="44"/>
      <c r="R33" s="824"/>
      <c r="S33" s="638"/>
      <c r="T33" s="638"/>
      <c r="U33" s="638"/>
      <c r="V33" s="638"/>
      <c r="W33" s="638"/>
      <c r="X33" s="638"/>
      <c r="Y33" s="638"/>
      <c r="Z33" s="638"/>
      <c r="AA33" s="638"/>
      <c r="AB33" s="638"/>
      <c r="AC33" s="638"/>
      <c r="AD33" s="638"/>
      <c r="AE33" s="638"/>
    </row>
    <row r="34" customFormat="false" ht="15.75" hidden="false" customHeight="false" outlineLevel="0" collapsed="false">
      <c r="A34" s="840"/>
      <c r="B34" s="840"/>
      <c r="C34" s="840"/>
      <c r="D34" s="857"/>
      <c r="E34" s="857"/>
      <c r="F34" s="857"/>
      <c r="G34" s="855"/>
      <c r="H34" s="855"/>
      <c r="I34" s="855"/>
      <c r="J34" s="855"/>
      <c r="K34" s="479"/>
      <c r="L34" s="479"/>
      <c r="M34" s="479"/>
      <c r="N34" s="479"/>
      <c r="O34" s="44"/>
      <c r="P34" s="44"/>
      <c r="Q34" s="44"/>
      <c r="R34" s="824"/>
      <c r="S34" s="638"/>
      <c r="T34" s="638"/>
      <c r="U34" s="638"/>
      <c r="V34" s="638"/>
      <c r="W34" s="638"/>
      <c r="X34" s="638"/>
      <c r="Y34" s="638"/>
      <c r="Z34" s="638"/>
      <c r="AA34" s="638"/>
      <c r="AB34" s="638"/>
      <c r="AC34" s="638"/>
      <c r="AD34" s="638"/>
      <c r="AE34" s="638"/>
    </row>
    <row r="35" customFormat="false" ht="15.75" hidden="false" customHeight="false" outlineLevel="0" collapsed="false">
      <c r="A35" s="817"/>
      <c r="B35" s="817"/>
      <c r="C35" s="817"/>
      <c r="D35" s="858"/>
      <c r="E35" s="858"/>
      <c r="F35" s="858"/>
      <c r="G35" s="860"/>
      <c r="H35" s="860"/>
      <c r="I35" s="860"/>
      <c r="J35" s="860"/>
      <c r="K35" s="856"/>
      <c r="L35" s="856"/>
      <c r="M35" s="856"/>
      <c r="N35" s="856"/>
      <c r="O35" s="44"/>
      <c r="P35" s="44"/>
      <c r="Q35" s="44"/>
      <c r="R35" s="824"/>
      <c r="S35" s="638"/>
      <c r="T35" s="638"/>
      <c r="U35" s="638"/>
      <c r="V35" s="638"/>
      <c r="W35" s="638"/>
      <c r="X35" s="638"/>
      <c r="Y35" s="638"/>
      <c r="Z35" s="638"/>
      <c r="AA35" s="638"/>
      <c r="AB35" s="638"/>
      <c r="AC35" s="638"/>
      <c r="AD35" s="638"/>
      <c r="AE35" s="638"/>
    </row>
    <row r="36" customFormat="false" ht="15.75" hidden="false" customHeight="false" outlineLevel="0" collapsed="false">
      <c r="A36" s="840"/>
      <c r="B36" s="840"/>
      <c r="C36" s="840"/>
      <c r="D36" s="857"/>
      <c r="E36" s="857"/>
      <c r="F36" s="857"/>
      <c r="G36" s="855"/>
      <c r="H36" s="855"/>
      <c r="I36" s="855"/>
      <c r="J36" s="855"/>
      <c r="K36" s="479"/>
      <c r="L36" s="479"/>
      <c r="M36" s="479"/>
      <c r="N36" s="479"/>
      <c r="O36" s="44"/>
      <c r="P36" s="44"/>
      <c r="Q36" s="44"/>
      <c r="R36" s="824"/>
      <c r="S36" s="638"/>
      <c r="T36" s="638"/>
      <c r="U36" s="638"/>
      <c r="V36" s="638"/>
      <c r="W36" s="638"/>
      <c r="X36" s="638"/>
      <c r="Y36" s="638"/>
      <c r="Z36" s="638"/>
      <c r="AA36" s="638"/>
      <c r="AB36" s="638"/>
      <c r="AC36" s="638"/>
      <c r="AD36" s="638"/>
      <c r="AE36" s="638"/>
    </row>
    <row r="37" customFormat="false" ht="15.75" hidden="false" customHeight="false" outlineLevel="0" collapsed="false">
      <c r="A37" s="817"/>
      <c r="B37" s="817"/>
      <c r="C37" s="817"/>
      <c r="D37" s="858"/>
      <c r="E37" s="858"/>
      <c r="F37" s="858"/>
      <c r="G37" s="860"/>
      <c r="H37" s="860"/>
      <c r="I37" s="860"/>
      <c r="J37" s="860"/>
      <c r="K37" s="856"/>
      <c r="L37" s="856"/>
      <c r="M37" s="856"/>
      <c r="N37" s="856"/>
      <c r="O37" s="44"/>
      <c r="P37" s="44"/>
      <c r="Q37" s="44"/>
      <c r="R37" s="824"/>
      <c r="S37" s="638"/>
      <c r="T37" s="638"/>
      <c r="U37" s="638"/>
      <c r="V37" s="638"/>
      <c r="W37" s="638"/>
      <c r="X37" s="638"/>
      <c r="Y37" s="638"/>
      <c r="Z37" s="638"/>
      <c r="AA37" s="638"/>
      <c r="AB37" s="638"/>
      <c r="AC37" s="638"/>
      <c r="AD37" s="638"/>
      <c r="AE37" s="638"/>
    </row>
    <row r="38" customFormat="false" ht="15.75" hidden="false" customHeight="false" outlineLevel="0" collapsed="false">
      <c r="A38" s="840"/>
      <c r="B38" s="840"/>
      <c r="C38" s="840"/>
      <c r="D38" s="857"/>
      <c r="E38" s="857"/>
      <c r="F38" s="857"/>
      <c r="G38" s="855"/>
      <c r="H38" s="855"/>
      <c r="I38" s="855"/>
      <c r="J38" s="855"/>
      <c r="K38" s="479"/>
      <c r="L38" s="479"/>
      <c r="M38" s="479"/>
      <c r="N38" s="479"/>
      <c r="O38" s="44"/>
      <c r="P38" s="44"/>
      <c r="Q38" s="44"/>
      <c r="R38" s="824"/>
      <c r="S38" s="638"/>
      <c r="T38" s="638"/>
      <c r="U38" s="638"/>
      <c r="V38" s="638"/>
      <c r="W38" s="638"/>
      <c r="X38" s="638"/>
      <c r="Y38" s="638"/>
      <c r="Z38" s="638"/>
      <c r="AA38" s="638"/>
      <c r="AB38" s="638"/>
      <c r="AC38" s="638"/>
      <c r="AD38" s="638"/>
      <c r="AE38" s="638"/>
    </row>
    <row r="39" customFormat="false" ht="15.75" hidden="false" customHeight="false" outlineLevel="0" collapsed="false">
      <c r="A39" s="817"/>
      <c r="B39" s="817"/>
      <c r="C39" s="817"/>
      <c r="D39" s="858"/>
      <c r="E39" s="858"/>
      <c r="F39" s="858"/>
      <c r="G39" s="860"/>
      <c r="H39" s="860"/>
      <c r="I39" s="860"/>
      <c r="J39" s="860"/>
      <c r="K39" s="856"/>
      <c r="L39" s="856"/>
      <c r="M39" s="856"/>
      <c r="N39" s="856"/>
      <c r="O39" s="44"/>
      <c r="P39" s="44"/>
      <c r="Q39" s="44"/>
      <c r="R39" s="341" t="s">
        <v>2071</v>
      </c>
      <c r="S39" s="341"/>
      <c r="T39" s="771"/>
      <c r="U39" s="771"/>
      <c r="V39" s="771"/>
      <c r="W39" s="771"/>
      <c r="X39" s="771"/>
      <c r="Y39" s="771"/>
      <c r="Z39" s="771"/>
      <c r="AA39" s="771"/>
      <c r="AB39" s="771"/>
      <c r="AC39" s="771"/>
      <c r="AD39" s="771"/>
      <c r="AE39" s="771"/>
    </row>
    <row r="40" customFormat="false" ht="15.75" hidden="false" customHeight="false" outlineLevel="0" collapsed="false">
      <c r="A40" s="840"/>
      <c r="B40" s="840"/>
      <c r="C40" s="840"/>
      <c r="D40" s="857"/>
      <c r="E40" s="857"/>
      <c r="F40" s="857"/>
      <c r="G40" s="855"/>
      <c r="H40" s="855"/>
      <c r="I40" s="855"/>
      <c r="J40" s="855"/>
      <c r="K40" s="479"/>
      <c r="L40" s="479"/>
      <c r="M40" s="479"/>
      <c r="N40" s="479"/>
      <c r="O40" s="44"/>
      <c r="P40" s="44"/>
      <c r="Q40" s="44"/>
      <c r="R40" s="386" t="str">
        <f aca="false">IFERROR(__xludf.dummyfunction("{ if(isna(FILTER(MoveDex!$AR:$AR,MoveDex!$AQ:$AQ=$L$1)),,FILTER(MoveDex!$AR:$AR,MoveDex!$AQ:$AQ=$L$1)) ; if(isna(FILTER(MoveDex!$AV:$AV,MoveDex!$AU:$AU=$L$1)),,FILTER(MoveDex!$AV:$AV,MoveDex!$AU:$AU=$L$1)) ; if(isna(FILTER(MoveDex!$AZ:$AZ,MoveDex!$AY:$AY="&amp;"$L$1)),,FILTER(MoveDex!$AZ:$AZ,MoveDex!$AY:$AY=$L$1)) }"),"")</f>
        <v/>
      </c>
      <c r="S40" s="386" t="str">
        <f aca="false">IFERROR(__xludf.dummyfunction("{ if(isna(FILTER(MoveDex!$AS:$AS,MoveDex!$AQ:$AQ=$L$1)),,FILTER(MoveDex!$AS:$AS,MoveDex!$AQ:$AQ=$L$1)) ; if(isna(FILTER(MoveDex!$AW:$AW,MoveDex!$AU:$AU=$L$1)),,FILTER(MoveDex!$AW:$AW,MoveDex!$AU:$AU=$L$1)) ; if(isna(FILTER(MoveDex!$BA:$BA,MoveDex!$AY:$AY="&amp;"$L$1)),,FILTER(MoveDex!$BA:$BA,MoveDex!$AY:$AY=$L$1)) }"),"")</f>
        <v/>
      </c>
      <c r="T40" s="777"/>
      <c r="U40" s="777"/>
      <c r="V40" s="777"/>
      <c r="W40" s="777"/>
      <c r="X40" s="777"/>
      <c r="Y40" s="777"/>
      <c r="Z40" s="777"/>
      <c r="AA40" s="777"/>
      <c r="AB40" s="777"/>
      <c r="AC40" s="777"/>
      <c r="AD40" s="777"/>
      <c r="AE40" s="777"/>
    </row>
    <row r="41" customFormat="false" ht="15.75" hidden="false" customHeight="false" outlineLevel="0" collapsed="false">
      <c r="A41" s="826"/>
      <c r="B41" s="826"/>
      <c r="C41" s="826"/>
      <c r="D41" s="861"/>
      <c r="E41" s="861"/>
      <c r="F41" s="861"/>
      <c r="G41" s="862"/>
      <c r="H41" s="862"/>
      <c r="I41" s="862"/>
      <c r="J41" s="862"/>
      <c r="K41" s="863"/>
      <c r="L41" s="863"/>
      <c r="M41" s="863"/>
      <c r="N41" s="863"/>
      <c r="O41" s="44"/>
      <c r="P41" s="44"/>
      <c r="Q41" s="44"/>
      <c r="R41" s="778" t="s">
        <v>261</v>
      </c>
      <c r="S41" s="511" t="s">
        <v>1114</v>
      </c>
      <c r="T41" s="638"/>
      <c r="U41" s="638"/>
      <c r="V41" s="638"/>
      <c r="W41" s="638"/>
      <c r="X41" s="638"/>
      <c r="Y41" s="638"/>
      <c r="Z41" s="638"/>
      <c r="AA41" s="638"/>
      <c r="AB41" s="638"/>
      <c r="AC41" s="638"/>
      <c r="AD41" s="638"/>
      <c r="AE41" s="638"/>
    </row>
    <row r="42" customFormat="false" ht="15.75" hidden="false" customHeight="false" outlineLevel="0" collapsed="false">
      <c r="A42" s="44"/>
      <c r="B42" s="44"/>
      <c r="C42" s="44"/>
      <c r="D42" s="44"/>
      <c r="E42" s="44"/>
      <c r="F42" s="44"/>
      <c r="G42" s="44"/>
      <c r="H42" s="44"/>
      <c r="I42" s="44"/>
      <c r="J42" s="44"/>
      <c r="K42" s="44"/>
      <c r="L42" s="44"/>
      <c r="M42" s="44"/>
      <c r="N42" s="44"/>
      <c r="O42" s="44"/>
      <c r="P42" s="44"/>
      <c r="Q42" s="44"/>
      <c r="R42" s="778" t="s">
        <v>86</v>
      </c>
      <c r="S42" s="511" t="s">
        <v>1114</v>
      </c>
      <c r="T42" s="638"/>
      <c r="U42" s="638"/>
      <c r="V42" s="638"/>
      <c r="W42" s="638"/>
      <c r="X42" s="638"/>
      <c r="Y42" s="638"/>
      <c r="Z42" s="638"/>
      <c r="AA42" s="638"/>
      <c r="AB42" s="638"/>
      <c r="AC42" s="638"/>
      <c r="AD42" s="638"/>
      <c r="AE42" s="638"/>
    </row>
    <row r="43" customFormat="false" ht="15.75" hidden="false" customHeight="false" outlineLevel="0" collapsed="false">
      <c r="A43" s="864" t="s">
        <v>2072</v>
      </c>
      <c r="B43" s="864"/>
      <c r="C43" s="864"/>
      <c r="D43" s="562" t="s">
        <v>777</v>
      </c>
      <c r="E43" s="865" t="s">
        <v>778</v>
      </c>
      <c r="F43" s="865" t="s">
        <v>779</v>
      </c>
      <c r="G43" s="865" t="s">
        <v>780</v>
      </c>
      <c r="H43" s="865" t="s">
        <v>781</v>
      </c>
      <c r="I43" s="865" t="s">
        <v>782</v>
      </c>
      <c r="J43" s="363" t="s">
        <v>2063</v>
      </c>
      <c r="K43" s="562" t="s">
        <v>2073</v>
      </c>
      <c r="L43" s="562"/>
      <c r="M43" s="866" t="s">
        <v>2074</v>
      </c>
      <c r="N43" s="866"/>
      <c r="O43" s="44"/>
      <c r="P43" s="44"/>
      <c r="Q43" s="44"/>
      <c r="R43" s="778" t="s">
        <v>64</v>
      </c>
      <c r="S43" s="511" t="s">
        <v>1115</v>
      </c>
      <c r="T43" s="638"/>
      <c r="U43" s="638"/>
      <c r="V43" s="638"/>
      <c r="W43" s="638"/>
      <c r="X43" s="638"/>
      <c r="Y43" s="638"/>
      <c r="Z43" s="638"/>
      <c r="AA43" s="638"/>
      <c r="AB43" s="638"/>
      <c r="AC43" s="638"/>
      <c r="AD43" s="638"/>
      <c r="AE43" s="638"/>
    </row>
    <row r="44" customFormat="false" ht="15.75" hidden="false" customHeight="false" outlineLevel="0" collapsed="false">
      <c r="A44" s="811" t="str">
        <f aca="false">$A$12</f>
        <v>Azumarill</v>
      </c>
      <c r="B44" s="811"/>
      <c r="C44" s="811"/>
      <c r="D44" s="867" t="n">
        <f aca="false" t="array" ref="D44:D44">IF(ISNA(INDEX(Pokedex!L$2:L$610,MATCH($A44,Pokedex!$B$2:$B$610,0))),"-",INDEX(Pokedex!L$2:L$610,MATCH($A44,Pokedex!$B$2:$B$610,0)))</f>
        <v>100</v>
      </c>
      <c r="E44" s="868" t="n">
        <f aca="false" t="array" ref="E44:E44">IF(ISNA(INDEX(Pokedex!M$2:M$610,MATCH($A44,Pokedex!$B$2:$B$610,0))),"-",INDEX(Pokedex!M$2:M$610,MATCH($A44,Pokedex!$B$2:$B$610,0)))</f>
        <v>50</v>
      </c>
      <c r="F44" s="868" t="n">
        <f aca="false" t="array" ref="F44:F44">IF(ISNA(INDEX(Pokedex!N$2:N$610,MATCH($A44,Pokedex!$B$2:$B$610,0))),"-",INDEX(Pokedex!N$2:N$610,MATCH($A44,Pokedex!$B$2:$B$610,0)))</f>
        <v>80</v>
      </c>
      <c r="G44" s="868" t="n">
        <f aca="false" t="array" ref="G44:G44">IF(ISNA(INDEX(Pokedex!O$2:O$610,MATCH($A44,Pokedex!$B$2:$B$610,0))),"-",INDEX(Pokedex!O$2:O$610,MATCH($A44,Pokedex!$B$2:$B$610,0)))</f>
        <v>60</v>
      </c>
      <c r="H44" s="868" t="n">
        <f aca="false" t="array" ref="H44:H44">IF(ISNA(INDEX(Pokedex!P$2:P$610,MATCH($A44,Pokedex!$B$2:$B$610,0))),"-",INDEX(Pokedex!P$2:P$610,MATCH($A44,Pokedex!$B$2:$B$610,0)))</f>
        <v>80</v>
      </c>
      <c r="I44" s="869" t="n">
        <f aca="false" t="array" ref="I44:I44">IF(ISNA(INDEX(Pokedex!Q$2:Q$610,MATCH($A44,Pokedex!$B$2:$B$610,0))),"-",INDEX(Pokedex!Q$2:Q$610,MATCH($A44,Pokedex!$B$2:$B$610,0)))</f>
        <v>50</v>
      </c>
      <c r="J44" s="868" t="n">
        <f aca="false">SUM(D44:I44)</f>
        <v>420</v>
      </c>
      <c r="K44" s="867" t="str">
        <f aca="false" t="array" ref="K44:K44">IF(ISNA(INDEX(Pokedex!R$2:R$610,MATCH($A44,Pokedex!$B$2:$B$610,0))),"-",INDEX(Pokedex!R$2:R$610,MATCH($A44,Pokedex!$B$2:$B$610,0)))</f>
        <v>Fairy</v>
      </c>
      <c r="L44" s="867"/>
      <c r="M44" s="869" t="str">
        <f aca="false" t="array" ref="M44:M44">IF(ISNA(INDEX(Pokedex!S$2:S$610,MATCH($A44,Pokedex!$B$2:$B$610,0))),"-",INDEX(Pokedex!S$2:S$610,MATCH($A44,Pokedex!$B$2:$B$610,0)))</f>
        <v>Water</v>
      </c>
      <c r="N44" s="869"/>
      <c r="O44" s="44"/>
      <c r="P44" s="44"/>
      <c r="Q44" s="44"/>
      <c r="R44" s="778"/>
      <c r="S44" s="511"/>
      <c r="T44" s="638"/>
      <c r="U44" s="638"/>
      <c r="V44" s="638"/>
      <c r="W44" s="638"/>
      <c r="X44" s="638"/>
      <c r="Y44" s="638"/>
      <c r="Z44" s="638"/>
      <c r="AA44" s="638"/>
      <c r="AB44" s="638"/>
      <c r="AC44" s="638"/>
      <c r="AD44" s="638"/>
      <c r="AE44" s="638"/>
    </row>
    <row r="45" customFormat="false" ht="15.75" hidden="false" customHeight="false" outlineLevel="0" collapsed="false">
      <c r="A45" s="817" t="str">
        <f aca="false">$A$13</f>
        <v>Amoonguss</v>
      </c>
      <c r="B45" s="817"/>
      <c r="C45" s="817"/>
      <c r="D45" s="855" t="n">
        <f aca="false" t="array" ref="D45:D45">IF(ISNA(INDEX(Pokedex!L$2:L$610,MATCH($A45,Pokedex!$B$2:$B$610,0))),"-",INDEX(Pokedex!L$2:L$610,MATCH($A45,Pokedex!$B$2:$B$610,0)))</f>
        <v>114</v>
      </c>
      <c r="E45" s="51" t="n">
        <f aca="false" t="array" ref="E45:E45">IF(ISNA(INDEX(Pokedex!M$2:M$610,MATCH($A45,Pokedex!$B$2:$B$610,0))),"-",INDEX(Pokedex!M$2:M$610,MATCH($A45,Pokedex!$B$2:$B$610,0)))</f>
        <v>85</v>
      </c>
      <c r="F45" s="51" t="n">
        <f aca="false" t="array" ref="F45:F45">IF(ISNA(INDEX(Pokedex!N$2:N$610,MATCH($A45,Pokedex!$B$2:$B$610,0))),"-",INDEX(Pokedex!N$2:N$610,MATCH($A45,Pokedex!$B$2:$B$610,0)))</f>
        <v>70</v>
      </c>
      <c r="G45" s="51" t="n">
        <f aca="false" t="array" ref="G45:G45">IF(ISNA(INDEX(Pokedex!O$2:O$610,MATCH($A45,Pokedex!$B$2:$B$610,0))),"-",INDEX(Pokedex!O$2:O$610,MATCH($A45,Pokedex!$B$2:$B$610,0)))</f>
        <v>85</v>
      </c>
      <c r="H45" s="51" t="n">
        <f aca="false" t="array" ref="H45:H45">IF(ISNA(INDEX(Pokedex!P$2:P$610,MATCH($A45,Pokedex!$B$2:$B$610,0))),"-",INDEX(Pokedex!P$2:P$610,MATCH($A45,Pokedex!$B$2:$B$610,0)))</f>
        <v>80</v>
      </c>
      <c r="I45" s="727" t="n">
        <f aca="false" t="array" ref="I45:I45">IF(ISNA(INDEX(Pokedex!Q$2:Q$610,MATCH($A45,Pokedex!$B$2:$B$610,0))),"-",INDEX(Pokedex!Q$2:Q$610,MATCH($A45,Pokedex!$B$2:$B$610,0)))</f>
        <v>30</v>
      </c>
      <c r="J45" s="51" t="n">
        <f aca="false">SUM(D45:I45)</f>
        <v>464</v>
      </c>
      <c r="K45" s="855" t="str">
        <f aca="false" t="array" ref="K45:K45">IF(ISNA(INDEX(Pokedex!R$2:R$610,MATCH($A45,Pokedex!$B$2:$B$610,0))),"-",INDEX(Pokedex!R$2:R$610,MATCH($A45,Pokedex!$B$2:$B$610,0)))</f>
        <v>Grass</v>
      </c>
      <c r="L45" s="855"/>
      <c r="M45" s="727" t="str">
        <f aca="false" t="array" ref="M45:M45">IF(ISNA(INDEX(Pokedex!S$2:S$610,MATCH($A45,Pokedex!$B$2:$B$610,0))),"-",INDEX(Pokedex!S$2:S$610,MATCH($A45,Pokedex!$B$2:$B$610,0)))</f>
        <v>Poison</v>
      </c>
      <c r="N45" s="727"/>
      <c r="O45" s="44"/>
      <c r="P45" s="44"/>
      <c r="Q45" s="44"/>
      <c r="R45" s="778"/>
      <c r="S45" s="511"/>
      <c r="T45" s="638"/>
      <c r="U45" s="638"/>
      <c r="V45" s="638"/>
      <c r="W45" s="638"/>
      <c r="X45" s="638"/>
      <c r="Y45" s="638"/>
      <c r="Z45" s="638"/>
      <c r="AA45" s="638"/>
      <c r="AB45" s="638"/>
      <c r="AC45" s="638"/>
      <c r="AD45" s="638"/>
      <c r="AE45" s="638"/>
    </row>
    <row r="46" customFormat="false" ht="15.75" hidden="false" customHeight="false" outlineLevel="0" collapsed="false">
      <c r="A46" s="817" t="str">
        <f aca="false">$A$14</f>
        <v>Crobat</v>
      </c>
      <c r="B46" s="817"/>
      <c r="C46" s="817"/>
      <c r="D46" s="855" t="n">
        <f aca="false" t="array" ref="D46:D46">IF(ISNA(INDEX(Pokedex!L$2:L$610,MATCH($A46,Pokedex!$B$2:$B$610,0))),"-",INDEX(Pokedex!L$2:L$610,MATCH($A46,Pokedex!$B$2:$B$610,0)))</f>
        <v>85</v>
      </c>
      <c r="E46" s="51" t="n">
        <f aca="false" t="array" ref="E46:E46">IF(ISNA(INDEX(Pokedex!M$2:M$610,MATCH($A46,Pokedex!$B$2:$B$610,0))),"-",INDEX(Pokedex!M$2:M$610,MATCH($A46,Pokedex!$B$2:$B$610,0)))</f>
        <v>90</v>
      </c>
      <c r="F46" s="51" t="n">
        <f aca="false" t="array" ref="F46:F46">IF(ISNA(INDEX(Pokedex!N$2:N$610,MATCH($A46,Pokedex!$B$2:$B$610,0))),"-",INDEX(Pokedex!N$2:N$610,MATCH($A46,Pokedex!$B$2:$B$610,0)))</f>
        <v>80</v>
      </c>
      <c r="G46" s="51" t="n">
        <f aca="false" t="array" ref="G46:G46">IF(ISNA(INDEX(Pokedex!O$2:O$610,MATCH($A46,Pokedex!$B$2:$B$610,0))),"-",INDEX(Pokedex!O$2:O$610,MATCH($A46,Pokedex!$B$2:$B$610,0)))</f>
        <v>70</v>
      </c>
      <c r="H46" s="51" t="n">
        <f aca="false" t="array" ref="H46:H46">IF(ISNA(INDEX(Pokedex!P$2:P$610,MATCH($A46,Pokedex!$B$2:$B$610,0))),"-",INDEX(Pokedex!P$2:P$610,MATCH($A46,Pokedex!$B$2:$B$610,0)))</f>
        <v>80</v>
      </c>
      <c r="I46" s="727" t="n">
        <f aca="false" t="array" ref="I46:I46">IF(ISNA(INDEX(Pokedex!Q$2:Q$610,MATCH($A46,Pokedex!$B$2:$B$610,0))),"-",INDEX(Pokedex!Q$2:Q$610,MATCH($A46,Pokedex!$B$2:$B$610,0)))</f>
        <v>130</v>
      </c>
      <c r="J46" s="51" t="n">
        <f aca="false">SUM(D46:I46)</f>
        <v>535</v>
      </c>
      <c r="K46" s="855" t="str">
        <f aca="false" t="array" ref="K46:K46">IF(ISNA(INDEX(Pokedex!R$2:R$610,MATCH($A46,Pokedex!$B$2:$B$610,0))),"-",INDEX(Pokedex!R$2:R$610,MATCH($A46,Pokedex!$B$2:$B$610,0)))</f>
        <v>Flying</v>
      </c>
      <c r="L46" s="855"/>
      <c r="M46" s="727" t="str">
        <f aca="false" t="array" ref="M46:M46">IF(ISNA(INDEX(Pokedex!S$2:S$610,MATCH($A46,Pokedex!$B$2:$B$610,0))),"-",INDEX(Pokedex!S$2:S$610,MATCH($A46,Pokedex!$B$2:$B$610,0)))</f>
        <v>Poison</v>
      </c>
      <c r="N46" s="727"/>
      <c r="O46" s="44"/>
      <c r="P46" s="44"/>
      <c r="Q46" s="44"/>
      <c r="R46" s="790"/>
      <c r="S46" s="791"/>
      <c r="T46" s="792"/>
      <c r="U46" s="792"/>
      <c r="V46" s="792"/>
      <c r="W46" s="792"/>
      <c r="X46" s="792"/>
      <c r="Y46" s="792"/>
      <c r="Z46" s="792"/>
      <c r="AA46" s="792"/>
      <c r="AB46" s="792"/>
      <c r="AC46" s="792"/>
      <c r="AD46" s="792"/>
      <c r="AE46" s="792"/>
    </row>
    <row r="47" customFormat="false" ht="15.75" hidden="false" customHeight="false" outlineLevel="0" collapsed="false">
      <c r="A47" s="817" t="str">
        <f aca="false">$A$15</f>
        <v>Scrafty</v>
      </c>
      <c r="B47" s="817"/>
      <c r="C47" s="817"/>
      <c r="D47" s="855" t="n">
        <f aca="false" t="array" ref="D47:D47">IF(ISNA(INDEX(Pokedex!L$2:L$610,MATCH($A47,Pokedex!$B$2:$B$610,0))),"-",INDEX(Pokedex!L$2:L$610,MATCH($A47,Pokedex!$B$2:$B$610,0)))</f>
        <v>65</v>
      </c>
      <c r="E47" s="51" t="n">
        <f aca="false" t="array" ref="E47:E47">IF(ISNA(INDEX(Pokedex!M$2:M$610,MATCH($A47,Pokedex!$B$2:$B$610,0))),"-",INDEX(Pokedex!M$2:M$610,MATCH($A47,Pokedex!$B$2:$B$610,0)))</f>
        <v>90</v>
      </c>
      <c r="F47" s="51" t="n">
        <f aca="false" t="array" ref="F47:F47">IF(ISNA(INDEX(Pokedex!N$2:N$610,MATCH($A47,Pokedex!$B$2:$B$610,0))),"-",INDEX(Pokedex!N$2:N$610,MATCH($A47,Pokedex!$B$2:$B$610,0)))</f>
        <v>115</v>
      </c>
      <c r="G47" s="51" t="n">
        <f aca="false" t="array" ref="G47:G47">IF(ISNA(INDEX(Pokedex!O$2:O$610,MATCH($A47,Pokedex!$B$2:$B$610,0))),"-",INDEX(Pokedex!O$2:O$610,MATCH($A47,Pokedex!$B$2:$B$610,0)))</f>
        <v>45</v>
      </c>
      <c r="H47" s="51" t="n">
        <f aca="false" t="array" ref="H47:H47">IF(ISNA(INDEX(Pokedex!P$2:P$610,MATCH($A47,Pokedex!$B$2:$B$610,0))),"-",INDEX(Pokedex!P$2:P$610,MATCH($A47,Pokedex!$B$2:$B$610,0)))</f>
        <v>115</v>
      </c>
      <c r="I47" s="727" t="n">
        <f aca="false" t="array" ref="I47:I47">IF(ISNA(INDEX(Pokedex!Q$2:Q$610,MATCH($A47,Pokedex!$B$2:$B$610,0))),"-",INDEX(Pokedex!Q$2:Q$610,MATCH($A47,Pokedex!$B$2:$B$610,0)))</f>
        <v>58</v>
      </c>
      <c r="J47" s="51" t="n">
        <f aca="false">SUM(D47:I47)</f>
        <v>488</v>
      </c>
      <c r="K47" s="855" t="str">
        <f aca="false" t="array" ref="K47:K47">IF(ISNA(INDEX(Pokedex!R$2:R$610,MATCH($A47,Pokedex!$B$2:$B$610,0))),"-",INDEX(Pokedex!R$2:R$610,MATCH($A47,Pokedex!$B$2:$B$610,0)))</f>
        <v>Dark</v>
      </c>
      <c r="L47" s="855"/>
      <c r="M47" s="727" t="str">
        <f aca="false" t="array" ref="M47:M47">IF(ISNA(INDEX(Pokedex!S$2:S$610,MATCH($A47,Pokedex!$B$2:$B$610,0))),"-",INDEX(Pokedex!S$2:S$610,MATCH($A47,Pokedex!$B$2:$B$610,0)))</f>
        <v>Fighting</v>
      </c>
      <c r="N47" s="727"/>
      <c r="O47" s="44"/>
      <c r="P47" s="44"/>
      <c r="Q47" s="44"/>
      <c r="R47" s="790"/>
      <c r="S47" s="791"/>
      <c r="T47" s="792"/>
      <c r="U47" s="792"/>
      <c r="V47" s="792"/>
      <c r="W47" s="792"/>
      <c r="X47" s="792"/>
      <c r="Y47" s="792"/>
      <c r="Z47" s="792"/>
      <c r="AA47" s="792"/>
      <c r="AB47" s="792"/>
      <c r="AC47" s="792"/>
      <c r="AD47" s="792"/>
      <c r="AE47" s="792"/>
    </row>
    <row r="48" customFormat="false" ht="15.75" hidden="false" customHeight="false" outlineLevel="0" collapsed="false">
      <c r="A48" s="817" t="str">
        <f aca="false">$A$16</f>
        <v>Ambipom</v>
      </c>
      <c r="B48" s="817"/>
      <c r="C48" s="817"/>
      <c r="D48" s="855" t="n">
        <f aca="false" t="array" ref="D48:D48">IF(ISNA(INDEX(Pokedex!L$2:L$610,MATCH($A48,Pokedex!$B$2:$B$610,0))),"-",INDEX(Pokedex!L$2:L$610,MATCH($A48,Pokedex!$B$2:$B$610,0)))</f>
        <v>75</v>
      </c>
      <c r="E48" s="51" t="n">
        <f aca="false" t="array" ref="E48:E48">IF(ISNA(INDEX(Pokedex!M$2:M$610,MATCH($A48,Pokedex!$B$2:$B$610,0))),"-",INDEX(Pokedex!M$2:M$610,MATCH($A48,Pokedex!$B$2:$B$610,0)))</f>
        <v>100</v>
      </c>
      <c r="F48" s="51" t="n">
        <f aca="false" t="array" ref="F48:F48">IF(ISNA(INDEX(Pokedex!N$2:N$610,MATCH($A48,Pokedex!$B$2:$B$610,0))),"-",INDEX(Pokedex!N$2:N$610,MATCH($A48,Pokedex!$B$2:$B$610,0)))</f>
        <v>66</v>
      </c>
      <c r="G48" s="51" t="n">
        <f aca="false" t="array" ref="G48:G48">IF(ISNA(INDEX(Pokedex!O$2:O$610,MATCH($A48,Pokedex!$B$2:$B$610,0))),"-",INDEX(Pokedex!O$2:O$610,MATCH($A48,Pokedex!$B$2:$B$610,0)))</f>
        <v>60</v>
      </c>
      <c r="H48" s="51" t="n">
        <f aca="false" t="array" ref="H48:H48">IF(ISNA(INDEX(Pokedex!P$2:P$610,MATCH($A48,Pokedex!$B$2:$B$610,0))),"-",INDEX(Pokedex!P$2:P$610,MATCH($A48,Pokedex!$B$2:$B$610,0)))</f>
        <v>66</v>
      </c>
      <c r="I48" s="727" t="n">
        <f aca="false" t="array" ref="I48:I48">IF(ISNA(INDEX(Pokedex!Q$2:Q$610,MATCH($A48,Pokedex!$B$2:$B$610,0))),"-",INDEX(Pokedex!Q$2:Q$610,MATCH($A48,Pokedex!$B$2:$B$610,0)))</f>
        <v>115</v>
      </c>
      <c r="J48" s="51" t="n">
        <f aca="false">SUM(D48:I48)</f>
        <v>482</v>
      </c>
      <c r="K48" s="855" t="str">
        <f aca="false" t="array" ref="K48:K48">IF(ISNA(INDEX(Pokedex!R$2:R$610,MATCH($A48,Pokedex!$B$2:$B$610,0))),"-",INDEX(Pokedex!R$2:R$610,MATCH($A48,Pokedex!$B$2:$B$610,0)))</f>
        <v>Normal</v>
      </c>
      <c r="L48" s="855"/>
      <c r="M48" s="727" t="n">
        <f aca="false">IF(ISNA(INDEX(Pokedex!S$2:S$610,MATCH($A48,Pokedex!$B$2:$B$610,0))),"-",INDEX(Pokedex!S$2:S$610,MATCH($A48,Pokedex!$B$2:$B$610,0)))</f>
        <v>0</v>
      </c>
      <c r="N48" s="727"/>
      <c r="O48" s="44"/>
      <c r="P48" s="44"/>
      <c r="Q48" s="44"/>
      <c r="R48" s="790"/>
      <c r="S48" s="791"/>
      <c r="T48" s="792"/>
      <c r="U48" s="792"/>
      <c r="V48" s="792"/>
      <c r="W48" s="792"/>
      <c r="X48" s="792"/>
      <c r="Y48" s="792"/>
      <c r="Z48" s="792"/>
      <c r="AA48" s="792"/>
      <c r="AB48" s="792"/>
      <c r="AC48" s="792"/>
      <c r="AD48" s="792"/>
      <c r="AE48" s="792"/>
    </row>
    <row r="49" customFormat="false" ht="15.75" hidden="false" customHeight="false" outlineLevel="0" collapsed="false">
      <c r="A49" s="817" t="str">
        <f aca="false">$A$17</f>
        <v>Lanturn</v>
      </c>
      <c r="B49" s="817"/>
      <c r="C49" s="817"/>
      <c r="D49" s="855" t="n">
        <f aca="false" t="array" ref="D49:D49">IF(ISNA(INDEX(Pokedex!L$2:L$610,MATCH($A49,Pokedex!$B$2:$B$610,0))),"-",INDEX(Pokedex!L$2:L$610,MATCH($A49,Pokedex!$B$2:$B$610,0)))</f>
        <v>125</v>
      </c>
      <c r="E49" s="51" t="n">
        <f aca="false" t="array" ref="E49:E49">IF(ISNA(INDEX(Pokedex!M$2:M$610,MATCH($A49,Pokedex!$B$2:$B$610,0))),"-",INDEX(Pokedex!M$2:M$610,MATCH($A49,Pokedex!$B$2:$B$610,0)))</f>
        <v>58</v>
      </c>
      <c r="F49" s="51" t="n">
        <f aca="false" t="array" ref="F49:F49">IF(ISNA(INDEX(Pokedex!N$2:N$610,MATCH($A49,Pokedex!$B$2:$B$610,0))),"-",INDEX(Pokedex!N$2:N$610,MATCH($A49,Pokedex!$B$2:$B$610,0)))</f>
        <v>58</v>
      </c>
      <c r="G49" s="51" t="n">
        <f aca="false" t="array" ref="G49:G49">IF(ISNA(INDEX(Pokedex!O$2:O$610,MATCH($A49,Pokedex!$B$2:$B$610,0))),"-",INDEX(Pokedex!O$2:O$610,MATCH($A49,Pokedex!$B$2:$B$610,0)))</f>
        <v>76</v>
      </c>
      <c r="H49" s="51" t="n">
        <f aca="false" t="array" ref="H49:H49">IF(ISNA(INDEX(Pokedex!P$2:P$610,MATCH($A49,Pokedex!$B$2:$B$610,0))),"-",INDEX(Pokedex!P$2:P$610,MATCH($A49,Pokedex!$B$2:$B$610,0)))</f>
        <v>76</v>
      </c>
      <c r="I49" s="727" t="n">
        <f aca="false" t="array" ref="I49:I49">IF(ISNA(INDEX(Pokedex!Q$2:Q$610,MATCH($A49,Pokedex!$B$2:$B$610,0))),"-",INDEX(Pokedex!Q$2:Q$610,MATCH($A49,Pokedex!$B$2:$B$610,0)))</f>
        <v>67</v>
      </c>
      <c r="J49" s="51" t="n">
        <f aca="false">SUM(D49:I49)</f>
        <v>460</v>
      </c>
      <c r="K49" s="855" t="str">
        <f aca="false" t="array" ref="K49:K49">IF(ISNA(INDEX(Pokedex!R$2:R$610,MATCH($A49,Pokedex!$B$2:$B$610,0))),"-",INDEX(Pokedex!R$2:R$610,MATCH($A49,Pokedex!$B$2:$B$610,0)))</f>
        <v>Electric</v>
      </c>
      <c r="L49" s="855"/>
      <c r="M49" s="727" t="str">
        <f aca="false" t="array" ref="M49:M49">IF(ISNA(INDEX(Pokedex!S$2:S$610,MATCH($A49,Pokedex!$B$2:$B$610,0))),"-",INDEX(Pokedex!S$2:S$610,MATCH($A49,Pokedex!$B$2:$B$610,0)))</f>
        <v>Water</v>
      </c>
      <c r="N49" s="727"/>
      <c r="O49" s="44"/>
      <c r="P49" s="44"/>
      <c r="Q49" s="44"/>
      <c r="R49" s="790"/>
      <c r="S49" s="791"/>
      <c r="T49" s="792"/>
      <c r="U49" s="792"/>
      <c r="V49" s="792"/>
      <c r="W49" s="792"/>
      <c r="X49" s="792"/>
      <c r="Y49" s="792"/>
      <c r="Z49" s="792"/>
      <c r="AA49" s="792"/>
      <c r="AB49" s="792"/>
      <c r="AC49" s="792"/>
      <c r="AD49" s="792"/>
      <c r="AE49" s="792"/>
    </row>
    <row r="50" customFormat="false" ht="15.75" hidden="false" customHeight="false" outlineLevel="0" collapsed="false">
      <c r="A50" s="817" t="str">
        <f aca="false">$A$18</f>
        <v>Camerupt-Mega</v>
      </c>
      <c r="B50" s="817"/>
      <c r="C50" s="817"/>
      <c r="D50" s="855" t="n">
        <f aca="false" t="array" ref="D50:D50">IF(ISNA(INDEX(Pokedex!L$2:L$610,MATCH($A50,Pokedex!$B$2:$B$610,0))),"-",INDEX(Pokedex!L$2:L$610,MATCH($A50,Pokedex!$B$2:$B$610,0)))</f>
        <v>70</v>
      </c>
      <c r="E50" s="51" t="n">
        <f aca="false" t="array" ref="E50:E50">IF(ISNA(INDEX(Pokedex!M$2:M$610,MATCH($A50,Pokedex!$B$2:$B$610,0))),"-",INDEX(Pokedex!M$2:M$610,MATCH($A50,Pokedex!$B$2:$B$610,0)))</f>
        <v>120</v>
      </c>
      <c r="F50" s="51" t="n">
        <f aca="false" t="array" ref="F50:F50">IF(ISNA(INDEX(Pokedex!N$2:N$610,MATCH($A50,Pokedex!$B$2:$B$610,0))),"-",INDEX(Pokedex!N$2:N$610,MATCH($A50,Pokedex!$B$2:$B$610,0)))</f>
        <v>100</v>
      </c>
      <c r="G50" s="51" t="n">
        <f aca="false" t="array" ref="G50:G50">IF(ISNA(INDEX(Pokedex!O$2:O$610,MATCH($A50,Pokedex!$B$2:$B$610,0))),"-",INDEX(Pokedex!O$2:O$610,MATCH($A50,Pokedex!$B$2:$B$610,0)))</f>
        <v>145</v>
      </c>
      <c r="H50" s="51" t="n">
        <f aca="false" t="array" ref="H50:H50">IF(ISNA(INDEX(Pokedex!P$2:P$610,MATCH($A50,Pokedex!$B$2:$B$610,0))),"-",INDEX(Pokedex!P$2:P$610,MATCH($A50,Pokedex!$B$2:$B$610,0)))</f>
        <v>105</v>
      </c>
      <c r="I50" s="727" t="n">
        <f aca="false" t="array" ref="I50:I50">IF(ISNA(INDEX(Pokedex!Q$2:Q$610,MATCH($A50,Pokedex!$B$2:$B$610,0))),"-",INDEX(Pokedex!Q$2:Q$610,MATCH($A50,Pokedex!$B$2:$B$610,0)))</f>
        <v>20</v>
      </c>
      <c r="J50" s="51" t="n">
        <f aca="false">SUM(D50:I50)</f>
        <v>560</v>
      </c>
      <c r="K50" s="855" t="str">
        <f aca="false" t="array" ref="K50:K50">IF(ISNA(INDEX(Pokedex!R$2:R$610,MATCH($A50,Pokedex!$B$2:$B$610,0))),"-",INDEX(Pokedex!R$2:R$610,MATCH($A50,Pokedex!$B$2:$B$610,0)))</f>
        <v>Fire</v>
      </c>
      <c r="L50" s="855"/>
      <c r="M50" s="727" t="str">
        <f aca="false" t="array" ref="M50:M50">IF(ISNA(INDEX(Pokedex!S$2:S$610,MATCH($A50,Pokedex!$B$2:$B$610,0))),"-",INDEX(Pokedex!S$2:S$610,MATCH($A50,Pokedex!$B$2:$B$610,0)))</f>
        <v>Ground</v>
      </c>
      <c r="N50" s="727"/>
      <c r="O50" s="44"/>
      <c r="P50" s="44"/>
      <c r="Q50" s="44"/>
      <c r="R50" s="790"/>
      <c r="S50" s="791"/>
      <c r="T50" s="792"/>
      <c r="U50" s="792"/>
      <c r="V50" s="792"/>
      <c r="W50" s="792"/>
      <c r="X50" s="792"/>
      <c r="Y50" s="792"/>
      <c r="Z50" s="792"/>
      <c r="AA50" s="792"/>
      <c r="AB50" s="792"/>
      <c r="AC50" s="792"/>
      <c r="AD50" s="792"/>
      <c r="AE50" s="792"/>
    </row>
    <row r="51" customFormat="false" ht="15.75" hidden="false" customHeight="false" outlineLevel="0" collapsed="false">
      <c r="A51" s="817" t="str">
        <f aca="false">$A$19</f>
        <v>Tapu Koko</v>
      </c>
      <c r="B51" s="817"/>
      <c r="C51" s="817"/>
      <c r="D51" s="855" t="n">
        <f aca="false" t="array" ref="D51:D51">IF(ISNA(INDEX(Pokedex!L$2:L$610,MATCH($A51,Pokedex!$B$2:$B$610,0))),"-",INDEX(Pokedex!L$2:L$610,MATCH($A51,Pokedex!$B$2:$B$610,0)))</f>
        <v>70</v>
      </c>
      <c r="E51" s="51" t="n">
        <f aca="false" t="array" ref="E51:E51">IF(ISNA(INDEX(Pokedex!M$2:M$610,MATCH($A51,Pokedex!$B$2:$B$610,0))),"-",INDEX(Pokedex!M$2:M$610,MATCH($A51,Pokedex!$B$2:$B$610,0)))</f>
        <v>115</v>
      </c>
      <c r="F51" s="51" t="n">
        <f aca="false" t="array" ref="F51:F51">IF(ISNA(INDEX(Pokedex!N$2:N$610,MATCH($A51,Pokedex!$B$2:$B$610,0))),"-",INDEX(Pokedex!N$2:N$610,MATCH($A51,Pokedex!$B$2:$B$610,0)))</f>
        <v>85</v>
      </c>
      <c r="G51" s="51" t="n">
        <f aca="false" t="array" ref="G51:G51">IF(ISNA(INDEX(Pokedex!O$2:O$610,MATCH($A51,Pokedex!$B$2:$B$610,0))),"-",INDEX(Pokedex!O$2:O$610,MATCH($A51,Pokedex!$B$2:$B$610,0)))</f>
        <v>95</v>
      </c>
      <c r="H51" s="51" t="n">
        <f aca="false" t="array" ref="H51:H51">IF(ISNA(INDEX(Pokedex!P$2:P$610,MATCH($A51,Pokedex!$B$2:$B$610,0))),"-",INDEX(Pokedex!P$2:P$610,MATCH($A51,Pokedex!$B$2:$B$610,0)))</f>
        <v>75</v>
      </c>
      <c r="I51" s="727" t="n">
        <f aca="false" t="array" ref="I51:I51">IF(ISNA(INDEX(Pokedex!Q$2:Q$610,MATCH($A51,Pokedex!$B$2:$B$610,0))),"-",INDEX(Pokedex!Q$2:Q$610,MATCH($A51,Pokedex!$B$2:$B$610,0)))</f>
        <v>130</v>
      </c>
      <c r="J51" s="51" t="n">
        <f aca="false">SUM(D51:I51)</f>
        <v>570</v>
      </c>
      <c r="K51" s="855" t="str">
        <f aca="false" t="array" ref="K51:K51">IF(ISNA(INDEX(Pokedex!R$2:R$610,MATCH($A51,Pokedex!$B$2:$B$610,0))),"-",INDEX(Pokedex!R$2:R$610,MATCH($A51,Pokedex!$B$2:$B$610,0)))</f>
        <v>Electric</v>
      </c>
      <c r="L51" s="855"/>
      <c r="M51" s="727" t="str">
        <f aca="false" t="array" ref="M51:M51">IF(ISNA(INDEX(Pokedex!S$2:S$610,MATCH($A51,Pokedex!$B$2:$B$610,0))),"-",INDEX(Pokedex!S$2:S$610,MATCH($A51,Pokedex!$B$2:$B$610,0)))</f>
        <v>Fairy</v>
      </c>
      <c r="N51" s="727"/>
      <c r="O51" s="44"/>
      <c r="P51" s="44"/>
      <c r="Q51" s="44"/>
      <c r="R51" s="820"/>
      <c r="S51" s="821"/>
      <c r="T51" s="792"/>
      <c r="U51" s="792"/>
      <c r="V51" s="792"/>
      <c r="W51" s="792"/>
      <c r="X51" s="792"/>
      <c r="Y51" s="792"/>
      <c r="Z51" s="792"/>
      <c r="AA51" s="792"/>
      <c r="AB51" s="792"/>
      <c r="AC51" s="792"/>
      <c r="AD51" s="792"/>
      <c r="AE51" s="792"/>
    </row>
    <row r="52" customFormat="false" ht="15.75" hidden="false" customHeight="false" outlineLevel="0" collapsed="false">
      <c r="A52" s="817" t="str">
        <f aca="false">$A$20</f>
        <v>Silvally </v>
      </c>
      <c r="B52" s="817"/>
      <c r="C52" s="817"/>
      <c r="D52" s="855" t="n">
        <f aca="false" t="array" ref="D52:D52">IF(ISNA(INDEX(Pokedex!L$2:L$610,MATCH($A52,Pokedex!$B$2:$B$610,0))),"-",INDEX(Pokedex!L$2:L$610,MATCH($A52,Pokedex!$B$2:$B$610,0)))</f>
        <v>95</v>
      </c>
      <c r="E52" s="51" t="n">
        <f aca="false" t="array" ref="E52:E52">IF(ISNA(INDEX(Pokedex!M$2:M$610,MATCH($A52,Pokedex!$B$2:$B$610,0))),"-",INDEX(Pokedex!M$2:M$610,MATCH($A52,Pokedex!$B$2:$B$610,0)))</f>
        <v>95</v>
      </c>
      <c r="F52" s="51" t="n">
        <f aca="false" t="array" ref="F52:F52">IF(ISNA(INDEX(Pokedex!N$2:N$610,MATCH($A52,Pokedex!$B$2:$B$610,0))),"-",INDEX(Pokedex!N$2:N$610,MATCH($A52,Pokedex!$B$2:$B$610,0)))</f>
        <v>95</v>
      </c>
      <c r="G52" s="51" t="n">
        <f aca="false" t="array" ref="G52:G52">IF(ISNA(INDEX(Pokedex!O$2:O$610,MATCH($A52,Pokedex!$B$2:$B$610,0))),"-",INDEX(Pokedex!O$2:O$610,MATCH($A52,Pokedex!$B$2:$B$610,0)))</f>
        <v>95</v>
      </c>
      <c r="H52" s="51" t="n">
        <f aca="false" t="array" ref="H52:H52">IF(ISNA(INDEX(Pokedex!P$2:P$610,MATCH($A52,Pokedex!$B$2:$B$610,0))),"-",INDEX(Pokedex!P$2:P$610,MATCH($A52,Pokedex!$B$2:$B$610,0)))</f>
        <v>95</v>
      </c>
      <c r="I52" s="727" t="n">
        <f aca="false" t="array" ref="I52:I52">IF(ISNA(INDEX(Pokedex!Q$2:Q$610,MATCH($A52,Pokedex!$B$2:$B$610,0))),"-",INDEX(Pokedex!Q$2:Q$610,MATCH($A52,Pokedex!$B$2:$B$610,0)))</f>
        <v>95</v>
      </c>
      <c r="J52" s="51" t="n">
        <f aca="false">SUM(D52:I52)</f>
        <v>570</v>
      </c>
      <c r="K52" s="855" t="str">
        <f aca="false" t="array" ref="K52:K52">IF(ISNA(INDEX(Pokedex!R$2:R$610,MATCH($A52,Pokedex!$B$2:$B$610,0))),"-",INDEX(Pokedex!R$2:R$610,MATCH($A52,Pokedex!$B$2:$B$610,0)))</f>
        <v>Normal</v>
      </c>
      <c r="L52" s="855"/>
      <c r="M52" s="727" t="n">
        <f aca="false" t="array" ref="M52:M52">IF(ISNA(INDEX(Pokedex!S$2:S$610,MATCH($A52,Pokedex!$B$2:$B$610,0))),"-",INDEX(Pokedex!S$2:S$610,MATCH($A52,Pokedex!$B$2:$B$610,0)))</f>
        <v>0</v>
      </c>
      <c r="N52" s="727"/>
      <c r="O52" s="44"/>
      <c r="P52" s="44"/>
      <c r="Q52" s="44"/>
      <c r="R52" s="824"/>
      <c r="S52" s="638"/>
      <c r="T52" s="638"/>
      <c r="U52" s="638"/>
      <c r="V52" s="638"/>
      <c r="W52" s="638"/>
      <c r="X52" s="638"/>
      <c r="Y52" s="638"/>
      <c r="Z52" s="638"/>
      <c r="AA52" s="638"/>
      <c r="AB52" s="638"/>
      <c r="AC52" s="638"/>
      <c r="AD52" s="638"/>
      <c r="AE52" s="638"/>
    </row>
    <row r="53" customFormat="false" ht="15.75" hidden="false" customHeight="false" outlineLevel="0" collapsed="false">
      <c r="A53" s="817" t="str">
        <f aca="false">$A$21</f>
        <v>Forretress</v>
      </c>
      <c r="B53" s="817"/>
      <c r="C53" s="817"/>
      <c r="D53" s="855" t="n">
        <f aca="false" t="array" ref="D53:D53">IF(ISNA(INDEX(Pokedex!L$2:L$610,MATCH($A53,Pokedex!$B$2:$B$610,0))),"-",INDEX(Pokedex!L$2:L$610,MATCH($A53,Pokedex!$B$2:$B$610,0)))</f>
        <v>75</v>
      </c>
      <c r="E53" s="51" t="n">
        <f aca="false" t="array" ref="E53:E53">IF(ISNA(INDEX(Pokedex!M$2:M$610,MATCH($A53,Pokedex!$B$2:$B$610,0))),"-",INDEX(Pokedex!M$2:M$610,MATCH($A53,Pokedex!$B$2:$B$610,0)))</f>
        <v>90</v>
      </c>
      <c r="F53" s="51" t="n">
        <f aca="false" t="array" ref="F53:F53">IF(ISNA(INDEX(Pokedex!N$2:N$610,MATCH($A53,Pokedex!$B$2:$B$610,0))),"-",INDEX(Pokedex!N$2:N$610,MATCH($A53,Pokedex!$B$2:$B$610,0)))</f>
        <v>140</v>
      </c>
      <c r="G53" s="51" t="n">
        <f aca="false" t="array" ref="G53:G53">IF(ISNA(INDEX(Pokedex!O$2:O$610,MATCH($A53,Pokedex!$B$2:$B$610,0))),"-",INDEX(Pokedex!O$2:O$610,MATCH($A53,Pokedex!$B$2:$B$610,0)))</f>
        <v>60</v>
      </c>
      <c r="H53" s="51" t="n">
        <f aca="false" t="array" ref="H53:H53">IF(ISNA(INDEX(Pokedex!P$2:P$610,MATCH($A53,Pokedex!$B$2:$B$610,0))),"-",INDEX(Pokedex!P$2:P$610,MATCH($A53,Pokedex!$B$2:$B$610,0)))</f>
        <v>60</v>
      </c>
      <c r="I53" s="727" t="n">
        <f aca="false" t="array" ref="I53:I53">IF(ISNA(INDEX(Pokedex!Q$2:Q$610,MATCH($A53,Pokedex!$B$2:$B$610,0))),"-",INDEX(Pokedex!Q$2:Q$610,MATCH($A53,Pokedex!$B$2:$B$610,0)))</f>
        <v>40</v>
      </c>
      <c r="J53" s="51" t="n">
        <f aca="false">SUM(D53:I53)</f>
        <v>465</v>
      </c>
      <c r="K53" s="855" t="str">
        <f aca="false" t="array" ref="K53:K53">IF(ISNA(INDEX(Pokedex!R$2:R$610,MATCH($A53,Pokedex!$B$2:$B$610,0))),"-",INDEX(Pokedex!R$2:R$610,MATCH($A53,Pokedex!$B$2:$B$610,0)))</f>
        <v>Bug</v>
      </c>
      <c r="L53" s="855"/>
      <c r="M53" s="727" t="str">
        <f aca="false" t="array" ref="M53:M53">IF(ISNA(INDEX(Pokedex!S$2:S$610,MATCH($A53,Pokedex!$B$2:$B$610,0))),"-",INDEX(Pokedex!S$2:S$610,MATCH($A53,Pokedex!$B$2:$B$610,0)))</f>
        <v>Steel</v>
      </c>
      <c r="N53" s="727"/>
      <c r="O53" s="44"/>
      <c r="P53" s="44"/>
      <c r="Q53" s="44"/>
      <c r="R53" s="824"/>
      <c r="S53" s="638"/>
      <c r="T53" s="638"/>
      <c r="U53" s="638"/>
      <c r="V53" s="638"/>
      <c r="W53" s="638"/>
      <c r="X53" s="638"/>
      <c r="Y53" s="638"/>
      <c r="Z53" s="638"/>
      <c r="AA53" s="638"/>
      <c r="AB53" s="638"/>
      <c r="AC53" s="638"/>
      <c r="AD53" s="638"/>
      <c r="AE53" s="638"/>
    </row>
    <row r="54" customFormat="false" ht="15.75" hidden="false" customHeight="false" outlineLevel="0" collapsed="false">
      <c r="A54" s="826" t="str">
        <f aca="false">$A$22</f>
        <v>Altaria</v>
      </c>
      <c r="B54" s="826"/>
      <c r="C54" s="826"/>
      <c r="D54" s="870" t="n">
        <f aca="false" t="array" ref="D54:D54">IF(ISNA(INDEX(Pokedex!L$2:L$610,MATCH($A54,Pokedex!$B$2:$B$610,0))),"-",INDEX(Pokedex!L$2:L$610,MATCH($A54,Pokedex!$B$2:$B$610,0)))</f>
        <v>75</v>
      </c>
      <c r="E54" s="828" t="n">
        <f aca="false" t="array" ref="E54:E54">IF(ISNA(INDEX(Pokedex!M$2:M$610,MATCH($A54,Pokedex!$B$2:$B$610,0))),"-",INDEX(Pokedex!M$2:M$610,MATCH($A54,Pokedex!$B$2:$B$610,0)))</f>
        <v>70</v>
      </c>
      <c r="F54" s="828" t="n">
        <f aca="false" t="array" ref="F54:F54">IF(ISNA(INDEX(Pokedex!N$2:N$610,MATCH($A54,Pokedex!$B$2:$B$610,0))),"-",INDEX(Pokedex!N$2:N$610,MATCH($A54,Pokedex!$B$2:$B$610,0)))</f>
        <v>90</v>
      </c>
      <c r="G54" s="828" t="n">
        <f aca="false" t="array" ref="G54:G54">IF(ISNA(INDEX(Pokedex!O$2:O$610,MATCH($A54,Pokedex!$B$2:$B$610,0))),"-",INDEX(Pokedex!O$2:O$610,MATCH($A54,Pokedex!$B$2:$B$610,0)))</f>
        <v>70</v>
      </c>
      <c r="H54" s="828" t="n">
        <f aca="false" t="array" ref="H54:H54">IF(ISNA(INDEX(Pokedex!P$2:P$610,MATCH($A54,Pokedex!$B$2:$B$610,0))),"-",INDEX(Pokedex!P$2:P$610,MATCH($A54,Pokedex!$B$2:$B$610,0)))</f>
        <v>105</v>
      </c>
      <c r="I54" s="744" t="n">
        <f aca="false" t="array" ref="I54:I54">IF(ISNA(INDEX(Pokedex!Q$2:Q$610,MATCH($A54,Pokedex!$B$2:$B$610,0))),"-",INDEX(Pokedex!Q$2:Q$610,MATCH($A54,Pokedex!$B$2:$B$610,0)))</f>
        <v>80</v>
      </c>
      <c r="J54" s="828" t="n">
        <f aca="false">SUM(D54:I54)</f>
        <v>490</v>
      </c>
      <c r="K54" s="870" t="str">
        <f aca="false" t="array" ref="K54:K54">IF(ISNA(INDEX(Pokedex!R$2:R$610,MATCH($A54,Pokedex!$B$2:$B$610,0))),"-",INDEX(Pokedex!R$2:R$610,MATCH($A54,Pokedex!$B$2:$B$610,0)))</f>
        <v>Dragon</v>
      </c>
      <c r="L54" s="870"/>
      <c r="M54" s="744" t="str">
        <f aca="false" t="array" ref="M54:M54">IF(ISNA(INDEX(Pokedex!S$2:S$610,MATCH($A54,Pokedex!$B$2:$B$610,0))),"-",INDEX(Pokedex!S$2:S$610,MATCH($A54,Pokedex!$B$2:$B$610,0)))</f>
        <v>Flying</v>
      </c>
      <c r="N54" s="744"/>
      <c r="O54" s="44"/>
      <c r="P54" s="44"/>
      <c r="Q54" s="871" t="s">
        <v>2068</v>
      </c>
      <c r="R54" s="871"/>
      <c r="S54" s="871"/>
      <c r="T54" s="871" t="s">
        <v>2069</v>
      </c>
      <c r="U54" s="871"/>
      <c r="V54" s="871"/>
      <c r="W54" s="872" t="s">
        <v>209</v>
      </c>
      <c r="X54" s="872"/>
      <c r="Y54" s="332" t="s">
        <v>2070</v>
      </c>
      <c r="Z54" s="332"/>
      <c r="AA54" s="172" t="s">
        <v>213</v>
      </c>
      <c r="AB54" s="172"/>
      <c r="AC54" s="172"/>
      <c r="AD54" s="172"/>
      <c r="AE54" s="873"/>
    </row>
    <row r="55" customFormat="false" ht="15.75" hidden="false" customHeight="false" outlineLevel="0" collapsed="false">
      <c r="A55" s="874" t="s">
        <v>2075</v>
      </c>
      <c r="B55" s="874"/>
      <c r="C55" s="874"/>
      <c r="D55" s="875" t="n">
        <f aca="false">IF(ISERROR(AVERAGE(D44:D54)),"-",AVERAGE(D44:D54))</f>
        <v>86.2727272727273</v>
      </c>
      <c r="E55" s="876" t="n">
        <f aca="false">IF(ISERROR(AVERAGE(E44:E54)),"-",AVERAGE(E44:E54))</f>
        <v>87.5454545454545</v>
      </c>
      <c r="F55" s="876" t="n">
        <f aca="false">IF(ISERROR(AVERAGE(F44:F54)),"-",AVERAGE(F44:F54))</f>
        <v>89</v>
      </c>
      <c r="G55" s="876" t="n">
        <f aca="false">IF(ISERROR(AVERAGE(G44:G54)),"-",AVERAGE(G44:G54))</f>
        <v>78.2727272727273</v>
      </c>
      <c r="H55" s="876" t="n">
        <f aca="false">IF(ISERROR(AVERAGE(H44:H54)),"-",AVERAGE(H44:H54))</f>
        <v>85.1818181818182</v>
      </c>
      <c r="I55" s="877" t="n">
        <f aca="false">IF(ISERROR(AVERAGE(I44:I54)),"-",AVERAGE(I44:I54))</f>
        <v>74.0909090909091</v>
      </c>
      <c r="J55" s="877" t="n">
        <f aca="false">IF(ISERROR(AVERAGE(J44:J54)),"-",AVERAGE(J44:J54))</f>
        <v>500.363636363636</v>
      </c>
      <c r="K55" s="44"/>
      <c r="L55" s="44"/>
      <c r="M55" s="44"/>
      <c r="N55" s="44"/>
      <c r="O55" s="44"/>
      <c r="P55" s="44"/>
      <c r="Q55" s="878" t="str">
        <f aca="false">IFERROR(__xludf.dummyfunction("{if(isna(filter(Transactions!$AR$3:$AR$100,Transactions!$AU$3:$AU$100=$L$1)),,filter(Transactions!$AR$3:$AR$100,Transactions!$AU$3:$AU$100=$L$1));if(isna(filter(Transactions!$AW$3:$AW$100,Transactions!$AP$3:$AP$100=$L$1)),,filter(Transactions!$AW$3:$AW$10"&amp;"0,Transactions!$AP$3:$AP$100=$L$1))}"),"")</f>
        <v/>
      </c>
      <c r="R55" s="878"/>
      <c r="S55" s="878"/>
      <c r="T55" s="878" t="str">
        <f aca="false">IFERROR(__xludf.dummyfunction("{if(isna(filter(Transactions!$AW$3:$AW$100,Transactions!$AU$3:$AU$100=$L$1)),,filter(Transactions!$AW$3:$AW$100,Transactions!$AU$3:$AU$100=$L$1));if(isna(filter(Transactions!$AR$3:$AR$100,Transactions!$AP$3:$AP$100=$L$1)),,filter(Transactions!$AR$3:$AR$10"&amp;"0,Transactions!$AP$3:$AP$100=$L$1))}"),"")</f>
        <v/>
      </c>
      <c r="U55" s="878"/>
      <c r="V55" s="878"/>
      <c r="W55" s="879" t="str">
        <f aca="false">IFERROR(__xludf.dummyfunction("{if(isna(filter(Transactions!$AZ$3:$AZ$100,Transactions!$AU$3:$AU$100=$L$1)),,filter(Transactions!$AZ$3:$AZ$100,Transactions!$AU$3:$AU$100=$L$1));if(isna(filter(Transactions!$AZ$3:$AZ$100,Transactions!$AP$3:$AP$100=$L$1)),,filter(Transactions!$AZ$3:$AZ$10"&amp;"0,Transactions!$AP$3:$AP$100=$L$1))}"),"")</f>
        <v/>
      </c>
      <c r="X55" s="879"/>
      <c r="Y55" s="879" t="str">
        <f aca="false">IFERROR(__xludf.dummyfunction("{if(isna(filter(Transactions!$AP$3:$AP$100,Transactions!$AU$3:$AU$100=$L$1)),,filter(Transactions!$AP$3:$AP$100,Transactions!$AU$3:$AU$100=$L$1));if(isna(filter(Transactions!$AU$3:$AU$100,Transactions!$AP$3:$AP$100=$L$1)),,filter(Transactions!$AU$3:$AU$10"&amp;"0,Transactions!$AP$3:$AP$100=$L$1))}"),"")</f>
        <v/>
      </c>
      <c r="Z55" s="879"/>
      <c r="AA55" s="880" t="str">
        <f aca="false">IFERROR(__xludf.dummyfunction("{if(isna(filter(Transactions!$BB$3:$BB$100,Transactions!$AU$3:$AU$100=$L$1)),,filter(Transactions!$BB$3:$BB$100,Transactions!$AU$3:$AU$100=$L$1));if(isna(filter(Transactions!$BB$3:$BB$100,Transactions!$AP$3:$AP$100=$L$1)),,filter(Transactions!$BB$3:$BB$10"&amp;"0,Transactions!$AP$3:$AP$100=$L$1))}"),"")</f>
        <v/>
      </c>
      <c r="AB55" s="880"/>
      <c r="AC55" s="880"/>
      <c r="AD55" s="880"/>
      <c r="AE55" s="881"/>
    </row>
    <row r="56" customFormat="false" ht="15.75" hidden="false" customHeight="false" outlineLevel="0" collapsed="false">
      <c r="A56" s="832" t="s">
        <v>2063</v>
      </c>
      <c r="B56" s="832"/>
      <c r="C56" s="832"/>
      <c r="D56" s="882" t="n">
        <f aca="false">SUM(D44:D54)</f>
        <v>949</v>
      </c>
      <c r="E56" s="883" t="n">
        <f aca="false">SUM(E44:E54)</f>
        <v>963</v>
      </c>
      <c r="F56" s="883" t="n">
        <f aca="false">SUM(F44:F54)</f>
        <v>979</v>
      </c>
      <c r="G56" s="883" t="n">
        <f aca="false">SUM(G44:G54)</f>
        <v>861</v>
      </c>
      <c r="H56" s="883" t="n">
        <f aca="false">SUM(H44:H54)</f>
        <v>937</v>
      </c>
      <c r="I56" s="783" t="n">
        <f aca="false">SUM(I44:I54)</f>
        <v>815</v>
      </c>
      <c r="J56" s="783" t="n">
        <f aca="false">SUM(J44:J54)</f>
        <v>5504</v>
      </c>
      <c r="K56" s="44"/>
      <c r="L56" s="44"/>
      <c r="M56" s="44"/>
      <c r="N56" s="44"/>
      <c r="O56" s="44"/>
      <c r="P56" s="44"/>
      <c r="Q56" s="884"/>
      <c r="R56" s="884"/>
      <c r="S56" s="884"/>
      <c r="T56" s="884"/>
      <c r="U56" s="884"/>
      <c r="V56" s="884"/>
      <c r="W56" s="885"/>
      <c r="X56" s="885"/>
      <c r="Y56" s="885"/>
      <c r="Z56" s="885"/>
      <c r="AA56" s="757"/>
      <c r="AB56" s="757"/>
      <c r="AC56" s="757"/>
      <c r="AD56" s="757"/>
      <c r="AE56" s="886"/>
    </row>
    <row r="57" customFormat="false" ht="15.75" hidden="false" customHeight="false" outlineLevel="0" collapsed="false">
      <c r="A57" s="44"/>
      <c r="B57" s="44"/>
      <c r="C57" s="44"/>
      <c r="D57" s="44"/>
      <c r="E57" s="44"/>
      <c r="F57" s="44"/>
      <c r="G57" s="44"/>
      <c r="H57" s="44"/>
      <c r="I57" s="44"/>
      <c r="J57" s="44"/>
      <c r="K57" s="44"/>
      <c r="L57" s="44"/>
      <c r="M57" s="44"/>
      <c r="N57" s="44"/>
      <c r="O57" s="44"/>
      <c r="P57" s="44"/>
      <c r="Q57" s="887"/>
      <c r="R57" s="887"/>
      <c r="S57" s="887"/>
      <c r="T57" s="887"/>
      <c r="U57" s="887"/>
      <c r="V57" s="887"/>
      <c r="W57" s="888"/>
      <c r="X57" s="888"/>
      <c r="Y57" s="888"/>
      <c r="Z57" s="888"/>
      <c r="AA57" s="889"/>
      <c r="AB57" s="889"/>
      <c r="AC57" s="889"/>
      <c r="AD57" s="889"/>
      <c r="AE57" s="881"/>
    </row>
    <row r="58" customFormat="false" ht="15.75" hidden="false" customHeight="false" outlineLevel="0" collapsed="false">
      <c r="A58" s="852" t="s">
        <v>773</v>
      </c>
      <c r="B58" s="852"/>
      <c r="C58" s="852"/>
      <c r="D58" s="342" t="s">
        <v>2076</v>
      </c>
      <c r="E58" s="342"/>
      <c r="F58" s="342"/>
      <c r="G58" s="342"/>
      <c r="H58" s="342"/>
      <c r="I58" s="342"/>
      <c r="J58" s="50"/>
      <c r="K58" s="341" t="s">
        <v>2077</v>
      </c>
      <c r="L58" s="341"/>
      <c r="M58" s="341"/>
      <c r="N58" s="341"/>
      <c r="O58" s="44"/>
      <c r="P58" s="44"/>
      <c r="Q58" s="884"/>
      <c r="R58" s="884"/>
      <c r="S58" s="884"/>
      <c r="T58" s="884"/>
      <c r="U58" s="884"/>
      <c r="V58" s="884"/>
      <c r="W58" s="885"/>
      <c r="X58" s="885"/>
      <c r="Y58" s="885"/>
      <c r="Z58" s="885"/>
      <c r="AA58" s="757"/>
      <c r="AB58" s="757"/>
      <c r="AC58" s="757"/>
      <c r="AD58" s="757"/>
      <c r="AE58" s="886"/>
    </row>
    <row r="59" customFormat="false" ht="15.75" hidden="false" customHeight="false" outlineLevel="0" collapsed="false">
      <c r="A59" s="890" t="str">
        <f aca="false">$A$12</f>
        <v>Azumarill</v>
      </c>
      <c r="B59" s="890"/>
      <c r="C59" s="890"/>
      <c r="D59" s="867" t="str">
        <f aca="false" t="array" ref="D59:D59">IF(ISNA(INDEX(Pokedex!T$2:T$610,MATCH($A59,Pokedex!$B$2:$B$610,0))),"-",INDEX(Pokedex!T$2:T$610,MATCH($A59,Pokedex!$B$2:$B$610,0)))</f>
        <v>Huge Power</v>
      </c>
      <c r="E59" s="867"/>
      <c r="F59" s="868" t="str">
        <f aca="false" t="array" ref="F59:F59">IF(ISNA(INDEX(Pokedex!U$2:U$610,MATCH($A59,Pokedex!$B$2:$B$610,0))),"-",INDEX(Pokedex!U$2:U$610,MATCH($A59,Pokedex!$B$2:$B$610,0)))</f>
        <v>Thick Fat</v>
      </c>
      <c r="G59" s="868"/>
      <c r="H59" s="869" t="str">
        <f aca="false" t="array" ref="H59:H59">IF(ISNA(INDEX(Pokedex!V$2:V$610,MATCH($A59,Pokedex!$B$2:$B$610,0))),"-",INDEX(Pokedex!V$2:V$610,MATCH($A59,Pokedex!$B$2:$B$610,0)))</f>
        <v>Sap Sipper</v>
      </c>
      <c r="I59" s="869"/>
      <c r="J59" s="44"/>
      <c r="K59" s="891" t="str">
        <f aca="false">IFERROR(__xludf.dummyfunction("if(isna(filter($R$2:$R$13,isblank($R$2:$R$13)=FALSE)),""NONE"",filter($R$2:$R$13,isblank($R$2:$R$13)=FALSE))"),"Camerupt-Mega")</f>
        <v>Camerupt-Mega</v>
      </c>
      <c r="L59" s="891"/>
      <c r="M59" s="892" t="str">
        <f aca="false">IFERROR(__xludf.dummyfunction("if(isna(filter($S$2:$S$13,isblank($S$2:$S$13)=FALSE)),""N/A"",filter($S$2:$S$13,isblank($S$2:$S$13)=FALSE))"),"Stealth Rock")</f>
        <v>Stealth Rock</v>
      </c>
      <c r="N59" s="892"/>
      <c r="O59" s="44"/>
      <c r="P59" s="44"/>
      <c r="Q59" s="887"/>
      <c r="R59" s="887"/>
      <c r="S59" s="887"/>
      <c r="T59" s="887"/>
      <c r="U59" s="887"/>
      <c r="V59" s="887"/>
      <c r="W59" s="888"/>
      <c r="X59" s="888"/>
      <c r="Y59" s="888"/>
      <c r="Z59" s="888"/>
      <c r="AA59" s="889"/>
      <c r="AB59" s="889"/>
      <c r="AC59" s="889"/>
      <c r="AD59" s="889"/>
      <c r="AE59" s="881"/>
    </row>
    <row r="60" customFormat="false" ht="15.75" hidden="false" customHeight="false" outlineLevel="0" collapsed="false">
      <c r="A60" s="840" t="str">
        <f aca="false">$A$13</f>
        <v>Amoonguss</v>
      </c>
      <c r="B60" s="840"/>
      <c r="C60" s="840"/>
      <c r="D60" s="855" t="str">
        <f aca="false" t="array" ref="D60:D60">IF(ISNA(INDEX(Pokedex!T$2:T$610,MATCH($A60,Pokedex!$B$2:$B$610,0))),"-",INDEX(Pokedex!T$2:T$610,MATCH($A60,Pokedex!$B$2:$B$610,0)))</f>
        <v>Effect Spore</v>
      </c>
      <c r="E60" s="855"/>
      <c r="F60" s="854" t="str">
        <f aca="false" t="array" ref="F60:F60">IF(ISNA(INDEX(Pokedex!U$2:U$610,MATCH($A60,Pokedex!$B$2:$B$610,0))),"-",INDEX(Pokedex!U$2:U$610,MATCH($A60,Pokedex!$B$2:$B$610,0)))</f>
        <v>Regenerator</v>
      </c>
      <c r="G60" s="854"/>
      <c r="H60" s="727" t="n">
        <f aca="false">IF(ISNA(INDEX(Pokedex!V$2:V$610,MATCH($A60,Pokedex!$B$2:$B$610,0))),"-",INDEX(Pokedex!V$2:V$610,MATCH($A60,Pokedex!$B$2:$B$610,0)))</f>
        <v>0</v>
      </c>
      <c r="I60" s="727"/>
      <c r="J60" s="44"/>
      <c r="K60" s="823" t="s">
        <v>68</v>
      </c>
      <c r="L60" s="823"/>
      <c r="M60" s="477" t="s">
        <v>1106</v>
      </c>
      <c r="N60" s="477"/>
      <c r="O60" s="44"/>
      <c r="P60" s="44"/>
      <c r="Q60" s="884"/>
      <c r="R60" s="884"/>
      <c r="S60" s="884"/>
      <c r="T60" s="884"/>
      <c r="U60" s="884"/>
      <c r="V60" s="884"/>
      <c r="W60" s="885"/>
      <c r="X60" s="885"/>
      <c r="Y60" s="885"/>
      <c r="Z60" s="885"/>
      <c r="AA60" s="757"/>
      <c r="AB60" s="757"/>
      <c r="AC60" s="757"/>
      <c r="AD60" s="757"/>
      <c r="AE60" s="886"/>
    </row>
    <row r="61" customFormat="false" ht="15.75" hidden="false" customHeight="false" outlineLevel="0" collapsed="false">
      <c r="A61" s="840" t="str">
        <f aca="false">$A$14</f>
        <v>Crobat</v>
      </c>
      <c r="B61" s="840"/>
      <c r="C61" s="840"/>
      <c r="D61" s="855" t="str">
        <f aca="false" t="array" ref="D61:D61">IF(ISNA(INDEX(Pokedex!T$2:T$610,MATCH($A61,Pokedex!$B$2:$B$610,0))),"-",INDEX(Pokedex!T$2:T$610,MATCH($A61,Pokedex!$B$2:$B$610,0)))</f>
        <v>Infiltrator</v>
      </c>
      <c r="E61" s="855"/>
      <c r="F61" s="854" t="str">
        <f aca="false" t="array" ref="F61:F61">IF(ISNA(INDEX(Pokedex!U$2:U$610,MATCH($A61,Pokedex!$B$2:$B$610,0))),"-",INDEX(Pokedex!U$2:U$610,MATCH($A61,Pokedex!$B$2:$B$610,0)))</f>
        <v>Inner Focus</v>
      </c>
      <c r="G61" s="854"/>
      <c r="H61" s="727" t="n">
        <f aca="false">IF(ISNA(INDEX(Pokedex!V$2:V$610,MATCH($A61,Pokedex!$B$2:$B$610,0))),"-",INDEX(Pokedex!V$2:V$610,MATCH($A61,Pokedex!$B$2:$B$610,0)))</f>
        <v>0</v>
      </c>
      <c r="I61" s="727"/>
      <c r="J61" s="44"/>
      <c r="K61" s="823" t="s">
        <v>68</v>
      </c>
      <c r="L61" s="823"/>
      <c r="M61" s="477" t="s">
        <v>1107</v>
      </c>
      <c r="N61" s="477"/>
      <c r="O61" s="44"/>
      <c r="P61" s="44"/>
      <c r="Q61" s="887"/>
      <c r="R61" s="887"/>
      <c r="S61" s="887"/>
      <c r="T61" s="887"/>
      <c r="U61" s="887"/>
      <c r="V61" s="887"/>
      <c r="W61" s="888"/>
      <c r="X61" s="888"/>
      <c r="Y61" s="888"/>
      <c r="Z61" s="888"/>
      <c r="AA61" s="889"/>
      <c r="AB61" s="889"/>
      <c r="AC61" s="889"/>
      <c r="AD61" s="889"/>
      <c r="AE61" s="881"/>
    </row>
    <row r="62" customFormat="false" ht="15.75" hidden="false" customHeight="false" outlineLevel="0" collapsed="false">
      <c r="A62" s="840" t="str">
        <f aca="false">$A$15</f>
        <v>Scrafty</v>
      </c>
      <c r="B62" s="840"/>
      <c r="C62" s="840"/>
      <c r="D62" s="855" t="str">
        <f aca="false" t="array" ref="D62:D62">IF(ISNA(INDEX(Pokedex!T$2:T$610,MATCH($A62,Pokedex!$B$2:$B$610,0))),"-",INDEX(Pokedex!T$2:T$610,MATCH($A62,Pokedex!$B$2:$B$610,0)))</f>
        <v>Initmidate</v>
      </c>
      <c r="E62" s="855"/>
      <c r="F62" s="854" t="str">
        <f aca="false" t="array" ref="F62:F62">IF(ISNA(INDEX(Pokedex!U$2:U$610,MATCH($A62,Pokedex!$B$2:$B$610,0))),"-",INDEX(Pokedex!U$2:U$610,MATCH($A62,Pokedex!$B$2:$B$610,0)))</f>
        <v>Shed Skin</v>
      </c>
      <c r="G62" s="854"/>
      <c r="H62" s="727" t="str">
        <f aca="false" t="array" ref="H62:H62">IF(ISNA(INDEX(Pokedex!V$2:V$610,MATCH($A62,Pokedex!$B$2:$B$610,0))),"-",INDEX(Pokedex!V$2:V$610,MATCH($A62,Pokedex!$B$2:$B$610,0)))</f>
        <v>Moxie</v>
      </c>
      <c r="I62" s="727"/>
      <c r="J62" s="44"/>
      <c r="K62" s="823" t="s">
        <v>68</v>
      </c>
      <c r="L62" s="823"/>
      <c r="M62" s="477" t="s">
        <v>1108</v>
      </c>
      <c r="N62" s="477"/>
      <c r="O62" s="44"/>
      <c r="P62" s="44"/>
      <c r="Q62" s="884"/>
      <c r="R62" s="884"/>
      <c r="S62" s="884"/>
      <c r="T62" s="884"/>
      <c r="U62" s="884"/>
      <c r="V62" s="884"/>
      <c r="W62" s="885"/>
      <c r="X62" s="885"/>
      <c r="Y62" s="885"/>
      <c r="Z62" s="885"/>
      <c r="AA62" s="757"/>
      <c r="AB62" s="757"/>
      <c r="AC62" s="757"/>
      <c r="AD62" s="757"/>
      <c r="AE62" s="886"/>
    </row>
    <row r="63" customFormat="false" ht="15.75" hidden="false" customHeight="false" outlineLevel="0" collapsed="false">
      <c r="A63" s="840" t="str">
        <f aca="false">$A$16</f>
        <v>Ambipom</v>
      </c>
      <c r="B63" s="840"/>
      <c r="C63" s="840"/>
      <c r="D63" s="855" t="str">
        <f aca="false" t="array" ref="D63:D63">IF(ISNA(INDEX(Pokedex!T$2:T$610,MATCH($A63,Pokedex!$B$2:$B$610,0))),"-",INDEX(Pokedex!T$2:T$610,MATCH($A63,Pokedex!$B$2:$B$610,0)))</f>
        <v>Pickup</v>
      </c>
      <c r="E63" s="855"/>
      <c r="F63" s="854" t="str">
        <f aca="false" t="array" ref="F63:F63">IF(ISNA(INDEX(Pokedex!U$2:U$610,MATCH($A63,Pokedex!$B$2:$B$610,0))),"-",INDEX(Pokedex!U$2:U$610,MATCH($A63,Pokedex!$B$2:$B$610,0)))</f>
        <v>Skill Link</v>
      </c>
      <c r="G63" s="854"/>
      <c r="H63" s="727" t="str">
        <f aca="false" t="array" ref="H63:H63">IF(ISNA(INDEX(Pokedex!V$2:V$610,MATCH($A63,Pokedex!$B$2:$B$610,0))),"-",INDEX(Pokedex!V$2:V$610,MATCH($A63,Pokedex!$B$2:$B$610,0)))</f>
        <v>Technician</v>
      </c>
      <c r="I63" s="727"/>
      <c r="J63" s="44"/>
      <c r="K63" s="823"/>
      <c r="L63" s="823"/>
      <c r="M63" s="477"/>
      <c r="N63" s="477"/>
      <c r="O63" s="44"/>
      <c r="P63" s="44"/>
      <c r="Q63" s="887"/>
      <c r="R63" s="887"/>
      <c r="S63" s="887"/>
      <c r="T63" s="887"/>
      <c r="U63" s="887"/>
      <c r="V63" s="887"/>
      <c r="W63" s="888"/>
      <c r="X63" s="888"/>
      <c r="Y63" s="888"/>
      <c r="Z63" s="888"/>
      <c r="AA63" s="889"/>
      <c r="AB63" s="889"/>
      <c r="AC63" s="889"/>
      <c r="AD63" s="889"/>
      <c r="AE63" s="881"/>
    </row>
    <row r="64" customFormat="false" ht="15.75" hidden="false" customHeight="false" outlineLevel="0" collapsed="false">
      <c r="A64" s="840" t="str">
        <f aca="false">$A$17</f>
        <v>Lanturn</v>
      </c>
      <c r="B64" s="840"/>
      <c r="C64" s="840"/>
      <c r="D64" s="855" t="str">
        <f aca="false" t="array" ref="D64:D64">IF(ISNA(INDEX(Pokedex!T$2:T$610,MATCH($A64,Pokedex!$B$2:$B$610,0))),"-",INDEX(Pokedex!T$2:T$610,MATCH($A64,Pokedex!$B$2:$B$610,0)))</f>
        <v>Illuminate</v>
      </c>
      <c r="E64" s="855"/>
      <c r="F64" s="854" t="str">
        <f aca="false" t="array" ref="F64:F64">IF(ISNA(INDEX(Pokedex!U$2:U$610,MATCH($A64,Pokedex!$B$2:$B$610,0))),"-",INDEX(Pokedex!U$2:U$610,MATCH($A64,Pokedex!$B$2:$B$610,0)))</f>
        <v>Water Absorb</v>
      </c>
      <c r="G64" s="854"/>
      <c r="H64" s="727" t="str">
        <f aca="false" t="array" ref="H64:H64">IF(ISNA(INDEX(Pokedex!V$2:V$610,MATCH($A64,Pokedex!$B$2:$B$610,0))),"-",INDEX(Pokedex!V$2:V$610,MATCH($A64,Pokedex!$B$2:$B$610,0)))</f>
        <v>Volt Absorb</v>
      </c>
      <c r="I64" s="727"/>
      <c r="J64" s="44"/>
      <c r="K64" s="823"/>
      <c r="L64" s="823"/>
      <c r="M64" s="477"/>
      <c r="N64" s="477"/>
      <c r="O64" s="44"/>
      <c r="P64" s="44"/>
      <c r="Q64" s="884"/>
      <c r="R64" s="884"/>
      <c r="S64" s="884"/>
      <c r="T64" s="884"/>
      <c r="U64" s="884"/>
      <c r="V64" s="884"/>
      <c r="W64" s="885"/>
      <c r="X64" s="885"/>
      <c r="Y64" s="885"/>
      <c r="Z64" s="885"/>
      <c r="AA64" s="757"/>
      <c r="AB64" s="757"/>
      <c r="AC64" s="757"/>
      <c r="AD64" s="757"/>
      <c r="AE64" s="886"/>
    </row>
    <row r="65" customFormat="false" ht="15.75" hidden="false" customHeight="false" outlineLevel="0" collapsed="false">
      <c r="A65" s="840" t="str">
        <f aca="false">$A$18</f>
        <v>Camerupt-Mega</v>
      </c>
      <c r="B65" s="840"/>
      <c r="C65" s="840"/>
      <c r="D65" s="855" t="str">
        <f aca="false" t="array" ref="D65:D65">IF(ISNA(INDEX(Pokedex!T$2:T$610,MATCH($A65,Pokedex!$B$2:$B$610,0))),"-",INDEX(Pokedex!T$2:T$610,MATCH($A65,Pokedex!$B$2:$B$610,0)))</f>
        <v>Sheer Force</v>
      </c>
      <c r="E65" s="855"/>
      <c r="F65" s="854" t="n">
        <f aca="false">IF(ISNA(INDEX(Pokedex!U$2:U$610,MATCH($A65,Pokedex!$B$2:$B$610,0))),"-",INDEX(Pokedex!U$2:U$610,MATCH($A65,Pokedex!$B$2:$B$610,0)))</f>
        <v>0</v>
      </c>
      <c r="G65" s="854"/>
      <c r="H65" s="727" t="n">
        <f aca="false">IF(ISNA(INDEX(Pokedex!V$2:V$610,MATCH($A65,Pokedex!$B$2:$B$610,0))),"-",INDEX(Pokedex!V$2:V$610,MATCH($A65,Pokedex!$B$2:$B$610,0)))</f>
        <v>0</v>
      </c>
      <c r="I65" s="727"/>
      <c r="J65" s="44"/>
      <c r="K65" s="823"/>
      <c r="L65" s="823"/>
      <c r="M65" s="477"/>
      <c r="N65" s="477"/>
      <c r="O65" s="44"/>
      <c r="P65" s="44"/>
      <c r="Q65" s="887"/>
      <c r="R65" s="887"/>
      <c r="S65" s="887"/>
      <c r="T65" s="887"/>
      <c r="U65" s="887"/>
      <c r="V65" s="887"/>
      <c r="W65" s="888"/>
      <c r="X65" s="888"/>
      <c r="Y65" s="888"/>
      <c r="Z65" s="888"/>
      <c r="AA65" s="889"/>
      <c r="AB65" s="889"/>
      <c r="AC65" s="889"/>
      <c r="AD65" s="889"/>
      <c r="AE65" s="881"/>
    </row>
    <row r="66" customFormat="false" ht="15.75" hidden="false" customHeight="false" outlineLevel="0" collapsed="false">
      <c r="A66" s="840" t="str">
        <f aca="false">$A$19</f>
        <v>Tapu Koko</v>
      </c>
      <c r="B66" s="840"/>
      <c r="C66" s="840"/>
      <c r="D66" s="855" t="str">
        <f aca="false" t="array" ref="D66:D66">IF(ISNA(INDEX(Pokedex!T$2:T$610,MATCH($A66,Pokedex!$B$2:$B$610,0))),"-",INDEX(Pokedex!T$2:T$610,MATCH($A66,Pokedex!$B$2:$B$610,0)))</f>
        <v>Electric Surge</v>
      </c>
      <c r="E66" s="855"/>
      <c r="F66" s="854" t="str">
        <f aca="false" t="array" ref="F66:F66">IF(ISNA(INDEX(Pokedex!U$2:U$610,MATCH($A66,Pokedex!$B$2:$B$610,0))),"-",INDEX(Pokedex!U$2:U$610,MATCH($A66,Pokedex!$B$2:$B$610,0)))</f>
        <v>Telepathy</v>
      </c>
      <c r="G66" s="854"/>
      <c r="H66" s="727" t="n">
        <f aca="false">IF(ISNA(INDEX(Pokedex!V$2:V$610,MATCH($A66,Pokedex!$B$2:$B$610,0))),"-",INDEX(Pokedex!V$2:V$610,MATCH($A66,Pokedex!$B$2:$B$610,0)))</f>
        <v>0</v>
      </c>
      <c r="I66" s="727"/>
      <c r="J66" s="44"/>
      <c r="K66" s="823"/>
      <c r="L66" s="823"/>
      <c r="M66" s="477"/>
      <c r="N66" s="477"/>
      <c r="O66" s="44"/>
      <c r="P66" s="44"/>
      <c r="Q66" s="884"/>
      <c r="R66" s="884"/>
      <c r="S66" s="884"/>
      <c r="T66" s="884"/>
      <c r="U66" s="884"/>
      <c r="V66" s="884"/>
      <c r="W66" s="885"/>
      <c r="X66" s="885"/>
      <c r="Y66" s="885"/>
      <c r="Z66" s="885"/>
      <c r="AA66" s="757"/>
      <c r="AB66" s="757"/>
      <c r="AC66" s="757"/>
      <c r="AD66" s="757"/>
      <c r="AE66" s="886"/>
    </row>
    <row r="67" customFormat="false" ht="15.75" hidden="false" customHeight="false" outlineLevel="0" collapsed="false">
      <c r="A67" s="840" t="str">
        <f aca="false">$A$20</f>
        <v>Silvally </v>
      </c>
      <c r="B67" s="840"/>
      <c r="C67" s="840"/>
      <c r="D67" s="855" t="str">
        <f aca="false" t="array" ref="D67:D67">IF(ISNA(INDEX(Pokedex!T$2:T$610,MATCH($A67,Pokedex!$B$2:$B$610,0))),"-",INDEX(Pokedex!T$2:T$610,MATCH($A67,Pokedex!$B$2:$B$610,0)))</f>
        <v>RKS System</v>
      </c>
      <c r="E67" s="855"/>
      <c r="F67" s="854" t="n">
        <f aca="false" t="array" ref="F67:F67">IF(ISNA(INDEX(Pokedex!U$2:U$610,MATCH($A67,Pokedex!$B$2:$B$610,0))),"-",INDEX(Pokedex!U$2:U$610,MATCH($A67,Pokedex!$B$2:$B$610,0)))</f>
        <v>0</v>
      </c>
      <c r="G67" s="854"/>
      <c r="H67" s="727" t="n">
        <f aca="false" t="array" ref="H67:H67">IF(ISNA(INDEX(Pokedex!V$2:V$610,MATCH($A67,Pokedex!$B$2:$B$610,0))),"-",INDEX(Pokedex!V$2:V$610,MATCH($A67,Pokedex!$B$2:$B$610,0)))</f>
        <v>0</v>
      </c>
      <c r="I67" s="727"/>
      <c r="J67" s="44"/>
      <c r="K67" s="823"/>
      <c r="L67" s="823"/>
      <c r="M67" s="477"/>
      <c r="N67" s="477"/>
      <c r="O67" s="44"/>
      <c r="P67" s="44"/>
      <c r="Q67" s="887"/>
      <c r="R67" s="887"/>
      <c r="S67" s="887"/>
      <c r="T67" s="887"/>
      <c r="U67" s="887"/>
      <c r="V67" s="887"/>
      <c r="W67" s="888"/>
      <c r="X67" s="888"/>
      <c r="Y67" s="888"/>
      <c r="Z67" s="888"/>
      <c r="AA67" s="889"/>
      <c r="AB67" s="889"/>
      <c r="AC67" s="889"/>
      <c r="AD67" s="889"/>
      <c r="AE67" s="881"/>
    </row>
    <row r="68" customFormat="false" ht="15.75" hidden="false" customHeight="false" outlineLevel="0" collapsed="false">
      <c r="A68" s="840" t="str">
        <f aca="false">$A$21</f>
        <v>Forretress</v>
      </c>
      <c r="B68" s="840"/>
      <c r="C68" s="840"/>
      <c r="D68" s="855" t="str">
        <f aca="false" t="array" ref="D68:D68">IF(ISNA(INDEX(Pokedex!T$2:T$610,MATCH($A68,Pokedex!$B$2:$B$610,0))),"-",INDEX(Pokedex!T$2:T$610,MATCH($A68,Pokedex!$B$2:$B$610,0)))</f>
        <v>Overcoat</v>
      </c>
      <c r="E68" s="855"/>
      <c r="F68" s="854" t="str">
        <f aca="false" t="array" ref="F68:F68">IF(ISNA(INDEX(Pokedex!U$2:U$610,MATCH($A68,Pokedex!$B$2:$B$610,0))),"-",INDEX(Pokedex!U$2:U$610,MATCH($A68,Pokedex!$B$2:$B$610,0)))</f>
        <v>Sturdy</v>
      </c>
      <c r="G68" s="854"/>
      <c r="H68" s="727" t="n">
        <f aca="false">IF(ISNA(INDEX(Pokedex!V$2:V$610,MATCH($A68,Pokedex!$B$2:$B$610,0))),"-",INDEX(Pokedex!V$2:V$610,MATCH($A68,Pokedex!$B$2:$B$610,0)))</f>
        <v>0</v>
      </c>
      <c r="I68" s="727"/>
      <c r="J68" s="44"/>
      <c r="K68" s="823"/>
      <c r="L68" s="823"/>
      <c r="M68" s="477"/>
      <c r="N68" s="477"/>
      <c r="O68" s="44"/>
      <c r="P68" s="44"/>
      <c r="Q68" s="884"/>
      <c r="R68" s="884"/>
      <c r="S68" s="884"/>
      <c r="T68" s="884"/>
      <c r="U68" s="884"/>
      <c r="V68" s="884"/>
      <c r="W68" s="885"/>
      <c r="X68" s="885"/>
      <c r="Y68" s="885"/>
      <c r="Z68" s="885"/>
      <c r="AA68" s="757"/>
      <c r="AB68" s="757"/>
      <c r="AC68" s="757"/>
      <c r="AD68" s="757"/>
      <c r="AE68" s="886"/>
    </row>
    <row r="69" customFormat="false" ht="15.75" hidden="false" customHeight="false" outlineLevel="0" collapsed="false">
      <c r="A69" s="848" t="str">
        <f aca="false">$A$22</f>
        <v>Altaria</v>
      </c>
      <c r="B69" s="848"/>
      <c r="C69" s="848"/>
      <c r="D69" s="870" t="str">
        <f aca="false" t="array" ref="D69:D69">IF(ISNA(INDEX(Pokedex!T$2:T$610,MATCH($A69,Pokedex!$B$2:$B$610,0))),"-",INDEX(Pokedex!T$2:T$610,MATCH($A69,Pokedex!$B$2:$B$610,0)))</f>
        <v>Cloud Nine</v>
      </c>
      <c r="E69" s="870"/>
      <c r="F69" s="828" t="str">
        <f aca="false" t="array" ref="F69:F69">IF(ISNA(INDEX(Pokedex!U$2:U$610,MATCH($A69,Pokedex!$B$2:$B$610,0))),"-",INDEX(Pokedex!U$2:U$610,MATCH($A69,Pokedex!$B$2:$B$610,0)))</f>
        <v>Natural Cure</v>
      </c>
      <c r="G69" s="828"/>
      <c r="H69" s="744" t="n">
        <f aca="false">IF(ISNA(INDEX(Pokedex!V$2:V$610,MATCH($A69,Pokedex!$B$2:$B$610,0))),"-",INDEX(Pokedex!V$2:V$610,MATCH($A69,Pokedex!$B$2:$B$610,0)))</f>
        <v>0</v>
      </c>
      <c r="I69" s="744"/>
      <c r="J69" s="44"/>
      <c r="K69" s="893"/>
      <c r="L69" s="893"/>
      <c r="M69" s="831"/>
      <c r="N69" s="831"/>
      <c r="O69" s="44"/>
      <c r="P69" s="44"/>
      <c r="Q69" s="887"/>
      <c r="R69" s="887"/>
      <c r="S69" s="887"/>
      <c r="T69" s="887"/>
      <c r="U69" s="887"/>
      <c r="V69" s="887"/>
      <c r="W69" s="888"/>
      <c r="X69" s="888"/>
      <c r="Y69" s="888"/>
      <c r="Z69" s="888"/>
      <c r="AA69" s="889"/>
      <c r="AB69" s="889"/>
      <c r="AC69" s="889"/>
      <c r="AD69" s="889"/>
      <c r="AE69" s="881"/>
    </row>
    <row r="70" customFormat="false" ht="15.75" hidden="false" customHeight="false" outlineLevel="0" collapsed="false">
      <c r="A70" s="44"/>
      <c r="B70" s="44"/>
      <c r="C70" s="44"/>
      <c r="D70" s="44"/>
      <c r="E70" s="44"/>
      <c r="F70" s="44"/>
      <c r="G70" s="44"/>
      <c r="H70" s="44"/>
      <c r="I70" s="44"/>
      <c r="J70" s="44"/>
      <c r="K70" s="7"/>
      <c r="L70" s="7"/>
      <c r="M70" s="7"/>
      <c r="N70" s="7"/>
      <c r="O70" s="44"/>
      <c r="P70" s="44"/>
      <c r="Q70" s="884"/>
      <c r="R70" s="884"/>
      <c r="S70" s="884"/>
      <c r="T70" s="884"/>
      <c r="U70" s="884"/>
      <c r="V70" s="884"/>
      <c r="W70" s="885"/>
      <c r="X70" s="885"/>
      <c r="Y70" s="885"/>
      <c r="Z70" s="885"/>
      <c r="AA70" s="757"/>
      <c r="AB70" s="757"/>
      <c r="AC70" s="757"/>
      <c r="AD70" s="757"/>
      <c r="AE70" s="886"/>
    </row>
    <row r="71" customFormat="false" ht="15.75" hidden="false" customHeight="true" outlineLevel="0" collapsed="false">
      <c r="A71" s="894" t="s">
        <v>2078</v>
      </c>
      <c r="B71" s="894"/>
      <c r="C71" s="929" t="s">
        <v>2079</v>
      </c>
      <c r="D71" s="929"/>
      <c r="E71" s="929"/>
      <c r="F71" s="896" t="s">
        <v>2080</v>
      </c>
      <c r="G71" s="896"/>
      <c r="H71" s="896"/>
      <c r="I71" s="896"/>
      <c r="J71" s="44"/>
      <c r="K71" s="341" t="s">
        <v>2081</v>
      </c>
      <c r="L71" s="341"/>
      <c r="M71" s="341"/>
      <c r="N71" s="341"/>
      <c r="O71" s="44"/>
      <c r="P71" s="44"/>
      <c r="Q71" s="897"/>
      <c r="R71" s="897"/>
      <c r="S71" s="897"/>
      <c r="T71" s="897"/>
      <c r="U71" s="897"/>
      <c r="V71" s="897"/>
      <c r="W71" s="898"/>
      <c r="X71" s="898"/>
      <c r="Y71" s="898"/>
      <c r="Z71" s="898"/>
      <c r="AA71" s="899"/>
      <c r="AB71" s="899"/>
      <c r="AC71" s="899"/>
      <c r="AD71" s="899"/>
      <c r="AE71" s="881"/>
    </row>
    <row r="72" customFormat="false" ht="15.75" hidden="false" customHeight="false" outlineLevel="0" collapsed="false">
      <c r="A72" s="894"/>
      <c r="B72" s="894"/>
      <c r="C72" s="900" t="s">
        <v>2082</v>
      </c>
      <c r="D72" s="901" t="s">
        <v>2083</v>
      </c>
      <c r="E72" s="901" t="s">
        <v>2063</v>
      </c>
      <c r="F72" s="902" t="s">
        <v>2084</v>
      </c>
      <c r="G72" s="903" t="s">
        <v>2085</v>
      </c>
      <c r="H72" s="904" t="s">
        <v>2086</v>
      </c>
      <c r="I72" s="904" t="s">
        <v>2063</v>
      </c>
      <c r="J72" s="44"/>
      <c r="K72" s="891" t="str">
        <f aca="false">IFERROR(__xludf.dummyfunction("if(isna(filter($R$20:$R$31,isblank($R$20:$R$31)=FALSE)),""NONE"",filter($R$20:$R$31,isblank($R$20:$R$31)=FALSE))"),"Altaria")</f>
        <v>Altaria</v>
      </c>
      <c r="L72" s="891"/>
      <c r="M72" s="892" t="str">
        <f aca="false">IFERROR(__xludf.dummyfunction("if(isna(filter($S$20:$S$31,isblank($S$20:$S$31)=FALSE)),""N/A"",filter($S$20:$S$31,isblank($S$20:$S$31)=FALSE))"),"Defog")</f>
        <v>Defog</v>
      </c>
      <c r="N72" s="892"/>
      <c r="O72" s="44"/>
      <c r="P72" s="44"/>
      <c r="Q72" s="44"/>
      <c r="R72" s="824"/>
      <c r="S72" s="638"/>
      <c r="T72" s="638"/>
      <c r="U72" s="638"/>
      <c r="V72" s="638"/>
      <c r="W72" s="638"/>
      <c r="X72" s="638"/>
      <c r="Y72" s="638"/>
      <c r="Z72" s="638"/>
      <c r="AA72" s="638"/>
      <c r="AB72" s="638"/>
      <c r="AC72" s="638"/>
      <c r="AD72" s="638"/>
      <c r="AE72" s="638"/>
    </row>
    <row r="73" customFormat="false" ht="15.75" hidden="false" customHeight="false" outlineLevel="0" collapsed="false">
      <c r="A73" s="905" t="s">
        <v>794</v>
      </c>
      <c r="B73" s="905"/>
      <c r="C73" s="906" t="str">
        <f aca="false">IFERROR(__xludf.dummyfunction("countif(FILTER(Pokedex!$AC:$AC,Pokedex!$A:$A=$L$1,Pokedex!$AC:$AC=0-2),0-2)"),"0")</f>
        <v>0</v>
      </c>
      <c r="D73" s="907" t="str">
        <f aca="false">IFERROR(__xludf.dummyfunction("countif(FILTER(Pokedex!$AC:$AC,Pokedex!$A:$A=$L$1,Pokedex!$AC:$AC=0-1),0-1)"),"0")</f>
        <v>0</v>
      </c>
      <c r="E73" s="907" t="n">
        <f aca="false">SUM(C73:D73)</f>
        <v>0</v>
      </c>
      <c r="F73" s="908" t="str">
        <f aca="false">IFERROR(__xludf.dummyfunction("countif(FILTER(Pokedex!$AC:$AC,Pokedex!$A:$A=$L$1,Pokedex!$AC:$AC=4),4)"),"0")</f>
        <v>0</v>
      </c>
      <c r="G73" s="909" t="str">
        <f aca="false">IFERROR(__xludf.dummyfunction("countif(FILTER(Pokedex!$AC:$AC,Pokedex!$A:$A=$L$1,Pokedex!$AC:$AC=1),1)"),"5")</f>
        <v>5</v>
      </c>
      <c r="H73" s="908" t="str">
        <f aca="false">IFERROR(__xludf.dummyfunction("countif(FILTER(Pokedex!$AC:$AC,Pokedex!$A:$A=$L$1,Pokedex!$AC:$AC=2),2)"),"1")</f>
        <v>1</v>
      </c>
      <c r="I73" s="908" t="n">
        <f aca="false">SUM(F73:H73)</f>
        <v>0</v>
      </c>
      <c r="J73" s="44"/>
      <c r="K73" s="823" t="s">
        <v>246</v>
      </c>
      <c r="L73" s="823"/>
      <c r="M73" s="477" t="s">
        <v>1110</v>
      </c>
      <c r="N73" s="477"/>
      <c r="O73" s="44"/>
      <c r="P73" s="44"/>
      <c r="Q73" s="44"/>
      <c r="R73" s="824"/>
      <c r="S73" s="638"/>
      <c r="T73" s="638"/>
      <c r="U73" s="638"/>
      <c r="V73" s="638"/>
      <c r="W73" s="638"/>
      <c r="X73" s="638"/>
      <c r="Y73" s="638"/>
      <c r="Z73" s="638"/>
      <c r="AA73" s="638"/>
      <c r="AB73" s="638"/>
      <c r="AC73" s="638"/>
      <c r="AD73" s="638"/>
      <c r="AE73" s="638"/>
    </row>
    <row r="74" customFormat="false" ht="15.75" hidden="false" customHeight="false" outlineLevel="0" collapsed="false">
      <c r="A74" s="910" t="s">
        <v>795</v>
      </c>
      <c r="B74" s="910"/>
      <c r="C74" s="911" t="str">
        <f aca="false">IFERROR(__xludf.dummyfunction("countif(FILTER(Pokedex!$AD:$AD,Pokedex!$A:$A=$L$1,Pokedex!$AD:$AD=0-2),0-2)"),"0")</f>
        <v>0</v>
      </c>
      <c r="D74" s="912" t="str">
        <f aca="false">IFERROR(__xludf.dummyfunction("countif(FILTER(Pokedex!$AD:$AD,Pokedex!$A:$A=$L$1,Pokedex!$AD:$AD=0-1),0-1)"),"0")</f>
        <v>0</v>
      </c>
      <c r="E74" s="912" t="n">
        <f aca="false">SUM(C74:D74)</f>
        <v>0</v>
      </c>
      <c r="F74" s="913" t="str">
        <f aca="false">IFERROR(__xludf.dummyfunction("countif(FILTER(Pokedex!$AD:$AD,Pokedex!$A:$A=$L$1,Pokedex!$AD:$AD=4),4)"),"0")</f>
        <v>0</v>
      </c>
      <c r="G74" s="914" t="str">
        <f aca="false">IFERROR(__xludf.dummyfunction("countif(FILTER(Pokedex!$AD:$AD,Pokedex!$A:$A=$L$1,Pokedex!$AD:$AD=1),1)"),"2")</f>
        <v>2</v>
      </c>
      <c r="H74" s="913" t="str">
        <f aca="false">IFERROR(__xludf.dummyfunction("countif(FILTER(Pokedex!$AD:$AD,Pokedex!$A:$A=$L$1,Pokedex!$AD:$AD=2),2)"),"1")</f>
        <v>1</v>
      </c>
      <c r="I74" s="913" t="n">
        <f aca="false">SUM(F74:H74)</f>
        <v>0</v>
      </c>
      <c r="J74" s="44"/>
      <c r="K74" s="823" t="s">
        <v>257</v>
      </c>
      <c r="L74" s="823"/>
      <c r="M74" s="477" t="s">
        <v>1110</v>
      </c>
      <c r="N74" s="477"/>
      <c r="O74" s="44"/>
      <c r="P74" s="44"/>
      <c r="Q74" s="44"/>
      <c r="R74" s="824"/>
      <c r="S74" s="638"/>
      <c r="T74" s="638"/>
      <c r="U74" s="638"/>
      <c r="V74" s="638"/>
      <c r="W74" s="638"/>
      <c r="X74" s="638"/>
      <c r="Y74" s="638"/>
      <c r="Z74" s="638"/>
      <c r="AA74" s="638"/>
      <c r="AB74" s="638"/>
      <c r="AC74" s="638"/>
      <c r="AD74" s="638"/>
      <c r="AE74" s="638"/>
    </row>
    <row r="75" customFormat="false" ht="15.75" hidden="false" customHeight="false" outlineLevel="0" collapsed="false">
      <c r="A75" s="915" t="s">
        <v>835</v>
      </c>
      <c r="B75" s="915"/>
      <c r="C75" s="906" t="str">
        <f aca="false">IFERROR(__xludf.dummyfunction("countif(FILTER(Pokedex!$AE:$AE,Pokedex!$A:$A=$L$1,Pokedex!$AE:$AE=0-2),0-2)"),"0")</f>
        <v>0</v>
      </c>
      <c r="D75" s="907" t="str">
        <f aca="false">IFERROR(__xludf.dummyfunction("countif(FILTER(Pokedex!$AE:$AE,Pokedex!$A:$A=$L$1,Pokedex!$AE:$AE=0-1),0-1)"),"1")</f>
        <v>1</v>
      </c>
      <c r="E75" s="907" t="n">
        <f aca="false">SUM(C75:D75)</f>
        <v>0</v>
      </c>
      <c r="F75" s="908" t="str">
        <f aca="false">IFERROR(__xludf.dummyfunction("countif(FILTER(Pokedex!$AE:$AE,Pokedex!$A:$A=$L$1,Pokedex!$AE:$AE=4),4)"),"2")</f>
        <v>2</v>
      </c>
      <c r="G75" s="909" t="str">
        <f aca="false">IFERROR(__xludf.dummyfunction("countif(FILTER(Pokedex!$AE:$AE,Pokedex!$A:$A=$L$1,Pokedex!$AE:$AE=1),1)"),"1")</f>
        <v>1</v>
      </c>
      <c r="H75" s="908" t="str">
        <f aca="false">IFERROR(__xludf.dummyfunction("countif(FILTER(Pokedex!$AE:$AE,Pokedex!$A:$A=$L$1,Pokedex!$AE:$AE=2),2)"),"0")</f>
        <v>0</v>
      </c>
      <c r="I75" s="908" t="n">
        <f aca="false">SUM(F75:H75)</f>
        <v>0</v>
      </c>
      <c r="J75" s="44"/>
      <c r="K75" s="823" t="s">
        <v>60</v>
      </c>
      <c r="L75" s="823"/>
      <c r="M75" s="477" t="s">
        <v>1110</v>
      </c>
      <c r="N75" s="477"/>
      <c r="O75" s="44"/>
      <c r="P75" s="44"/>
      <c r="Q75" s="44"/>
      <c r="R75" s="824"/>
      <c r="S75" s="638"/>
      <c r="T75" s="638"/>
      <c r="U75" s="638"/>
      <c r="V75" s="638"/>
      <c r="W75" s="638"/>
      <c r="X75" s="638"/>
      <c r="Y75" s="638"/>
      <c r="Z75" s="638"/>
      <c r="AA75" s="638"/>
      <c r="AB75" s="638"/>
      <c r="AC75" s="638"/>
      <c r="AD75" s="638"/>
      <c r="AE75" s="638"/>
    </row>
    <row r="76" customFormat="false" ht="15.75" hidden="false" customHeight="false" outlineLevel="0" collapsed="false">
      <c r="A76" s="916" t="s">
        <v>845</v>
      </c>
      <c r="B76" s="916"/>
      <c r="C76" s="911" t="str">
        <f aca="false">IFERROR(__xludf.dummyfunction("countif(FILTER(Pokedex!$AF:$AF,Pokedex!$A:$A=$L$1,Pokedex!$AF:$AF=0-2),0-2)"),"0")</f>
        <v>0</v>
      </c>
      <c r="D76" s="912" t="str">
        <f aca="false">IFERROR(__xludf.dummyfunction("countif(FILTER(Pokedex!$AF:$AF,Pokedex!$A:$A=$L$1,Pokedex!$AF:$AF=0-1),0-1)"),"2")</f>
        <v>2</v>
      </c>
      <c r="E76" s="912" t="n">
        <f aca="false">SUM(C76:D76)</f>
        <v>0</v>
      </c>
      <c r="F76" s="913" t="str">
        <f aca="false">IFERROR(__xludf.dummyfunction("countif(FILTER(Pokedex!$AF:$AF,Pokedex!$A:$A=$L$1,Pokedex!$AF:$AF=4),4)"),"1")</f>
        <v>1</v>
      </c>
      <c r="G76" s="914" t="str">
        <f aca="false">IFERROR(__xludf.dummyfunction("countif(FILTER(Pokedex!$AF:$AF,Pokedex!$A:$A=$L$1,Pokedex!$AF:$AF=1),1)"),"2")</f>
        <v>2</v>
      </c>
      <c r="H76" s="913" t="str">
        <f aca="false">IFERROR(__xludf.dummyfunction("countif(FILTER(Pokedex!$AF:$AF,Pokedex!$A:$A=$L$1,Pokedex!$AF:$AF=2),2)"),"0")</f>
        <v>0</v>
      </c>
      <c r="I76" s="913" t="n">
        <f aca="false">SUM(F76:H76)</f>
        <v>0</v>
      </c>
      <c r="J76" s="44"/>
      <c r="K76" s="823" t="s">
        <v>68</v>
      </c>
      <c r="L76" s="823"/>
      <c r="M76" s="477" t="s">
        <v>1112</v>
      </c>
      <c r="N76" s="477"/>
      <c r="O76" s="44"/>
      <c r="P76" s="44"/>
      <c r="Q76" s="44"/>
      <c r="R76" s="824"/>
      <c r="S76" s="638"/>
      <c r="T76" s="638"/>
      <c r="U76" s="638"/>
      <c r="V76" s="638"/>
      <c r="W76" s="638"/>
      <c r="X76" s="638"/>
      <c r="Y76" s="638"/>
      <c r="Z76" s="638"/>
      <c r="AA76" s="638"/>
      <c r="AB76" s="638"/>
      <c r="AC76" s="638"/>
      <c r="AD76" s="638"/>
      <c r="AE76" s="638"/>
    </row>
    <row r="77" customFormat="false" ht="15.75" hidden="false" customHeight="false" outlineLevel="0" collapsed="false">
      <c r="A77" s="915" t="s">
        <v>798</v>
      </c>
      <c r="B77" s="915"/>
      <c r="C77" s="906" t="str">
        <f aca="false">IFERROR(__xludf.dummyfunction("countif(FILTER(Pokedex!$AG:$AG,Pokedex!$A:$A=$L$1,Pokedex!$AG:$AG=0-2),0-2)"),"1")</f>
        <v>1</v>
      </c>
      <c r="D77" s="907" t="str">
        <f aca="false">IFERROR(__xludf.dummyfunction("countif(FILTER(Pokedex!$AG:$AG,Pokedex!$A:$A=$L$1,Pokedex!$AG:$AG=0-1),0-1)"),"1")</f>
        <v>1</v>
      </c>
      <c r="E77" s="907" t="n">
        <f aca="false">SUM(C77:D77)</f>
        <v>0</v>
      </c>
      <c r="F77" s="908" t="str">
        <f aca="false">IFERROR(__xludf.dummyfunction("countif(FILTER(Pokedex!$AG:$AG,Pokedex!$A:$A=$L$1,Pokedex!$AG:$AG=4),4)"),"0")</f>
        <v>0</v>
      </c>
      <c r="G77" s="909" t="str">
        <f aca="false">IFERROR(__xludf.dummyfunction("countif(FILTER(Pokedex!$AG:$AG,Pokedex!$A:$A=$L$1,Pokedex!$AG:$AG=1),1)"),"4")</f>
        <v>4</v>
      </c>
      <c r="H77" s="908" t="str">
        <f aca="false">IFERROR(__xludf.dummyfunction("countif(FILTER(Pokedex!$AG:$AG,Pokedex!$A:$A=$L$1,Pokedex!$AG:$AG=2),2)"),"0")</f>
        <v>0</v>
      </c>
      <c r="I77" s="908" t="n">
        <f aca="false">SUM(F77:H77)</f>
        <v>0</v>
      </c>
      <c r="J77" s="44"/>
      <c r="K77" s="823"/>
      <c r="L77" s="823"/>
      <c r="M77" s="477"/>
      <c r="N77" s="477"/>
      <c r="O77" s="44"/>
      <c r="P77" s="44"/>
      <c r="Q77" s="44"/>
      <c r="R77" s="824"/>
      <c r="S77" s="638"/>
      <c r="T77" s="638"/>
      <c r="U77" s="638"/>
      <c r="V77" s="638"/>
      <c r="W77" s="638"/>
      <c r="X77" s="638"/>
      <c r="Y77" s="638"/>
      <c r="Z77" s="638"/>
      <c r="AA77" s="638"/>
      <c r="AB77" s="638"/>
      <c r="AC77" s="638"/>
      <c r="AD77" s="638"/>
      <c r="AE77" s="638"/>
    </row>
    <row r="78" customFormat="false" ht="15.75" hidden="false" customHeight="false" outlineLevel="0" collapsed="false">
      <c r="A78" s="916" t="s">
        <v>881</v>
      </c>
      <c r="B78" s="916"/>
      <c r="C78" s="911" t="str">
        <f aca="false">IFERROR(__xludf.dummyfunction("countif(FILTER(Pokedex!$AH:$AH,Pokedex!$A:$A=$L$1,Pokedex!$AH:$AH=0-2),0-2)"),"0")</f>
        <v>0</v>
      </c>
      <c r="D78" s="912" t="str">
        <f aca="false">IFERROR(__xludf.dummyfunction("countif(FILTER(Pokedex!$AH:$AH,Pokedex!$A:$A=$L$1,Pokedex!$AH:$AH=0-1),0-1)"),"3")</f>
        <v>3</v>
      </c>
      <c r="E78" s="912" t="n">
        <f aca="false">SUM(C78:D78)</f>
        <v>0</v>
      </c>
      <c r="F78" s="913" t="str">
        <f aca="false">IFERROR(__xludf.dummyfunction("countif(FILTER(Pokedex!$AH:$AH,Pokedex!$A:$A=$L$1,Pokedex!$AH:$AH=4),4)"),"0")</f>
        <v>0</v>
      </c>
      <c r="G78" s="914" t="str">
        <f aca="false">IFERROR(__xludf.dummyfunction("countif(FILTER(Pokedex!$AH:$AH,Pokedex!$A:$A=$L$1,Pokedex!$AH:$AH=1),1)"),"4")</f>
        <v>4</v>
      </c>
      <c r="H78" s="913" t="str">
        <f aca="false">IFERROR(__xludf.dummyfunction("countif(FILTER(Pokedex!$AH:$AH,Pokedex!$A:$A=$L$1,Pokedex!$AH:$AH=2),2)"),"1")</f>
        <v>1</v>
      </c>
      <c r="I78" s="913" t="n">
        <f aca="false">SUM(F78:H78)</f>
        <v>0</v>
      </c>
      <c r="J78" s="44"/>
      <c r="K78" s="823"/>
      <c r="L78" s="823"/>
      <c r="M78" s="477"/>
      <c r="N78" s="477"/>
      <c r="O78" s="44"/>
      <c r="P78" s="44"/>
      <c r="Q78" s="44"/>
      <c r="R78" s="824"/>
      <c r="S78" s="638"/>
      <c r="T78" s="638"/>
      <c r="U78" s="638"/>
      <c r="V78" s="638"/>
      <c r="W78" s="638"/>
      <c r="X78" s="638"/>
      <c r="Y78" s="638"/>
      <c r="Z78" s="638"/>
      <c r="AA78" s="638"/>
      <c r="AB78" s="638"/>
      <c r="AC78" s="638"/>
      <c r="AD78" s="638"/>
      <c r="AE78" s="638"/>
    </row>
    <row r="79" customFormat="false" ht="15.75" hidden="false" customHeight="false" outlineLevel="0" collapsed="false">
      <c r="A79" s="915" t="s">
        <v>800</v>
      </c>
      <c r="B79" s="915"/>
      <c r="C79" s="906" t="str">
        <f aca="false">IFERROR(__xludf.dummyfunction("countif(FILTER(Pokedex!$AI:$AI,Pokedex!$A:$A=$L$1,Pokedex!$AI:$AI=0-2),0-2)"),"1")</f>
        <v>1</v>
      </c>
      <c r="D79" s="907" t="str">
        <f aca="false">IFERROR(__xludf.dummyfunction("countif(FILTER(Pokedex!$AI:$AI,Pokedex!$A:$A=$L$1,Pokedex!$AI:$AI=0-1),0-1)"),"1")</f>
        <v>1</v>
      </c>
      <c r="E79" s="907" t="n">
        <f aca="false">SUM(C79:D79)</f>
        <v>0</v>
      </c>
      <c r="F79" s="908" t="str">
        <f aca="false">IFERROR(__xludf.dummyfunction("countif(FILTER(Pokedex!$AI:$AI,Pokedex!$A:$A=$L$1,Pokedex!$AI:$AI=4),4)"),"0")</f>
        <v>0</v>
      </c>
      <c r="G79" s="909" t="str">
        <f aca="false">IFERROR(__xludf.dummyfunction("countif(FILTER(Pokedex!$AI:$AI,Pokedex!$A:$A=$L$1,Pokedex!$AI:$AI=1),1)"),"4")</f>
        <v>4</v>
      </c>
      <c r="H79" s="908" t="str">
        <f aca="false">IFERROR(__xludf.dummyfunction("countif(FILTER(Pokedex!$AI:$AI,Pokedex!$A:$A=$L$1,Pokedex!$AI:$AI=2),2)"),"0")</f>
        <v>0</v>
      </c>
      <c r="I79" s="908" t="n">
        <f aca="false">SUM(F79:H79)</f>
        <v>0</v>
      </c>
      <c r="J79" s="44"/>
      <c r="K79" s="823"/>
      <c r="L79" s="823"/>
      <c r="M79" s="477"/>
      <c r="N79" s="477"/>
      <c r="O79" s="44"/>
      <c r="P79" s="44"/>
      <c r="Q79" s="44"/>
      <c r="R79" s="824"/>
      <c r="S79" s="638"/>
      <c r="T79" s="638"/>
      <c r="U79" s="638"/>
      <c r="V79" s="638"/>
      <c r="W79" s="638"/>
      <c r="X79" s="638"/>
      <c r="Y79" s="638"/>
      <c r="Z79" s="638"/>
      <c r="AA79" s="638"/>
      <c r="AB79" s="638"/>
      <c r="AC79" s="638"/>
      <c r="AD79" s="638"/>
      <c r="AE79" s="638"/>
    </row>
    <row r="80" customFormat="false" ht="15.75" hidden="false" customHeight="false" outlineLevel="0" collapsed="false">
      <c r="A80" s="916" t="s">
        <v>801</v>
      </c>
      <c r="B80" s="916"/>
      <c r="C80" s="911" t="str">
        <f aca="false">IFERROR(__xludf.dummyfunction("countif(FILTER(Pokedex!$AJ:$AJ,Pokedex!$A:$A=$L$1,Pokedex!$AJ:$AJ=0-2),0-2)"),"0")</f>
        <v>0</v>
      </c>
      <c r="D80" s="912" t="str">
        <f aca="false">IFERROR(__xludf.dummyfunction("countif(FILTER(Pokedex!$AJ:$AJ,Pokedex!$A:$A=$L$1,Pokedex!$AJ:$AJ=0-1),0-1)"),"2")</f>
        <v>2</v>
      </c>
      <c r="E80" s="912" t="n">
        <f aca="false">SUM(C80:D80)</f>
        <v>0</v>
      </c>
      <c r="F80" s="913" t="str">
        <f aca="false">IFERROR(__xludf.dummyfunction("countif(FILTER(Pokedex!$AJ:$AJ,Pokedex!$A:$A=$L$1,Pokedex!$AJ:$AJ=4),4)"),"0")</f>
        <v>0</v>
      </c>
      <c r="G80" s="914" t="str">
        <f aca="false">IFERROR(__xludf.dummyfunction("countif(FILTER(Pokedex!$AJ:$AJ,Pokedex!$A:$A=$L$1,Pokedex!$AJ:$AJ=1),1)"),"2")</f>
        <v>2</v>
      </c>
      <c r="H80" s="913" t="str">
        <f aca="false">IFERROR(__xludf.dummyfunction("countif(FILTER(Pokedex!$AJ:$AJ,Pokedex!$A:$A=$L$1,Pokedex!$AJ:$AJ=2),2)"),"0")</f>
        <v>0</v>
      </c>
      <c r="I80" s="913" t="n">
        <f aca="false">SUM(F80:H80)</f>
        <v>0</v>
      </c>
      <c r="J80" s="44"/>
      <c r="K80" s="823"/>
      <c r="L80" s="823"/>
      <c r="M80" s="477"/>
      <c r="N80" s="477"/>
      <c r="O80" s="44"/>
      <c r="P80" s="44"/>
      <c r="Q80" s="44"/>
      <c r="R80" s="824"/>
      <c r="S80" s="638"/>
      <c r="T80" s="638"/>
      <c r="U80" s="638"/>
      <c r="V80" s="638"/>
      <c r="W80" s="638"/>
      <c r="X80" s="638"/>
      <c r="Y80" s="638"/>
      <c r="Z80" s="638"/>
      <c r="AA80" s="638"/>
      <c r="AB80" s="638"/>
      <c r="AC80" s="638"/>
      <c r="AD80" s="638"/>
      <c r="AE80" s="638"/>
    </row>
    <row r="81" customFormat="false" ht="15.75" hidden="false" customHeight="false" outlineLevel="0" collapsed="false">
      <c r="A81" s="915" t="s">
        <v>802</v>
      </c>
      <c r="B81" s="915"/>
      <c r="C81" s="906" t="str">
        <f aca="false">IFERROR(__xludf.dummyfunction("countif(FILTER(Pokedex!$AK:$AK,Pokedex!$A:$A=$L$1,Pokedex!$AK:$AK=0-2),0-2)"),"0")</f>
        <v>0</v>
      </c>
      <c r="D81" s="907" t="str">
        <f aca="false">IFERROR(__xludf.dummyfunction("countif(FILTER(Pokedex!$AK:$AK,Pokedex!$A:$A=$L$1,Pokedex!$AK:$AK=0-1),0-1)"),"0")</f>
        <v>0</v>
      </c>
      <c r="E81" s="907" t="n">
        <f aca="false">SUM(C81:D81)</f>
        <v>0</v>
      </c>
      <c r="F81" s="908" t="str">
        <f aca="false">IFERROR(__xludf.dummyfunction("countif(FILTER(Pokedex!$AK:$AK,Pokedex!$A:$A=$L$1,Pokedex!$AK:$AK=4),4)"),"2")</f>
        <v>2</v>
      </c>
      <c r="G81" s="909" t="str">
        <f aca="false">IFERROR(__xludf.dummyfunction("countif(FILTER(Pokedex!$AK:$AK,Pokedex!$A:$A=$L$1,Pokedex!$AK:$AK=1),1)"),"1")</f>
        <v>1</v>
      </c>
      <c r="H81" s="908" t="str">
        <f aca="false">IFERROR(__xludf.dummyfunction("countif(FILTER(Pokedex!$AK:$AK,Pokedex!$A:$A=$L$1,Pokedex!$AK:$AK=2),2)"),"0")</f>
        <v>0</v>
      </c>
      <c r="I81" s="908" t="n">
        <f aca="false">SUM(F81:H81)</f>
        <v>0</v>
      </c>
      <c r="J81" s="44"/>
      <c r="K81" s="823"/>
      <c r="L81" s="823"/>
      <c r="M81" s="477"/>
      <c r="N81" s="477"/>
      <c r="O81" s="44"/>
      <c r="P81" s="44"/>
      <c r="Q81" s="44"/>
      <c r="R81" s="824"/>
      <c r="S81" s="638"/>
      <c r="T81" s="638"/>
      <c r="U81" s="638"/>
      <c r="V81" s="638"/>
      <c r="W81" s="638"/>
      <c r="X81" s="638"/>
      <c r="Y81" s="638"/>
      <c r="Z81" s="638"/>
      <c r="AA81" s="638"/>
      <c r="AB81" s="638"/>
      <c r="AC81" s="638"/>
      <c r="AD81" s="638"/>
      <c r="AE81" s="638"/>
    </row>
    <row r="82" customFormat="false" ht="15.75" hidden="false" customHeight="false" outlineLevel="0" collapsed="false">
      <c r="A82" s="916" t="s">
        <v>803</v>
      </c>
      <c r="B82" s="916"/>
      <c r="C82" s="911" t="str">
        <f aca="false">IFERROR(__xludf.dummyfunction("countif(FILTER(Pokedex!$AL:$AL,Pokedex!$A:$A=$L$1,Pokedex!$AL:$AL=0-2),0-2)"),"0")</f>
        <v>0</v>
      </c>
      <c r="D82" s="912" t="str">
        <f aca="false">IFERROR(__xludf.dummyfunction("countif(FILTER(Pokedex!$AL:$AL,Pokedex!$A:$A=$L$1,Pokedex!$AL:$AL=0-1),0-1)"),"2")</f>
        <v>2</v>
      </c>
      <c r="E82" s="912" t="n">
        <f aca="false">SUM(C82:D82)</f>
        <v>0</v>
      </c>
      <c r="F82" s="913" t="str">
        <f aca="false">IFERROR(__xludf.dummyfunction("countif(FILTER(Pokedex!$AL:$AL,Pokedex!$A:$A=$L$1,Pokedex!$AL:$AL=4),4)"),"0")</f>
        <v>0</v>
      </c>
      <c r="G82" s="914" t="str">
        <f aca="false">IFERROR(__xludf.dummyfunction("countif(FILTER(Pokedex!$AL:$AL,Pokedex!$A:$A=$L$1,Pokedex!$AL:$AL=1),1)"),"0")</f>
        <v>0</v>
      </c>
      <c r="H82" s="913" t="str">
        <f aca="false">IFERROR(__xludf.dummyfunction("countif(FILTER(Pokedex!$AL:$AL,Pokedex!$A:$A=$L$1,Pokedex!$AL:$AL=2),2)"),"4")</f>
        <v>4</v>
      </c>
      <c r="I82" s="913" t="n">
        <f aca="false">SUM(F82:H82)</f>
        <v>0</v>
      </c>
      <c r="J82" s="44"/>
      <c r="K82" s="893"/>
      <c r="L82" s="893"/>
      <c r="M82" s="831"/>
      <c r="N82" s="831"/>
      <c r="O82" s="44"/>
      <c r="P82" s="44"/>
      <c r="Q82" s="44"/>
      <c r="R82" s="824"/>
      <c r="S82" s="638"/>
      <c r="T82" s="638"/>
      <c r="U82" s="638"/>
      <c r="V82" s="638"/>
      <c r="W82" s="638"/>
      <c r="X82" s="638"/>
      <c r="Y82" s="638"/>
      <c r="Z82" s="638"/>
      <c r="AA82" s="638"/>
      <c r="AB82" s="638"/>
      <c r="AC82" s="638"/>
      <c r="AD82" s="638"/>
      <c r="AE82" s="638"/>
    </row>
    <row r="83" customFormat="false" ht="15.75" hidden="false" customHeight="false" outlineLevel="0" collapsed="false">
      <c r="A83" s="915" t="s">
        <v>907</v>
      </c>
      <c r="B83" s="915"/>
      <c r="C83" s="906" t="str">
        <f aca="false">IFERROR(__xludf.dummyfunction("countif(FILTER(Pokedex!$AM:$AM,Pokedex!$A:$A=$L$1,Pokedex!$AM:$AM=0-2),0-2)"),"0")</f>
        <v>0</v>
      </c>
      <c r="D83" s="907" t="str">
        <f aca="false">IFERROR(__xludf.dummyfunction("countif(FILTER(Pokedex!$AM:$AM,Pokedex!$A:$A=$L$1,Pokedex!$AM:$AM=0-1),0-1)"),"3")</f>
        <v>3</v>
      </c>
      <c r="E83" s="907" t="n">
        <f aca="false">SUM(C83:D83)</f>
        <v>0</v>
      </c>
      <c r="F83" s="908" t="str">
        <f aca="false">IFERROR(__xludf.dummyfunction("countif(FILTER(Pokedex!$AM:$AM,Pokedex!$A:$A=$L$1,Pokedex!$AM:$AM=4),4)"),"2")</f>
        <v>2</v>
      </c>
      <c r="G83" s="909" t="str">
        <f aca="false">IFERROR(__xludf.dummyfunction("countif(FILTER(Pokedex!$AM:$AM,Pokedex!$A:$A=$L$1,Pokedex!$AM:$AM=1),1)"),"0")</f>
        <v>0</v>
      </c>
      <c r="H83" s="908" t="str">
        <f aca="false">IFERROR(__xludf.dummyfunction("countif(FILTER(Pokedex!$AM:$AM,Pokedex!$A:$A=$L$1,Pokedex!$AM:$AM=2),2)"),"0")</f>
        <v>0</v>
      </c>
      <c r="I83" s="908" t="n">
        <f aca="false">SUM(F83:H83)</f>
        <v>0</v>
      </c>
      <c r="J83" s="44"/>
      <c r="K83" s="7"/>
      <c r="L83" s="7"/>
      <c r="M83" s="7"/>
      <c r="N83" s="7"/>
      <c r="O83" s="44"/>
      <c r="P83" s="44"/>
      <c r="Q83" s="44"/>
      <c r="R83" s="824"/>
      <c r="S83" s="638"/>
      <c r="T83" s="638"/>
      <c r="U83" s="638"/>
      <c r="V83" s="638"/>
      <c r="W83" s="638"/>
      <c r="X83" s="638"/>
      <c r="Y83" s="638"/>
      <c r="Z83" s="638"/>
      <c r="AA83" s="638"/>
      <c r="AB83" s="638"/>
      <c r="AC83" s="638"/>
      <c r="AD83" s="638"/>
      <c r="AE83" s="638"/>
    </row>
    <row r="84" customFormat="false" ht="15.75" hidden="false" customHeight="false" outlineLevel="0" collapsed="false">
      <c r="A84" s="916" t="s">
        <v>805</v>
      </c>
      <c r="B84" s="916"/>
      <c r="C84" s="911" t="str">
        <f aca="false">IFERROR(__xludf.dummyfunction("countif(FILTER(Pokedex!$AN:$AN,Pokedex!$A:$A=$L$1,Pokedex!$AN:$AN=0-2),0-2)"),"1")</f>
        <v>1</v>
      </c>
      <c r="D84" s="912" t="str">
        <f aca="false">IFERROR(__xludf.dummyfunction("countif(FILTER(Pokedex!$AN:$AN,Pokedex!$A:$A=$L$1,Pokedex!$AN:$AN=0-1),0-1)"),"2")</f>
        <v>2</v>
      </c>
      <c r="E84" s="912" t="n">
        <f aca="false">SUM(C84:D84)</f>
        <v>0</v>
      </c>
      <c r="F84" s="913" t="str">
        <f aca="false">IFERROR(__xludf.dummyfunction("countif(FILTER(Pokedex!$AN:$AN,Pokedex!$A:$A=$L$1,Pokedex!$AN:$AN=4),4)"),"0")</f>
        <v>0</v>
      </c>
      <c r="G84" s="914" t="str">
        <f aca="false">IFERROR(__xludf.dummyfunction("countif(FILTER(Pokedex!$AN:$AN,Pokedex!$A:$A=$L$1,Pokedex!$AN:$AN=1),1)"),"3")</f>
        <v>3</v>
      </c>
      <c r="H84" s="913" t="str">
        <f aca="false">IFERROR(__xludf.dummyfunction("countif(FILTER(Pokedex!$AN:$AN,Pokedex!$A:$A=$L$1,Pokedex!$AN:$AN=2),2)"),"0")</f>
        <v>0</v>
      </c>
      <c r="I84" s="913" t="n">
        <f aca="false">SUM(F84:H84)</f>
        <v>0</v>
      </c>
      <c r="J84" s="44"/>
      <c r="K84" s="341" t="s">
        <v>2087</v>
      </c>
      <c r="L84" s="341"/>
      <c r="M84" s="341"/>
      <c r="N84" s="341"/>
      <c r="O84" s="44"/>
      <c r="P84" s="44"/>
      <c r="Q84" s="44"/>
      <c r="R84" s="824"/>
      <c r="S84" s="638"/>
      <c r="T84" s="638"/>
      <c r="U84" s="638"/>
      <c r="V84" s="638"/>
      <c r="W84" s="638"/>
      <c r="X84" s="638"/>
      <c r="Y84" s="638"/>
      <c r="Z84" s="638"/>
      <c r="AA84" s="638"/>
      <c r="AB84" s="638"/>
      <c r="AC84" s="638"/>
      <c r="AD84" s="638"/>
      <c r="AE84" s="638"/>
    </row>
    <row r="85" customFormat="false" ht="15.75" hidden="false" customHeight="false" outlineLevel="0" collapsed="false">
      <c r="A85" s="915" t="s">
        <v>839</v>
      </c>
      <c r="B85" s="915"/>
      <c r="C85" s="906" t="str">
        <f aca="false">IFERROR(__xludf.dummyfunction("countif(FILTER(Pokedex!$AO:$AO,Pokedex!$A:$A=$L$1,Pokedex!$AO:$AO=0-2),0-2)"),"0")</f>
        <v>0</v>
      </c>
      <c r="D85" s="907" t="str">
        <f aca="false">IFERROR(__xludf.dummyfunction("countif(FILTER(Pokedex!$AO:$AO,Pokedex!$A:$A=$L$1,Pokedex!$AO:$AO=0-1),0-1)"),"0")</f>
        <v>0</v>
      </c>
      <c r="E85" s="907" t="n">
        <f aca="false">SUM(C85:D85)</f>
        <v>0</v>
      </c>
      <c r="F85" s="908" t="str">
        <f aca="false">IFERROR(__xludf.dummyfunction("countif(FILTER(Pokedex!$AO:$AO,Pokedex!$A:$A=$L$1,Pokedex!$AO:$AO=4),4)"),"0")</f>
        <v>0</v>
      </c>
      <c r="G85" s="909" t="str">
        <f aca="false">IFERROR(__xludf.dummyfunction("countif(FILTER(Pokedex!$AO:$AO,Pokedex!$A:$A=$L$1,Pokedex!$AO:$AO=1),1)"),"1")</f>
        <v>1</v>
      </c>
      <c r="H85" s="908" t="str">
        <f aca="false">IFERROR(__xludf.dummyfunction("countif(FILTER(Pokedex!$AO:$AO,Pokedex!$A:$A=$L$1,Pokedex!$AO:$AO=2),2)"),"0")</f>
        <v>0</v>
      </c>
      <c r="I85" s="908" t="n">
        <f aca="false">SUM(F85:H85)</f>
        <v>0</v>
      </c>
      <c r="J85" s="44"/>
      <c r="K85" s="891" t="str">
        <f aca="false">IFERROR(__xludf.dummyfunction("if(isna(filter($R$40:$R$51,isblank($R$40:$R$51)=FALSE)),""NONE"",filter($R$40:$R$51,isblank($R$40:$R$51)=FALSE))"),"Altaria")</f>
        <v>Altaria</v>
      </c>
      <c r="L85" s="891"/>
      <c r="M85" s="892" t="str">
        <f aca="false">IFERROR(__xludf.dummyfunction("if(isna(filter($S$40:$S$51,isblank($S$40:$S$51)=FALSE)),""N/A"",filter($S$40:$S$51,isblank($S$40:$S$51)=FALSE))"),"Heal Bell")</f>
        <v>Heal Bell</v>
      </c>
      <c r="N85" s="892"/>
      <c r="O85" s="44"/>
      <c r="P85" s="44"/>
      <c r="Q85" s="44"/>
      <c r="R85" s="824"/>
      <c r="S85" s="638"/>
      <c r="T85" s="638"/>
      <c r="U85" s="638"/>
      <c r="V85" s="638"/>
      <c r="W85" s="638"/>
      <c r="X85" s="638"/>
      <c r="Y85" s="638"/>
      <c r="Z85" s="638"/>
      <c r="AA85" s="638"/>
      <c r="AB85" s="638"/>
      <c r="AC85" s="638"/>
      <c r="AD85" s="638"/>
      <c r="AE85" s="638"/>
    </row>
    <row r="86" customFormat="false" ht="15.75" hidden="false" customHeight="false" outlineLevel="0" collapsed="false">
      <c r="A86" s="916" t="s">
        <v>843</v>
      </c>
      <c r="B86" s="916"/>
      <c r="C86" s="911" t="str">
        <f aca="false">IFERROR(__xludf.dummyfunction("countif(FILTER(Pokedex!$AP:$AP,Pokedex!$A:$A=$L$1,Pokedex!$AP:$AP=0-2),0-2)"),"0")</f>
        <v>0</v>
      </c>
      <c r="D86" s="912" t="str">
        <f aca="false">IFERROR(__xludf.dummyfunction("countif(FILTER(Pokedex!$AP:$AP,Pokedex!$A:$A=$L$1,Pokedex!$AP:$AP=0-1),0-1)"),"2")</f>
        <v>2</v>
      </c>
      <c r="E86" s="912" t="n">
        <f aca="false">SUM(C86:D86)</f>
        <v>0</v>
      </c>
      <c r="F86" s="913" t="str">
        <f aca="false">IFERROR(__xludf.dummyfunction("countif(FILTER(Pokedex!$AP:$AP,Pokedex!$A:$A=$L$1,Pokedex!$AP:$AP=4),4)"),"1")</f>
        <v>1</v>
      </c>
      <c r="G86" s="914" t="str">
        <f aca="false">IFERROR(__xludf.dummyfunction("countif(FILTER(Pokedex!$AP:$AP,Pokedex!$A:$A=$L$1,Pokedex!$AP:$AP=1),1)"),"2")</f>
        <v>2</v>
      </c>
      <c r="H86" s="913" t="str">
        <f aca="false">IFERROR(__xludf.dummyfunction("countif(FILTER(Pokedex!$AP:$AP,Pokedex!$A:$A=$L$1,Pokedex!$AP:$AP=2),2)"),"0")</f>
        <v>0</v>
      </c>
      <c r="I86" s="913" t="n">
        <f aca="false">SUM(F86:H86)</f>
        <v>0</v>
      </c>
      <c r="J86" s="44"/>
      <c r="K86" s="823" t="s">
        <v>86</v>
      </c>
      <c r="L86" s="823"/>
      <c r="M86" s="477" t="s">
        <v>1114</v>
      </c>
      <c r="N86" s="477"/>
      <c r="O86" s="44"/>
      <c r="P86" s="44"/>
      <c r="Q86" s="44"/>
      <c r="R86" s="824"/>
      <c r="S86" s="638"/>
      <c r="T86" s="638"/>
      <c r="U86" s="638"/>
      <c r="V86" s="638"/>
      <c r="W86" s="638"/>
      <c r="X86" s="638"/>
      <c r="Y86" s="638"/>
      <c r="Z86" s="638"/>
      <c r="AA86" s="638"/>
      <c r="AB86" s="638"/>
      <c r="AC86" s="638"/>
      <c r="AD86" s="638"/>
      <c r="AE86" s="638"/>
    </row>
    <row r="87" customFormat="false" ht="15.75" hidden="false" customHeight="false" outlineLevel="0" collapsed="false">
      <c r="A87" s="915" t="s">
        <v>828</v>
      </c>
      <c r="B87" s="915"/>
      <c r="C87" s="906" t="str">
        <f aca="false">IFERROR(__xludf.dummyfunction("countif(FILTER(Pokedex!$AQ:$AQ,Pokedex!$A:$A=$L$1,Pokedex!$AQ:$AQ=0-2),0-2)"),"0")</f>
        <v>0</v>
      </c>
      <c r="D87" s="907" t="str">
        <f aca="false">IFERROR(__xludf.dummyfunction("countif(FILTER(Pokedex!$AQ:$AQ,Pokedex!$A:$A=$L$1,Pokedex!$AQ:$AQ=0-1),0-1)"),"2")</f>
        <v>2</v>
      </c>
      <c r="E87" s="907" t="n">
        <f aca="false">SUM(C87:D87)</f>
        <v>0</v>
      </c>
      <c r="F87" s="908" t="str">
        <f aca="false">IFERROR(__xludf.dummyfunction("countif(FILTER(Pokedex!$AQ:$AQ,Pokedex!$A:$A=$L$1,Pokedex!$AQ:$AQ=4),4)"),"1")</f>
        <v>1</v>
      </c>
      <c r="G87" s="909" t="str">
        <f aca="false">IFERROR(__xludf.dummyfunction("countif(FILTER(Pokedex!$AQ:$AQ,Pokedex!$A:$A=$L$1,Pokedex!$AQ:$AQ=1),1)"),"1")</f>
        <v>1</v>
      </c>
      <c r="H87" s="908" t="str">
        <f aca="false">IFERROR(__xludf.dummyfunction("countif(FILTER(Pokedex!$AQ:$AQ,Pokedex!$A:$A=$L$1,Pokedex!$AQ:$AQ=2),2)"),"0")</f>
        <v>0</v>
      </c>
      <c r="I87" s="908" t="n">
        <f aca="false">SUM(F87:H87)</f>
        <v>0</v>
      </c>
      <c r="J87" s="44"/>
      <c r="K87" s="823" t="s">
        <v>64</v>
      </c>
      <c r="L87" s="823"/>
      <c r="M87" s="477" t="s">
        <v>1115</v>
      </c>
      <c r="N87" s="477"/>
      <c r="O87" s="44"/>
      <c r="P87" s="44"/>
      <c r="Q87" s="44"/>
      <c r="R87" s="824"/>
      <c r="S87" s="638"/>
      <c r="T87" s="638"/>
      <c r="U87" s="638"/>
      <c r="V87" s="638"/>
      <c r="W87" s="638"/>
      <c r="X87" s="638"/>
      <c r="Y87" s="638"/>
      <c r="Z87" s="638"/>
      <c r="AA87" s="638"/>
      <c r="AB87" s="638"/>
      <c r="AC87" s="638"/>
      <c r="AD87" s="638"/>
      <c r="AE87" s="638"/>
    </row>
    <row r="88" customFormat="false" ht="15.75" hidden="false" customHeight="false" outlineLevel="0" collapsed="false">
      <c r="A88" s="916" t="s">
        <v>809</v>
      </c>
      <c r="B88" s="916"/>
      <c r="C88" s="911" t="str">
        <f aca="false">IFERROR(__xludf.dummyfunction("countif(FILTER(Pokedex!$AR:$AR,Pokedex!$A:$A=$L$1,Pokedex!$AR:$AR=0-2),0-2)"),"0")</f>
        <v>0</v>
      </c>
      <c r="D88" s="912" t="str">
        <f aca="false">IFERROR(__xludf.dummyfunction("countif(FILTER(Pokedex!$AR:$AR,Pokedex!$A:$A=$L$1,Pokedex!$AR:$AR=0-1),0-1)"),"2")</f>
        <v>2</v>
      </c>
      <c r="E88" s="912" t="n">
        <f aca="false">SUM(C88:D88)</f>
        <v>0</v>
      </c>
      <c r="F88" s="913" t="str">
        <f aca="false">IFERROR(__xludf.dummyfunction("countif(FILTER(Pokedex!$AR:$AR,Pokedex!$A:$A=$L$1,Pokedex!$AR:$AR=4),4)"),"0")</f>
        <v>0</v>
      </c>
      <c r="G88" s="914" t="str">
        <f aca="false">IFERROR(__xludf.dummyfunction("countif(FILTER(Pokedex!$AR:$AR,Pokedex!$A:$A=$L$1,Pokedex!$AR:$AR=1),1)"),"1")</f>
        <v>1</v>
      </c>
      <c r="H88" s="913" t="str">
        <f aca="false">IFERROR(__xludf.dummyfunction("countif(FILTER(Pokedex!$AR:$AR,Pokedex!$A:$A=$L$1,Pokedex!$AR:$AR=2),2)"),"0")</f>
        <v>0</v>
      </c>
      <c r="I88" s="913" t="n">
        <f aca="false">SUM(F88:H88)</f>
        <v>0</v>
      </c>
      <c r="J88" s="44"/>
      <c r="K88" s="823"/>
      <c r="L88" s="823"/>
      <c r="M88" s="477"/>
      <c r="N88" s="477"/>
      <c r="O88" s="44"/>
      <c r="P88" s="44"/>
      <c r="Q88" s="44"/>
      <c r="R88" s="824"/>
      <c r="S88" s="638"/>
      <c r="T88" s="638"/>
      <c r="U88" s="638"/>
      <c r="V88" s="638"/>
      <c r="W88" s="638"/>
      <c r="X88" s="638"/>
      <c r="Y88" s="638"/>
      <c r="Z88" s="638"/>
      <c r="AA88" s="638"/>
      <c r="AB88" s="638"/>
      <c r="AC88" s="638"/>
      <c r="AD88" s="638"/>
      <c r="AE88" s="638"/>
    </row>
    <row r="89" customFormat="false" ht="15.75" hidden="false" customHeight="false" outlineLevel="0" collapsed="false">
      <c r="A89" s="915" t="s">
        <v>810</v>
      </c>
      <c r="B89" s="915"/>
      <c r="C89" s="906" t="str">
        <f aca="false">IFERROR(__xludf.dummyfunction("countif(FILTER(Pokedex!$AS:$AS,Pokedex!$A:$A=$L$1,Pokedex!$AS:$AS=0-2),0-2)"),"0")</f>
        <v>0</v>
      </c>
      <c r="D89" s="907" t="str">
        <f aca="false">IFERROR(__xludf.dummyfunction("countif(FILTER(Pokedex!$AS:$AS,Pokedex!$A:$A=$L$1,Pokedex!$AS:$AS=0-1),0-1)"),"0")</f>
        <v>0</v>
      </c>
      <c r="E89" s="907" t="n">
        <f aca="false">SUM(C89:D89)</f>
        <v>0</v>
      </c>
      <c r="F89" s="908" t="str">
        <f aca="false">IFERROR(__xludf.dummyfunction("countif(FILTER(Pokedex!$AS:$AS,Pokedex!$A:$A=$L$1,Pokedex!$AS:$AS=4),4)"),"0")</f>
        <v>0</v>
      </c>
      <c r="G89" s="909" t="str">
        <f aca="false">IFERROR(__xludf.dummyfunction("countif(FILTER(Pokedex!$AS:$AS,Pokedex!$A:$A=$L$1,Pokedex!$AS:$AS=1),1)"),"2")</f>
        <v>2</v>
      </c>
      <c r="H89" s="908" t="str">
        <f aca="false">IFERROR(__xludf.dummyfunction("countif(FILTER(Pokedex!$AS:$AS,Pokedex!$A:$A=$L$1,Pokedex!$AS:$AS=2),2)"),"1")</f>
        <v>1</v>
      </c>
      <c r="I89" s="908" t="n">
        <f aca="false">SUM(F89:H89)</f>
        <v>0</v>
      </c>
      <c r="J89" s="44"/>
      <c r="K89" s="823"/>
      <c r="L89" s="823"/>
      <c r="M89" s="477"/>
      <c r="N89" s="477"/>
      <c r="O89" s="44"/>
      <c r="P89" s="44"/>
      <c r="Q89" s="44"/>
      <c r="R89" s="824"/>
      <c r="S89" s="638"/>
      <c r="T89" s="638"/>
      <c r="U89" s="638"/>
      <c r="V89" s="638"/>
      <c r="W89" s="638"/>
      <c r="X89" s="638"/>
      <c r="Y89" s="638"/>
      <c r="Z89" s="638"/>
      <c r="AA89" s="638"/>
      <c r="AB89" s="638"/>
      <c r="AC89" s="638"/>
      <c r="AD89" s="638"/>
      <c r="AE89" s="638"/>
    </row>
    <row r="90" customFormat="false" ht="15.75" hidden="false" customHeight="false" outlineLevel="0" collapsed="false">
      <c r="A90" s="917" t="s">
        <v>811</v>
      </c>
      <c r="B90" s="917"/>
      <c r="C90" s="918" t="str">
        <f aca="false">IFERROR(__xludf.dummyfunction("countif(FILTER(Pokedex!$AT:$AT,Pokedex!$A:$A=$L$1,Pokedex!$AT:$AT=0-2),0-2)"),"1")</f>
        <v>1</v>
      </c>
      <c r="D90" s="919" t="str">
        <f aca="false">IFERROR(__xludf.dummyfunction("countif(FILTER(Pokedex!$AT:$AT,Pokedex!$A:$A=$L$1,Pokedex!$AT:$AT=0-1),0-1)"),"0")</f>
        <v>0</v>
      </c>
      <c r="E90" s="919" t="n">
        <f aca="false">SUM(C90:D90)</f>
        <v>0</v>
      </c>
      <c r="F90" s="920" t="str">
        <f aca="false">IFERROR(__xludf.dummyfunction("countif(FILTER(Pokedex!$AT:$AT,Pokedex!$A:$A=$L$1,Pokedex!$AT:$AT=4),4)"),"0")</f>
        <v>0</v>
      </c>
      <c r="G90" s="921" t="str">
        <f aca="false">IFERROR(__xludf.dummyfunction("countif(FILTER(Pokedex!$AT:$AT,Pokedex!$A:$A=$L$1,Pokedex!$AT:$AT=1),1)"),"4")</f>
        <v>4</v>
      </c>
      <c r="H90" s="920" t="str">
        <f aca="false">IFERROR(__xludf.dummyfunction("countif(FILTER(Pokedex!$AT:$AT,Pokedex!$A:$A=$L$1,Pokedex!$AT:$AT=2),2)"),"0")</f>
        <v>0</v>
      </c>
      <c r="I90" s="920" t="n">
        <f aca="false">SUM(F90:H90)</f>
        <v>0</v>
      </c>
      <c r="J90" s="44"/>
      <c r="K90" s="823"/>
      <c r="L90" s="823"/>
      <c r="M90" s="477"/>
      <c r="N90" s="477"/>
      <c r="O90" s="44"/>
      <c r="P90" s="44"/>
      <c r="Q90" s="44"/>
      <c r="R90" s="824"/>
      <c r="S90" s="638"/>
      <c r="T90" s="638"/>
      <c r="U90" s="638"/>
      <c r="V90" s="638"/>
      <c r="W90" s="638"/>
      <c r="X90" s="638"/>
      <c r="Y90" s="638"/>
      <c r="Z90" s="638"/>
      <c r="AA90" s="638"/>
      <c r="AB90" s="638"/>
      <c r="AC90" s="638"/>
      <c r="AD90" s="638"/>
      <c r="AE90" s="638"/>
    </row>
    <row r="91" customFormat="false" ht="15.75" hidden="false" customHeight="false" outlineLevel="0" collapsed="false">
      <c r="A91" s="922" t="s">
        <v>2088</v>
      </c>
      <c r="B91" s="922"/>
      <c r="C91" s="923" t="n">
        <f aca="false">SUM(C73:C90)</f>
        <v>0</v>
      </c>
      <c r="D91" s="924" t="n">
        <f aca="false">SUM(D73:D90)</f>
        <v>0</v>
      </c>
      <c r="E91" s="924" t="n">
        <f aca="false">SUM(E73:E90)</f>
        <v>0</v>
      </c>
      <c r="F91" s="925" t="n">
        <f aca="false">SUM(F73:F90)</f>
        <v>0</v>
      </c>
      <c r="G91" s="926" t="n">
        <f aca="false">SUM(G73:G90)</f>
        <v>0</v>
      </c>
      <c r="H91" s="925" t="n">
        <f aca="false">SUM(H73:H90)</f>
        <v>0</v>
      </c>
      <c r="I91" s="925" t="n">
        <f aca="false">SUM(I73:I90)</f>
        <v>0</v>
      </c>
      <c r="J91" s="44"/>
      <c r="K91" s="823"/>
      <c r="L91" s="823"/>
      <c r="M91" s="477"/>
      <c r="N91" s="477"/>
      <c r="O91" s="44"/>
      <c r="P91" s="44"/>
      <c r="Q91" s="44"/>
      <c r="R91" s="824"/>
      <c r="S91" s="638"/>
      <c r="T91" s="638"/>
      <c r="U91" s="638"/>
      <c r="V91" s="638"/>
      <c r="W91" s="638"/>
      <c r="X91" s="638"/>
      <c r="Y91" s="638"/>
      <c r="Z91" s="638"/>
      <c r="AA91" s="638"/>
      <c r="AB91" s="638"/>
      <c r="AC91" s="638"/>
      <c r="AD91" s="638"/>
      <c r="AE91" s="638"/>
    </row>
    <row r="92" customFormat="false" ht="15.75" hidden="false" customHeight="false" outlineLevel="0" collapsed="false">
      <c r="A92" s="245"/>
      <c r="B92" s="738"/>
      <c r="C92" s="900" t="s">
        <v>2082</v>
      </c>
      <c r="D92" s="901" t="s">
        <v>2083</v>
      </c>
      <c r="E92" s="901" t="s">
        <v>2063</v>
      </c>
      <c r="F92" s="902" t="s">
        <v>2084</v>
      </c>
      <c r="G92" s="903" t="s">
        <v>2085</v>
      </c>
      <c r="H92" s="904" t="s">
        <v>2086</v>
      </c>
      <c r="I92" s="904" t="s">
        <v>2063</v>
      </c>
      <c r="J92" s="44"/>
      <c r="K92" s="823"/>
      <c r="L92" s="823"/>
      <c r="M92" s="477"/>
      <c r="N92" s="477"/>
      <c r="O92" s="44"/>
      <c r="P92" s="44"/>
      <c r="Q92" s="44"/>
      <c r="R92" s="824"/>
      <c r="S92" s="638"/>
      <c r="T92" s="638"/>
      <c r="U92" s="638"/>
      <c r="V92" s="638"/>
      <c r="W92" s="638"/>
      <c r="X92" s="638"/>
      <c r="Y92" s="638"/>
      <c r="Z92" s="638"/>
      <c r="AA92" s="638"/>
      <c r="AB92" s="638"/>
      <c r="AC92" s="638"/>
      <c r="AD92" s="638"/>
      <c r="AE92" s="638"/>
    </row>
    <row r="93" customFormat="false" ht="15.75" hidden="false" customHeight="false" outlineLevel="0" collapsed="false">
      <c r="A93" s="245"/>
      <c r="B93" s="738"/>
      <c r="C93" s="929" t="s">
        <v>2079</v>
      </c>
      <c r="D93" s="929"/>
      <c r="E93" s="929"/>
      <c r="F93" s="939" t="s">
        <v>2080</v>
      </c>
      <c r="G93" s="939"/>
      <c r="H93" s="939"/>
      <c r="I93" s="939"/>
      <c r="J93" s="44"/>
      <c r="K93" s="823"/>
      <c r="L93" s="823"/>
      <c r="M93" s="477"/>
      <c r="N93" s="477"/>
      <c r="O93" s="44"/>
      <c r="P93" s="44"/>
      <c r="Q93" s="44"/>
      <c r="R93" s="824"/>
      <c r="S93" s="638"/>
      <c r="T93" s="638"/>
      <c r="U93" s="638"/>
      <c r="V93" s="638"/>
      <c r="W93" s="638"/>
      <c r="X93" s="638"/>
      <c r="Y93" s="638"/>
      <c r="Z93" s="638"/>
      <c r="AA93" s="638"/>
      <c r="AB93" s="638"/>
      <c r="AC93" s="638"/>
      <c r="AD93" s="638"/>
      <c r="AE93" s="638"/>
    </row>
    <row r="94" customFormat="false" ht="15.75" hidden="false" customHeight="false" outlineLevel="0" collapsed="false">
      <c r="A94" s="44"/>
      <c r="B94" s="44"/>
      <c r="C94" s="44"/>
      <c r="D94" s="44"/>
      <c r="E94" s="44"/>
      <c r="F94" s="44"/>
      <c r="G94" s="44"/>
      <c r="H94" s="44"/>
      <c r="I94" s="44"/>
      <c r="J94" s="44"/>
      <c r="K94" s="823"/>
      <c r="L94" s="823"/>
      <c r="M94" s="477"/>
      <c r="N94" s="477"/>
      <c r="O94" s="44"/>
      <c r="P94" s="44"/>
      <c r="Q94" s="44"/>
      <c r="R94" s="824"/>
      <c r="S94" s="638"/>
      <c r="T94" s="638"/>
      <c r="U94" s="638"/>
      <c r="V94" s="638"/>
      <c r="W94" s="638"/>
      <c r="X94" s="638"/>
      <c r="Y94" s="638"/>
      <c r="Z94" s="638"/>
      <c r="AA94" s="638"/>
      <c r="AB94" s="638"/>
      <c r="AC94" s="638"/>
      <c r="AD94" s="638"/>
      <c r="AE94" s="638"/>
    </row>
    <row r="95" customFormat="false" ht="15.75" hidden="false" customHeight="false" outlineLevel="0" collapsed="false">
      <c r="A95" s="44"/>
      <c r="B95" s="44"/>
      <c r="C95" s="44"/>
      <c r="D95" s="44"/>
      <c r="E95" s="44"/>
      <c r="F95" s="44"/>
      <c r="G95" s="44"/>
      <c r="H95" s="44"/>
      <c r="I95" s="44"/>
      <c r="J95" s="93"/>
      <c r="K95" s="893"/>
      <c r="L95" s="893"/>
      <c r="M95" s="831"/>
      <c r="N95" s="831"/>
      <c r="O95" s="44"/>
      <c r="P95" s="44"/>
      <c r="Q95" s="44"/>
      <c r="R95" s="824"/>
      <c r="S95" s="638"/>
      <c r="T95" s="638"/>
      <c r="U95" s="638"/>
      <c r="V95" s="638"/>
      <c r="W95" s="638"/>
      <c r="X95" s="638"/>
      <c r="Y95" s="638"/>
      <c r="Z95" s="638"/>
      <c r="AA95" s="638"/>
      <c r="AB95" s="638"/>
      <c r="AC95" s="638"/>
      <c r="AD95" s="638"/>
      <c r="AE95" s="638"/>
    </row>
    <row r="96" customFormat="false" ht="15.75" hidden="false" customHeight="false" outlineLevel="0" collapsed="false">
      <c r="O96" s="44"/>
      <c r="P96" s="44"/>
      <c r="Q96" s="44"/>
      <c r="R96" s="824"/>
      <c r="S96" s="638"/>
      <c r="T96" s="638"/>
      <c r="U96" s="638"/>
      <c r="V96" s="638"/>
      <c r="W96" s="638"/>
      <c r="X96" s="638"/>
      <c r="Y96" s="638"/>
      <c r="Z96" s="638"/>
      <c r="AA96" s="638"/>
      <c r="AB96" s="638"/>
      <c r="AC96" s="638"/>
      <c r="AD96" s="638"/>
      <c r="AE96" s="638"/>
    </row>
    <row r="97" customFormat="false" ht="15.75" hidden="false" customHeight="false" outlineLevel="0" collapsed="false">
      <c r="A97" s="44"/>
      <c r="B97" s="44"/>
      <c r="C97" s="44"/>
      <c r="D97" s="44"/>
      <c r="E97" s="44"/>
      <c r="F97" s="44"/>
      <c r="G97" s="44"/>
      <c r="H97" s="44"/>
      <c r="I97" s="44"/>
      <c r="J97" s="44"/>
      <c r="K97" s="44"/>
      <c r="L97" s="44"/>
      <c r="M97" s="44"/>
      <c r="N97" s="44"/>
      <c r="O97" s="44"/>
      <c r="P97" s="44"/>
      <c r="Q97" s="44"/>
      <c r="R97" s="824"/>
      <c r="S97" s="638"/>
      <c r="T97" s="638"/>
      <c r="U97" s="638"/>
      <c r="V97" s="638"/>
      <c r="W97" s="638"/>
      <c r="X97" s="638"/>
      <c r="Y97" s="638"/>
      <c r="Z97" s="638"/>
      <c r="AA97" s="638"/>
      <c r="AB97" s="638"/>
      <c r="AC97" s="638"/>
      <c r="AD97" s="638"/>
      <c r="AE97" s="638"/>
    </row>
    <row r="98" customFormat="false" ht="15.75" hidden="false" customHeight="false" outlineLevel="0" collapsed="false">
      <c r="A98" s="44"/>
      <c r="B98" s="44"/>
      <c r="C98" s="44"/>
      <c r="D98" s="44"/>
      <c r="E98" s="44"/>
      <c r="F98" s="44"/>
      <c r="G98" s="44"/>
      <c r="H98" s="44"/>
      <c r="I98" s="44"/>
      <c r="J98" s="44"/>
      <c r="K98" s="44"/>
      <c r="L98" s="44"/>
      <c r="M98" s="44"/>
      <c r="N98" s="44"/>
      <c r="O98" s="44"/>
      <c r="P98" s="44"/>
      <c r="Q98" s="44"/>
      <c r="R98" s="824"/>
      <c r="S98" s="638"/>
      <c r="T98" s="638"/>
      <c r="U98" s="638"/>
      <c r="V98" s="638"/>
      <c r="W98" s="638"/>
      <c r="X98" s="638"/>
      <c r="Y98" s="638"/>
      <c r="Z98" s="638"/>
      <c r="AA98" s="638"/>
      <c r="AB98" s="638"/>
      <c r="AC98" s="638"/>
      <c r="AD98" s="638"/>
      <c r="AE98" s="638"/>
    </row>
    <row r="99" customFormat="false" ht="15.75" hidden="false" customHeight="false" outlineLevel="0" collapsed="false">
      <c r="A99" s="245"/>
      <c r="B99" s="245"/>
      <c r="C99" s="2"/>
      <c r="D99" s="2"/>
      <c r="E99" s="2"/>
      <c r="F99" s="2"/>
      <c r="G99" s="2"/>
      <c r="H99" s="2"/>
      <c r="I99" s="2"/>
      <c r="J99" s="93"/>
      <c r="K99" s="931"/>
      <c r="L99" s="931"/>
      <c r="M99" s="93"/>
      <c r="N99" s="931"/>
      <c r="O99" s="44"/>
      <c r="P99" s="44"/>
      <c r="Q99" s="44"/>
      <c r="R99" s="824"/>
      <c r="S99" s="638"/>
      <c r="T99" s="638"/>
      <c r="U99" s="638"/>
      <c r="V99" s="638"/>
      <c r="W99" s="638"/>
      <c r="X99" s="638"/>
      <c r="Y99" s="638"/>
      <c r="Z99" s="638"/>
      <c r="AA99" s="638"/>
      <c r="AB99" s="638"/>
      <c r="AC99" s="638"/>
      <c r="AD99" s="638"/>
      <c r="AE99" s="638"/>
    </row>
    <row r="100" customFormat="false" ht="15.75" hidden="false" customHeight="false" outlineLevel="0" collapsed="false">
      <c r="A100" s="245"/>
      <c r="B100" s="245"/>
      <c r="C100" s="931"/>
      <c r="D100" s="93"/>
      <c r="E100" s="931"/>
      <c r="F100" s="931"/>
      <c r="G100" s="93"/>
      <c r="H100" s="931"/>
      <c r="I100" s="931"/>
      <c r="J100" s="93"/>
      <c r="K100" s="931"/>
      <c r="L100" s="931"/>
      <c r="M100" s="93"/>
      <c r="N100" s="931"/>
      <c r="O100" s="44"/>
      <c r="P100" s="44"/>
      <c r="Q100" s="44"/>
      <c r="R100" s="824"/>
      <c r="S100" s="638"/>
      <c r="T100" s="638"/>
      <c r="U100" s="638"/>
      <c r="V100" s="638"/>
      <c r="W100" s="638"/>
      <c r="X100" s="638"/>
      <c r="Y100" s="638"/>
      <c r="Z100" s="638"/>
      <c r="AA100" s="638"/>
      <c r="AB100" s="638"/>
      <c r="AC100" s="638"/>
      <c r="AD100" s="638"/>
      <c r="AE100" s="638"/>
    </row>
  </sheetData>
  <mergeCells count="373">
    <mergeCell ref="A1:D8"/>
    <mergeCell ref="E1:F1"/>
    <mergeCell ref="G1:J1"/>
    <mergeCell ref="L1:N1"/>
    <mergeCell ref="R1:S1"/>
    <mergeCell ref="E2:F2"/>
    <mergeCell ref="G2:N2"/>
    <mergeCell ref="E3:F3"/>
    <mergeCell ref="G3:N3"/>
    <mergeCell ref="E4:F4"/>
    <mergeCell ref="G4:N4"/>
    <mergeCell ref="E5:F5"/>
    <mergeCell ref="G5:N5"/>
    <mergeCell ref="E6:F6"/>
    <mergeCell ref="G6:N6"/>
    <mergeCell ref="E7:F7"/>
    <mergeCell ref="G7:N7"/>
    <mergeCell ref="A9:D9"/>
    <mergeCell ref="I9:L9"/>
    <mergeCell ref="A10:B11"/>
    <mergeCell ref="C10:I10"/>
    <mergeCell ref="J10:M10"/>
    <mergeCell ref="J11:M11"/>
    <mergeCell ref="A12:B12"/>
    <mergeCell ref="J12:M12"/>
    <mergeCell ref="A13:B13"/>
    <mergeCell ref="J13:M13"/>
    <mergeCell ref="A14:B14"/>
    <mergeCell ref="J14:M14"/>
    <mergeCell ref="A15:B15"/>
    <mergeCell ref="A16:B16"/>
    <mergeCell ref="A17:B17"/>
    <mergeCell ref="A18:B18"/>
    <mergeCell ref="A19:B19"/>
    <mergeCell ref="R19:S19"/>
    <mergeCell ref="A20:B20"/>
    <mergeCell ref="A21:B21"/>
    <mergeCell ref="A22:B22"/>
    <mergeCell ref="A23:C23"/>
    <mergeCell ref="A27:C27"/>
    <mergeCell ref="D27:F27"/>
    <mergeCell ref="G27:H27"/>
    <mergeCell ref="J27:L27"/>
    <mergeCell ref="A28:C28"/>
    <mergeCell ref="D28:F28"/>
    <mergeCell ref="G28:H28"/>
    <mergeCell ref="J28:L28"/>
    <mergeCell ref="A29:C29"/>
    <mergeCell ref="D29:F29"/>
    <mergeCell ref="G29:H29"/>
    <mergeCell ref="J29:L29"/>
    <mergeCell ref="A30:C30"/>
    <mergeCell ref="D30:F30"/>
    <mergeCell ref="G30:H30"/>
    <mergeCell ref="J30:M30"/>
    <mergeCell ref="A32:C32"/>
    <mergeCell ref="D32:F32"/>
    <mergeCell ref="G32:H32"/>
    <mergeCell ref="I32:J32"/>
    <mergeCell ref="K32:N32"/>
    <mergeCell ref="A33:C33"/>
    <mergeCell ref="D33:F33"/>
    <mergeCell ref="G33:H33"/>
    <mergeCell ref="I33:J33"/>
    <mergeCell ref="K33:N33"/>
    <mergeCell ref="A34:C34"/>
    <mergeCell ref="D34:F34"/>
    <mergeCell ref="G34:H34"/>
    <mergeCell ref="I34:J34"/>
    <mergeCell ref="K34:N34"/>
    <mergeCell ref="A35:C35"/>
    <mergeCell ref="D35:F35"/>
    <mergeCell ref="G35:H35"/>
    <mergeCell ref="I35:J35"/>
    <mergeCell ref="K35:N35"/>
    <mergeCell ref="A36:C36"/>
    <mergeCell ref="D36:F36"/>
    <mergeCell ref="G36:H36"/>
    <mergeCell ref="I36:J36"/>
    <mergeCell ref="K36:N36"/>
    <mergeCell ref="A37:C37"/>
    <mergeCell ref="D37:F37"/>
    <mergeCell ref="G37:H37"/>
    <mergeCell ref="I37:J37"/>
    <mergeCell ref="K37:N37"/>
    <mergeCell ref="A38:C38"/>
    <mergeCell ref="D38:F38"/>
    <mergeCell ref="G38:H38"/>
    <mergeCell ref="I38:J38"/>
    <mergeCell ref="K38:N38"/>
    <mergeCell ref="A39:C39"/>
    <mergeCell ref="D39:F39"/>
    <mergeCell ref="G39:H39"/>
    <mergeCell ref="I39:J39"/>
    <mergeCell ref="K39:N39"/>
    <mergeCell ref="R39:S39"/>
    <mergeCell ref="A40:C40"/>
    <mergeCell ref="D40:F40"/>
    <mergeCell ref="G40:H40"/>
    <mergeCell ref="I40:J40"/>
    <mergeCell ref="K40:N40"/>
    <mergeCell ref="A41:C41"/>
    <mergeCell ref="D41:F41"/>
    <mergeCell ref="G41:H41"/>
    <mergeCell ref="I41:J41"/>
    <mergeCell ref="K41:N41"/>
    <mergeCell ref="A43:C43"/>
    <mergeCell ref="K43:L43"/>
    <mergeCell ref="M43:N43"/>
    <mergeCell ref="A44:C44"/>
    <mergeCell ref="K44:L44"/>
    <mergeCell ref="M44:N44"/>
    <mergeCell ref="A45:C45"/>
    <mergeCell ref="K45:L45"/>
    <mergeCell ref="M45:N45"/>
    <mergeCell ref="A46:C46"/>
    <mergeCell ref="K46:L46"/>
    <mergeCell ref="M46:N46"/>
    <mergeCell ref="A47:C47"/>
    <mergeCell ref="K47:L47"/>
    <mergeCell ref="M47:N47"/>
    <mergeCell ref="A48:C48"/>
    <mergeCell ref="K48:L48"/>
    <mergeCell ref="M48:N48"/>
    <mergeCell ref="A49:C49"/>
    <mergeCell ref="K49:L49"/>
    <mergeCell ref="M49:N49"/>
    <mergeCell ref="A50:C50"/>
    <mergeCell ref="K50:L50"/>
    <mergeCell ref="M50:N50"/>
    <mergeCell ref="A51:C51"/>
    <mergeCell ref="K51:L51"/>
    <mergeCell ref="M51:N51"/>
    <mergeCell ref="A52:C52"/>
    <mergeCell ref="K52:L52"/>
    <mergeCell ref="M52:N52"/>
    <mergeCell ref="A53:C53"/>
    <mergeCell ref="K53:L53"/>
    <mergeCell ref="M53:N53"/>
    <mergeCell ref="A54:C54"/>
    <mergeCell ref="K54:L54"/>
    <mergeCell ref="M54:N54"/>
    <mergeCell ref="Q54:S54"/>
    <mergeCell ref="T54:V54"/>
    <mergeCell ref="W54:X54"/>
    <mergeCell ref="Y54:Z54"/>
    <mergeCell ref="AA54:AD54"/>
    <mergeCell ref="A55:C55"/>
    <mergeCell ref="Q55:S55"/>
    <mergeCell ref="T55:V55"/>
    <mergeCell ref="W55:X55"/>
    <mergeCell ref="Y55:Z55"/>
    <mergeCell ref="AA55:AD55"/>
    <mergeCell ref="A56:C56"/>
    <mergeCell ref="Q56:S56"/>
    <mergeCell ref="T56:V56"/>
    <mergeCell ref="W56:X56"/>
    <mergeCell ref="Y56:Z56"/>
    <mergeCell ref="AA56:AD56"/>
    <mergeCell ref="Q57:S57"/>
    <mergeCell ref="T57:V57"/>
    <mergeCell ref="W57:X57"/>
    <mergeCell ref="Y57:Z57"/>
    <mergeCell ref="AA57:AD57"/>
    <mergeCell ref="A58:C58"/>
    <mergeCell ref="D58:I58"/>
    <mergeCell ref="K58:N58"/>
    <mergeCell ref="Q58:S58"/>
    <mergeCell ref="T58:V58"/>
    <mergeCell ref="W58:X58"/>
    <mergeCell ref="Y58:Z58"/>
    <mergeCell ref="AA58:AD58"/>
    <mergeCell ref="A59:C59"/>
    <mergeCell ref="D59:E59"/>
    <mergeCell ref="F59:G59"/>
    <mergeCell ref="H59:I59"/>
    <mergeCell ref="K59:L59"/>
    <mergeCell ref="M59:N59"/>
    <mergeCell ref="Q59:S59"/>
    <mergeCell ref="T59:V59"/>
    <mergeCell ref="W59:X59"/>
    <mergeCell ref="Y59:Z59"/>
    <mergeCell ref="AA59:AD59"/>
    <mergeCell ref="A60:C60"/>
    <mergeCell ref="D60:E60"/>
    <mergeCell ref="F60:G60"/>
    <mergeCell ref="H60:I60"/>
    <mergeCell ref="K60:L60"/>
    <mergeCell ref="M60:N60"/>
    <mergeCell ref="Q60:S60"/>
    <mergeCell ref="T60:V60"/>
    <mergeCell ref="W60:X60"/>
    <mergeCell ref="Y60:Z60"/>
    <mergeCell ref="AA60:AD60"/>
    <mergeCell ref="A61:C61"/>
    <mergeCell ref="D61:E61"/>
    <mergeCell ref="F61:G61"/>
    <mergeCell ref="H61:I61"/>
    <mergeCell ref="K61:L61"/>
    <mergeCell ref="M61:N61"/>
    <mergeCell ref="Q61:S61"/>
    <mergeCell ref="T61:V61"/>
    <mergeCell ref="W61:X61"/>
    <mergeCell ref="Y61:Z61"/>
    <mergeCell ref="AA61:AD61"/>
    <mergeCell ref="A62:C62"/>
    <mergeCell ref="D62:E62"/>
    <mergeCell ref="F62:G62"/>
    <mergeCell ref="H62:I62"/>
    <mergeCell ref="K62:L62"/>
    <mergeCell ref="M62:N62"/>
    <mergeCell ref="Q62:S62"/>
    <mergeCell ref="T62:V62"/>
    <mergeCell ref="W62:X62"/>
    <mergeCell ref="Y62:Z62"/>
    <mergeCell ref="AA62:AD62"/>
    <mergeCell ref="A63:C63"/>
    <mergeCell ref="D63:E63"/>
    <mergeCell ref="F63:G63"/>
    <mergeCell ref="H63:I63"/>
    <mergeCell ref="K63:L63"/>
    <mergeCell ref="M63:N63"/>
    <mergeCell ref="Q63:S63"/>
    <mergeCell ref="T63:V63"/>
    <mergeCell ref="W63:X63"/>
    <mergeCell ref="Y63:Z63"/>
    <mergeCell ref="AA63:AD63"/>
    <mergeCell ref="A64:C64"/>
    <mergeCell ref="D64:E64"/>
    <mergeCell ref="F64:G64"/>
    <mergeCell ref="H64:I64"/>
    <mergeCell ref="K64:L64"/>
    <mergeCell ref="M64:N64"/>
    <mergeCell ref="Q64:S64"/>
    <mergeCell ref="T64:V64"/>
    <mergeCell ref="W64:X64"/>
    <mergeCell ref="Y64:Z64"/>
    <mergeCell ref="AA64:AD64"/>
    <mergeCell ref="A65:C65"/>
    <mergeCell ref="D65:E65"/>
    <mergeCell ref="F65:G65"/>
    <mergeCell ref="H65:I65"/>
    <mergeCell ref="K65:L65"/>
    <mergeCell ref="M65:N65"/>
    <mergeCell ref="Q65:S65"/>
    <mergeCell ref="T65:V65"/>
    <mergeCell ref="W65:X65"/>
    <mergeCell ref="Y65:Z65"/>
    <mergeCell ref="AA65:AD65"/>
    <mergeCell ref="A66:C66"/>
    <mergeCell ref="D66:E66"/>
    <mergeCell ref="F66:G66"/>
    <mergeCell ref="H66:I66"/>
    <mergeCell ref="K66:L66"/>
    <mergeCell ref="M66:N66"/>
    <mergeCell ref="Q66:S66"/>
    <mergeCell ref="T66:V66"/>
    <mergeCell ref="W66:X66"/>
    <mergeCell ref="Y66:Z66"/>
    <mergeCell ref="AA66:AD66"/>
    <mergeCell ref="A67:C67"/>
    <mergeCell ref="D67:E67"/>
    <mergeCell ref="F67:G67"/>
    <mergeCell ref="H67:I67"/>
    <mergeCell ref="K67:L67"/>
    <mergeCell ref="M67:N67"/>
    <mergeCell ref="Q67:S67"/>
    <mergeCell ref="T67:V67"/>
    <mergeCell ref="W67:X67"/>
    <mergeCell ref="Y67:Z67"/>
    <mergeCell ref="AA67:AD67"/>
    <mergeCell ref="A68:C68"/>
    <mergeCell ref="D68:E68"/>
    <mergeCell ref="F68:G68"/>
    <mergeCell ref="H68:I68"/>
    <mergeCell ref="K68:L68"/>
    <mergeCell ref="M68:N68"/>
    <mergeCell ref="Q68:S68"/>
    <mergeCell ref="T68:V68"/>
    <mergeCell ref="W68:X68"/>
    <mergeCell ref="Y68:Z68"/>
    <mergeCell ref="AA68:AD68"/>
    <mergeCell ref="A69:C69"/>
    <mergeCell ref="D69:E69"/>
    <mergeCell ref="F69:G69"/>
    <mergeCell ref="H69:I69"/>
    <mergeCell ref="K69:L69"/>
    <mergeCell ref="M69:N69"/>
    <mergeCell ref="Q69:S69"/>
    <mergeCell ref="T69:V69"/>
    <mergeCell ref="W69:X69"/>
    <mergeCell ref="Y69:Z69"/>
    <mergeCell ref="AA69:AD69"/>
    <mergeCell ref="Q70:S70"/>
    <mergeCell ref="T70:V70"/>
    <mergeCell ref="W70:X70"/>
    <mergeCell ref="Y70:Z70"/>
    <mergeCell ref="AA70:AD70"/>
    <mergeCell ref="A71:B72"/>
    <mergeCell ref="C71:E71"/>
    <mergeCell ref="F71:I71"/>
    <mergeCell ref="K71:N71"/>
    <mergeCell ref="Q71:S71"/>
    <mergeCell ref="T71:V71"/>
    <mergeCell ref="W71:X71"/>
    <mergeCell ref="Y71:Z71"/>
    <mergeCell ref="AA71:AD71"/>
    <mergeCell ref="K72:L72"/>
    <mergeCell ref="M72:N72"/>
    <mergeCell ref="A73:B73"/>
    <mergeCell ref="K73:L73"/>
    <mergeCell ref="M73:N73"/>
    <mergeCell ref="A74:B74"/>
    <mergeCell ref="K74:L74"/>
    <mergeCell ref="M74:N74"/>
    <mergeCell ref="A75:B75"/>
    <mergeCell ref="K75:L75"/>
    <mergeCell ref="M75:N75"/>
    <mergeCell ref="A76:B76"/>
    <mergeCell ref="K76:L76"/>
    <mergeCell ref="M76:N76"/>
    <mergeCell ref="A77:B77"/>
    <mergeCell ref="K77:L77"/>
    <mergeCell ref="M77:N77"/>
    <mergeCell ref="A78:B78"/>
    <mergeCell ref="K78:L78"/>
    <mergeCell ref="M78:N78"/>
    <mergeCell ref="A79:B79"/>
    <mergeCell ref="K79:L79"/>
    <mergeCell ref="M79:N79"/>
    <mergeCell ref="A80:B80"/>
    <mergeCell ref="K80:L80"/>
    <mergeCell ref="M80:N80"/>
    <mergeCell ref="A81:B81"/>
    <mergeCell ref="K81:L81"/>
    <mergeCell ref="M81:N81"/>
    <mergeCell ref="A82:B82"/>
    <mergeCell ref="K82:L82"/>
    <mergeCell ref="M82:N82"/>
    <mergeCell ref="A83:B83"/>
    <mergeCell ref="A84:B84"/>
    <mergeCell ref="K84:N84"/>
    <mergeCell ref="A85:B85"/>
    <mergeCell ref="K85:L85"/>
    <mergeCell ref="M85:N85"/>
    <mergeCell ref="A86:B86"/>
    <mergeCell ref="K86:L86"/>
    <mergeCell ref="M86:N86"/>
    <mergeCell ref="A87:B87"/>
    <mergeCell ref="K87:L87"/>
    <mergeCell ref="M87:N87"/>
    <mergeCell ref="A88:B88"/>
    <mergeCell ref="K88:L88"/>
    <mergeCell ref="M88:N88"/>
    <mergeCell ref="A89:B89"/>
    <mergeCell ref="K89:L89"/>
    <mergeCell ref="M89:N89"/>
    <mergeCell ref="A90:B90"/>
    <mergeCell ref="K90:L90"/>
    <mergeCell ref="M90:N90"/>
    <mergeCell ref="A91:B91"/>
    <mergeCell ref="K91:L91"/>
    <mergeCell ref="M91:N91"/>
    <mergeCell ref="K92:L92"/>
    <mergeCell ref="M92:N92"/>
    <mergeCell ref="C93:E93"/>
    <mergeCell ref="F93:I93"/>
    <mergeCell ref="K93:L93"/>
    <mergeCell ref="M93:N93"/>
    <mergeCell ref="K94:L94"/>
    <mergeCell ref="M94:N94"/>
    <mergeCell ref="K95:L95"/>
    <mergeCell ref="M95:N95"/>
  </mergeCells>
  <conditionalFormatting sqref="J29:M30">
    <cfRule type="containsText" priority="2" aboveAverage="0" equalAverage="0" bottom="0" percent="0" rank="0" text="ERROR" dxfId="1"/>
  </conditionalFormatting>
  <conditionalFormatting sqref="N9">
    <cfRule type="notContainsText" priority="3" aboveAverage="0" equalAverage="0" bottom="0" percent="0" rank="0" text="OUT" dxfId="0"/>
  </conditionalFormatting>
  <conditionalFormatting sqref="N9">
    <cfRule type="containsText" priority="4" aboveAverage="0" equalAverage="0" bottom="0" percent="0" rank="0" text="OUT" dxfId="1"/>
  </conditionalFormatting>
  <conditionalFormatting sqref="N8">
    <cfRule type="containsText" priority="5" aboveAverage="0" equalAverage="0" bottom="0" percent="0" rank="0" text="Win" dxfId="3"/>
  </conditionalFormatting>
  <conditionalFormatting sqref="N8">
    <cfRule type="containsText" priority="6" aboveAverage="0" equalAverage="0" bottom="0" percent="0" rank="0" text="Lose" dxfId="4"/>
  </conditionalFormatting>
  <conditionalFormatting sqref="M27">
    <cfRule type="cellIs" priority="7" operator="lessThanOrEqual" aboveAverage="0" equalAverage="0" bottom="0" percent="0" rank="0" text="" dxfId="4">
      <formula>0</formula>
    </cfRule>
  </conditionalFormatting>
  <conditionalFormatting sqref="M27">
    <cfRule type="cellIs" priority="8" operator="greaterThan" aboveAverage="0" equalAverage="0" bottom="0" percent="0" rank="0" text="" dxfId="3">
      <formula>0</formula>
    </cfRule>
  </conditionalFormatting>
  <conditionalFormatting sqref="A12:I22,A44:N54,A59:I69">
    <cfRule type="expression" priority="9" aboveAverage="0" equalAverage="0" bottom="0" percent="0" rank="0" text="" dxfId="0">
      <formula>AND(NOT(ISBLANK($A:$A)),$A:$A=$J$11)</formula>
    </cfRule>
  </conditionalFormatting>
  <conditionalFormatting sqref="A12:I22,A44:N54,A59:I69">
    <cfRule type="expression" priority="10" aboveAverage="0" equalAverage="0" bottom="0" percent="0" rank="0" text="" dxfId="1">
      <formula>AND(NOT(ISBLANK($A:$A)),$A:$A=$J$13)</formula>
    </cfRule>
  </conditionalFormatting>
  <conditionalFormatting sqref="A12:I22,A44:N54,A59:I69">
    <cfRule type="expression" priority="11" aboveAverage="0" equalAverage="0" bottom="0" percent="0" rank="0" text="" dxfId="1">
      <formula>AND(NOT(ISBLANK($A:$A)),$A:$A=$J$14)</formula>
    </cfRule>
  </conditionalFormatting>
  <printOptions headings="false" gridLines="false" gridLinesSet="true" horizontalCentered="false" verticalCentered="false"/>
  <pageMargins left="0.747916666666667" right="0.747916666666667" top="0.984027777777778" bottom="0.984027777777778" header="0.511805555555555" footer="0.511805555555555"/>
  <pageSetup paperSize="1" scale="100" firstPageNumber="0" fitToWidth="1" fitToHeight="1" pageOrder="downThenOver" orientation="portrait" usePrinterDefaults="false" blackAndWhite="false" draft="false" cellComments="none" useFirstPageNumber="false" horizontalDpi="300" verticalDpi="300" copies="1"/>
  <headerFooter differentFirst="false" differentOddEven="false">
    <oddHeader/>
    <oddFooter/>
  </headerFooter>
  <drawing r:id="rId1"/>
</worksheet>
</file>

<file path=xl/worksheets/sheet17.xml><?xml version="1.0" encoding="utf-8"?>
<worksheet xmlns="http://schemas.openxmlformats.org/spreadsheetml/2006/main" xmlns:r="http://schemas.openxmlformats.org/officeDocument/2006/relationships">
  <sheetPr filterMode="false">
    <tabColor rgb="FF6D9EEB"/>
    <pageSetUpPr fitToPage="false"/>
  </sheetPr>
  <dimension ref="A1:AE100"/>
  <sheetViews>
    <sheetView windowProtection="false"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A1" activeCellId="0" sqref="A1"/>
    </sheetView>
  </sheetViews>
  <sheetFormatPr defaultRowHeight="15.75"/>
  <cols>
    <col collapsed="false" hidden="false" max="2" min="1" style="0" width="10.6632653061225"/>
    <col collapsed="false" hidden="false" max="14" min="3" style="0" width="7.1530612244898"/>
    <col collapsed="false" hidden="false" max="15" min="15" style="0" width="1.48469387755102"/>
    <col collapsed="false" hidden="true" max="31" min="16" style="0" width="0"/>
    <col collapsed="false" hidden="false" max="1025" min="32" style="0" width="14.1734693877551"/>
  </cols>
  <sheetData>
    <row r="1" customFormat="false" ht="15.75" hidden="false" customHeight="false" outlineLevel="0" collapsed="false">
      <c r="A1" s="765" t="s">
        <v>466</v>
      </c>
      <c r="B1" s="765"/>
      <c r="C1" s="765"/>
      <c r="D1" s="765"/>
      <c r="E1" s="766" t="s">
        <v>2038</v>
      </c>
      <c r="F1" s="766"/>
      <c r="G1" s="767" t="s">
        <v>2107</v>
      </c>
      <c r="H1" s="767"/>
      <c r="I1" s="767"/>
      <c r="J1" s="767"/>
      <c r="K1" s="768" t="s">
        <v>2040</v>
      </c>
      <c r="L1" s="769" t="s">
        <v>718</v>
      </c>
      <c r="M1" s="769"/>
      <c r="N1" s="769"/>
      <c r="O1" s="44"/>
      <c r="P1" s="44"/>
      <c r="Q1" s="770" t="e">
        <f aca="false">flg!$l$1</f>
        <v>#NAME?</v>
      </c>
      <c r="R1" s="341" t="s">
        <v>1681</v>
      </c>
      <c r="S1" s="341"/>
      <c r="T1" s="771"/>
      <c r="U1" s="771"/>
      <c r="V1" s="771"/>
      <c r="W1" s="771"/>
      <c r="X1" s="771"/>
      <c r="Y1" s="771"/>
      <c r="Z1" s="771"/>
      <c r="AA1" s="771"/>
      <c r="AB1" s="771"/>
      <c r="AC1" s="771"/>
      <c r="AD1" s="771"/>
      <c r="AE1" s="771"/>
    </row>
    <row r="2" customFormat="false" ht="15.75" hidden="false" customHeight="false" outlineLevel="0" collapsed="false">
      <c r="A2" s="765"/>
      <c r="B2" s="765"/>
      <c r="C2" s="765"/>
      <c r="D2" s="765"/>
      <c r="E2" s="772" t="s">
        <v>2041</v>
      </c>
      <c r="F2" s="772"/>
      <c r="G2" s="773" t="s">
        <v>2108</v>
      </c>
      <c r="H2" s="773"/>
      <c r="I2" s="773"/>
      <c r="J2" s="773"/>
      <c r="K2" s="773"/>
      <c r="L2" s="773"/>
      <c r="M2" s="773"/>
      <c r="N2" s="773"/>
      <c r="O2" s="44"/>
      <c r="P2" s="44"/>
      <c r="Q2" s="774" t="e">
        <f aca="false">fst!$l$1</f>
        <v>#NAME?</v>
      </c>
      <c r="R2" s="386" t="str">
        <f aca="false">IFERROR(__xludf.dummyfunction("{ if(isna(FILTER(MoveDex!$T:$T,MoveDex!$S:$S=$L$1)),,FILTER(MoveDex!$T:$T,MoveDex!$S:$S=$L$1)) ; if(isna(FILTER(MoveDex!$X:$X,MoveDex!$W:$W=$L$1)),,FILTER(MoveDex!$X:$X,MoveDex!$W:$W=$L$1)) ; if(isna(FILTER(MoveDex!$AB:$AB,MoveDex!$AA:$AA=$L$1)),,FILTER(M"&amp;"oveDex!$AB:$AB,MoveDex!$AA:$AA=$L$1)) ; if(isna(FILTER(MoveDex!$AF:$AF,MoveDex!$AE:$AE=$L$1)),,FILTER(MoveDex!$AF:$AF,MoveDex!$AE:$AE=$L$1)) }"),"Garchomp")</f>
        <v>Garchomp</v>
      </c>
      <c r="S2" s="386" t="str">
        <f aca="false">IFERROR(__xludf.dummyfunction("{ if(isna(FILTER(MoveDex!$U:$U,MoveDex!$S:$S=$L$1)),,FILTER(MoveDex!$U:$U,MoveDex!$S:$S=$L$1)) ; if(isna(FILTER(MoveDex!$Y:$Y,MoveDex!$W:$W=$L$1)),,FILTER(MoveDex!$Y:$Y,MoveDex!$W:$W=$L$1)) ; if(isna(FILTER(MoveDex!$AC:$AC,MoveDex!$AA:$AA=$L$1)),,FILTER(M"&amp;"oveDex!$AC:$AC,MoveDex!$AA:$AA=$L$1)) ; if(isna(FILTER(MoveDex!$AG:$AG,MoveDex!$AE:$AE=$L$1)),,FILTER(MoveDex!$AG:$AG,MoveDex!$AE:$AE=$L$1)) }"),"Stealth Rock")</f>
        <v>Stealth Rock</v>
      </c>
      <c r="T2" s="777"/>
      <c r="U2" s="777"/>
      <c r="V2" s="777"/>
      <c r="W2" s="777"/>
      <c r="X2" s="777"/>
      <c r="Y2" s="777"/>
      <c r="Z2" s="777"/>
      <c r="AA2" s="777"/>
      <c r="AB2" s="777"/>
      <c r="AC2" s="777"/>
      <c r="AD2" s="777"/>
      <c r="AE2" s="777"/>
    </row>
    <row r="3" customFormat="false" ht="15.75" hidden="false" customHeight="false" outlineLevel="0" collapsed="false">
      <c r="A3" s="765"/>
      <c r="B3" s="765"/>
      <c r="C3" s="765"/>
      <c r="D3" s="765"/>
      <c r="E3" s="772" t="s">
        <v>2043</v>
      </c>
      <c r="F3" s="772"/>
      <c r="G3" s="773" t="s">
        <v>67</v>
      </c>
      <c r="H3" s="773"/>
      <c r="I3" s="773"/>
      <c r="J3" s="773"/>
      <c r="K3" s="773"/>
      <c r="L3" s="773"/>
      <c r="M3" s="773"/>
      <c r="N3" s="773"/>
      <c r="O3" s="44"/>
      <c r="P3" s="44"/>
      <c r="Q3" s="774" t="e">
        <f aca="false">phi!$l$1</f>
        <v>#NAME?</v>
      </c>
      <c r="R3" s="778" t="s">
        <v>256</v>
      </c>
      <c r="S3" s="511" t="s">
        <v>1106</v>
      </c>
      <c r="T3" s="638"/>
      <c r="U3" s="638"/>
      <c r="V3" s="638"/>
      <c r="W3" s="638"/>
      <c r="X3" s="638"/>
      <c r="Y3" s="638"/>
      <c r="Z3" s="638"/>
      <c r="AA3" s="638"/>
      <c r="AB3" s="638"/>
      <c r="AC3" s="638"/>
      <c r="AD3" s="638"/>
      <c r="AE3" s="638"/>
    </row>
    <row r="4" customFormat="false" ht="15.75" hidden="false" customHeight="false" outlineLevel="0" collapsed="false">
      <c r="A4" s="765"/>
      <c r="B4" s="765"/>
      <c r="C4" s="765"/>
      <c r="D4" s="765"/>
      <c r="E4" s="772" t="s">
        <v>2044</v>
      </c>
      <c r="F4" s="772"/>
      <c r="G4" s="773" t="s">
        <v>2103</v>
      </c>
      <c r="H4" s="773"/>
      <c r="I4" s="773"/>
      <c r="J4" s="773"/>
      <c r="K4" s="773"/>
      <c r="L4" s="773"/>
      <c r="M4" s="773"/>
      <c r="N4" s="773"/>
      <c r="O4" s="44"/>
      <c r="P4" s="44"/>
      <c r="Q4" s="774" t="e">
        <f aca="false">stl!$l$1</f>
        <v>#NAME?</v>
      </c>
      <c r="R4" s="778" t="s">
        <v>247</v>
      </c>
      <c r="S4" s="511" t="s">
        <v>1107</v>
      </c>
      <c r="T4" s="638"/>
      <c r="U4" s="638"/>
      <c r="V4" s="638"/>
      <c r="W4" s="638"/>
      <c r="X4" s="638"/>
      <c r="Y4" s="638"/>
      <c r="Z4" s="638"/>
      <c r="AA4" s="638"/>
      <c r="AB4" s="638"/>
      <c r="AC4" s="638"/>
      <c r="AD4" s="638"/>
      <c r="AE4" s="638"/>
    </row>
    <row r="5" customFormat="false" ht="15.75" hidden="false" customHeight="false" outlineLevel="0" collapsed="false">
      <c r="A5" s="765"/>
      <c r="B5" s="765"/>
      <c r="C5" s="765"/>
      <c r="D5" s="765"/>
      <c r="E5" s="772" t="s">
        <v>2046</v>
      </c>
      <c r="F5" s="772"/>
      <c r="G5" s="773" t="s">
        <v>2109</v>
      </c>
      <c r="H5" s="773"/>
      <c r="I5" s="773"/>
      <c r="J5" s="773"/>
      <c r="K5" s="773"/>
      <c r="L5" s="773"/>
      <c r="M5" s="773"/>
      <c r="N5" s="773"/>
      <c r="O5" s="44"/>
      <c r="P5" s="44"/>
      <c r="Q5" s="779" t="e">
        <f aca="false">bor!$l$1</f>
        <v>#NAME?</v>
      </c>
      <c r="R5" s="778" t="s">
        <v>69</v>
      </c>
      <c r="S5" s="511" t="s">
        <v>1107</v>
      </c>
      <c r="T5" s="638"/>
      <c r="U5" s="638"/>
      <c r="V5" s="638"/>
      <c r="W5" s="638"/>
      <c r="X5" s="638"/>
      <c r="Y5" s="638"/>
      <c r="Z5" s="638"/>
      <c r="AA5" s="638"/>
      <c r="AB5" s="638"/>
      <c r="AC5" s="638"/>
      <c r="AD5" s="638"/>
      <c r="AE5" s="638"/>
    </row>
    <row r="6" customFormat="false" ht="15.75" hidden="false" customHeight="false" outlineLevel="0" collapsed="false">
      <c r="A6" s="765"/>
      <c r="B6" s="765"/>
      <c r="C6" s="765"/>
      <c r="D6" s="765"/>
      <c r="E6" s="772" t="s">
        <v>2048</v>
      </c>
      <c r="F6" s="772"/>
      <c r="G6" s="773" t="s">
        <v>2110</v>
      </c>
      <c r="H6" s="773"/>
      <c r="I6" s="773"/>
      <c r="J6" s="773"/>
      <c r="K6" s="773"/>
      <c r="L6" s="773"/>
      <c r="M6" s="773"/>
      <c r="N6" s="773"/>
      <c r="O6" s="44"/>
      <c r="P6" s="44"/>
      <c r="Q6" s="779" t="e">
        <f aca="false">pit!$l$1</f>
        <v>#NAME?</v>
      </c>
      <c r="R6" s="778" t="s">
        <v>247</v>
      </c>
      <c r="S6" s="511" t="s">
        <v>1108</v>
      </c>
      <c r="T6" s="638"/>
      <c r="U6" s="638"/>
      <c r="V6" s="638"/>
      <c r="W6" s="638"/>
      <c r="X6" s="638"/>
      <c r="Y6" s="638"/>
      <c r="Z6" s="638"/>
      <c r="AA6" s="638"/>
      <c r="AB6" s="638"/>
      <c r="AC6" s="638"/>
      <c r="AD6" s="638"/>
      <c r="AE6" s="638"/>
    </row>
    <row r="7" customFormat="false" ht="15.75" hidden="false" customHeight="false" outlineLevel="0" collapsed="false">
      <c r="A7" s="765"/>
      <c r="B7" s="765"/>
      <c r="C7" s="765"/>
      <c r="D7" s="765"/>
      <c r="E7" s="780" t="s">
        <v>2050</v>
      </c>
      <c r="F7" s="780"/>
      <c r="G7" s="781" t="s">
        <v>2111</v>
      </c>
      <c r="H7" s="781"/>
      <c r="I7" s="781"/>
      <c r="J7" s="781"/>
      <c r="K7" s="781"/>
      <c r="L7" s="781"/>
      <c r="M7" s="781"/>
      <c r="N7" s="781"/>
      <c r="O7" s="44"/>
      <c r="P7" s="44"/>
      <c r="Q7" s="779" t="e">
        <f aca="false">sfa!$l$1</f>
        <v>#NAME?</v>
      </c>
      <c r="R7" s="778" t="s">
        <v>69</v>
      </c>
      <c r="S7" s="511" t="s">
        <v>1108</v>
      </c>
      <c r="T7" s="638"/>
      <c r="U7" s="638"/>
      <c r="V7" s="638"/>
      <c r="W7" s="638"/>
      <c r="X7" s="638"/>
      <c r="Y7" s="638"/>
      <c r="Z7" s="638"/>
      <c r="AA7" s="638"/>
      <c r="AB7" s="638"/>
      <c r="AC7" s="638"/>
      <c r="AD7" s="638"/>
      <c r="AE7" s="638"/>
    </row>
    <row r="8" customFormat="false" ht="15.75" hidden="false" customHeight="false" outlineLevel="0" collapsed="false">
      <c r="A8" s="765"/>
      <c r="B8" s="765"/>
      <c r="C8" s="765"/>
      <c r="D8" s="765"/>
      <c r="E8" s="782" t="s">
        <v>2051</v>
      </c>
      <c r="F8" s="783" t="n">
        <f aca="false">COUNTIF(MatchSource!W3:W19, "WIN")</f>
        <v>8</v>
      </c>
      <c r="G8" s="784" t="s">
        <v>2052</v>
      </c>
      <c r="H8" s="785" t="n">
        <f aca="false">COUNTIF(MatchSource!W3:W19, "LOSE")</f>
        <v>9</v>
      </c>
      <c r="I8" s="786" t="s">
        <v>2053</v>
      </c>
      <c r="J8" s="787" t="n">
        <f aca="false">MatchSource!W44</f>
        <v>2</v>
      </c>
      <c r="K8" s="88" t="s">
        <v>2054</v>
      </c>
      <c r="L8" s="788" t="n">
        <f aca="false">COUNTIF(MatchSource!W3:W19, "DNP")</f>
        <v>0</v>
      </c>
      <c r="M8" s="562" t="s">
        <v>2055</v>
      </c>
      <c r="N8" s="789" t="str">
        <f aca="false">MatchSource!W23</f>
        <v>Lose-3</v>
      </c>
      <c r="O8" s="44"/>
      <c r="P8" s="44"/>
      <c r="Q8" s="779" t="e">
        <f aca="false">tbl!$l$1</f>
        <v>#NAME?</v>
      </c>
      <c r="R8" s="790" t="s">
        <v>251</v>
      </c>
      <c r="S8" s="791" t="s">
        <v>1109</v>
      </c>
      <c r="T8" s="792"/>
      <c r="U8" s="792"/>
      <c r="V8" s="792"/>
      <c r="W8" s="792"/>
      <c r="X8" s="792"/>
      <c r="Y8" s="792"/>
      <c r="Z8" s="792"/>
      <c r="AA8" s="792"/>
      <c r="AB8" s="792"/>
      <c r="AC8" s="792"/>
      <c r="AD8" s="792"/>
      <c r="AE8" s="792"/>
    </row>
    <row r="9" customFormat="false" ht="15.75" hidden="false" customHeight="false" outlineLevel="0" collapsed="false">
      <c r="A9" s="793" t="str">
        <f aca="false">$G$1</f>
        <v>Battlin Brelooms</v>
      </c>
      <c r="B9" s="793"/>
      <c r="C9" s="793"/>
      <c r="D9" s="793"/>
      <c r="E9" s="794" t="s">
        <v>171</v>
      </c>
      <c r="F9" s="795" t="n">
        <v>5</v>
      </c>
      <c r="G9" s="794" t="s">
        <v>172</v>
      </c>
      <c r="H9" s="795" t="n">
        <v>3</v>
      </c>
      <c r="I9" s="938" t="e">
        <f aca="false">CONCATENATE("Currently #",MATCH($G$1,Main!$A$8:$A$11,0)," in Showdown Conference")</f>
        <v>#N/A</v>
      </c>
      <c r="J9" s="938"/>
      <c r="K9" s="938"/>
      <c r="L9" s="938"/>
      <c r="M9" s="797" t="s">
        <v>2056</v>
      </c>
      <c r="N9" s="798" t="e">
        <f aca="false" t="array" ref="N9:N9">INDEX(Main!$L$3:$O$11,MATCH($G$1,Main!$M$3:$M$11,0),1)</f>
        <v>#N/A</v>
      </c>
      <c r="O9" s="44"/>
      <c r="P9" s="44"/>
      <c r="Q9" s="799" t="str">
        <f aca="false">BBG!$L$1</f>
        <v>BBG</v>
      </c>
      <c r="R9" s="790"/>
      <c r="S9" s="791"/>
      <c r="T9" s="792"/>
      <c r="U9" s="792"/>
      <c r="V9" s="792"/>
      <c r="W9" s="792"/>
      <c r="X9" s="792"/>
      <c r="Y9" s="792"/>
      <c r="Z9" s="792"/>
      <c r="AA9" s="792"/>
      <c r="AB9" s="792"/>
      <c r="AC9" s="792"/>
      <c r="AD9" s="792"/>
      <c r="AE9" s="792"/>
    </row>
    <row r="10" customFormat="false" ht="15.75" hidden="false" customHeight="false" outlineLevel="0" collapsed="false">
      <c r="A10" s="800" t="s">
        <v>2057</v>
      </c>
      <c r="B10" s="800"/>
      <c r="C10" s="801" t="s">
        <v>2058</v>
      </c>
      <c r="D10" s="801"/>
      <c r="E10" s="801"/>
      <c r="F10" s="801"/>
      <c r="G10" s="801"/>
      <c r="H10" s="801"/>
      <c r="I10" s="801"/>
      <c r="J10" s="802" t="s">
        <v>264</v>
      </c>
      <c r="K10" s="802"/>
      <c r="L10" s="802"/>
      <c r="M10" s="802"/>
      <c r="N10" s="44"/>
      <c r="O10" s="44"/>
      <c r="P10" s="44"/>
      <c r="Q10" s="799" t="str">
        <f aca="false">SEA!$L$1</f>
        <v>SEA</v>
      </c>
      <c r="R10" s="790"/>
      <c r="S10" s="791"/>
      <c r="T10" s="792"/>
      <c r="U10" s="792"/>
      <c r="V10" s="792"/>
      <c r="W10" s="792"/>
      <c r="X10" s="792"/>
      <c r="Y10" s="792"/>
      <c r="Z10" s="792"/>
      <c r="AA10" s="792"/>
      <c r="AB10" s="792"/>
      <c r="AC10" s="792"/>
      <c r="AD10" s="792"/>
    </row>
    <row r="11" customFormat="false" ht="15.75" hidden="false" customHeight="false" outlineLevel="0" collapsed="false">
      <c r="A11" s="800"/>
      <c r="B11" s="800"/>
      <c r="C11" s="803" t="s">
        <v>2059</v>
      </c>
      <c r="D11" s="804" t="s">
        <v>5</v>
      </c>
      <c r="E11" s="805" t="s">
        <v>6</v>
      </c>
      <c r="F11" s="806" t="s">
        <v>170</v>
      </c>
      <c r="G11" s="807" t="s">
        <v>191</v>
      </c>
      <c r="H11" s="808" t="s">
        <v>7</v>
      </c>
      <c r="I11" s="809" t="s">
        <v>2060</v>
      </c>
      <c r="J11" s="810" t="str">
        <f aca="false">DraftRosters!$R$16</f>
        <v>Scolipede</v>
      </c>
      <c r="K11" s="810"/>
      <c r="L11" s="810"/>
      <c r="M11" s="810"/>
      <c r="N11" s="44"/>
      <c r="O11" s="44"/>
      <c r="P11" s="44"/>
      <c r="Q11" s="799" t="str">
        <f aca="false">JVJ!$L$1</f>
        <v>JVJ</v>
      </c>
      <c r="R11" s="790"/>
      <c r="S11" s="791"/>
      <c r="T11" s="792"/>
      <c r="U11" s="792"/>
      <c r="V11" s="792"/>
      <c r="W11" s="792"/>
      <c r="X11" s="792"/>
      <c r="Y11" s="792"/>
      <c r="Z11" s="792"/>
      <c r="AA11" s="792"/>
      <c r="AB11" s="792"/>
      <c r="AC11" s="792"/>
      <c r="AD11" s="792"/>
    </row>
    <row r="12" customFormat="false" ht="15.75" hidden="false" customHeight="false" outlineLevel="0" collapsed="false">
      <c r="A12" s="811" t="str">
        <f aca="false">IFERROR(__xludf.dummyfunction("if(isna(filter(DraftRosters!$R$4:$R$14,not(isblank(DraftRosters!$R$4:$R$14)))), ""NONE DRAFTED"", filter(DraftRosters!$R$4:$R$14,not(isblank(DraftRosters!$R$4:$R$14))))"),"Garchomp")</f>
        <v>Garchomp</v>
      </c>
      <c r="B12" s="811"/>
      <c r="C12" s="812" t="str">
        <f aca="false" t="array" ref="C12:C12">IF(ISNA(INDEX(Pokedex!J$2:J$610,MATCH($A12,Pokedex!$B$2:$B$610,0))),"-",INDEX(Pokedex!J$2:J$610,MATCH($A12,Pokedex!$B$2:$B$610,0)))</f>
        <v>Tier 1</v>
      </c>
      <c r="D12" s="813" t="n">
        <f aca="false" t="array" ref="D12:D12">IF(ISNA(INDEX(Pokedex!E$2:E$610,MATCH($A12,Pokedex!$B$2:$B$610,0))),"-",INDEX(Pokedex!E$2:E$610,MATCH($A12,Pokedex!$B$2:$B$610,0)))</f>
        <v>0</v>
      </c>
      <c r="E12" s="813" t="n">
        <f aca="false" t="array" ref="E12:E12">IF(ISNA(INDEX(Pokedex!F$2:F$610,MATCH($A12,Pokedex!$B$2:$B$610,0))),"-",INDEX(Pokedex!F$2:F$610,MATCH($A12,Pokedex!$B$2:$B$610,0)))</f>
        <v>0</v>
      </c>
      <c r="F12" s="814" t="e">
        <f aca="false" t="array" ref="F12:F12">IF(ISNA(INDEX(Pokedex!G$2:G$610,MATCH($A12,Pokedex!$B$2:$B$610,0))),"-",INDEX(Pokedex!G$2:G$610,MATCH($A12,Pokedex!$B$2:$B$610,0)))</f>
        <v>#NAME?</v>
      </c>
      <c r="G12" s="814" t="n">
        <f aca="false" t="array" ref="G12:G12">IF(ISNA(INDEX(Pokedex!H$2:H$610,MATCH($A12,Pokedex!$B$2:$B$610,0))),"-",INDEX(Pokedex!H$2:H$610,MATCH($A12,Pokedex!$B$2:$B$610,0)))</f>
        <v>7</v>
      </c>
      <c r="H12" s="813" t="n">
        <f aca="false" t="array" ref="H12:H12">IF(ISNA(INDEX(Pokedex!I$2:I$610,MATCH($A12,Pokedex!$B$2:$B$610,0))),"-",INDEX(Pokedex!I$2:I$610,MATCH($A12,Pokedex!$B$2:$B$610,0)))</f>
        <v>0</v>
      </c>
      <c r="I12" s="815" t="n">
        <f aca="false" t="array" ref="I12:I12">IF(ISNA(INDEX(ExpandedStats!$A$3:$A$240,MATCH($A12,ExpandedStats!$C$3:$C$240,0))),"-",INDEX(ExpandedStats!$A$3:$A$240,MATCH($A12,ExpandedStats!$C$3:$C$240,0)))</f>
        <v>6</v>
      </c>
      <c r="J12" s="816" t="s">
        <v>2061</v>
      </c>
      <c r="K12" s="816"/>
      <c r="L12" s="816"/>
      <c r="M12" s="816"/>
      <c r="N12" s="44"/>
      <c r="O12" s="44"/>
      <c r="P12" s="44"/>
      <c r="Q12" s="799" t="str">
        <f aca="false">KKS!$L$1</f>
        <v>KKS</v>
      </c>
      <c r="R12" s="790"/>
      <c r="S12" s="791"/>
      <c r="T12" s="792"/>
      <c r="U12" s="792"/>
      <c r="V12" s="792"/>
      <c r="W12" s="792"/>
      <c r="X12" s="792"/>
      <c r="Y12" s="792"/>
      <c r="Z12" s="792"/>
      <c r="AA12" s="792"/>
      <c r="AB12" s="792"/>
      <c r="AC12" s="792"/>
      <c r="AD12" s="792"/>
    </row>
    <row r="13" customFormat="false" ht="15.75" hidden="false" customHeight="false" outlineLevel="0" collapsed="false">
      <c r="A13" s="817" t="s">
        <v>67</v>
      </c>
      <c r="B13" s="817"/>
      <c r="C13" s="818" t="str">
        <f aca="false" t="array" ref="C13:C13">IF(ISNA(INDEX(Pokedex!J$2:J$610,MATCH($A13,Pokedex!$B$2:$B$610,0))),"-",INDEX(Pokedex!J$2:J$610,MATCH($A13,Pokedex!$B$2:$B$610,0)))</f>
        <v>Tier 2</v>
      </c>
      <c r="D13" s="50" t="n">
        <f aca="false" t="array" ref="D13:D13">IF(ISNA(INDEX(Pokedex!E$2:E$610,MATCH($A13,Pokedex!$B$2:$B$610,0))),"-",INDEX(Pokedex!E$2:E$610,MATCH($A13,Pokedex!$B$2:$B$610,0)))</f>
        <v>0</v>
      </c>
      <c r="E13" s="50" t="n">
        <f aca="false" t="array" ref="E13:E13">IF(ISNA(INDEX(Pokedex!F$2:F$610,MATCH($A13,Pokedex!$B$2:$B$610,0))),"-",INDEX(Pokedex!F$2:F$610,MATCH($A13,Pokedex!$B$2:$B$610,0)))</f>
        <v>0</v>
      </c>
      <c r="F13" s="469" t="e">
        <f aca="false" t="array" ref="F13:F13">IF(ISNA(INDEX(Pokedex!G$2:G$610,MATCH($A13,Pokedex!$B$2:$B$610,0))),"-",INDEX(Pokedex!G$2:G$610,MATCH($A13,Pokedex!$B$2:$B$610,0)))</f>
        <v>#NAME?</v>
      </c>
      <c r="G13" s="50" t="n">
        <f aca="false" t="array" ref="G13:G13">IF(ISNA(INDEX(Pokedex!H$2:H$610,MATCH($A13,Pokedex!$B$2:$B$610,0))),"-",INDEX(Pokedex!H$2:H$610,MATCH($A13,Pokedex!$B$2:$B$610,0)))</f>
        <v>7</v>
      </c>
      <c r="H13" s="477" t="n">
        <f aca="false" t="array" ref="H13:H13">IF(ISNA(INDEX(Pokedex!I$2:I$610,MATCH($A13,Pokedex!$B$2:$B$610,0))),"-",INDEX(Pokedex!I$2:I$610,MATCH($A13,Pokedex!$B$2:$B$610,0)))</f>
        <v>0</v>
      </c>
      <c r="I13" s="477" t="n">
        <f aca="false" t="array" ref="I13:I13">IF(ISNA(INDEX(ExpandedStats!$A$3:$A$240,MATCH($A13,ExpandedStats!$C$3:$C$240,0))),"-",INDEX(ExpandedStats!$A$3:$A$240,MATCH($A13,ExpandedStats!$C$3:$C$240,0)))</f>
        <v>26</v>
      </c>
      <c r="J13" s="819" t="str">
        <f aca="false">DraftRosters!$R$18</f>
        <v>Araquanid</v>
      </c>
      <c r="K13" s="819"/>
      <c r="L13" s="819"/>
      <c r="M13" s="819"/>
      <c r="N13" s="44"/>
      <c r="O13" s="44"/>
      <c r="P13" s="44"/>
      <c r="Q13" s="83" t="str">
        <f aca="false">LVC!$L$1</f>
        <v>LVC</v>
      </c>
      <c r="R13" s="820"/>
      <c r="S13" s="821"/>
      <c r="T13" s="792"/>
      <c r="U13" s="792"/>
      <c r="V13" s="792"/>
      <c r="W13" s="792"/>
      <c r="X13" s="792"/>
      <c r="Y13" s="792"/>
      <c r="Z13" s="792"/>
      <c r="AA13" s="792"/>
      <c r="AB13" s="792"/>
      <c r="AC13" s="792"/>
      <c r="AD13" s="792"/>
    </row>
    <row r="14" customFormat="false" ht="15.75" hidden="false" customHeight="false" outlineLevel="0" collapsed="false">
      <c r="A14" s="817" t="s">
        <v>247</v>
      </c>
      <c r="B14" s="817"/>
      <c r="C14" s="818" t="str">
        <f aca="false" t="array" ref="C14:C14">IF(ISNA(INDEX(Pokedex!J$2:J$610,MATCH($A14,Pokedex!$B$2:$B$610,0))),"-",INDEX(Pokedex!J$2:J$610,MATCH($A14,Pokedex!$B$2:$B$610,0)))</f>
        <v>Tier 3</v>
      </c>
      <c r="D14" s="51" t="str">
        <f aca="false" t="array" ref="D14:D14">IF(ISNA(INDEX(Pokedex!E$2:E$610,MATCH($A14,Pokedex!$B$2:$B$610,0))),"-",INDEX(Pokedex!E$2:E$610,MATCH($A14,Pokedex!$B$2:$B$610,0)))</f>
        <v>-</v>
      </c>
      <c r="E14" s="50" t="str">
        <f aca="false" t="array" ref="E14:E14">IF(ISNA(INDEX(Pokedex!F$2:F$610,MATCH($A14,Pokedex!$B$2:$B$610,0))),"-",INDEX(Pokedex!F$2:F$610,MATCH($A14,Pokedex!$B$2:$B$610,0)))</f>
        <v>-</v>
      </c>
      <c r="F14" s="469" t="str">
        <f aca="false" t="array" ref="F14:F14">IF(ISNA(INDEX(Pokedex!G$2:G$610,MATCH($A14,Pokedex!$B$2:$B$610,0))),"-",INDEX(Pokedex!G$2:G$610,MATCH($A14,Pokedex!$B$2:$B$610,0)))</f>
        <v>-</v>
      </c>
      <c r="G14" s="50" t="n">
        <f aca="false" t="array" ref="G14:G14">IF(ISNA(INDEX(Pokedex!H$2:H$610,MATCH($A14,Pokedex!$B$2:$B$610,0))),"-",INDEX(Pokedex!H$2:H$610,MATCH($A14,Pokedex!$B$2:$B$610,0)))</f>
        <v>0</v>
      </c>
      <c r="H14" s="477" t="n">
        <f aca="false" t="array" ref="H14:H14">IF(ISNA(INDEX(Pokedex!I$2:I$610,MATCH($A14,Pokedex!$B$2:$B$610,0))),"-",INDEX(Pokedex!I$2:I$610,MATCH($A14,Pokedex!$B$2:$B$610,0)))</f>
        <v>0</v>
      </c>
      <c r="I14" s="727" t="str">
        <f aca="false" t="array" ref="I14:I14">IF(ISNA(INDEX(ExpandedStats!$A$3:$A$240,MATCH($A14,ExpandedStats!$C$3:$C$240,0))),"-",INDEX(ExpandedStats!$A$3:$A$240,MATCH($A14,ExpandedStats!$C$3:$C$240,0)))</f>
        <v>-</v>
      </c>
      <c r="J14" s="810" t="str">
        <f aca="false">DraftRosters!$R$19</f>
        <v>Decidueye</v>
      </c>
      <c r="K14" s="810"/>
      <c r="L14" s="810"/>
      <c r="M14" s="810"/>
      <c r="N14" s="44"/>
      <c r="O14" s="44"/>
      <c r="P14" s="44"/>
      <c r="Q14" s="331" t="str">
        <f aca="false">BTB!$L$1</f>
        <v>BTB</v>
      </c>
      <c r="R14" s="822"/>
      <c r="S14" s="792"/>
      <c r="T14" s="792"/>
      <c r="U14" s="792"/>
      <c r="V14" s="792"/>
      <c r="W14" s="792"/>
      <c r="X14" s="792"/>
      <c r="Y14" s="792"/>
      <c r="Z14" s="792"/>
      <c r="AA14" s="792"/>
      <c r="AB14" s="792"/>
      <c r="AC14" s="792"/>
      <c r="AD14" s="792"/>
    </row>
    <row r="15" customFormat="false" ht="15.75" hidden="false" customHeight="false" outlineLevel="0" collapsed="false">
      <c r="A15" s="817" t="s">
        <v>65</v>
      </c>
      <c r="B15" s="817"/>
      <c r="C15" s="818" t="str">
        <f aca="false" t="array" ref="C15:C15">IF(ISNA(INDEX(Pokedex!J$2:J$610,MATCH($A15,Pokedex!$B$2:$B$610,0))),"-",INDEX(Pokedex!J$2:J$610,MATCH($A15,Pokedex!$B$2:$B$610,0)))</f>
        <v>Tier 3</v>
      </c>
      <c r="D15" s="50" t="n">
        <f aca="false" t="array" ref="D15:D15">IF(ISNA(INDEX(Pokedex!E$2:E$610,MATCH($A15,Pokedex!$B$2:$B$610,0))),"-",INDEX(Pokedex!E$2:E$610,MATCH($A15,Pokedex!$B$2:$B$610,0)))</f>
        <v>0</v>
      </c>
      <c r="E15" s="50" t="n">
        <f aca="false" t="array" ref="E15:E15">IF(ISNA(INDEX(Pokedex!F$2:F$610,MATCH($A15,Pokedex!$B$2:$B$610,0))),"-",INDEX(Pokedex!F$2:F$610,MATCH($A15,Pokedex!$B$2:$B$610,0)))</f>
        <v>0</v>
      </c>
      <c r="F15" s="469" t="e">
        <f aca="false" t="array" ref="F15:F15">IF(ISNA(INDEX(Pokedex!G$2:G$610,MATCH($A15,Pokedex!$B$2:$B$610,0))),"-",INDEX(Pokedex!G$2:G$610,MATCH($A15,Pokedex!$B$2:$B$610,0)))</f>
        <v>#NAME?</v>
      </c>
      <c r="G15" s="50" t="n">
        <f aca="false" t="array" ref="G15:G15">IF(ISNA(INDEX(Pokedex!H$2:H$610,MATCH($A15,Pokedex!$B$2:$B$610,0))),"-",INDEX(Pokedex!H$2:H$610,MATCH($A15,Pokedex!$B$2:$B$610,0)))</f>
        <v>7</v>
      </c>
      <c r="H15" s="477" t="n">
        <f aca="false" t="array" ref="H15:H15">IF(ISNA(INDEX(Pokedex!I$2:I$610,MATCH($A15,Pokedex!$B$2:$B$610,0))),"-",INDEX(Pokedex!I$2:I$610,MATCH($A15,Pokedex!$B$2:$B$610,0)))</f>
        <v>0</v>
      </c>
      <c r="I15" s="50" t="n">
        <f aca="false" t="array" ref="I15:I15">IF(ISNA(INDEX(ExpandedStats!$A$3:$A$240,MATCH($A15,ExpandedStats!$C$3:$C$240,0))),"-",INDEX(ExpandedStats!$A$3:$A$240,MATCH($A15,ExpandedStats!$C$3:$C$240,0)))</f>
        <v>32</v>
      </c>
      <c r="J15" s="823"/>
      <c r="K15" s="111"/>
      <c r="L15" s="111"/>
      <c r="M15" s="111"/>
      <c r="N15" s="44"/>
      <c r="O15" s="44"/>
      <c r="P15" s="44"/>
      <c r="Q15" s="331" t="str">
        <f aca="false">SGP!$L$1</f>
        <v>SGP</v>
      </c>
      <c r="R15" s="822"/>
      <c r="S15" s="792"/>
      <c r="T15" s="792"/>
      <c r="U15" s="792"/>
      <c r="V15" s="792"/>
      <c r="W15" s="792"/>
      <c r="X15" s="792"/>
      <c r="Y15" s="792"/>
      <c r="Z15" s="792"/>
      <c r="AA15" s="792"/>
      <c r="AB15" s="792"/>
      <c r="AC15" s="792"/>
      <c r="AD15" s="792"/>
    </row>
    <row r="16" customFormat="false" ht="15.75" hidden="false" customHeight="false" outlineLevel="0" collapsed="false">
      <c r="A16" s="817" t="s">
        <v>251</v>
      </c>
      <c r="B16" s="817"/>
      <c r="C16" s="818" t="str">
        <f aca="false" t="array" ref="C16:C16">IF(ISNA(INDEX(Pokedex!J$2:J$610,MATCH($A16,Pokedex!$B$2:$B$610,0))),"-",INDEX(Pokedex!J$2:J$610,MATCH($A16,Pokedex!$B$2:$B$610,0)))</f>
        <v>Tier 4</v>
      </c>
      <c r="D16" s="51" t="str">
        <f aca="false" t="array" ref="D16:D16">IF(ISNA(INDEX(Pokedex!E$2:E$610,MATCH($A16,Pokedex!$B$2:$B$610,0))),"-",INDEX(Pokedex!E$2:E$610,MATCH($A16,Pokedex!$B$2:$B$610,0)))</f>
        <v>-</v>
      </c>
      <c r="E16" s="50" t="str">
        <f aca="false" t="array" ref="E16:E16">IF(ISNA(INDEX(Pokedex!F$2:F$610,MATCH($A16,Pokedex!$B$2:$B$610,0))),"-",INDEX(Pokedex!F$2:F$610,MATCH($A16,Pokedex!$B$2:$B$610,0)))</f>
        <v>-</v>
      </c>
      <c r="F16" s="469" t="str">
        <f aca="false" t="array" ref="F16:F16">IF(ISNA(INDEX(Pokedex!G$2:G$610,MATCH($A16,Pokedex!$B$2:$B$610,0))),"-",INDEX(Pokedex!G$2:G$610,MATCH($A16,Pokedex!$B$2:$B$610,0)))</f>
        <v>-</v>
      </c>
      <c r="G16" s="50" t="n">
        <f aca="false" t="array" ref="G16:G16">IF(ISNA(INDEX(Pokedex!H$2:H$610,MATCH($A16,Pokedex!$B$2:$B$610,0))),"-",INDEX(Pokedex!H$2:H$610,MATCH($A16,Pokedex!$B$2:$B$610,0)))</f>
        <v>0</v>
      </c>
      <c r="H16" s="477" t="n">
        <f aca="false" t="array" ref="H16:H16">IF(ISNA(INDEX(Pokedex!I$2:I$610,MATCH($A16,Pokedex!$B$2:$B$610,0))),"-",INDEX(Pokedex!I$2:I$610,MATCH($A16,Pokedex!$B$2:$B$610,0)))</f>
        <v>0</v>
      </c>
      <c r="I16" s="51" t="str">
        <f aca="false" t="array" ref="I16:I16">IF(ISNA(INDEX(ExpandedStats!$A$3:$A$240,MATCH($A16,ExpandedStats!$C$3:$C$240,0))),"-",INDEX(ExpandedStats!$A$3:$A$240,MATCH($A16,ExpandedStats!$C$3:$C$240,0)))</f>
        <v>-</v>
      </c>
      <c r="J16" s="823"/>
      <c r="K16" s="111"/>
      <c r="L16" s="111"/>
      <c r="M16" s="111"/>
      <c r="N16" s="44"/>
      <c r="O16" s="44"/>
      <c r="P16" s="44"/>
      <c r="Q16" s="340" t="str">
        <f aca="false">FTT!$L$1</f>
        <v>FTT</v>
      </c>
      <c r="R16" s="822"/>
      <c r="S16" s="792"/>
      <c r="T16" s="792"/>
      <c r="U16" s="792"/>
      <c r="V16" s="792"/>
      <c r="W16" s="792"/>
      <c r="X16" s="792"/>
      <c r="Y16" s="792"/>
      <c r="Z16" s="792"/>
      <c r="AA16" s="792"/>
      <c r="AB16" s="792"/>
      <c r="AC16" s="792"/>
      <c r="AD16" s="792"/>
    </row>
    <row r="17" customFormat="false" ht="15.75" hidden="false" customHeight="false" outlineLevel="0" collapsed="false">
      <c r="A17" s="817" t="s">
        <v>63</v>
      </c>
      <c r="B17" s="817"/>
      <c r="C17" s="818" t="str">
        <f aca="false" t="array" ref="C17:C17">IF(ISNA(INDEX(Pokedex!J$2:J$610,MATCH($A17,Pokedex!$B$2:$B$610,0))),"-",INDEX(Pokedex!J$2:J$610,MATCH($A17,Pokedex!$B$2:$B$610,0)))</f>
        <v>Tier 5</v>
      </c>
      <c r="D17" s="50" t="n">
        <f aca="false" t="array" ref="D17:D17">IF(ISNA(INDEX(Pokedex!E$2:E$610,MATCH($A17,Pokedex!$B$2:$B$610,0))),"-",INDEX(Pokedex!E$2:E$610,MATCH($A17,Pokedex!$B$2:$B$610,0)))</f>
        <v>0</v>
      </c>
      <c r="E17" s="50" t="n">
        <f aca="false" t="array" ref="E17:E17">IF(ISNA(INDEX(Pokedex!F$2:F$610,MATCH($A17,Pokedex!$B$2:$B$610,0))),"-",INDEX(Pokedex!F$2:F$610,MATCH($A17,Pokedex!$B$2:$B$610,0)))</f>
        <v>0</v>
      </c>
      <c r="F17" s="469" t="e">
        <f aca="false" t="array" ref="F17:F17">IF(ISNA(INDEX(Pokedex!G$2:G$610,MATCH($A17,Pokedex!$B$2:$B$610,0))),"-",INDEX(Pokedex!G$2:G$610,MATCH($A17,Pokedex!$B$2:$B$610,0)))</f>
        <v>#NAME?</v>
      </c>
      <c r="G17" s="50" t="n">
        <f aca="false" t="array" ref="G17:G17">IF(ISNA(INDEX(Pokedex!H$2:H$610,MATCH($A17,Pokedex!$B$2:$B$610,0))),"-",INDEX(Pokedex!H$2:H$610,MATCH($A17,Pokedex!$B$2:$B$610,0)))</f>
        <v>7</v>
      </c>
      <c r="H17" s="477" t="n">
        <f aca="false" t="array" ref="H17:H17">IF(ISNA(INDEX(Pokedex!I$2:I$610,MATCH($A17,Pokedex!$B$2:$B$610,0))),"-",INDEX(Pokedex!I$2:I$610,MATCH($A17,Pokedex!$B$2:$B$610,0)))</f>
        <v>0</v>
      </c>
      <c r="I17" s="50" t="n">
        <f aca="false" t="array" ref="I17:I17">IF(ISNA(INDEX(ExpandedStats!$A$3:$A$240,MATCH($A17,ExpandedStats!$C$3:$C$240,0))),"-",INDEX(ExpandedStats!$A$3:$A$240,MATCH($A17,ExpandedStats!$C$3:$C$240,0)))</f>
        <v>31</v>
      </c>
      <c r="J17" s="823"/>
      <c r="K17" s="111"/>
      <c r="L17" s="111"/>
      <c r="M17" s="111"/>
      <c r="N17" s="44"/>
      <c r="O17" s="44"/>
      <c r="P17" s="44"/>
      <c r="Q17" s="93"/>
      <c r="R17" s="824"/>
      <c r="S17" s="638"/>
      <c r="T17" s="638"/>
      <c r="U17" s="638"/>
      <c r="V17" s="638"/>
      <c r="W17" s="638"/>
      <c r="X17" s="638"/>
      <c r="Y17" s="638"/>
      <c r="Z17" s="638"/>
      <c r="AA17" s="638"/>
      <c r="AB17" s="638"/>
      <c r="AC17" s="638"/>
      <c r="AD17" s="638"/>
    </row>
    <row r="18" customFormat="false" ht="15.75" hidden="false" customHeight="false" outlineLevel="0" collapsed="false">
      <c r="A18" s="817" t="s">
        <v>61</v>
      </c>
      <c r="B18" s="817"/>
      <c r="C18" s="818" t="str">
        <f aca="false" t="array" ref="C18:C18">IF(ISNA(INDEX(Pokedex!J$2:J$610,MATCH($A18,Pokedex!$B$2:$B$610,0))),"-",INDEX(Pokedex!J$2:J$610,MATCH($A18,Pokedex!$B$2:$B$610,0)))</f>
        <v>M1</v>
      </c>
      <c r="D18" s="51" t="n">
        <f aca="false" t="array" ref="D18:D18">IF(ISNA(INDEX(Pokedex!E$2:E$610,MATCH($A18,Pokedex!$B$2:$B$610,0))),"-",INDEX(Pokedex!E$2:E$610,MATCH($A18,Pokedex!$B$2:$B$610,0)))</f>
        <v>0</v>
      </c>
      <c r="E18" s="50" t="n">
        <f aca="false" t="array" ref="E18:E18">IF(ISNA(INDEX(Pokedex!F$2:F$610,MATCH($A18,Pokedex!$B$2:$B$610,0))),"-",INDEX(Pokedex!F$2:F$610,MATCH($A18,Pokedex!$B$2:$B$610,0)))</f>
        <v>0</v>
      </c>
      <c r="F18" s="469" t="e">
        <f aca="false" t="array" ref="F18:F18">IF(ISNA(INDEX(Pokedex!G$2:G$610,MATCH($A18,Pokedex!$B$2:$B$610,0))),"-",INDEX(Pokedex!G$2:G$610,MATCH($A18,Pokedex!$B$2:$B$610,0)))</f>
        <v>#NAME?</v>
      </c>
      <c r="G18" s="50" t="n">
        <f aca="false" t="array" ref="G18:G18">IF(ISNA(INDEX(Pokedex!H$2:H$610,MATCH($A18,Pokedex!$B$2:$B$610,0))),"-",INDEX(Pokedex!H$2:H$610,MATCH($A18,Pokedex!$B$2:$B$610,0)))</f>
        <v>7</v>
      </c>
      <c r="H18" s="477" t="n">
        <f aca="false" t="array" ref="H18:H18">IF(ISNA(INDEX(Pokedex!I$2:I$610,MATCH($A18,Pokedex!$B$2:$B$610,0))),"-",INDEX(Pokedex!I$2:I$610,MATCH($A18,Pokedex!$B$2:$B$610,0)))</f>
        <v>0</v>
      </c>
      <c r="I18" s="51" t="n">
        <f aca="false" t="array" ref="I18:I18">IF(ISNA(INDEX(ExpandedStats!$A$3:$A$240,MATCH($A18,ExpandedStats!$C$3:$C$240,0))),"-",INDEX(ExpandedStats!$A$3:$A$240,MATCH($A18,ExpandedStats!$C$3:$C$240,0)))</f>
        <v>22</v>
      </c>
      <c r="J18" s="823"/>
      <c r="K18" s="111"/>
      <c r="L18" s="111"/>
      <c r="M18" s="111"/>
      <c r="N18" s="44"/>
      <c r="O18" s="44"/>
      <c r="P18" s="44"/>
      <c r="Q18" s="93"/>
      <c r="T18" s="825"/>
      <c r="U18" s="825"/>
      <c r="V18" s="825"/>
      <c r="W18" s="825"/>
      <c r="X18" s="825"/>
      <c r="Y18" s="825"/>
      <c r="Z18" s="825"/>
      <c r="AA18" s="825"/>
      <c r="AB18" s="825"/>
      <c r="AC18" s="825"/>
      <c r="AD18" s="825"/>
    </row>
    <row r="19" customFormat="false" ht="15.75" hidden="false" customHeight="false" outlineLevel="0" collapsed="false">
      <c r="A19" s="817" t="s">
        <v>256</v>
      </c>
      <c r="B19" s="817"/>
      <c r="C19" s="818" t="str">
        <f aca="false" t="array" ref="C19:C19">IF(ISNA(INDEX(Pokedex!J$2:J$610,MATCH($A19,Pokedex!$B$2:$B$610,0))),"-",INDEX(Pokedex!J$2:J$610,MATCH($A19,Pokedex!$B$2:$B$610,0)))</f>
        <v>Tier 1</v>
      </c>
      <c r="D19" s="50" t="str">
        <f aca="false" t="array" ref="D19:D19">IF(ISNA(INDEX(Pokedex!E$2:E$610,MATCH($A19,Pokedex!$B$2:$B$610,0))),"-",INDEX(Pokedex!E$2:E$610,MATCH($A19,Pokedex!$B$2:$B$610,0)))</f>
        <v>-</v>
      </c>
      <c r="E19" s="50" t="str">
        <f aca="false" t="array" ref="E19:E19">IF(ISNA(INDEX(Pokedex!F$2:F$610,MATCH($A19,Pokedex!$B$2:$B$610,0))),"-",INDEX(Pokedex!F$2:F$610,MATCH($A19,Pokedex!$B$2:$B$610,0)))</f>
        <v>-</v>
      </c>
      <c r="F19" s="469" t="str">
        <f aca="false" t="array" ref="F19:F19">IF(ISNA(INDEX(Pokedex!G$2:G$610,MATCH($A19,Pokedex!$B$2:$B$610,0))),"-",INDEX(Pokedex!G$2:G$610,MATCH($A19,Pokedex!$B$2:$B$610,0)))</f>
        <v>-</v>
      </c>
      <c r="G19" s="50" t="n">
        <f aca="false" t="array" ref="G19:G19">IF(ISNA(INDEX(Pokedex!H$2:H$610,MATCH($A19,Pokedex!$B$2:$B$610,0))),"-",INDEX(Pokedex!H$2:H$610,MATCH($A19,Pokedex!$B$2:$B$610,0)))</f>
        <v>0</v>
      </c>
      <c r="H19" s="477" t="n">
        <f aca="false" t="array" ref="H19:H19">IF(ISNA(INDEX(Pokedex!I$2:I$610,MATCH($A19,Pokedex!$B$2:$B$610,0))),"-",INDEX(Pokedex!I$2:I$610,MATCH($A19,Pokedex!$B$2:$B$610,0)))</f>
        <v>0</v>
      </c>
      <c r="I19" s="50" t="str">
        <f aca="false" t="array" ref="I19:I19">IF(ISNA(INDEX(ExpandedStats!$A$3:$A$240,MATCH($A19,ExpandedStats!$C$3:$C$240,0))),"-",INDEX(ExpandedStats!$A$3:$A$240,MATCH($A19,ExpandedStats!$C$3:$C$240,0)))</f>
        <v>-</v>
      </c>
      <c r="J19" s="823"/>
      <c r="K19" s="111"/>
      <c r="L19" s="111"/>
      <c r="M19" s="111"/>
      <c r="N19" s="44"/>
      <c r="O19" s="44"/>
      <c r="P19" s="44"/>
      <c r="Q19" s="93"/>
      <c r="R19" s="341" t="s">
        <v>2062</v>
      </c>
      <c r="S19" s="341"/>
      <c r="T19" s="771"/>
      <c r="U19" s="771"/>
      <c r="V19" s="771"/>
      <c r="W19" s="771"/>
      <c r="X19" s="771"/>
      <c r="Y19" s="771"/>
      <c r="Z19" s="771"/>
      <c r="AA19" s="771"/>
      <c r="AB19" s="771"/>
      <c r="AC19" s="771"/>
      <c r="AD19" s="771"/>
    </row>
    <row r="20" customFormat="false" ht="15.75" hidden="false" customHeight="false" outlineLevel="0" collapsed="false">
      <c r="A20" s="817" t="s">
        <v>69</v>
      </c>
      <c r="B20" s="817"/>
      <c r="C20" s="818" t="str">
        <f aca="false" t="array" ref="C20:C20">IF(ISNA(INDEX(Pokedex!J$2:J$610,MATCH($A20,Pokedex!$B$2:$B$610,0))),"-",INDEX(Pokedex!J$2:J$610,MATCH($A20,Pokedex!$B$2:$B$610,0)))</f>
        <v>Tier 2</v>
      </c>
      <c r="D20" s="51" t="n">
        <f aca="false" t="array" ref="D20:D20">IF(ISNA(INDEX(Pokedex!E$2:E$610,MATCH($A20,Pokedex!$B$2:$B$610,0))),"-",INDEX(Pokedex!E$2:E$610,MATCH($A20,Pokedex!$B$2:$B$610,0)))</f>
        <v>0</v>
      </c>
      <c r="E20" s="50" t="n">
        <f aca="false" t="array" ref="E20:E20">IF(ISNA(INDEX(Pokedex!F$2:F$610,MATCH($A20,Pokedex!$B$2:$B$610,0))),"-",INDEX(Pokedex!F$2:F$610,MATCH($A20,Pokedex!$B$2:$B$610,0)))</f>
        <v>0</v>
      </c>
      <c r="F20" s="469" t="e">
        <f aca="false" t="array" ref="F20:F20">IF(ISNA(INDEX(Pokedex!G$2:G$610,MATCH($A20,Pokedex!$B$2:$B$610,0))),"-",INDEX(Pokedex!G$2:G$610,MATCH($A20,Pokedex!$B$2:$B$610,0)))</f>
        <v>#NAME?</v>
      </c>
      <c r="G20" s="50" t="n">
        <f aca="false" t="array" ref="G20:G20">IF(ISNA(INDEX(Pokedex!H$2:H$610,MATCH($A20,Pokedex!$B$2:$B$610,0))),"-",INDEX(Pokedex!H$2:H$610,MATCH($A20,Pokedex!$B$2:$B$610,0)))</f>
        <v>7</v>
      </c>
      <c r="H20" s="477" t="n">
        <f aca="false" t="array" ref="H20:H20">IF(ISNA(INDEX(Pokedex!I$2:I$610,MATCH($A20,Pokedex!$B$2:$B$610,0))),"-",INDEX(Pokedex!I$2:I$610,MATCH($A20,Pokedex!$B$2:$B$610,0)))</f>
        <v>0</v>
      </c>
      <c r="I20" s="727" t="n">
        <f aca="false" t="array" ref="I20:I20">IF(ISNA(INDEX(ExpandedStats!$A$3:$A$240,MATCH($A20,ExpandedStats!$C$3:$C$240,0))),"-",INDEX(ExpandedStats!$A$3:$A$240,MATCH($A20,ExpandedStats!$C$3:$C$240,0)))</f>
        <v>10</v>
      </c>
      <c r="K20" s="44"/>
      <c r="L20" s="44"/>
      <c r="M20" s="44"/>
      <c r="N20" s="44"/>
      <c r="O20" s="44"/>
      <c r="P20" s="44"/>
      <c r="Q20" s="93"/>
      <c r="R20" s="386" t="str">
        <f aca="false">IFERROR(__xludf.dummyfunction("{ if(isna(FILTER(MoveDex!$AJ:$AJ,MoveDex!$AI:$AI=$L$1)),,FILTER(MoveDex!$AJ:$AJ,MoveDex!$AI:$AI=$L$1)) ; if(isna(FILTER(MoveDex!$AN:$AN,MoveDex!$AM:$AM=$L$1)),,FILTER(MoveDex!$AN:$AN,MoveDex!$AM:$AM=$L$1)) }"),"Decidueye")</f>
        <v>Decidueye</v>
      </c>
      <c r="S20" s="386" t="str">
        <f aca="false">IFERROR(__xludf.dummyfunction("{ if(isna(FILTER(MoveDex!$AK:$AK,MoveDex!$AI:$AI=$L$1)),,FILTER(MoveDex!$AK:$AK,MoveDex!$AI:$AI=$L$1)) ; if(isna(FILTER(MoveDex!$AO:$AO,MoveDex!$AM:$AM=$L$1)),,FILTER(MoveDex!$AO:$AO,MoveDex!$AM:$AM=$L$1)) }"),"Defog")</f>
        <v>Defog</v>
      </c>
      <c r="T20" s="825"/>
      <c r="U20" s="825"/>
      <c r="V20" s="825"/>
      <c r="W20" s="825"/>
      <c r="X20" s="825"/>
      <c r="Y20" s="825"/>
      <c r="Z20" s="825"/>
      <c r="AA20" s="825"/>
      <c r="AB20" s="825"/>
      <c r="AC20" s="825"/>
      <c r="AD20" s="825"/>
    </row>
    <row r="21" customFormat="false" ht="15.75" hidden="false" customHeight="false" outlineLevel="0" collapsed="false">
      <c r="A21" s="817" t="s">
        <v>259</v>
      </c>
      <c r="B21" s="817"/>
      <c r="C21" s="818" t="str">
        <f aca="false" t="array" ref="C21:C21">IF(ISNA(INDEX(Pokedex!J$2:J$610,MATCH($A21,Pokedex!$B$2:$B$610,0))),"-",INDEX(Pokedex!J$2:J$610,MATCH($A21,Pokedex!$B$2:$B$610,0)))</f>
        <v>Tier 5</v>
      </c>
      <c r="D21" s="50" t="str">
        <f aca="false" t="array" ref="D21:D21">IF(ISNA(INDEX(Pokedex!E$2:E$610,MATCH($A21,Pokedex!$B$2:$B$610,0))),"-",INDEX(Pokedex!E$2:E$610,MATCH($A21,Pokedex!$B$2:$B$610,0)))</f>
        <v>-</v>
      </c>
      <c r="E21" s="50" t="str">
        <f aca="false" t="array" ref="E21:E21">IF(ISNA(INDEX(Pokedex!F$2:F$610,MATCH($A21,Pokedex!$B$2:$B$610,0))),"-",INDEX(Pokedex!F$2:F$610,MATCH($A21,Pokedex!$B$2:$B$610,0)))</f>
        <v>-</v>
      </c>
      <c r="F21" s="469" t="str">
        <f aca="false" t="array" ref="F21:F21">IF(ISNA(INDEX(Pokedex!G$2:G$610,MATCH($A21,Pokedex!$B$2:$B$610,0))),"-",INDEX(Pokedex!G$2:G$610,MATCH($A21,Pokedex!$B$2:$B$610,0)))</f>
        <v>-</v>
      </c>
      <c r="G21" s="50" t="n">
        <f aca="false" t="array" ref="G21:G21">IF(ISNA(INDEX(Pokedex!H$2:H$610,MATCH($A21,Pokedex!$B$2:$B$610,0))),"-",INDEX(Pokedex!H$2:H$610,MATCH($A21,Pokedex!$B$2:$B$610,0)))</f>
        <v>0</v>
      </c>
      <c r="H21" s="477" t="n">
        <f aca="false" t="array" ref="H21:H21">IF(ISNA(INDEX(Pokedex!I$2:I$610,MATCH($A21,Pokedex!$B$2:$B$610,0))),"-",INDEX(Pokedex!I$2:I$610,MATCH($A21,Pokedex!$B$2:$B$610,0)))</f>
        <v>0</v>
      </c>
      <c r="I21" s="50" t="str">
        <f aca="false" t="array" ref="I21:I21">IF(ISNA(INDEX(ExpandedStats!$A$3:$A$240,MATCH($A21,ExpandedStats!$C$3:$C$240,0))),"-",INDEX(ExpandedStats!$A$3:$A$240,MATCH($A21,ExpandedStats!$C$3:$C$240,0)))</f>
        <v>-</v>
      </c>
      <c r="J21" s="823"/>
      <c r="K21" s="111"/>
      <c r="L21" s="111"/>
      <c r="M21" s="111"/>
      <c r="N21" s="44"/>
      <c r="O21" s="44"/>
      <c r="P21" s="44"/>
      <c r="Q21" s="93"/>
      <c r="R21" s="778" t="s">
        <v>259</v>
      </c>
      <c r="S21" s="511" t="s">
        <v>1110</v>
      </c>
      <c r="T21" s="638"/>
      <c r="U21" s="638"/>
      <c r="V21" s="638"/>
      <c r="W21" s="638"/>
      <c r="X21" s="638"/>
      <c r="Y21" s="638"/>
      <c r="Z21" s="638"/>
      <c r="AA21" s="638"/>
      <c r="AB21" s="638"/>
      <c r="AC21" s="638"/>
      <c r="AD21" s="638"/>
    </row>
    <row r="22" customFormat="false" ht="15.75" hidden="false" customHeight="false" outlineLevel="0" collapsed="false">
      <c r="A22" s="826" t="s">
        <v>262</v>
      </c>
      <c r="B22" s="826"/>
      <c r="C22" s="827" t="str">
        <f aca="false" t="array" ref="C22:C22">IF(ISNA(INDEX(Pokedex!J$2:J$610,MATCH($A22,Pokedex!$B$2:$B$610,0))),"-",INDEX(Pokedex!J$2:J$610,MATCH($A22,Pokedex!$B$2:$B$610,0)))</f>
        <v>Tier 5</v>
      </c>
      <c r="D22" s="828" t="str">
        <f aca="false" t="array" ref="D22:D22">IF(ISNA(INDEX(Pokedex!E$2:E$610,MATCH($A22,Pokedex!$B$2:$B$610,0))),"-",INDEX(Pokedex!E$2:E$610,MATCH($A22,Pokedex!$B$2:$B$610,0)))</f>
        <v>-</v>
      </c>
      <c r="E22" s="50" t="str">
        <f aca="false" t="array" ref="E22:E22">IF(ISNA(INDEX(Pokedex!F$2:F$610,MATCH($A22,Pokedex!$B$2:$B$610,0))),"-",INDEX(Pokedex!F$2:F$610,MATCH($A22,Pokedex!$B$2:$B$610,0)))</f>
        <v>-</v>
      </c>
      <c r="F22" s="829" t="str">
        <f aca="false" t="array" ref="F22:F22">IF(ISNA(INDEX(Pokedex!G$2:G$610,MATCH($A22,Pokedex!$B$2:$B$610,0))),"-",INDEX(Pokedex!G$2:G$610,MATCH($A22,Pokedex!$B$2:$B$610,0)))</f>
        <v>-</v>
      </c>
      <c r="G22" s="830" t="n">
        <f aca="false" t="array" ref="G22:G22">IF(ISNA(INDEX(Pokedex!H$2:H$610,MATCH($A22,Pokedex!$B$2:$B$610,0))),"-",INDEX(Pokedex!H$2:H$610,MATCH($A22,Pokedex!$B$2:$B$610,0)))</f>
        <v>0</v>
      </c>
      <c r="H22" s="831" t="n">
        <f aca="false" t="array" ref="H22:H22">IF(ISNA(INDEX(Pokedex!I$2:I$610,MATCH($A22,Pokedex!$B$2:$B$610,0))),"-",INDEX(Pokedex!I$2:I$610,MATCH($A22,Pokedex!$B$2:$B$610,0)))</f>
        <v>0</v>
      </c>
      <c r="I22" s="828" t="str">
        <f aca="false" t="array" ref="I22:I22">IF(ISNA(INDEX(ExpandedStats!$A$3:$A$240,MATCH($A22,ExpandedStats!$C$3:$C$240,0))),"-",INDEX(ExpandedStats!$A$3:$A$240,MATCH($A22,ExpandedStats!$C$3:$C$240,0)))</f>
        <v>-</v>
      </c>
      <c r="J22" s="823"/>
      <c r="K22" s="111"/>
      <c r="L22" s="111"/>
      <c r="M22" s="111"/>
      <c r="N22" s="44"/>
      <c r="O22" s="44"/>
      <c r="P22" s="44"/>
      <c r="Q22" s="93"/>
      <c r="R22" s="778" t="s">
        <v>247</v>
      </c>
      <c r="S22" s="511" t="s">
        <v>1112</v>
      </c>
      <c r="T22" s="638"/>
      <c r="U22" s="638"/>
      <c r="V22" s="638"/>
      <c r="W22" s="638"/>
      <c r="X22" s="638"/>
      <c r="Y22" s="638"/>
      <c r="Z22" s="638"/>
      <c r="AA22" s="638"/>
      <c r="AB22" s="638"/>
      <c r="AC22" s="638"/>
      <c r="AD22" s="638"/>
    </row>
    <row r="23" customFormat="false" ht="15.75" hidden="false" customHeight="false" outlineLevel="0" collapsed="false">
      <c r="A23" s="832" t="s">
        <v>2063</v>
      </c>
      <c r="B23" s="832"/>
      <c r="C23" s="832"/>
      <c r="D23" s="833" t="n">
        <f aca="false">SUM(D12:D22)</f>
        <v>0</v>
      </c>
      <c r="E23" s="834" t="n">
        <f aca="false">SUM(E12:E22)</f>
        <v>0</v>
      </c>
      <c r="F23" s="111"/>
      <c r="G23" s="111"/>
      <c r="H23" s="111"/>
      <c r="I23" s="111"/>
      <c r="J23" s="111"/>
      <c r="K23" s="111"/>
      <c r="L23" s="111"/>
      <c r="M23" s="111"/>
      <c r="N23" s="44"/>
      <c r="O23" s="44"/>
      <c r="P23" s="44"/>
      <c r="Q23" s="44"/>
      <c r="R23" s="778"/>
      <c r="S23" s="511"/>
      <c r="T23" s="638"/>
      <c r="U23" s="638"/>
      <c r="V23" s="638"/>
      <c r="W23" s="638"/>
      <c r="X23" s="638"/>
      <c r="Y23" s="638"/>
      <c r="Z23" s="638"/>
      <c r="AA23" s="638"/>
      <c r="AB23" s="638"/>
      <c r="AC23" s="638"/>
      <c r="AD23" s="638"/>
    </row>
    <row r="24" customFormat="false" ht="15.75" hidden="false" customHeight="false" outlineLevel="0" collapsed="false">
      <c r="A24" s="400"/>
      <c r="B24" s="400"/>
      <c r="C24" s="400"/>
      <c r="D24" s="835"/>
      <c r="E24" s="835"/>
      <c r="F24" s="111"/>
      <c r="G24" s="111"/>
      <c r="H24" s="111"/>
      <c r="I24" s="111"/>
      <c r="J24" s="111"/>
      <c r="K24" s="111"/>
      <c r="L24" s="111"/>
      <c r="M24" s="111"/>
      <c r="N24" s="44"/>
      <c r="O24" s="44"/>
      <c r="P24" s="44"/>
      <c r="Q24" s="44"/>
      <c r="R24" s="778"/>
      <c r="S24" s="511"/>
      <c r="T24" s="638"/>
      <c r="U24" s="638"/>
      <c r="V24" s="638"/>
      <c r="W24" s="638"/>
      <c r="X24" s="638"/>
      <c r="Y24" s="638"/>
      <c r="Z24" s="638"/>
      <c r="AA24" s="638"/>
      <c r="AB24" s="638"/>
      <c r="AC24" s="638"/>
      <c r="AD24" s="638"/>
    </row>
    <row r="25" customFormat="false" ht="15.75" hidden="false" customHeight="false" outlineLevel="0" collapsed="false">
      <c r="A25" s="400"/>
      <c r="B25" s="400"/>
      <c r="C25" s="400"/>
      <c r="D25" s="44"/>
      <c r="E25" s="44"/>
      <c r="F25" s="44"/>
      <c r="G25" s="44"/>
      <c r="H25" s="44"/>
      <c r="I25" s="44"/>
      <c r="J25" s="111"/>
      <c r="K25" s="111"/>
      <c r="L25" s="111"/>
      <c r="M25" s="111"/>
      <c r="N25" s="44"/>
      <c r="O25" s="44"/>
      <c r="P25" s="44"/>
      <c r="Q25" s="44"/>
      <c r="R25" s="778"/>
      <c r="S25" s="511"/>
      <c r="T25" s="638"/>
      <c r="U25" s="638"/>
      <c r="V25" s="638"/>
      <c r="W25" s="638"/>
      <c r="X25" s="638"/>
      <c r="Y25" s="638"/>
      <c r="Z25" s="638"/>
      <c r="AA25" s="638"/>
      <c r="AB25" s="638"/>
      <c r="AC25" s="638"/>
      <c r="AD25" s="638"/>
      <c r="AE25" s="638"/>
    </row>
    <row r="26" customFormat="false" ht="15.75" hidden="false" customHeight="false" outlineLevel="0" collapsed="false">
      <c r="A26" s="400"/>
      <c r="B26" s="400"/>
      <c r="C26" s="400"/>
      <c r="D26" s="44"/>
      <c r="E26" s="44"/>
      <c r="F26" s="44"/>
      <c r="G26" s="44"/>
      <c r="H26" s="44"/>
      <c r="I26" s="44"/>
      <c r="J26" s="400"/>
      <c r="K26" s="400"/>
      <c r="L26" s="400"/>
      <c r="M26" s="400"/>
      <c r="N26" s="44"/>
      <c r="O26" s="44"/>
      <c r="P26" s="44"/>
      <c r="Q26" s="44"/>
      <c r="R26" s="790"/>
      <c r="S26" s="791"/>
      <c r="T26" s="792"/>
      <c r="U26" s="792"/>
      <c r="V26" s="792"/>
      <c r="W26" s="792"/>
      <c r="X26" s="792"/>
      <c r="Y26" s="792"/>
      <c r="Z26" s="792"/>
      <c r="AA26" s="792"/>
      <c r="AB26" s="792"/>
      <c r="AC26" s="792"/>
      <c r="AD26" s="792"/>
      <c r="AE26" s="792"/>
    </row>
    <row r="27" customFormat="false" ht="15.75" hidden="false" customHeight="false" outlineLevel="0" collapsed="false">
      <c r="A27" s="118" t="s">
        <v>208</v>
      </c>
      <c r="B27" s="118"/>
      <c r="C27" s="118"/>
      <c r="D27" s="836" t="s">
        <v>207</v>
      </c>
      <c r="E27" s="836"/>
      <c r="F27" s="836"/>
      <c r="G27" s="837" t="s">
        <v>209</v>
      </c>
      <c r="H27" s="837"/>
      <c r="I27" s="44"/>
      <c r="J27" s="838" t="s">
        <v>2064</v>
      </c>
      <c r="K27" s="838"/>
      <c r="L27" s="838"/>
      <c r="M27" s="839" t="n">
        <f aca="false">IF($A$28="CHECK ERROR BLOCK",0,IF(NOT($A$28="NONE"),minus(3,COUNTIF(A28:A30,"*")), 3))</f>
        <v>3</v>
      </c>
      <c r="N27" s="44"/>
      <c r="O27" s="44"/>
      <c r="P27" s="44"/>
      <c r="Q27" s="44"/>
      <c r="R27" s="790"/>
      <c r="S27" s="791"/>
      <c r="T27" s="792"/>
      <c r="U27" s="792"/>
      <c r="V27" s="792"/>
      <c r="W27" s="792"/>
      <c r="X27" s="792"/>
      <c r="Y27" s="792"/>
      <c r="Z27" s="792"/>
      <c r="AA27" s="792"/>
      <c r="AB27" s="792"/>
      <c r="AC27" s="792"/>
      <c r="AD27" s="792"/>
      <c r="AE27" s="792"/>
    </row>
    <row r="28" customFormat="false" ht="15.75" hidden="false" customHeight="false" outlineLevel="0" collapsed="false">
      <c r="A28" s="840" t="str">
        <f aca="false">IFERROR(__xludf.dummyfunction("if(ISNA(filter(Transactions!$O$3:$V$100,Transactions!$M$3:$M$100=$L$1)),""NONE"",if(countif(Transactions!$M$3:$M$100,$L$1)&gt;3,""CHECK ERROR BLOCK"",(filter(Transactions!$O$3:$V$100,Transactions!$M$3:$M$100=$L$1))))"),"NONE")</f>
        <v>NONE</v>
      </c>
      <c r="B28" s="840"/>
      <c r="C28" s="840"/>
      <c r="D28" s="841"/>
      <c r="E28" s="841"/>
      <c r="F28" s="841"/>
      <c r="G28" s="842"/>
      <c r="H28" s="842"/>
      <c r="I28" s="44"/>
      <c r="J28" s="843" t="s">
        <v>2065</v>
      </c>
      <c r="K28" s="843"/>
      <c r="L28" s="843"/>
      <c r="M28" s="844" t="s">
        <v>2066</v>
      </c>
      <c r="N28" s="44"/>
      <c r="O28" s="44"/>
      <c r="P28" s="44"/>
      <c r="Q28" s="44"/>
      <c r="R28" s="790"/>
      <c r="S28" s="791"/>
      <c r="T28" s="792"/>
      <c r="U28" s="792"/>
      <c r="V28" s="792"/>
      <c r="W28" s="792"/>
      <c r="X28" s="792"/>
      <c r="Y28" s="792"/>
      <c r="Z28" s="792"/>
      <c r="AA28" s="792"/>
      <c r="AB28" s="792"/>
      <c r="AC28" s="792"/>
      <c r="AD28" s="792"/>
      <c r="AE28" s="792"/>
    </row>
    <row r="29" customFormat="false" ht="15.75" hidden="false" customHeight="true" outlineLevel="0" collapsed="false">
      <c r="A29" s="840"/>
      <c r="B29" s="840"/>
      <c r="C29" s="840"/>
      <c r="D29" s="841"/>
      <c r="E29" s="841"/>
      <c r="F29" s="841"/>
      <c r="G29" s="845"/>
      <c r="H29" s="845"/>
      <c r="I29" s="44"/>
      <c r="J29" s="846" t="s">
        <v>2067</v>
      </c>
      <c r="K29" s="846"/>
      <c r="L29" s="846"/>
      <c r="M29" s="847" t="n">
        <v>2</v>
      </c>
      <c r="N29" s="44"/>
      <c r="O29" s="44"/>
      <c r="P29" s="44"/>
      <c r="Q29" s="44"/>
      <c r="R29" s="790"/>
      <c r="S29" s="791"/>
      <c r="T29" s="792"/>
      <c r="U29" s="792"/>
      <c r="V29" s="792"/>
      <c r="W29" s="792"/>
      <c r="X29" s="792"/>
      <c r="Y29" s="792"/>
      <c r="Z29" s="792"/>
      <c r="AA29" s="792"/>
      <c r="AB29" s="792"/>
      <c r="AC29" s="792"/>
      <c r="AD29" s="792"/>
      <c r="AE29" s="792"/>
    </row>
    <row r="30" customFormat="false" ht="15.75" hidden="false" customHeight="false" outlineLevel="0" collapsed="false">
      <c r="A30" s="848"/>
      <c r="B30" s="848"/>
      <c r="C30" s="848"/>
      <c r="D30" s="849"/>
      <c r="E30" s="849"/>
      <c r="F30" s="849"/>
      <c r="G30" s="850"/>
      <c r="H30" s="850"/>
      <c r="I30" s="44"/>
      <c r="J30" s="851" t="str">
        <f aca="false">IF($A$28="CHECK ERROR BLOCK","ERROR - MAXIMUM NUMBER OF FREE AGENCY TRANSACTIONS LOGGED IN TRANSACTIONS TAB","")</f>
        <v/>
      </c>
      <c r="K30" s="851"/>
      <c r="L30" s="851"/>
      <c r="M30" s="851"/>
      <c r="N30" s="44"/>
      <c r="O30" s="44"/>
      <c r="P30" s="44"/>
      <c r="Q30" s="44"/>
      <c r="R30" s="790"/>
      <c r="S30" s="791"/>
      <c r="T30" s="792"/>
      <c r="U30" s="792"/>
      <c r="V30" s="792"/>
      <c r="W30" s="792"/>
      <c r="X30" s="792"/>
      <c r="Y30" s="792"/>
      <c r="Z30" s="792"/>
      <c r="AA30" s="792"/>
      <c r="AB30" s="792"/>
      <c r="AC30" s="792"/>
      <c r="AD30" s="792"/>
      <c r="AE30" s="792"/>
    </row>
    <row r="31" customFormat="false" ht="15.75" hidden="false" customHeight="false" outlineLevel="0" collapsed="false">
      <c r="A31" s="44"/>
      <c r="B31" s="44"/>
      <c r="C31" s="44"/>
      <c r="D31" s="44"/>
      <c r="E31" s="44"/>
      <c r="F31" s="44"/>
      <c r="G31" s="44"/>
      <c r="H31" s="44"/>
      <c r="I31" s="44"/>
      <c r="J31" s="44"/>
      <c r="K31" s="44"/>
      <c r="L31" s="44"/>
      <c r="M31" s="44"/>
      <c r="N31" s="44"/>
      <c r="O31" s="44"/>
      <c r="P31" s="44"/>
      <c r="Q31" s="44"/>
      <c r="R31" s="820"/>
      <c r="S31" s="821"/>
      <c r="T31" s="792"/>
      <c r="U31" s="792"/>
      <c r="V31" s="792"/>
      <c r="W31" s="792"/>
      <c r="X31" s="792"/>
      <c r="Y31" s="792"/>
      <c r="Z31" s="792"/>
      <c r="AA31" s="792"/>
      <c r="AB31" s="792"/>
      <c r="AC31" s="792"/>
      <c r="AD31" s="792"/>
      <c r="AE31" s="792"/>
    </row>
    <row r="32" customFormat="false" ht="15.75" hidden="false" customHeight="false" outlineLevel="0" collapsed="false">
      <c r="A32" s="118" t="s">
        <v>2068</v>
      </c>
      <c r="B32" s="118"/>
      <c r="C32" s="118"/>
      <c r="D32" s="118" t="s">
        <v>2069</v>
      </c>
      <c r="E32" s="118"/>
      <c r="F32" s="118"/>
      <c r="G32" s="837" t="s">
        <v>209</v>
      </c>
      <c r="H32" s="837"/>
      <c r="I32" s="272" t="s">
        <v>2070</v>
      </c>
      <c r="J32" s="272"/>
      <c r="K32" s="363" t="s">
        <v>213</v>
      </c>
      <c r="L32" s="363"/>
      <c r="M32" s="363"/>
      <c r="N32" s="363"/>
      <c r="O32" s="44"/>
      <c r="P32" s="44"/>
      <c r="Q32" s="44"/>
      <c r="R32" s="824"/>
      <c r="S32" s="638"/>
      <c r="T32" s="638"/>
      <c r="U32" s="638"/>
      <c r="V32" s="638"/>
      <c r="W32" s="638"/>
      <c r="X32" s="638"/>
      <c r="Y32" s="638"/>
      <c r="Z32" s="638"/>
      <c r="AA32" s="638"/>
      <c r="AB32" s="638"/>
      <c r="AC32" s="638"/>
      <c r="AD32" s="638"/>
      <c r="AE32" s="638"/>
    </row>
    <row r="33" customFormat="false" ht="15.75" hidden="false" customHeight="false" outlineLevel="0" collapsed="false">
      <c r="A33" s="840" t="str">
        <f aca="false">IFERROR(__xludf.dummyfunction("if(isna(filter($Q$55:$AD$70,not(isblank($Q$55:$Q$70)))),""NONE"",filter($Q$55:$AD$70,not(isblank($Q$55:$Q$70))))"),"NONE")</f>
        <v>NONE</v>
      </c>
      <c r="B33" s="840"/>
      <c r="C33" s="840"/>
      <c r="D33" s="853"/>
      <c r="E33" s="853"/>
      <c r="F33" s="853"/>
      <c r="G33" s="855"/>
      <c r="H33" s="855"/>
      <c r="I33" s="855"/>
      <c r="J33" s="855"/>
      <c r="K33" s="856"/>
      <c r="L33" s="856"/>
      <c r="M33" s="856"/>
      <c r="N33" s="856"/>
      <c r="O33" s="44"/>
      <c r="P33" s="44"/>
      <c r="Q33" s="44"/>
      <c r="R33" s="824"/>
      <c r="S33" s="638"/>
      <c r="T33" s="638"/>
      <c r="U33" s="638"/>
      <c r="V33" s="638"/>
      <c r="W33" s="638"/>
      <c r="X33" s="638"/>
      <c r="Y33" s="638"/>
      <c r="Z33" s="638"/>
      <c r="AA33" s="638"/>
      <c r="AB33" s="638"/>
      <c r="AC33" s="638"/>
      <c r="AD33" s="638"/>
      <c r="AE33" s="638"/>
    </row>
    <row r="34" customFormat="false" ht="15.75" hidden="false" customHeight="false" outlineLevel="0" collapsed="false">
      <c r="A34" s="840"/>
      <c r="B34" s="840"/>
      <c r="C34" s="840"/>
      <c r="D34" s="857"/>
      <c r="E34" s="857"/>
      <c r="F34" s="857"/>
      <c r="G34" s="855"/>
      <c r="H34" s="855"/>
      <c r="I34" s="855"/>
      <c r="J34" s="855"/>
      <c r="K34" s="479"/>
      <c r="L34" s="479"/>
      <c r="M34" s="479"/>
      <c r="N34" s="479"/>
      <c r="O34" s="44"/>
      <c r="P34" s="44"/>
      <c r="Q34" s="44"/>
      <c r="R34" s="824"/>
      <c r="S34" s="638"/>
      <c r="T34" s="638"/>
      <c r="U34" s="638"/>
      <c r="V34" s="638"/>
      <c r="W34" s="638"/>
      <c r="X34" s="638"/>
      <c r="Y34" s="638"/>
      <c r="Z34" s="638"/>
      <c r="AA34" s="638"/>
      <c r="AB34" s="638"/>
      <c r="AC34" s="638"/>
      <c r="AD34" s="638"/>
      <c r="AE34" s="638"/>
    </row>
    <row r="35" customFormat="false" ht="15.75" hidden="false" customHeight="false" outlineLevel="0" collapsed="false">
      <c r="A35" s="817"/>
      <c r="B35" s="817"/>
      <c r="C35" s="817"/>
      <c r="D35" s="858"/>
      <c r="E35" s="858"/>
      <c r="F35" s="858"/>
      <c r="G35" s="860"/>
      <c r="H35" s="860"/>
      <c r="I35" s="860"/>
      <c r="J35" s="860"/>
      <c r="K35" s="856"/>
      <c r="L35" s="856"/>
      <c r="M35" s="856"/>
      <c r="N35" s="856"/>
      <c r="O35" s="44"/>
      <c r="P35" s="44"/>
      <c r="Q35" s="44"/>
      <c r="R35" s="824"/>
      <c r="S35" s="638"/>
      <c r="T35" s="638"/>
      <c r="U35" s="638"/>
      <c r="V35" s="638"/>
      <c r="W35" s="638"/>
      <c r="X35" s="638"/>
      <c r="Y35" s="638"/>
      <c r="Z35" s="638"/>
      <c r="AA35" s="638"/>
      <c r="AB35" s="638"/>
      <c r="AC35" s="638"/>
      <c r="AD35" s="638"/>
      <c r="AE35" s="638"/>
    </row>
    <row r="36" customFormat="false" ht="15.75" hidden="false" customHeight="false" outlineLevel="0" collapsed="false">
      <c r="A36" s="840"/>
      <c r="B36" s="840"/>
      <c r="C36" s="840"/>
      <c r="D36" s="857"/>
      <c r="E36" s="857"/>
      <c r="F36" s="857"/>
      <c r="G36" s="855"/>
      <c r="H36" s="855"/>
      <c r="I36" s="855"/>
      <c r="J36" s="855"/>
      <c r="K36" s="479"/>
      <c r="L36" s="479"/>
      <c r="M36" s="479"/>
      <c r="N36" s="479"/>
      <c r="O36" s="44"/>
      <c r="P36" s="44"/>
      <c r="Q36" s="44"/>
      <c r="R36" s="824"/>
      <c r="S36" s="638"/>
      <c r="T36" s="638"/>
      <c r="U36" s="638"/>
      <c r="V36" s="638"/>
      <c r="W36" s="638"/>
      <c r="X36" s="638"/>
      <c r="Y36" s="638"/>
      <c r="Z36" s="638"/>
      <c r="AA36" s="638"/>
      <c r="AB36" s="638"/>
      <c r="AC36" s="638"/>
      <c r="AD36" s="638"/>
      <c r="AE36" s="638"/>
    </row>
    <row r="37" customFormat="false" ht="15.75" hidden="false" customHeight="false" outlineLevel="0" collapsed="false">
      <c r="A37" s="817"/>
      <c r="B37" s="817"/>
      <c r="C37" s="817"/>
      <c r="D37" s="858"/>
      <c r="E37" s="858"/>
      <c r="F37" s="858"/>
      <c r="G37" s="860"/>
      <c r="H37" s="860"/>
      <c r="I37" s="860"/>
      <c r="J37" s="860"/>
      <c r="K37" s="856"/>
      <c r="L37" s="856"/>
      <c r="M37" s="856"/>
      <c r="N37" s="856"/>
      <c r="O37" s="44"/>
      <c r="P37" s="44"/>
      <c r="Q37" s="44"/>
      <c r="R37" s="824"/>
      <c r="S37" s="638"/>
      <c r="T37" s="638"/>
      <c r="U37" s="638"/>
      <c r="V37" s="638"/>
      <c r="W37" s="638"/>
      <c r="X37" s="638"/>
      <c r="Y37" s="638"/>
      <c r="Z37" s="638"/>
      <c r="AA37" s="638"/>
      <c r="AB37" s="638"/>
      <c r="AC37" s="638"/>
      <c r="AD37" s="638"/>
      <c r="AE37" s="638"/>
    </row>
    <row r="38" customFormat="false" ht="15.75" hidden="false" customHeight="false" outlineLevel="0" collapsed="false">
      <c r="A38" s="840"/>
      <c r="B38" s="840"/>
      <c r="C38" s="840"/>
      <c r="D38" s="857"/>
      <c r="E38" s="857"/>
      <c r="F38" s="857"/>
      <c r="G38" s="855"/>
      <c r="H38" s="855"/>
      <c r="I38" s="855"/>
      <c r="J38" s="855"/>
      <c r="K38" s="479"/>
      <c r="L38" s="479"/>
      <c r="M38" s="479"/>
      <c r="N38" s="479"/>
      <c r="O38" s="44"/>
      <c r="P38" s="44"/>
      <c r="Q38" s="44"/>
      <c r="R38" s="824"/>
      <c r="S38" s="638"/>
      <c r="T38" s="638"/>
      <c r="U38" s="638"/>
      <c r="V38" s="638"/>
      <c r="W38" s="638"/>
      <c r="X38" s="638"/>
      <c r="Y38" s="638"/>
      <c r="Z38" s="638"/>
      <c r="AA38" s="638"/>
      <c r="AB38" s="638"/>
      <c r="AC38" s="638"/>
      <c r="AD38" s="638"/>
      <c r="AE38" s="638"/>
    </row>
    <row r="39" customFormat="false" ht="15.75" hidden="false" customHeight="false" outlineLevel="0" collapsed="false">
      <c r="A39" s="817"/>
      <c r="B39" s="817"/>
      <c r="C39" s="817"/>
      <c r="D39" s="858"/>
      <c r="E39" s="858"/>
      <c r="F39" s="858"/>
      <c r="G39" s="860"/>
      <c r="H39" s="860"/>
      <c r="I39" s="860"/>
      <c r="J39" s="860"/>
      <c r="K39" s="856"/>
      <c r="L39" s="856"/>
      <c r="M39" s="856"/>
      <c r="N39" s="856"/>
      <c r="O39" s="44"/>
      <c r="P39" s="44"/>
      <c r="Q39" s="44"/>
      <c r="R39" s="341" t="s">
        <v>2071</v>
      </c>
      <c r="S39" s="341"/>
      <c r="T39" s="771"/>
      <c r="U39" s="771"/>
      <c r="V39" s="771"/>
      <c r="W39" s="771"/>
      <c r="X39" s="771"/>
      <c r="Y39" s="771"/>
      <c r="Z39" s="771"/>
      <c r="AA39" s="771"/>
      <c r="AB39" s="771"/>
      <c r="AC39" s="771"/>
      <c r="AD39" s="771"/>
      <c r="AE39" s="771"/>
    </row>
    <row r="40" customFormat="false" ht="15.75" hidden="false" customHeight="false" outlineLevel="0" collapsed="false">
      <c r="A40" s="840"/>
      <c r="B40" s="840"/>
      <c r="C40" s="840"/>
      <c r="D40" s="857"/>
      <c r="E40" s="857"/>
      <c r="F40" s="857"/>
      <c r="G40" s="855"/>
      <c r="H40" s="855"/>
      <c r="I40" s="855"/>
      <c r="J40" s="855"/>
      <c r="K40" s="479"/>
      <c r="L40" s="479"/>
      <c r="M40" s="479"/>
      <c r="N40" s="479"/>
      <c r="O40" s="44"/>
      <c r="P40" s="44"/>
      <c r="Q40" s="44"/>
      <c r="R40" s="386" t="str">
        <f aca="false">IFERROR(__xludf.dummyfunction("{ if(isna(FILTER(MoveDex!$AR:$AR,MoveDex!$AQ:$AQ=$L$1)),,FILTER(MoveDex!$AR:$AR,MoveDex!$AQ:$AQ=$L$1)) ; if(isna(FILTER(MoveDex!$AV:$AV,MoveDex!$AU:$AU=$L$1)),,FILTER(MoveDex!$AV:$AV,MoveDex!$AU:$AU=$L$1)) ; if(isna(FILTER(MoveDex!$AZ:$AZ,MoveDex!$AY:$AY="&amp;"$L$1)),,FILTER(MoveDex!$AZ:$AZ,MoveDex!$AY:$AY=$L$1)) }"),"")</f>
        <v/>
      </c>
      <c r="S40" s="386" t="str">
        <f aca="false">IFERROR(__xludf.dummyfunction("{ if(isna(FILTER(MoveDex!$AS:$AS,MoveDex!$AQ:$AQ=$L$1)),,FILTER(MoveDex!$AS:$AS,MoveDex!$AQ:$AQ=$L$1)) ; if(isna(FILTER(MoveDex!$AW:$AW,MoveDex!$AU:$AU=$L$1)),,FILTER(MoveDex!$AW:$AW,MoveDex!$AU:$AU=$L$1)) ; if(isna(FILTER(MoveDex!$BA:$BA,MoveDex!$AY:$AY="&amp;"$L$1)),,FILTER(MoveDex!$BA:$BA,MoveDex!$AY:$AY=$L$1)) }"),"")</f>
        <v/>
      </c>
      <c r="T40" s="777"/>
      <c r="U40" s="777"/>
      <c r="V40" s="777"/>
      <c r="W40" s="777"/>
      <c r="X40" s="777"/>
      <c r="Y40" s="777"/>
      <c r="Z40" s="777"/>
      <c r="AA40" s="777"/>
      <c r="AB40" s="777"/>
      <c r="AC40" s="777"/>
      <c r="AD40" s="777"/>
      <c r="AE40" s="777"/>
    </row>
    <row r="41" customFormat="false" ht="15.75" hidden="false" customHeight="false" outlineLevel="0" collapsed="false">
      <c r="A41" s="826"/>
      <c r="B41" s="826"/>
      <c r="C41" s="826"/>
      <c r="D41" s="861"/>
      <c r="E41" s="861"/>
      <c r="F41" s="861"/>
      <c r="G41" s="862"/>
      <c r="H41" s="862"/>
      <c r="I41" s="862"/>
      <c r="J41" s="862"/>
      <c r="K41" s="863"/>
      <c r="L41" s="863"/>
      <c r="M41" s="863"/>
      <c r="N41" s="863"/>
      <c r="O41" s="44"/>
      <c r="P41" s="44"/>
      <c r="Q41" s="44"/>
      <c r="R41" s="778" t="s">
        <v>262</v>
      </c>
      <c r="S41" s="511" t="s">
        <v>1114</v>
      </c>
      <c r="T41" s="638"/>
      <c r="U41" s="638"/>
      <c r="V41" s="638"/>
      <c r="W41" s="638"/>
      <c r="X41" s="638"/>
      <c r="Y41" s="638"/>
      <c r="Z41" s="638"/>
      <c r="AA41" s="638"/>
      <c r="AB41" s="638"/>
      <c r="AC41" s="638"/>
      <c r="AD41" s="638"/>
      <c r="AE41" s="638"/>
    </row>
    <row r="42" customFormat="false" ht="15.75" hidden="false" customHeight="false" outlineLevel="0" collapsed="false">
      <c r="A42" s="44"/>
      <c r="B42" s="44"/>
      <c r="C42" s="44"/>
      <c r="D42" s="44"/>
      <c r="E42" s="44"/>
      <c r="F42" s="44"/>
      <c r="G42" s="44"/>
      <c r="H42" s="44"/>
      <c r="I42" s="44"/>
      <c r="J42" s="44"/>
      <c r="K42" s="44"/>
      <c r="L42" s="44"/>
      <c r="M42" s="44"/>
      <c r="N42" s="44"/>
      <c r="O42" s="44"/>
      <c r="P42" s="44"/>
      <c r="Q42" s="44"/>
      <c r="R42" s="778" t="s">
        <v>65</v>
      </c>
      <c r="S42" s="511" t="s">
        <v>1115</v>
      </c>
      <c r="T42" s="638"/>
      <c r="U42" s="638"/>
      <c r="V42" s="638"/>
      <c r="W42" s="638"/>
      <c r="X42" s="638"/>
      <c r="Y42" s="638"/>
      <c r="Z42" s="638"/>
      <c r="AA42" s="638"/>
      <c r="AB42" s="638"/>
      <c r="AC42" s="638"/>
      <c r="AD42" s="638"/>
      <c r="AE42" s="638"/>
    </row>
    <row r="43" customFormat="false" ht="15.75" hidden="false" customHeight="false" outlineLevel="0" collapsed="false">
      <c r="A43" s="864" t="s">
        <v>2072</v>
      </c>
      <c r="B43" s="864"/>
      <c r="C43" s="864"/>
      <c r="D43" s="562" t="s">
        <v>777</v>
      </c>
      <c r="E43" s="865" t="s">
        <v>778</v>
      </c>
      <c r="F43" s="865" t="s">
        <v>779</v>
      </c>
      <c r="G43" s="865" t="s">
        <v>780</v>
      </c>
      <c r="H43" s="865" t="s">
        <v>781</v>
      </c>
      <c r="I43" s="865" t="s">
        <v>782</v>
      </c>
      <c r="J43" s="363" t="s">
        <v>2063</v>
      </c>
      <c r="K43" s="562" t="s">
        <v>2073</v>
      </c>
      <c r="L43" s="562"/>
      <c r="M43" s="866" t="s">
        <v>2074</v>
      </c>
      <c r="N43" s="866"/>
      <c r="O43" s="44"/>
      <c r="P43" s="44"/>
      <c r="Q43" s="44"/>
      <c r="R43" s="778" t="s">
        <v>259</v>
      </c>
      <c r="S43" s="511" t="s">
        <v>1115</v>
      </c>
      <c r="T43" s="638"/>
      <c r="U43" s="638"/>
      <c r="V43" s="638"/>
      <c r="W43" s="638"/>
      <c r="X43" s="638"/>
      <c r="Y43" s="638"/>
      <c r="Z43" s="638"/>
      <c r="AA43" s="638"/>
      <c r="AB43" s="638"/>
      <c r="AC43" s="638"/>
      <c r="AD43" s="638"/>
      <c r="AE43" s="638"/>
    </row>
    <row r="44" customFormat="false" ht="15.75" hidden="false" customHeight="false" outlineLevel="0" collapsed="false">
      <c r="A44" s="811" t="str">
        <f aca="false">$A$12</f>
        <v>Garchomp</v>
      </c>
      <c r="B44" s="811"/>
      <c r="C44" s="811"/>
      <c r="D44" s="867" t="n">
        <f aca="false" t="array" ref="D44:D44">IF(ISNA(INDEX(Pokedex!L$2:L$610,MATCH($A44,Pokedex!$B$2:$B$610,0))),"-",INDEX(Pokedex!L$2:L$610,MATCH($A44,Pokedex!$B$2:$B$610,0)))</f>
        <v>108</v>
      </c>
      <c r="E44" s="868" t="n">
        <f aca="false" t="array" ref="E44:E44">IF(ISNA(INDEX(Pokedex!M$2:M$610,MATCH($A44,Pokedex!$B$2:$B$610,0))),"-",INDEX(Pokedex!M$2:M$610,MATCH($A44,Pokedex!$B$2:$B$610,0)))</f>
        <v>130</v>
      </c>
      <c r="F44" s="868" t="n">
        <f aca="false" t="array" ref="F44:F44">IF(ISNA(INDEX(Pokedex!N$2:N$610,MATCH($A44,Pokedex!$B$2:$B$610,0))),"-",INDEX(Pokedex!N$2:N$610,MATCH($A44,Pokedex!$B$2:$B$610,0)))</f>
        <v>95</v>
      </c>
      <c r="G44" s="868" t="n">
        <f aca="false" t="array" ref="G44:G44">IF(ISNA(INDEX(Pokedex!O$2:O$610,MATCH($A44,Pokedex!$B$2:$B$610,0))),"-",INDEX(Pokedex!O$2:O$610,MATCH($A44,Pokedex!$B$2:$B$610,0)))</f>
        <v>80</v>
      </c>
      <c r="H44" s="868" t="n">
        <f aca="false" t="array" ref="H44:H44">IF(ISNA(INDEX(Pokedex!P$2:P$610,MATCH($A44,Pokedex!$B$2:$B$610,0))),"-",INDEX(Pokedex!P$2:P$610,MATCH($A44,Pokedex!$B$2:$B$610,0)))</f>
        <v>85</v>
      </c>
      <c r="I44" s="869" t="n">
        <f aca="false" t="array" ref="I44:I44">IF(ISNA(INDEX(Pokedex!Q$2:Q$610,MATCH($A44,Pokedex!$B$2:$B$610,0))),"-",INDEX(Pokedex!Q$2:Q$610,MATCH($A44,Pokedex!$B$2:$B$610,0)))</f>
        <v>102</v>
      </c>
      <c r="J44" s="868" t="n">
        <f aca="false">SUM(D44:I44)</f>
        <v>600</v>
      </c>
      <c r="K44" s="867" t="str">
        <f aca="false" t="array" ref="K44:K44">IF(ISNA(INDEX(Pokedex!R$2:R$610,MATCH($A44,Pokedex!$B$2:$B$610,0))),"-",INDEX(Pokedex!R$2:R$610,MATCH($A44,Pokedex!$B$2:$B$610,0)))</f>
        <v>Dragon</v>
      </c>
      <c r="L44" s="867"/>
      <c r="M44" s="869" t="str">
        <f aca="false" t="array" ref="M44:M44">IF(ISNA(INDEX(Pokedex!S$2:S$610,MATCH($A44,Pokedex!$B$2:$B$610,0))),"-",INDEX(Pokedex!S$2:S$610,MATCH($A44,Pokedex!$B$2:$B$610,0)))</f>
        <v>Ground</v>
      </c>
      <c r="N44" s="869"/>
      <c r="O44" s="44"/>
      <c r="P44" s="44"/>
      <c r="Q44" s="44"/>
      <c r="R44" s="778" t="s">
        <v>69</v>
      </c>
      <c r="S44" s="511" t="s">
        <v>1115</v>
      </c>
      <c r="T44" s="638"/>
      <c r="U44" s="638"/>
      <c r="V44" s="638"/>
      <c r="W44" s="638"/>
      <c r="X44" s="638"/>
      <c r="Y44" s="638"/>
      <c r="Z44" s="638"/>
      <c r="AA44" s="638"/>
      <c r="AB44" s="638"/>
      <c r="AC44" s="638"/>
      <c r="AD44" s="638"/>
      <c r="AE44" s="638"/>
    </row>
    <row r="45" customFormat="false" ht="15.75" hidden="false" customHeight="false" outlineLevel="0" collapsed="false">
      <c r="A45" s="817" t="str">
        <f aca="false">$A$13</f>
        <v>Breloom</v>
      </c>
      <c r="B45" s="817"/>
      <c r="C45" s="817"/>
      <c r="D45" s="855" t="n">
        <f aca="false" t="array" ref="D45:D45">IF(ISNA(INDEX(Pokedex!L$2:L$610,MATCH($A45,Pokedex!$B$2:$B$610,0))),"-",INDEX(Pokedex!L$2:L$610,MATCH($A45,Pokedex!$B$2:$B$610,0)))</f>
        <v>60</v>
      </c>
      <c r="E45" s="51" t="n">
        <f aca="false" t="array" ref="E45:E45">IF(ISNA(INDEX(Pokedex!M$2:M$610,MATCH($A45,Pokedex!$B$2:$B$610,0))),"-",INDEX(Pokedex!M$2:M$610,MATCH($A45,Pokedex!$B$2:$B$610,0)))</f>
        <v>130</v>
      </c>
      <c r="F45" s="51" t="n">
        <f aca="false" t="array" ref="F45:F45">IF(ISNA(INDEX(Pokedex!N$2:N$610,MATCH($A45,Pokedex!$B$2:$B$610,0))),"-",INDEX(Pokedex!N$2:N$610,MATCH($A45,Pokedex!$B$2:$B$610,0)))</f>
        <v>80</v>
      </c>
      <c r="G45" s="51" t="n">
        <f aca="false" t="array" ref="G45:G45">IF(ISNA(INDEX(Pokedex!O$2:O$610,MATCH($A45,Pokedex!$B$2:$B$610,0))),"-",INDEX(Pokedex!O$2:O$610,MATCH($A45,Pokedex!$B$2:$B$610,0)))</f>
        <v>60</v>
      </c>
      <c r="H45" s="51" t="n">
        <f aca="false" t="array" ref="H45:H45">IF(ISNA(INDEX(Pokedex!P$2:P$610,MATCH($A45,Pokedex!$B$2:$B$610,0))),"-",INDEX(Pokedex!P$2:P$610,MATCH($A45,Pokedex!$B$2:$B$610,0)))</f>
        <v>60</v>
      </c>
      <c r="I45" s="727" t="n">
        <f aca="false" t="array" ref="I45:I45">IF(ISNA(INDEX(Pokedex!Q$2:Q$610,MATCH($A45,Pokedex!$B$2:$B$610,0))),"-",INDEX(Pokedex!Q$2:Q$610,MATCH($A45,Pokedex!$B$2:$B$610,0)))</f>
        <v>70</v>
      </c>
      <c r="J45" s="51" t="n">
        <f aca="false">SUM(D45:I45)</f>
        <v>460</v>
      </c>
      <c r="K45" s="855" t="str">
        <f aca="false" t="array" ref="K45:K45">IF(ISNA(INDEX(Pokedex!R$2:R$610,MATCH($A45,Pokedex!$B$2:$B$610,0))),"-",INDEX(Pokedex!R$2:R$610,MATCH($A45,Pokedex!$B$2:$B$610,0)))</f>
        <v>Fighting</v>
      </c>
      <c r="L45" s="855"/>
      <c r="M45" s="727" t="str">
        <f aca="false" t="array" ref="M45:M45">IF(ISNA(INDEX(Pokedex!S$2:S$610,MATCH($A45,Pokedex!$B$2:$B$610,0))),"-",INDEX(Pokedex!S$2:S$610,MATCH($A45,Pokedex!$B$2:$B$610,0)))</f>
        <v>Grass</v>
      </c>
      <c r="N45" s="727"/>
      <c r="O45" s="44"/>
      <c r="P45" s="44"/>
      <c r="Q45" s="44"/>
      <c r="R45" s="778"/>
      <c r="S45" s="511"/>
      <c r="T45" s="638"/>
      <c r="U45" s="638"/>
      <c r="V45" s="638"/>
      <c r="W45" s="638"/>
      <c r="X45" s="638"/>
      <c r="Y45" s="638"/>
      <c r="Z45" s="638"/>
      <c r="AA45" s="638"/>
      <c r="AB45" s="638"/>
      <c r="AC45" s="638"/>
      <c r="AD45" s="638"/>
      <c r="AE45" s="638"/>
    </row>
    <row r="46" customFormat="false" ht="15.75" hidden="false" customHeight="false" outlineLevel="0" collapsed="false">
      <c r="A46" s="817" t="str">
        <f aca="false">$A$14</f>
        <v>Cloyster</v>
      </c>
      <c r="B46" s="817"/>
      <c r="C46" s="817"/>
      <c r="D46" s="855" t="n">
        <f aca="false" t="array" ref="D46:D46">IF(ISNA(INDEX(Pokedex!L$2:L$610,MATCH($A46,Pokedex!$B$2:$B$610,0))),"-",INDEX(Pokedex!L$2:L$610,MATCH($A46,Pokedex!$B$2:$B$610,0)))</f>
        <v>50</v>
      </c>
      <c r="E46" s="51" t="n">
        <f aca="false" t="array" ref="E46:E46">IF(ISNA(INDEX(Pokedex!M$2:M$610,MATCH($A46,Pokedex!$B$2:$B$610,0))),"-",INDEX(Pokedex!M$2:M$610,MATCH($A46,Pokedex!$B$2:$B$610,0)))</f>
        <v>95</v>
      </c>
      <c r="F46" s="51" t="n">
        <f aca="false" t="array" ref="F46:F46">IF(ISNA(INDEX(Pokedex!N$2:N$610,MATCH($A46,Pokedex!$B$2:$B$610,0))),"-",INDEX(Pokedex!N$2:N$610,MATCH($A46,Pokedex!$B$2:$B$610,0)))</f>
        <v>180</v>
      </c>
      <c r="G46" s="51" t="n">
        <f aca="false" t="array" ref="G46:G46">IF(ISNA(INDEX(Pokedex!O$2:O$610,MATCH($A46,Pokedex!$B$2:$B$610,0))),"-",INDEX(Pokedex!O$2:O$610,MATCH($A46,Pokedex!$B$2:$B$610,0)))</f>
        <v>85</v>
      </c>
      <c r="H46" s="51" t="n">
        <f aca="false" t="array" ref="H46:H46">IF(ISNA(INDEX(Pokedex!P$2:P$610,MATCH($A46,Pokedex!$B$2:$B$610,0))),"-",INDEX(Pokedex!P$2:P$610,MATCH($A46,Pokedex!$B$2:$B$610,0)))</f>
        <v>45</v>
      </c>
      <c r="I46" s="727" t="n">
        <f aca="false" t="array" ref="I46:I46">IF(ISNA(INDEX(Pokedex!Q$2:Q$610,MATCH($A46,Pokedex!$B$2:$B$610,0))),"-",INDEX(Pokedex!Q$2:Q$610,MATCH($A46,Pokedex!$B$2:$B$610,0)))</f>
        <v>70</v>
      </c>
      <c r="J46" s="51" t="n">
        <f aca="false">SUM(D46:I46)</f>
        <v>525</v>
      </c>
      <c r="K46" s="855" t="str">
        <f aca="false" t="array" ref="K46:K46">IF(ISNA(INDEX(Pokedex!R$2:R$610,MATCH($A46,Pokedex!$B$2:$B$610,0))),"-",INDEX(Pokedex!R$2:R$610,MATCH($A46,Pokedex!$B$2:$B$610,0)))</f>
        <v>Ice</v>
      </c>
      <c r="L46" s="855"/>
      <c r="M46" s="727" t="str">
        <f aca="false" t="array" ref="M46:M46">IF(ISNA(INDEX(Pokedex!S$2:S$610,MATCH($A46,Pokedex!$B$2:$B$610,0))),"-",INDEX(Pokedex!S$2:S$610,MATCH($A46,Pokedex!$B$2:$B$610,0)))</f>
        <v>Water</v>
      </c>
      <c r="N46" s="727"/>
      <c r="O46" s="44"/>
      <c r="P46" s="44"/>
      <c r="Q46" s="44"/>
      <c r="R46" s="790"/>
      <c r="S46" s="791"/>
      <c r="T46" s="792"/>
      <c r="U46" s="792"/>
      <c r="V46" s="792"/>
      <c r="W46" s="792"/>
      <c r="X46" s="792"/>
      <c r="Y46" s="792"/>
      <c r="Z46" s="792"/>
      <c r="AA46" s="792"/>
      <c r="AB46" s="792"/>
      <c r="AC46" s="792"/>
      <c r="AD46" s="792"/>
      <c r="AE46" s="792"/>
    </row>
    <row r="47" customFormat="false" ht="15.75" hidden="false" customHeight="false" outlineLevel="0" collapsed="false">
      <c r="A47" s="817" t="str">
        <f aca="false">$A$15</f>
        <v>Decidueye</v>
      </c>
      <c r="B47" s="817"/>
      <c r="C47" s="817"/>
      <c r="D47" s="855" t="n">
        <f aca="false" t="array" ref="D47:D47">IF(ISNA(INDEX(Pokedex!L$2:L$610,MATCH($A47,Pokedex!$B$2:$B$610,0))),"-",INDEX(Pokedex!L$2:L$610,MATCH($A47,Pokedex!$B$2:$B$610,0)))</f>
        <v>78</v>
      </c>
      <c r="E47" s="51" t="n">
        <f aca="false" t="array" ref="E47:E47">IF(ISNA(INDEX(Pokedex!M$2:M$610,MATCH($A47,Pokedex!$B$2:$B$610,0))),"-",INDEX(Pokedex!M$2:M$610,MATCH($A47,Pokedex!$B$2:$B$610,0)))</f>
        <v>107</v>
      </c>
      <c r="F47" s="51" t="n">
        <f aca="false" t="array" ref="F47:F47">IF(ISNA(INDEX(Pokedex!N$2:N$610,MATCH($A47,Pokedex!$B$2:$B$610,0))),"-",INDEX(Pokedex!N$2:N$610,MATCH($A47,Pokedex!$B$2:$B$610,0)))</f>
        <v>75</v>
      </c>
      <c r="G47" s="51" t="n">
        <f aca="false" t="array" ref="G47:G47">IF(ISNA(INDEX(Pokedex!O$2:O$610,MATCH($A47,Pokedex!$B$2:$B$610,0))),"-",INDEX(Pokedex!O$2:O$610,MATCH($A47,Pokedex!$B$2:$B$610,0)))</f>
        <v>100</v>
      </c>
      <c r="H47" s="51" t="n">
        <f aca="false" t="array" ref="H47:H47">IF(ISNA(INDEX(Pokedex!P$2:P$610,MATCH($A47,Pokedex!$B$2:$B$610,0))),"-",INDEX(Pokedex!P$2:P$610,MATCH($A47,Pokedex!$B$2:$B$610,0)))</f>
        <v>100</v>
      </c>
      <c r="I47" s="727" t="n">
        <f aca="false" t="array" ref="I47:I47">IF(ISNA(INDEX(Pokedex!Q$2:Q$610,MATCH($A47,Pokedex!$B$2:$B$610,0))),"-",INDEX(Pokedex!Q$2:Q$610,MATCH($A47,Pokedex!$B$2:$B$610,0)))</f>
        <v>70</v>
      </c>
      <c r="J47" s="51" t="n">
        <f aca="false">SUM(D47:I47)</f>
        <v>530</v>
      </c>
      <c r="K47" s="855" t="str">
        <f aca="false" t="array" ref="K47:K47">IF(ISNA(INDEX(Pokedex!R$2:R$610,MATCH($A47,Pokedex!$B$2:$B$610,0))),"-",INDEX(Pokedex!R$2:R$610,MATCH($A47,Pokedex!$B$2:$B$610,0)))</f>
        <v>Ghost</v>
      </c>
      <c r="L47" s="855"/>
      <c r="M47" s="727" t="str">
        <f aca="false" t="array" ref="M47:M47">IF(ISNA(INDEX(Pokedex!S$2:S$610,MATCH($A47,Pokedex!$B$2:$B$610,0))),"-",INDEX(Pokedex!S$2:S$610,MATCH($A47,Pokedex!$B$2:$B$610,0)))</f>
        <v>Grass</v>
      </c>
      <c r="N47" s="727"/>
      <c r="O47" s="44"/>
      <c r="P47" s="44"/>
      <c r="Q47" s="44"/>
      <c r="R47" s="790"/>
      <c r="S47" s="791"/>
      <c r="T47" s="792"/>
      <c r="U47" s="792"/>
      <c r="V47" s="792"/>
      <c r="W47" s="792"/>
      <c r="X47" s="792"/>
      <c r="Y47" s="792"/>
      <c r="Z47" s="792"/>
      <c r="AA47" s="792"/>
      <c r="AB47" s="792"/>
      <c r="AC47" s="792"/>
      <c r="AD47" s="792"/>
      <c r="AE47" s="792"/>
    </row>
    <row r="48" customFormat="false" ht="15.75" hidden="false" customHeight="false" outlineLevel="0" collapsed="false">
      <c r="A48" s="817" t="str">
        <f aca="false">$A$16</f>
        <v>Araquanid</v>
      </c>
      <c r="B48" s="817"/>
      <c r="C48" s="817"/>
      <c r="D48" s="855" t="n">
        <f aca="false" t="array" ref="D48:D48">IF(ISNA(INDEX(Pokedex!L$2:L$610,MATCH($A48,Pokedex!$B$2:$B$610,0))),"-",INDEX(Pokedex!L$2:L$610,MATCH($A48,Pokedex!$B$2:$B$610,0)))</f>
        <v>68</v>
      </c>
      <c r="E48" s="51" t="n">
        <f aca="false" t="array" ref="E48:E48">IF(ISNA(INDEX(Pokedex!M$2:M$610,MATCH($A48,Pokedex!$B$2:$B$610,0))),"-",INDEX(Pokedex!M$2:M$610,MATCH($A48,Pokedex!$B$2:$B$610,0)))</f>
        <v>70</v>
      </c>
      <c r="F48" s="51" t="n">
        <f aca="false" t="array" ref="F48:F48">IF(ISNA(INDEX(Pokedex!N$2:N$610,MATCH($A48,Pokedex!$B$2:$B$610,0))),"-",INDEX(Pokedex!N$2:N$610,MATCH($A48,Pokedex!$B$2:$B$610,0)))</f>
        <v>92</v>
      </c>
      <c r="G48" s="51" t="n">
        <f aca="false" t="array" ref="G48:G48">IF(ISNA(INDEX(Pokedex!O$2:O$610,MATCH($A48,Pokedex!$B$2:$B$610,0))),"-",INDEX(Pokedex!O$2:O$610,MATCH($A48,Pokedex!$B$2:$B$610,0)))</f>
        <v>50</v>
      </c>
      <c r="H48" s="51" t="n">
        <f aca="false" t="array" ref="H48:H48">IF(ISNA(INDEX(Pokedex!P$2:P$610,MATCH($A48,Pokedex!$B$2:$B$610,0))),"-",INDEX(Pokedex!P$2:P$610,MATCH($A48,Pokedex!$B$2:$B$610,0)))</f>
        <v>132</v>
      </c>
      <c r="I48" s="727" t="n">
        <f aca="false" t="array" ref="I48:I48">IF(ISNA(INDEX(Pokedex!Q$2:Q$610,MATCH($A48,Pokedex!$B$2:$B$610,0))),"-",INDEX(Pokedex!Q$2:Q$610,MATCH($A48,Pokedex!$B$2:$B$610,0)))</f>
        <v>42</v>
      </c>
      <c r="J48" s="51" t="n">
        <f aca="false">SUM(D48:I48)</f>
        <v>454</v>
      </c>
      <c r="K48" s="855" t="str">
        <f aca="false" t="array" ref="K48:K48">IF(ISNA(INDEX(Pokedex!R$2:R$610,MATCH($A48,Pokedex!$B$2:$B$610,0))),"-",INDEX(Pokedex!R$2:R$610,MATCH($A48,Pokedex!$B$2:$B$610,0)))</f>
        <v>Bug</v>
      </c>
      <c r="L48" s="855"/>
      <c r="M48" s="727" t="str">
        <f aca="false" t="array" ref="M48:M48">IF(ISNA(INDEX(Pokedex!S$2:S$610,MATCH($A48,Pokedex!$B$2:$B$610,0))),"-",INDEX(Pokedex!S$2:S$610,MATCH($A48,Pokedex!$B$2:$B$610,0)))</f>
        <v>Water</v>
      </c>
      <c r="N48" s="727"/>
      <c r="O48" s="44"/>
      <c r="P48" s="44"/>
      <c r="Q48" s="44"/>
      <c r="R48" s="790"/>
      <c r="S48" s="791"/>
      <c r="T48" s="792"/>
      <c r="U48" s="792"/>
      <c r="V48" s="792"/>
      <c r="W48" s="792"/>
      <c r="X48" s="792"/>
      <c r="Y48" s="792"/>
      <c r="Z48" s="792"/>
      <c r="AA48" s="792"/>
      <c r="AB48" s="792"/>
      <c r="AC48" s="792"/>
      <c r="AD48" s="792"/>
      <c r="AE48" s="792"/>
    </row>
    <row r="49" customFormat="false" ht="15.75" hidden="false" customHeight="false" outlineLevel="0" collapsed="false">
      <c r="A49" s="817" t="str">
        <f aca="false">$A$17</f>
        <v>Luxray</v>
      </c>
      <c r="B49" s="817"/>
      <c r="C49" s="817"/>
      <c r="D49" s="855" t="n">
        <f aca="false" t="array" ref="D49:D49">IF(ISNA(INDEX(Pokedex!L$2:L$610,MATCH($A49,Pokedex!$B$2:$B$610,0))),"-",INDEX(Pokedex!L$2:L$610,MATCH($A49,Pokedex!$B$2:$B$610,0)))</f>
        <v>80</v>
      </c>
      <c r="E49" s="51" t="n">
        <f aca="false" t="array" ref="E49:E49">IF(ISNA(INDEX(Pokedex!M$2:M$610,MATCH($A49,Pokedex!$B$2:$B$610,0))),"-",INDEX(Pokedex!M$2:M$610,MATCH($A49,Pokedex!$B$2:$B$610,0)))</f>
        <v>120</v>
      </c>
      <c r="F49" s="51" t="n">
        <f aca="false" t="array" ref="F49:F49">IF(ISNA(INDEX(Pokedex!N$2:N$610,MATCH($A49,Pokedex!$B$2:$B$610,0))),"-",INDEX(Pokedex!N$2:N$610,MATCH($A49,Pokedex!$B$2:$B$610,0)))</f>
        <v>79</v>
      </c>
      <c r="G49" s="51" t="n">
        <f aca="false" t="array" ref="G49:G49">IF(ISNA(INDEX(Pokedex!O$2:O$610,MATCH($A49,Pokedex!$B$2:$B$610,0))),"-",INDEX(Pokedex!O$2:O$610,MATCH($A49,Pokedex!$B$2:$B$610,0)))</f>
        <v>95</v>
      </c>
      <c r="H49" s="51" t="n">
        <f aca="false" t="array" ref="H49:H49">IF(ISNA(INDEX(Pokedex!P$2:P$610,MATCH($A49,Pokedex!$B$2:$B$610,0))),"-",INDEX(Pokedex!P$2:P$610,MATCH($A49,Pokedex!$B$2:$B$610,0)))</f>
        <v>79</v>
      </c>
      <c r="I49" s="727" t="n">
        <f aca="false" t="array" ref="I49:I49">IF(ISNA(INDEX(Pokedex!Q$2:Q$610,MATCH($A49,Pokedex!$B$2:$B$610,0))),"-",INDEX(Pokedex!Q$2:Q$610,MATCH($A49,Pokedex!$B$2:$B$610,0)))</f>
        <v>70</v>
      </c>
      <c r="J49" s="51" t="n">
        <f aca="false">SUM(D49:I49)</f>
        <v>523</v>
      </c>
      <c r="K49" s="855" t="str">
        <f aca="false" t="array" ref="K49:K49">IF(ISNA(INDEX(Pokedex!R$2:R$610,MATCH($A49,Pokedex!$B$2:$B$610,0))),"-",INDEX(Pokedex!R$2:R$610,MATCH($A49,Pokedex!$B$2:$B$610,0)))</f>
        <v>Electric</v>
      </c>
      <c r="L49" s="855"/>
      <c r="M49" s="727" t="n">
        <f aca="false">IF(ISNA(INDEX(Pokedex!S$2:S$610,MATCH($A49,Pokedex!$B$2:$B$610,0))),"-",INDEX(Pokedex!S$2:S$610,MATCH($A49,Pokedex!$B$2:$B$610,0)))</f>
        <v>0</v>
      </c>
      <c r="N49" s="727"/>
      <c r="O49" s="44"/>
      <c r="P49" s="44"/>
      <c r="Q49" s="44"/>
      <c r="R49" s="790"/>
      <c r="S49" s="791"/>
      <c r="T49" s="792"/>
      <c r="U49" s="792"/>
      <c r="V49" s="792"/>
      <c r="W49" s="792"/>
      <c r="X49" s="792"/>
      <c r="Y49" s="792"/>
      <c r="Z49" s="792"/>
      <c r="AA49" s="792"/>
      <c r="AB49" s="792"/>
      <c r="AC49" s="792"/>
      <c r="AD49" s="792"/>
      <c r="AE49" s="792"/>
    </row>
    <row r="50" customFormat="false" ht="15.75" hidden="false" customHeight="false" outlineLevel="0" collapsed="false">
      <c r="A50" s="817" t="str">
        <f aca="false">$A$18</f>
        <v>Alakazam-Mega</v>
      </c>
      <c r="B50" s="817"/>
      <c r="C50" s="817"/>
      <c r="D50" s="855" t="n">
        <f aca="false" t="array" ref="D50:D50">IF(ISNA(INDEX(Pokedex!L$2:L$610,MATCH($A50,Pokedex!$B$2:$B$610,0))),"-",INDEX(Pokedex!L$2:L$610,MATCH($A50,Pokedex!$B$2:$B$610,0)))</f>
        <v>55</v>
      </c>
      <c r="E50" s="51" t="n">
        <f aca="false" t="array" ref="E50:E50">IF(ISNA(INDEX(Pokedex!M$2:M$610,MATCH($A50,Pokedex!$B$2:$B$610,0))),"-",INDEX(Pokedex!M$2:M$610,MATCH($A50,Pokedex!$B$2:$B$610,0)))</f>
        <v>50</v>
      </c>
      <c r="F50" s="51" t="n">
        <f aca="false" t="array" ref="F50:F50">IF(ISNA(INDEX(Pokedex!N$2:N$610,MATCH($A50,Pokedex!$B$2:$B$610,0))),"-",INDEX(Pokedex!N$2:N$610,MATCH($A50,Pokedex!$B$2:$B$610,0)))</f>
        <v>65</v>
      </c>
      <c r="G50" s="51" t="n">
        <f aca="false" t="array" ref="G50:G50">IF(ISNA(INDEX(Pokedex!O$2:O$610,MATCH($A50,Pokedex!$B$2:$B$610,0))),"-",INDEX(Pokedex!O$2:O$610,MATCH($A50,Pokedex!$B$2:$B$610,0)))</f>
        <v>175</v>
      </c>
      <c r="H50" s="51" t="n">
        <f aca="false" t="array" ref="H50:H50">IF(ISNA(INDEX(Pokedex!P$2:P$610,MATCH($A50,Pokedex!$B$2:$B$610,0))),"-",INDEX(Pokedex!P$2:P$610,MATCH($A50,Pokedex!$B$2:$B$610,0)))</f>
        <v>105</v>
      </c>
      <c r="I50" s="727" t="n">
        <f aca="false" t="array" ref="I50:I50">IF(ISNA(INDEX(Pokedex!Q$2:Q$610,MATCH($A50,Pokedex!$B$2:$B$610,0))),"-",INDEX(Pokedex!Q$2:Q$610,MATCH($A50,Pokedex!$B$2:$B$610,0)))</f>
        <v>150</v>
      </c>
      <c r="J50" s="51" t="n">
        <f aca="false">SUM(D50:I50)</f>
        <v>600</v>
      </c>
      <c r="K50" s="855" t="str">
        <f aca="false" t="array" ref="K50:K50">IF(ISNA(INDEX(Pokedex!R$2:R$610,MATCH($A50,Pokedex!$B$2:$B$610,0))),"-",INDEX(Pokedex!R$2:R$610,MATCH($A50,Pokedex!$B$2:$B$610,0)))</f>
        <v>Psychic</v>
      </c>
      <c r="L50" s="855"/>
      <c r="M50" s="727" t="n">
        <f aca="false">IF(ISNA(INDEX(Pokedex!S$2:S$610,MATCH($A50,Pokedex!$B$2:$B$610,0))),"-",INDEX(Pokedex!S$2:S$610,MATCH($A50,Pokedex!$B$2:$B$610,0)))</f>
        <v>0</v>
      </c>
      <c r="N50" s="727"/>
      <c r="O50" s="44"/>
      <c r="P50" s="44"/>
      <c r="Q50" s="44"/>
      <c r="R50" s="790"/>
      <c r="S50" s="791"/>
      <c r="T50" s="792"/>
      <c r="U50" s="792"/>
      <c r="V50" s="792"/>
      <c r="W50" s="792"/>
      <c r="X50" s="792"/>
      <c r="Y50" s="792"/>
      <c r="Z50" s="792"/>
      <c r="AA50" s="792"/>
      <c r="AB50" s="792"/>
      <c r="AC50" s="792"/>
      <c r="AD50" s="792"/>
      <c r="AE50" s="792"/>
    </row>
    <row r="51" customFormat="false" ht="15.75" hidden="false" customHeight="false" outlineLevel="0" collapsed="false">
      <c r="A51" s="817" t="str">
        <f aca="false">$A$19</f>
        <v>Tyranitar</v>
      </c>
      <c r="B51" s="817"/>
      <c r="C51" s="817"/>
      <c r="D51" s="855" t="n">
        <f aca="false" t="array" ref="D51:D51">IF(ISNA(INDEX(Pokedex!L$2:L$610,MATCH($A51,Pokedex!$B$2:$B$610,0))),"-",INDEX(Pokedex!L$2:L$610,MATCH($A51,Pokedex!$B$2:$B$610,0)))</f>
        <v>100</v>
      </c>
      <c r="E51" s="51" t="n">
        <f aca="false" t="array" ref="E51:E51">IF(ISNA(INDEX(Pokedex!M$2:M$610,MATCH($A51,Pokedex!$B$2:$B$610,0))),"-",INDEX(Pokedex!M$2:M$610,MATCH($A51,Pokedex!$B$2:$B$610,0)))</f>
        <v>134</v>
      </c>
      <c r="F51" s="51" t="n">
        <f aca="false" t="array" ref="F51:F51">IF(ISNA(INDEX(Pokedex!N$2:N$610,MATCH($A51,Pokedex!$B$2:$B$610,0))),"-",INDEX(Pokedex!N$2:N$610,MATCH($A51,Pokedex!$B$2:$B$610,0)))</f>
        <v>110</v>
      </c>
      <c r="G51" s="51" t="n">
        <f aca="false" t="array" ref="G51:G51">IF(ISNA(INDEX(Pokedex!O$2:O$610,MATCH($A51,Pokedex!$B$2:$B$610,0))),"-",INDEX(Pokedex!O$2:O$610,MATCH($A51,Pokedex!$B$2:$B$610,0)))</f>
        <v>95</v>
      </c>
      <c r="H51" s="51" t="n">
        <f aca="false" t="array" ref="H51:H51">IF(ISNA(INDEX(Pokedex!P$2:P$610,MATCH($A51,Pokedex!$B$2:$B$610,0))),"-",INDEX(Pokedex!P$2:P$610,MATCH($A51,Pokedex!$B$2:$B$610,0)))</f>
        <v>100</v>
      </c>
      <c r="I51" s="727" t="n">
        <f aca="false" t="array" ref="I51:I51">IF(ISNA(INDEX(Pokedex!Q$2:Q$610,MATCH($A51,Pokedex!$B$2:$B$610,0))),"-",INDEX(Pokedex!Q$2:Q$610,MATCH($A51,Pokedex!$B$2:$B$610,0)))</f>
        <v>61</v>
      </c>
      <c r="J51" s="51" t="n">
        <f aca="false">SUM(D51:I51)</f>
        <v>600</v>
      </c>
      <c r="K51" s="855" t="str">
        <f aca="false" t="array" ref="K51:K51">IF(ISNA(INDEX(Pokedex!R$2:R$610,MATCH($A51,Pokedex!$B$2:$B$610,0))),"-",INDEX(Pokedex!R$2:R$610,MATCH($A51,Pokedex!$B$2:$B$610,0)))</f>
        <v>Dark</v>
      </c>
      <c r="L51" s="855"/>
      <c r="M51" s="727" t="str">
        <f aca="false" t="array" ref="M51:M51">IF(ISNA(INDEX(Pokedex!S$2:S$610,MATCH($A51,Pokedex!$B$2:$B$610,0))),"-",INDEX(Pokedex!S$2:S$610,MATCH($A51,Pokedex!$B$2:$B$610,0)))</f>
        <v>Rock</v>
      </c>
      <c r="N51" s="727"/>
      <c r="O51" s="44"/>
      <c r="P51" s="44"/>
      <c r="Q51" s="44"/>
      <c r="R51" s="820"/>
      <c r="S51" s="821"/>
      <c r="T51" s="792"/>
      <c r="U51" s="792"/>
      <c r="V51" s="792"/>
      <c r="W51" s="792"/>
      <c r="X51" s="792"/>
      <c r="Y51" s="792"/>
      <c r="Z51" s="792"/>
      <c r="AA51" s="792"/>
      <c r="AB51" s="792"/>
      <c r="AC51" s="792"/>
      <c r="AD51" s="792"/>
      <c r="AE51" s="792"/>
    </row>
    <row r="52" customFormat="false" ht="15.75" hidden="false" customHeight="false" outlineLevel="0" collapsed="false">
      <c r="A52" s="817" t="str">
        <f aca="false">$A$20</f>
        <v>Scolipede</v>
      </c>
      <c r="B52" s="817"/>
      <c r="C52" s="817"/>
      <c r="D52" s="855" t="n">
        <f aca="false" t="array" ref="D52:D52">IF(ISNA(INDEX(Pokedex!L$2:L$610,MATCH($A52,Pokedex!$B$2:$B$610,0))),"-",INDEX(Pokedex!L$2:L$610,MATCH($A52,Pokedex!$B$2:$B$610,0)))</f>
        <v>60</v>
      </c>
      <c r="E52" s="51" t="n">
        <f aca="false" t="array" ref="E52:E52">IF(ISNA(INDEX(Pokedex!M$2:M$610,MATCH($A52,Pokedex!$B$2:$B$610,0))),"-",INDEX(Pokedex!M$2:M$610,MATCH($A52,Pokedex!$B$2:$B$610,0)))</f>
        <v>100</v>
      </c>
      <c r="F52" s="51" t="n">
        <f aca="false" t="array" ref="F52:F52">IF(ISNA(INDEX(Pokedex!N$2:N$610,MATCH($A52,Pokedex!$B$2:$B$610,0))),"-",INDEX(Pokedex!N$2:N$610,MATCH($A52,Pokedex!$B$2:$B$610,0)))</f>
        <v>89</v>
      </c>
      <c r="G52" s="51" t="n">
        <f aca="false" t="array" ref="G52:G52">IF(ISNA(INDEX(Pokedex!O$2:O$610,MATCH($A52,Pokedex!$B$2:$B$610,0))),"-",INDEX(Pokedex!O$2:O$610,MATCH($A52,Pokedex!$B$2:$B$610,0)))</f>
        <v>55</v>
      </c>
      <c r="H52" s="51" t="n">
        <f aca="false" t="array" ref="H52:H52">IF(ISNA(INDEX(Pokedex!P$2:P$610,MATCH($A52,Pokedex!$B$2:$B$610,0))),"-",INDEX(Pokedex!P$2:P$610,MATCH($A52,Pokedex!$B$2:$B$610,0)))</f>
        <v>69</v>
      </c>
      <c r="I52" s="727" t="n">
        <f aca="false" t="array" ref="I52:I52">IF(ISNA(INDEX(Pokedex!Q$2:Q$610,MATCH($A52,Pokedex!$B$2:$B$610,0))),"-",INDEX(Pokedex!Q$2:Q$610,MATCH($A52,Pokedex!$B$2:$B$610,0)))</f>
        <v>112</v>
      </c>
      <c r="J52" s="51" t="n">
        <f aca="false">SUM(D52:I52)</f>
        <v>485</v>
      </c>
      <c r="K52" s="855" t="str">
        <f aca="false" t="array" ref="K52:K52">IF(ISNA(INDEX(Pokedex!R$2:R$610,MATCH($A52,Pokedex!$B$2:$B$610,0))),"-",INDEX(Pokedex!R$2:R$610,MATCH($A52,Pokedex!$B$2:$B$610,0)))</f>
        <v>Bug</v>
      </c>
      <c r="L52" s="855"/>
      <c r="M52" s="727" t="str">
        <f aca="false" t="array" ref="M52:M52">IF(ISNA(INDEX(Pokedex!S$2:S$610,MATCH($A52,Pokedex!$B$2:$B$610,0))),"-",INDEX(Pokedex!S$2:S$610,MATCH($A52,Pokedex!$B$2:$B$610,0)))</f>
        <v>Poison</v>
      </c>
      <c r="N52" s="727"/>
      <c r="O52" s="44"/>
      <c r="P52" s="44"/>
      <c r="Q52" s="44"/>
      <c r="R52" s="824"/>
      <c r="S52" s="638"/>
      <c r="T52" s="638"/>
      <c r="U52" s="638"/>
      <c r="V52" s="638"/>
      <c r="W52" s="638"/>
      <c r="X52" s="638"/>
      <c r="Y52" s="638"/>
      <c r="Z52" s="638"/>
      <c r="AA52" s="638"/>
      <c r="AB52" s="638"/>
      <c r="AC52" s="638"/>
      <c r="AD52" s="638"/>
      <c r="AE52" s="638"/>
    </row>
    <row r="53" customFormat="false" ht="15.75" hidden="false" customHeight="false" outlineLevel="0" collapsed="false">
      <c r="A53" s="817" t="str">
        <f aca="false">$A$21</f>
        <v>Drifblim</v>
      </c>
      <c r="B53" s="817"/>
      <c r="C53" s="817"/>
      <c r="D53" s="855" t="n">
        <f aca="false" t="array" ref="D53:D53">IF(ISNA(INDEX(Pokedex!L$2:L$610,MATCH($A53,Pokedex!$B$2:$B$610,0))),"-",INDEX(Pokedex!L$2:L$610,MATCH($A53,Pokedex!$B$2:$B$610,0)))</f>
        <v>150</v>
      </c>
      <c r="E53" s="51" t="n">
        <f aca="false" t="array" ref="E53:E53">IF(ISNA(INDEX(Pokedex!M$2:M$610,MATCH($A53,Pokedex!$B$2:$B$610,0))),"-",INDEX(Pokedex!M$2:M$610,MATCH($A53,Pokedex!$B$2:$B$610,0)))</f>
        <v>80</v>
      </c>
      <c r="F53" s="51" t="n">
        <f aca="false" t="array" ref="F53:F53">IF(ISNA(INDEX(Pokedex!N$2:N$610,MATCH($A53,Pokedex!$B$2:$B$610,0))),"-",INDEX(Pokedex!N$2:N$610,MATCH($A53,Pokedex!$B$2:$B$610,0)))</f>
        <v>44</v>
      </c>
      <c r="G53" s="51" t="n">
        <f aca="false" t="array" ref="G53:G53">IF(ISNA(INDEX(Pokedex!O$2:O$610,MATCH($A53,Pokedex!$B$2:$B$610,0))),"-",INDEX(Pokedex!O$2:O$610,MATCH($A53,Pokedex!$B$2:$B$610,0)))</f>
        <v>90</v>
      </c>
      <c r="H53" s="51" t="n">
        <f aca="false" t="array" ref="H53:H53">IF(ISNA(INDEX(Pokedex!P$2:P$610,MATCH($A53,Pokedex!$B$2:$B$610,0))),"-",INDEX(Pokedex!P$2:P$610,MATCH($A53,Pokedex!$B$2:$B$610,0)))</f>
        <v>54</v>
      </c>
      <c r="I53" s="727" t="n">
        <f aca="false" t="array" ref="I53:I53">IF(ISNA(INDEX(Pokedex!Q$2:Q$610,MATCH($A53,Pokedex!$B$2:$B$610,0))),"-",INDEX(Pokedex!Q$2:Q$610,MATCH($A53,Pokedex!$B$2:$B$610,0)))</f>
        <v>80</v>
      </c>
      <c r="J53" s="51" t="n">
        <f aca="false">SUM(D53:I53)</f>
        <v>498</v>
      </c>
      <c r="K53" s="855" t="str">
        <f aca="false" t="array" ref="K53:K53">IF(ISNA(INDEX(Pokedex!R$2:R$610,MATCH($A53,Pokedex!$B$2:$B$610,0))),"-",INDEX(Pokedex!R$2:R$610,MATCH($A53,Pokedex!$B$2:$B$610,0)))</f>
        <v>Ghost</v>
      </c>
      <c r="L53" s="855"/>
      <c r="M53" s="727" t="str">
        <f aca="false" t="array" ref="M53:M53">IF(ISNA(INDEX(Pokedex!S$2:S$610,MATCH($A53,Pokedex!$B$2:$B$610,0))),"-",INDEX(Pokedex!S$2:S$610,MATCH($A53,Pokedex!$B$2:$B$610,0)))</f>
        <v>Flying</v>
      </c>
      <c r="N53" s="727"/>
      <c r="O53" s="44"/>
      <c r="P53" s="44"/>
      <c r="Q53" s="44"/>
      <c r="R53" s="824"/>
      <c r="S53" s="638"/>
      <c r="T53" s="638"/>
      <c r="U53" s="638"/>
      <c r="V53" s="638"/>
      <c r="W53" s="638"/>
      <c r="X53" s="638"/>
      <c r="Y53" s="638"/>
      <c r="Z53" s="638"/>
      <c r="AA53" s="638"/>
      <c r="AB53" s="638"/>
      <c r="AC53" s="638"/>
      <c r="AD53" s="638"/>
      <c r="AE53" s="638"/>
    </row>
    <row r="54" customFormat="false" ht="15.75" hidden="false" customHeight="false" outlineLevel="0" collapsed="false">
      <c r="A54" s="826" t="str">
        <f aca="false">$A$22</f>
        <v>Lapras</v>
      </c>
      <c r="B54" s="826"/>
      <c r="C54" s="826"/>
      <c r="D54" s="870" t="n">
        <f aca="false" t="array" ref="D54:D54">IF(ISNA(INDEX(Pokedex!L$2:L$610,MATCH($A54,Pokedex!$B$2:$B$610,0))),"-",INDEX(Pokedex!L$2:L$610,MATCH($A54,Pokedex!$B$2:$B$610,0)))</f>
        <v>130</v>
      </c>
      <c r="E54" s="828" t="n">
        <f aca="false" t="array" ref="E54:E54">IF(ISNA(INDEX(Pokedex!M$2:M$610,MATCH($A54,Pokedex!$B$2:$B$610,0))),"-",INDEX(Pokedex!M$2:M$610,MATCH($A54,Pokedex!$B$2:$B$610,0)))</f>
        <v>85</v>
      </c>
      <c r="F54" s="828" t="n">
        <f aca="false" t="array" ref="F54:F54">IF(ISNA(INDEX(Pokedex!N$2:N$610,MATCH($A54,Pokedex!$B$2:$B$610,0))),"-",INDEX(Pokedex!N$2:N$610,MATCH($A54,Pokedex!$B$2:$B$610,0)))</f>
        <v>80</v>
      </c>
      <c r="G54" s="828" t="n">
        <f aca="false" t="array" ref="G54:G54">IF(ISNA(INDEX(Pokedex!O$2:O$610,MATCH($A54,Pokedex!$B$2:$B$610,0))),"-",INDEX(Pokedex!O$2:O$610,MATCH($A54,Pokedex!$B$2:$B$610,0)))</f>
        <v>85</v>
      </c>
      <c r="H54" s="828" t="n">
        <f aca="false" t="array" ref="H54:H54">IF(ISNA(INDEX(Pokedex!P$2:P$610,MATCH($A54,Pokedex!$B$2:$B$610,0))),"-",INDEX(Pokedex!P$2:P$610,MATCH($A54,Pokedex!$B$2:$B$610,0)))</f>
        <v>95</v>
      </c>
      <c r="I54" s="744" t="n">
        <f aca="false" t="array" ref="I54:I54">IF(ISNA(INDEX(Pokedex!Q$2:Q$610,MATCH($A54,Pokedex!$B$2:$B$610,0))),"-",INDEX(Pokedex!Q$2:Q$610,MATCH($A54,Pokedex!$B$2:$B$610,0)))</f>
        <v>60</v>
      </c>
      <c r="J54" s="828" t="n">
        <f aca="false">SUM(D54:I54)</f>
        <v>535</v>
      </c>
      <c r="K54" s="870" t="str">
        <f aca="false" t="array" ref="K54:K54">IF(ISNA(INDEX(Pokedex!R$2:R$610,MATCH($A54,Pokedex!$B$2:$B$610,0))),"-",INDEX(Pokedex!R$2:R$610,MATCH($A54,Pokedex!$B$2:$B$610,0)))</f>
        <v>Ice</v>
      </c>
      <c r="L54" s="870"/>
      <c r="M54" s="744" t="str">
        <f aca="false" t="array" ref="M54:M54">IF(ISNA(INDEX(Pokedex!S$2:S$610,MATCH($A54,Pokedex!$B$2:$B$610,0))),"-",INDEX(Pokedex!S$2:S$610,MATCH($A54,Pokedex!$B$2:$B$610,0)))</f>
        <v>Water</v>
      </c>
      <c r="N54" s="744"/>
      <c r="O54" s="44"/>
      <c r="P54" s="44"/>
      <c r="Q54" s="871" t="s">
        <v>2068</v>
      </c>
      <c r="R54" s="871"/>
      <c r="S54" s="871"/>
      <c r="T54" s="871" t="s">
        <v>2069</v>
      </c>
      <c r="U54" s="871"/>
      <c r="V54" s="871"/>
      <c r="W54" s="872" t="s">
        <v>209</v>
      </c>
      <c r="X54" s="872"/>
      <c r="Y54" s="332" t="s">
        <v>2070</v>
      </c>
      <c r="Z54" s="332"/>
      <c r="AA54" s="172" t="s">
        <v>213</v>
      </c>
      <c r="AB54" s="172"/>
      <c r="AC54" s="172"/>
      <c r="AD54" s="172"/>
      <c r="AE54" s="873"/>
    </row>
    <row r="55" customFormat="false" ht="15.75" hidden="false" customHeight="false" outlineLevel="0" collapsed="false">
      <c r="A55" s="874" t="s">
        <v>2075</v>
      </c>
      <c r="B55" s="874"/>
      <c r="C55" s="874"/>
      <c r="D55" s="875" t="n">
        <f aca="false">IF(ISERROR(AVERAGE(D44:D54)),"-",AVERAGE(D44:D54))</f>
        <v>85.3636363636364</v>
      </c>
      <c r="E55" s="876" t="n">
        <f aca="false">IF(ISERROR(AVERAGE(E44:E54)),"-",AVERAGE(E44:E54))</f>
        <v>100.090909090909</v>
      </c>
      <c r="F55" s="876" t="n">
        <f aca="false">IF(ISERROR(AVERAGE(F44:F54)),"-",AVERAGE(F44:F54))</f>
        <v>89.9090909090909</v>
      </c>
      <c r="G55" s="876" t="n">
        <f aca="false">IF(ISERROR(AVERAGE(G44:G54)),"-",AVERAGE(G44:G54))</f>
        <v>88.1818181818182</v>
      </c>
      <c r="H55" s="876" t="n">
        <f aca="false">IF(ISERROR(AVERAGE(H44:H54)),"-",AVERAGE(H44:H54))</f>
        <v>84</v>
      </c>
      <c r="I55" s="877" t="n">
        <f aca="false">IF(ISERROR(AVERAGE(I44:I54)),"-",AVERAGE(I44:I54))</f>
        <v>80.6363636363636</v>
      </c>
      <c r="J55" s="877" t="n">
        <f aca="false">IF(ISERROR(AVERAGE(J44:J54)),"-",AVERAGE(J44:J54))</f>
        <v>528.181818181818</v>
      </c>
      <c r="K55" s="44"/>
      <c r="L55" s="44"/>
      <c r="M55" s="44"/>
      <c r="N55" s="44"/>
      <c r="O55" s="44"/>
      <c r="P55" s="44"/>
      <c r="Q55" s="878" t="str">
        <f aca="false">IFERROR(__xludf.dummyfunction("{if(isna(filter(Transactions!$AR$3:$AR$100,Transactions!$AU$3:$AU$100=$L$1)),,filter(Transactions!$AR$3:$AR$100,Transactions!$AU$3:$AU$100=$L$1));if(isna(filter(Transactions!$AW$3:$AW$100,Transactions!$AP$3:$AP$100=$L$1)),,filter(Transactions!$AW$3:$AW$10"&amp;"0,Transactions!$AP$3:$AP$100=$L$1))}"),"")</f>
        <v/>
      </c>
      <c r="R55" s="878"/>
      <c r="S55" s="878"/>
      <c r="T55" s="878" t="str">
        <f aca="false">IFERROR(__xludf.dummyfunction("{if(isna(filter(Transactions!$AW$3:$AW$100,Transactions!$AU$3:$AU$100=$L$1)),,filter(Transactions!$AW$3:$AW$100,Transactions!$AU$3:$AU$100=$L$1));if(isna(filter(Transactions!$AR$3:$AR$100,Transactions!$AP$3:$AP$100=$L$1)),,filter(Transactions!$AR$3:$AR$10"&amp;"0,Transactions!$AP$3:$AP$100=$L$1))}"),"")</f>
        <v/>
      </c>
      <c r="U55" s="878"/>
      <c r="V55" s="878"/>
      <c r="W55" s="879" t="str">
        <f aca="false">IFERROR(__xludf.dummyfunction("{if(isna(filter(Transactions!$AZ$3:$AZ$100,Transactions!$AU$3:$AU$100=$L$1)),,filter(Transactions!$AZ$3:$AZ$100,Transactions!$AU$3:$AU$100=$L$1));if(isna(filter(Transactions!$AZ$3:$AZ$100,Transactions!$AP$3:$AP$100=$L$1)),,filter(Transactions!$AZ$3:$AZ$10"&amp;"0,Transactions!$AP$3:$AP$100=$L$1))}"),"")</f>
        <v/>
      </c>
      <c r="X55" s="879"/>
      <c r="Y55" s="879" t="str">
        <f aca="false">IFERROR(__xludf.dummyfunction("{if(isna(filter(Transactions!$AP$3:$AP$100,Transactions!$AU$3:$AU$100=$L$1)),,filter(Transactions!$AP$3:$AP$100,Transactions!$AU$3:$AU$100=$L$1));if(isna(filter(Transactions!$AU$3:$AU$100,Transactions!$AP$3:$AP$100=$L$1)),,filter(Transactions!$AU$3:$AU$10"&amp;"0,Transactions!$AP$3:$AP$100=$L$1))}"),"")</f>
        <v/>
      </c>
      <c r="Z55" s="879"/>
      <c r="AA55" s="880" t="str">
        <f aca="false">IFERROR(__xludf.dummyfunction("{if(isna(filter(Transactions!$BB$3:$BB$100,Transactions!$AU$3:$AU$100=$L$1)),,filter(Transactions!$BB$3:$BB$100,Transactions!$AU$3:$AU$100=$L$1));if(isna(filter(Transactions!$BB$3:$BB$100,Transactions!$AP$3:$AP$100=$L$1)),,filter(Transactions!$BB$3:$BB$10"&amp;"0,Transactions!$AP$3:$AP$100=$L$1))}"),"")</f>
        <v/>
      </c>
      <c r="AB55" s="880"/>
      <c r="AC55" s="880"/>
      <c r="AD55" s="880"/>
      <c r="AE55" s="881"/>
    </row>
    <row r="56" customFormat="false" ht="15.75" hidden="false" customHeight="false" outlineLevel="0" collapsed="false">
      <c r="A56" s="832" t="s">
        <v>2063</v>
      </c>
      <c r="B56" s="832"/>
      <c r="C56" s="832"/>
      <c r="D56" s="882" t="n">
        <f aca="false">SUM(D44:D54)</f>
        <v>939</v>
      </c>
      <c r="E56" s="883" t="n">
        <f aca="false">SUM(E44:E54)</f>
        <v>1101</v>
      </c>
      <c r="F56" s="883" t="n">
        <f aca="false">SUM(F44:F54)</f>
        <v>989</v>
      </c>
      <c r="G56" s="883" t="n">
        <f aca="false">SUM(G44:G54)</f>
        <v>970</v>
      </c>
      <c r="H56" s="883" t="n">
        <f aca="false">SUM(H44:H54)</f>
        <v>924</v>
      </c>
      <c r="I56" s="783" t="n">
        <f aca="false">SUM(I44:I54)</f>
        <v>887</v>
      </c>
      <c r="J56" s="783" t="n">
        <f aca="false">SUM(J44:J54)</f>
        <v>5810</v>
      </c>
      <c r="K56" s="44"/>
      <c r="L56" s="44"/>
      <c r="M56" s="44"/>
      <c r="N56" s="44"/>
      <c r="O56" s="44"/>
      <c r="P56" s="44"/>
      <c r="Q56" s="884"/>
      <c r="R56" s="884"/>
      <c r="S56" s="884"/>
      <c r="T56" s="884"/>
      <c r="U56" s="884"/>
      <c r="V56" s="884"/>
      <c r="W56" s="885"/>
      <c r="X56" s="885"/>
      <c r="Y56" s="885"/>
      <c r="Z56" s="885"/>
      <c r="AA56" s="757"/>
      <c r="AB56" s="757"/>
      <c r="AC56" s="757"/>
      <c r="AD56" s="757"/>
      <c r="AE56" s="886"/>
    </row>
    <row r="57" customFormat="false" ht="15.75" hidden="false" customHeight="false" outlineLevel="0" collapsed="false">
      <c r="A57" s="44"/>
      <c r="B57" s="44"/>
      <c r="C57" s="44"/>
      <c r="D57" s="44"/>
      <c r="E57" s="44"/>
      <c r="F57" s="44"/>
      <c r="G57" s="44"/>
      <c r="H57" s="44"/>
      <c r="I57" s="44"/>
      <c r="J57" s="44"/>
      <c r="K57" s="44"/>
      <c r="L57" s="44"/>
      <c r="M57" s="44"/>
      <c r="N57" s="44"/>
      <c r="O57" s="44"/>
      <c r="P57" s="44"/>
      <c r="Q57" s="887"/>
      <c r="R57" s="887"/>
      <c r="S57" s="887"/>
      <c r="T57" s="887"/>
      <c r="U57" s="887"/>
      <c r="V57" s="887"/>
      <c r="W57" s="888"/>
      <c r="X57" s="888"/>
      <c r="Y57" s="888"/>
      <c r="Z57" s="888"/>
      <c r="AA57" s="889"/>
      <c r="AB57" s="889"/>
      <c r="AC57" s="889"/>
      <c r="AD57" s="889"/>
      <c r="AE57" s="881"/>
    </row>
    <row r="58" customFormat="false" ht="15.75" hidden="false" customHeight="false" outlineLevel="0" collapsed="false">
      <c r="A58" s="852" t="s">
        <v>773</v>
      </c>
      <c r="B58" s="852"/>
      <c r="C58" s="852"/>
      <c r="D58" s="342" t="s">
        <v>2076</v>
      </c>
      <c r="E58" s="342"/>
      <c r="F58" s="342"/>
      <c r="G58" s="342"/>
      <c r="H58" s="342"/>
      <c r="I58" s="342"/>
      <c r="J58" s="50"/>
      <c r="K58" s="341" t="s">
        <v>2077</v>
      </c>
      <c r="L58" s="341"/>
      <c r="M58" s="341"/>
      <c r="N58" s="341"/>
      <c r="O58" s="44"/>
      <c r="P58" s="44"/>
      <c r="Q58" s="884"/>
      <c r="R58" s="884"/>
      <c r="S58" s="884"/>
      <c r="T58" s="884"/>
      <c r="U58" s="884"/>
      <c r="V58" s="884"/>
      <c r="W58" s="885"/>
      <c r="X58" s="885"/>
      <c r="Y58" s="885"/>
      <c r="Z58" s="885"/>
      <c r="AA58" s="757"/>
      <c r="AB58" s="757"/>
      <c r="AC58" s="757"/>
      <c r="AD58" s="757"/>
      <c r="AE58" s="886"/>
    </row>
    <row r="59" customFormat="false" ht="15.75" hidden="false" customHeight="false" outlineLevel="0" collapsed="false">
      <c r="A59" s="890" t="str">
        <f aca="false">$A$12</f>
        <v>Garchomp</v>
      </c>
      <c r="B59" s="890"/>
      <c r="C59" s="890"/>
      <c r="D59" s="867" t="str">
        <f aca="false" t="array" ref="D59:D59">IF(ISNA(INDEX(Pokedex!T$2:T$610,MATCH($A59,Pokedex!$B$2:$B$610,0))),"-",INDEX(Pokedex!T$2:T$610,MATCH($A59,Pokedex!$B$2:$B$610,0)))</f>
        <v>Rough Skin</v>
      </c>
      <c r="E59" s="867"/>
      <c r="F59" s="868" t="str">
        <f aca="false" t="array" ref="F59:F59">IF(ISNA(INDEX(Pokedex!U$2:U$610,MATCH($A59,Pokedex!$B$2:$B$610,0))),"-",INDEX(Pokedex!U$2:U$610,MATCH($A59,Pokedex!$B$2:$B$610,0)))</f>
        <v>Sand Veil</v>
      </c>
      <c r="G59" s="868"/>
      <c r="H59" s="869" t="n">
        <f aca="false">IF(ISNA(INDEX(Pokedex!V$2:V$610,MATCH($A59,Pokedex!$B$2:$B$610,0))),"-",INDEX(Pokedex!V$2:V$610,MATCH($A59,Pokedex!$B$2:$B$610,0)))</f>
        <v>0</v>
      </c>
      <c r="I59" s="869"/>
      <c r="J59" s="44"/>
      <c r="K59" s="891" t="str">
        <f aca="false">IFERROR(__xludf.dummyfunction("if(isna(filter($R$2:$R$13,isblank($R$2:$R$13)=FALSE)),""NONE"",filter($R$2:$R$13,isblank($R$2:$R$13)=FALSE))"),"Garchomp")</f>
        <v>Garchomp</v>
      </c>
      <c r="L59" s="891"/>
      <c r="M59" s="892" t="str">
        <f aca="false">IFERROR(__xludf.dummyfunction("if(isna(filter($S$2:$S$13,isblank($S$2:$S$13)=FALSE)),""N/A"",filter($S$2:$S$13,isblank($S$2:$S$13)=FALSE))"),"Stealth Rock")</f>
        <v>Stealth Rock</v>
      </c>
      <c r="N59" s="892"/>
      <c r="O59" s="44"/>
      <c r="P59" s="44"/>
      <c r="Q59" s="887"/>
      <c r="R59" s="887"/>
      <c r="S59" s="887"/>
      <c r="T59" s="887"/>
      <c r="U59" s="887"/>
      <c r="V59" s="887"/>
      <c r="W59" s="888"/>
      <c r="X59" s="888"/>
      <c r="Y59" s="888"/>
      <c r="Z59" s="888"/>
      <c r="AA59" s="889"/>
      <c r="AB59" s="889"/>
      <c r="AC59" s="889"/>
      <c r="AD59" s="889"/>
      <c r="AE59" s="881"/>
    </row>
    <row r="60" customFormat="false" ht="15.75" hidden="false" customHeight="false" outlineLevel="0" collapsed="false">
      <c r="A60" s="840" t="str">
        <f aca="false">$A$13</f>
        <v>Breloom</v>
      </c>
      <c r="B60" s="840"/>
      <c r="C60" s="840"/>
      <c r="D60" s="855" t="str">
        <f aca="false" t="array" ref="D60:D60">IF(ISNA(INDEX(Pokedex!T$2:T$610,MATCH($A60,Pokedex!$B$2:$B$610,0))),"-",INDEX(Pokedex!T$2:T$610,MATCH($A60,Pokedex!$B$2:$B$610,0)))</f>
        <v>Effect Spore</v>
      </c>
      <c r="E60" s="855"/>
      <c r="F60" s="854" t="str">
        <f aca="false" t="array" ref="F60:F60">IF(ISNA(INDEX(Pokedex!U$2:U$610,MATCH($A60,Pokedex!$B$2:$B$610,0))),"-",INDEX(Pokedex!U$2:U$610,MATCH($A60,Pokedex!$B$2:$B$610,0)))</f>
        <v>Technician</v>
      </c>
      <c r="G60" s="854"/>
      <c r="H60" s="727" t="str">
        <f aca="false" t="array" ref="H60:H60">IF(ISNA(INDEX(Pokedex!V$2:V$610,MATCH($A60,Pokedex!$B$2:$B$610,0))),"-",INDEX(Pokedex!V$2:V$610,MATCH($A60,Pokedex!$B$2:$B$610,0)))</f>
        <v>Poison Heal</v>
      </c>
      <c r="I60" s="727"/>
      <c r="J60" s="44"/>
      <c r="K60" s="823" t="s">
        <v>256</v>
      </c>
      <c r="L60" s="823"/>
      <c r="M60" s="477" t="s">
        <v>1106</v>
      </c>
      <c r="N60" s="477"/>
      <c r="O60" s="44"/>
      <c r="P60" s="44"/>
      <c r="Q60" s="884"/>
      <c r="R60" s="884"/>
      <c r="S60" s="884"/>
      <c r="T60" s="884"/>
      <c r="U60" s="884"/>
      <c r="V60" s="884"/>
      <c r="W60" s="885"/>
      <c r="X60" s="885"/>
      <c r="Y60" s="885"/>
      <c r="Z60" s="885"/>
      <c r="AA60" s="757"/>
      <c r="AB60" s="757"/>
      <c r="AC60" s="757"/>
      <c r="AD60" s="757"/>
      <c r="AE60" s="886"/>
    </row>
    <row r="61" customFormat="false" ht="15.75" hidden="false" customHeight="false" outlineLevel="0" collapsed="false">
      <c r="A61" s="840" t="str">
        <f aca="false">$A$14</f>
        <v>Cloyster</v>
      </c>
      <c r="B61" s="840"/>
      <c r="C61" s="840"/>
      <c r="D61" s="855" t="str">
        <f aca="false" t="array" ref="D61:D61">IF(ISNA(INDEX(Pokedex!T$2:T$610,MATCH($A61,Pokedex!$B$2:$B$610,0))),"-",INDEX(Pokedex!T$2:T$610,MATCH($A61,Pokedex!$B$2:$B$610,0)))</f>
        <v>Overcoat</v>
      </c>
      <c r="E61" s="855"/>
      <c r="F61" s="854" t="str">
        <f aca="false" t="array" ref="F61:F61">IF(ISNA(INDEX(Pokedex!U$2:U$610,MATCH($A61,Pokedex!$B$2:$B$610,0))),"-",INDEX(Pokedex!U$2:U$610,MATCH($A61,Pokedex!$B$2:$B$610,0)))</f>
        <v>Skill Link</v>
      </c>
      <c r="G61" s="854"/>
      <c r="H61" s="727" t="str">
        <f aca="false" t="array" ref="H61:H61">IF(ISNA(INDEX(Pokedex!V$2:V$610,MATCH($A61,Pokedex!$B$2:$B$610,0))),"-",INDEX(Pokedex!V$2:V$610,MATCH($A61,Pokedex!$B$2:$B$610,0)))</f>
        <v>Shell Armor</v>
      </c>
      <c r="I61" s="727"/>
      <c r="J61" s="44"/>
      <c r="K61" s="823" t="s">
        <v>247</v>
      </c>
      <c r="L61" s="823"/>
      <c r="M61" s="477" t="s">
        <v>1107</v>
      </c>
      <c r="N61" s="477"/>
      <c r="O61" s="44"/>
      <c r="P61" s="44"/>
      <c r="Q61" s="887"/>
      <c r="R61" s="887"/>
      <c r="S61" s="887"/>
      <c r="T61" s="887"/>
      <c r="U61" s="887"/>
      <c r="V61" s="887"/>
      <c r="W61" s="888"/>
      <c r="X61" s="888"/>
      <c r="Y61" s="888"/>
      <c r="Z61" s="888"/>
      <c r="AA61" s="889"/>
      <c r="AB61" s="889"/>
      <c r="AC61" s="889"/>
      <c r="AD61" s="889"/>
      <c r="AE61" s="881"/>
    </row>
    <row r="62" customFormat="false" ht="15.75" hidden="false" customHeight="false" outlineLevel="0" collapsed="false">
      <c r="A62" s="840" t="str">
        <f aca="false">$A$15</f>
        <v>Decidueye</v>
      </c>
      <c r="B62" s="840"/>
      <c r="C62" s="840"/>
      <c r="D62" s="855" t="str">
        <f aca="false" t="array" ref="D62:D62">IF(ISNA(INDEX(Pokedex!T$2:T$610,MATCH($A62,Pokedex!$B$2:$B$610,0))),"-",INDEX(Pokedex!T$2:T$610,MATCH($A62,Pokedex!$B$2:$B$610,0)))</f>
        <v>Overgrow</v>
      </c>
      <c r="E62" s="855"/>
      <c r="F62" s="854" t="str">
        <f aca="false" t="array" ref="F62:F62">IF(ISNA(INDEX(Pokedex!U$2:U$610,MATCH($A62,Pokedex!$B$2:$B$610,0))),"-",INDEX(Pokedex!U$2:U$610,MATCH($A62,Pokedex!$B$2:$B$610,0)))</f>
        <v>Long Reach</v>
      </c>
      <c r="G62" s="854"/>
      <c r="H62" s="727" t="n">
        <f aca="false">IF(ISNA(INDEX(Pokedex!V$2:V$610,MATCH($A62,Pokedex!$B$2:$B$610,0))),"-",INDEX(Pokedex!V$2:V$610,MATCH($A62,Pokedex!$B$2:$B$610,0)))</f>
        <v>0</v>
      </c>
      <c r="I62" s="727"/>
      <c r="J62" s="44"/>
      <c r="K62" s="823" t="s">
        <v>69</v>
      </c>
      <c r="L62" s="823"/>
      <c r="M62" s="477" t="s">
        <v>1107</v>
      </c>
      <c r="N62" s="477"/>
      <c r="O62" s="44"/>
      <c r="P62" s="44"/>
      <c r="Q62" s="884"/>
      <c r="R62" s="884"/>
      <c r="S62" s="884"/>
      <c r="T62" s="884"/>
      <c r="U62" s="884"/>
      <c r="V62" s="884"/>
      <c r="W62" s="885"/>
      <c r="X62" s="885"/>
      <c r="Y62" s="885"/>
      <c r="Z62" s="885"/>
      <c r="AA62" s="757"/>
      <c r="AB62" s="757"/>
      <c r="AC62" s="757"/>
      <c r="AD62" s="757"/>
      <c r="AE62" s="886"/>
    </row>
    <row r="63" customFormat="false" ht="15.75" hidden="false" customHeight="false" outlineLevel="0" collapsed="false">
      <c r="A63" s="840" t="str">
        <f aca="false">$A$16</f>
        <v>Araquanid</v>
      </c>
      <c r="B63" s="840"/>
      <c r="C63" s="840"/>
      <c r="D63" s="855" t="str">
        <f aca="false" t="array" ref="D63:D63">IF(ISNA(INDEX(Pokedex!T$2:T$610,MATCH($A63,Pokedex!$B$2:$B$610,0))),"-",INDEX(Pokedex!T$2:T$610,MATCH($A63,Pokedex!$B$2:$B$610,0)))</f>
        <v>Water Absorb</v>
      </c>
      <c r="E63" s="855"/>
      <c r="F63" s="854" t="str">
        <f aca="false" t="array" ref="F63:F63">IF(ISNA(INDEX(Pokedex!U$2:U$610,MATCH($A63,Pokedex!$B$2:$B$610,0))),"-",INDEX(Pokedex!U$2:U$610,MATCH($A63,Pokedex!$B$2:$B$610,0)))</f>
        <v>Water Bubble</v>
      </c>
      <c r="G63" s="854"/>
      <c r="H63" s="727" t="n">
        <f aca="false">IF(ISNA(INDEX(Pokedex!V$2:V$610,MATCH($A63,Pokedex!$B$2:$B$610,0))),"-",INDEX(Pokedex!V$2:V$610,MATCH($A63,Pokedex!$B$2:$B$610,0)))</f>
        <v>0</v>
      </c>
      <c r="I63" s="727"/>
      <c r="J63" s="44"/>
      <c r="K63" s="823" t="s">
        <v>247</v>
      </c>
      <c r="L63" s="823"/>
      <c r="M63" s="477" t="s">
        <v>1108</v>
      </c>
      <c r="N63" s="477"/>
      <c r="O63" s="44"/>
      <c r="P63" s="44"/>
      <c r="Q63" s="887"/>
      <c r="R63" s="887"/>
      <c r="S63" s="887"/>
      <c r="T63" s="887"/>
      <c r="U63" s="887"/>
      <c r="V63" s="887"/>
      <c r="W63" s="888"/>
      <c r="X63" s="888"/>
      <c r="Y63" s="888"/>
      <c r="Z63" s="888"/>
      <c r="AA63" s="889"/>
      <c r="AB63" s="889"/>
      <c r="AC63" s="889"/>
      <c r="AD63" s="889"/>
      <c r="AE63" s="881"/>
    </row>
    <row r="64" customFormat="false" ht="15.75" hidden="false" customHeight="false" outlineLevel="0" collapsed="false">
      <c r="A64" s="840" t="str">
        <f aca="false">$A$17</f>
        <v>Luxray</v>
      </c>
      <c r="B64" s="840"/>
      <c r="C64" s="840"/>
      <c r="D64" s="855" t="str">
        <f aca="false" t="array" ref="D64:D64">IF(ISNA(INDEX(Pokedex!T$2:T$610,MATCH($A64,Pokedex!$B$2:$B$610,0))),"-",INDEX(Pokedex!T$2:T$610,MATCH($A64,Pokedex!$B$2:$B$610,0)))</f>
        <v>Guts</v>
      </c>
      <c r="E64" s="855"/>
      <c r="F64" s="854" t="str">
        <f aca="false" t="array" ref="F64:F64">IF(ISNA(INDEX(Pokedex!U$2:U$610,MATCH($A64,Pokedex!$B$2:$B$610,0))),"-",INDEX(Pokedex!U$2:U$610,MATCH($A64,Pokedex!$B$2:$B$610,0)))</f>
        <v>Rivalry</v>
      </c>
      <c r="G64" s="854"/>
      <c r="H64" s="727" t="str">
        <f aca="false" t="array" ref="H64:H64">IF(ISNA(INDEX(Pokedex!V$2:V$610,MATCH($A64,Pokedex!$B$2:$B$610,0))),"-",INDEX(Pokedex!V$2:V$610,MATCH($A64,Pokedex!$B$2:$B$610,0)))</f>
        <v>Intimidate</v>
      </c>
      <c r="I64" s="727"/>
      <c r="J64" s="44"/>
      <c r="K64" s="823" t="s">
        <v>69</v>
      </c>
      <c r="L64" s="823"/>
      <c r="M64" s="477" t="s">
        <v>1108</v>
      </c>
      <c r="N64" s="477"/>
      <c r="O64" s="44"/>
      <c r="P64" s="44"/>
      <c r="Q64" s="884"/>
      <c r="R64" s="884"/>
      <c r="S64" s="884"/>
      <c r="T64" s="884"/>
      <c r="U64" s="884"/>
      <c r="V64" s="884"/>
      <c r="W64" s="885"/>
      <c r="X64" s="885"/>
      <c r="Y64" s="885"/>
      <c r="Z64" s="885"/>
      <c r="AA64" s="757"/>
      <c r="AB64" s="757"/>
      <c r="AC64" s="757"/>
      <c r="AD64" s="757"/>
      <c r="AE64" s="886"/>
    </row>
    <row r="65" customFormat="false" ht="15.75" hidden="false" customHeight="false" outlineLevel="0" collapsed="false">
      <c r="A65" s="840" t="str">
        <f aca="false">$A$18</f>
        <v>Alakazam-Mega</v>
      </c>
      <c r="B65" s="840"/>
      <c r="C65" s="840"/>
      <c r="D65" s="855" t="str">
        <f aca="false" t="array" ref="D65:D65">IF(ISNA(INDEX(Pokedex!T$2:T$610,MATCH($A65,Pokedex!$B$2:$B$610,0))),"-",INDEX(Pokedex!T$2:T$610,MATCH($A65,Pokedex!$B$2:$B$610,0)))</f>
        <v>Trace</v>
      </c>
      <c r="E65" s="855"/>
      <c r="F65" s="854" t="n">
        <f aca="false">IF(ISNA(INDEX(Pokedex!U$2:U$610,MATCH($A65,Pokedex!$B$2:$B$610,0))),"-",INDEX(Pokedex!U$2:U$610,MATCH($A65,Pokedex!$B$2:$B$610,0)))</f>
        <v>0</v>
      </c>
      <c r="G65" s="854"/>
      <c r="H65" s="727" t="n">
        <f aca="false">IF(ISNA(INDEX(Pokedex!V$2:V$610,MATCH($A65,Pokedex!$B$2:$B$610,0))),"-",INDEX(Pokedex!V$2:V$610,MATCH($A65,Pokedex!$B$2:$B$610,0)))</f>
        <v>0</v>
      </c>
      <c r="I65" s="727"/>
      <c r="J65" s="44"/>
      <c r="K65" s="823" t="s">
        <v>251</v>
      </c>
      <c r="L65" s="823"/>
      <c r="M65" s="477" t="s">
        <v>1109</v>
      </c>
      <c r="N65" s="477"/>
      <c r="O65" s="44"/>
      <c r="P65" s="44"/>
      <c r="Q65" s="887"/>
      <c r="R65" s="887"/>
      <c r="S65" s="887"/>
      <c r="T65" s="887"/>
      <c r="U65" s="887"/>
      <c r="V65" s="887"/>
      <c r="W65" s="888"/>
      <c r="X65" s="888"/>
      <c r="Y65" s="888"/>
      <c r="Z65" s="888"/>
      <c r="AA65" s="889"/>
      <c r="AB65" s="889"/>
      <c r="AC65" s="889"/>
      <c r="AD65" s="889"/>
      <c r="AE65" s="881"/>
    </row>
    <row r="66" customFormat="false" ht="15.75" hidden="false" customHeight="false" outlineLevel="0" collapsed="false">
      <c r="A66" s="840" t="str">
        <f aca="false">$A$19</f>
        <v>Tyranitar</v>
      </c>
      <c r="B66" s="840"/>
      <c r="C66" s="840"/>
      <c r="D66" s="855" t="str">
        <f aca="false" t="array" ref="D66:D66">IF(ISNA(INDEX(Pokedex!T$2:T$610,MATCH($A66,Pokedex!$B$2:$B$610,0))),"-",INDEX(Pokedex!T$2:T$610,MATCH($A66,Pokedex!$B$2:$B$610,0)))</f>
        <v>Sand Stream</v>
      </c>
      <c r="E66" s="855"/>
      <c r="F66" s="854" t="str">
        <f aca="false" t="array" ref="F66:F66">IF(ISNA(INDEX(Pokedex!U$2:U$610,MATCH($A66,Pokedex!$B$2:$B$610,0))),"-",INDEX(Pokedex!U$2:U$610,MATCH($A66,Pokedex!$B$2:$B$610,0)))</f>
        <v>Unnerve</v>
      </c>
      <c r="G66" s="854"/>
      <c r="H66" s="727" t="n">
        <f aca="false">IF(ISNA(INDEX(Pokedex!V$2:V$610,MATCH($A66,Pokedex!$B$2:$B$610,0))),"-",INDEX(Pokedex!V$2:V$610,MATCH($A66,Pokedex!$B$2:$B$610,0)))</f>
        <v>0</v>
      </c>
      <c r="I66" s="727"/>
      <c r="J66" s="44"/>
      <c r="K66" s="823"/>
      <c r="L66" s="823"/>
      <c r="M66" s="477"/>
      <c r="N66" s="477"/>
      <c r="O66" s="44"/>
      <c r="P66" s="44"/>
      <c r="Q66" s="884"/>
      <c r="R66" s="884"/>
      <c r="S66" s="884"/>
      <c r="T66" s="884"/>
      <c r="U66" s="884"/>
      <c r="V66" s="884"/>
      <c r="W66" s="885"/>
      <c r="X66" s="885"/>
      <c r="Y66" s="885"/>
      <c r="Z66" s="885"/>
      <c r="AA66" s="757"/>
      <c r="AB66" s="757"/>
      <c r="AC66" s="757"/>
      <c r="AD66" s="757"/>
      <c r="AE66" s="886"/>
    </row>
    <row r="67" customFormat="false" ht="15.75" hidden="false" customHeight="false" outlineLevel="0" collapsed="false">
      <c r="A67" s="840" t="str">
        <f aca="false">$A$20</f>
        <v>Scolipede</v>
      </c>
      <c r="B67" s="840"/>
      <c r="C67" s="840"/>
      <c r="D67" s="855" t="str">
        <f aca="false" t="array" ref="D67:D67">IF(ISNA(INDEX(Pokedex!T$2:T$610,MATCH($A67,Pokedex!$B$2:$B$610,0))),"-",INDEX(Pokedex!T$2:T$610,MATCH($A67,Pokedex!$B$2:$B$610,0)))</f>
        <v>Poison Point</v>
      </c>
      <c r="E67" s="855"/>
      <c r="F67" s="854" t="str">
        <f aca="false" t="array" ref="F67:F67">IF(ISNA(INDEX(Pokedex!U$2:U$610,MATCH($A67,Pokedex!$B$2:$B$610,0))),"-",INDEX(Pokedex!U$2:U$610,MATCH($A67,Pokedex!$B$2:$B$610,0)))</f>
        <v>Swarm</v>
      </c>
      <c r="G67" s="854"/>
      <c r="H67" s="727" t="str">
        <f aca="false" t="array" ref="H67:H67">IF(ISNA(INDEX(Pokedex!V$2:V$610,MATCH($A67,Pokedex!$B$2:$B$610,0))),"-",INDEX(Pokedex!V$2:V$610,MATCH($A67,Pokedex!$B$2:$B$610,0)))</f>
        <v>Speed Boost</v>
      </c>
      <c r="I67" s="727"/>
      <c r="J67" s="44"/>
      <c r="K67" s="823"/>
      <c r="L67" s="823"/>
      <c r="M67" s="477"/>
      <c r="N67" s="477"/>
      <c r="O67" s="44"/>
      <c r="P67" s="44"/>
      <c r="Q67" s="887"/>
      <c r="R67" s="887"/>
      <c r="S67" s="887"/>
      <c r="T67" s="887"/>
      <c r="U67" s="887"/>
      <c r="V67" s="887"/>
      <c r="W67" s="888"/>
      <c r="X67" s="888"/>
      <c r="Y67" s="888"/>
      <c r="Z67" s="888"/>
      <c r="AA67" s="889"/>
      <c r="AB67" s="889"/>
      <c r="AC67" s="889"/>
      <c r="AD67" s="889"/>
      <c r="AE67" s="881"/>
    </row>
    <row r="68" customFormat="false" ht="15.75" hidden="false" customHeight="false" outlineLevel="0" collapsed="false">
      <c r="A68" s="840" t="str">
        <f aca="false">$A$21</f>
        <v>Drifblim</v>
      </c>
      <c r="B68" s="840"/>
      <c r="C68" s="840"/>
      <c r="D68" s="855" t="str">
        <f aca="false" t="array" ref="D68:D68">IF(ISNA(INDEX(Pokedex!T$2:T$610,MATCH($A68,Pokedex!$B$2:$B$610,0))),"-",INDEX(Pokedex!T$2:T$610,MATCH($A68,Pokedex!$B$2:$B$610,0)))</f>
        <v>Aftermath</v>
      </c>
      <c r="E68" s="855"/>
      <c r="F68" s="854" t="str">
        <f aca="false" t="array" ref="F68:F68">IF(ISNA(INDEX(Pokedex!U$2:U$610,MATCH($A68,Pokedex!$B$2:$B$610,0))),"-",INDEX(Pokedex!U$2:U$610,MATCH($A68,Pokedex!$B$2:$B$610,0)))</f>
        <v>Flare Boost</v>
      </c>
      <c r="G68" s="854"/>
      <c r="H68" s="727" t="str">
        <f aca="false" t="array" ref="H68:H68">IF(ISNA(INDEX(Pokedex!V$2:V$610,MATCH($A68,Pokedex!$B$2:$B$610,0))),"-",INDEX(Pokedex!V$2:V$610,MATCH($A68,Pokedex!$B$2:$B$610,0)))</f>
        <v>Unburden</v>
      </c>
      <c r="I68" s="727"/>
      <c r="J68" s="44"/>
      <c r="K68" s="823"/>
      <c r="L68" s="823"/>
      <c r="M68" s="477"/>
      <c r="N68" s="477"/>
      <c r="O68" s="44"/>
      <c r="P68" s="44"/>
      <c r="Q68" s="884"/>
      <c r="R68" s="884"/>
      <c r="S68" s="884"/>
      <c r="T68" s="884"/>
      <c r="U68" s="884"/>
      <c r="V68" s="884"/>
      <c r="W68" s="885"/>
      <c r="X68" s="885"/>
      <c r="Y68" s="885"/>
      <c r="Z68" s="885"/>
      <c r="AA68" s="757"/>
      <c r="AB68" s="757"/>
      <c r="AC68" s="757"/>
      <c r="AD68" s="757"/>
      <c r="AE68" s="886"/>
    </row>
    <row r="69" customFormat="false" ht="15.75" hidden="false" customHeight="false" outlineLevel="0" collapsed="false">
      <c r="A69" s="848" t="str">
        <f aca="false">$A$22</f>
        <v>Lapras</v>
      </c>
      <c r="B69" s="848"/>
      <c r="C69" s="848"/>
      <c r="D69" s="870" t="str">
        <f aca="false" t="array" ref="D69:D69">IF(ISNA(INDEX(Pokedex!T$2:T$610,MATCH($A69,Pokedex!$B$2:$B$610,0))),"-",INDEX(Pokedex!T$2:T$610,MATCH($A69,Pokedex!$B$2:$B$610,0)))</f>
        <v>Hydration</v>
      </c>
      <c r="E69" s="870"/>
      <c r="F69" s="828" t="str">
        <f aca="false" t="array" ref="F69:F69">IF(ISNA(INDEX(Pokedex!U$2:U$610,MATCH($A69,Pokedex!$B$2:$B$610,0))),"-",INDEX(Pokedex!U$2:U$610,MATCH($A69,Pokedex!$B$2:$B$610,0)))</f>
        <v>Water Absorb</v>
      </c>
      <c r="G69" s="828"/>
      <c r="H69" s="744" t="str">
        <f aca="false" t="array" ref="H69:H69">IF(ISNA(INDEX(Pokedex!V$2:V$610,MATCH($A69,Pokedex!$B$2:$B$610,0))),"-",INDEX(Pokedex!V$2:V$610,MATCH($A69,Pokedex!$B$2:$B$610,0)))</f>
        <v>Shell Armor</v>
      </c>
      <c r="I69" s="744"/>
      <c r="J69" s="44"/>
      <c r="K69" s="893"/>
      <c r="L69" s="893"/>
      <c r="M69" s="831"/>
      <c r="N69" s="831"/>
      <c r="O69" s="44"/>
      <c r="P69" s="44"/>
      <c r="Q69" s="887"/>
      <c r="R69" s="887"/>
      <c r="S69" s="887"/>
      <c r="T69" s="887"/>
      <c r="U69" s="887"/>
      <c r="V69" s="887"/>
      <c r="W69" s="888"/>
      <c r="X69" s="888"/>
      <c r="Y69" s="888"/>
      <c r="Z69" s="888"/>
      <c r="AA69" s="889"/>
      <c r="AB69" s="889"/>
      <c r="AC69" s="889"/>
      <c r="AD69" s="889"/>
      <c r="AE69" s="881"/>
    </row>
    <row r="70" customFormat="false" ht="15.75" hidden="false" customHeight="false" outlineLevel="0" collapsed="false">
      <c r="A70" s="44"/>
      <c r="B70" s="44"/>
      <c r="C70" s="44"/>
      <c r="D70" s="44"/>
      <c r="E70" s="44"/>
      <c r="F70" s="44"/>
      <c r="G70" s="44"/>
      <c r="H70" s="44"/>
      <c r="I70" s="44"/>
      <c r="J70" s="44"/>
      <c r="K70" s="7"/>
      <c r="L70" s="7"/>
      <c r="M70" s="7"/>
      <c r="N70" s="7"/>
      <c r="O70" s="44"/>
      <c r="P70" s="44"/>
      <c r="Q70" s="884"/>
      <c r="R70" s="884"/>
      <c r="S70" s="884"/>
      <c r="T70" s="884"/>
      <c r="U70" s="884"/>
      <c r="V70" s="884"/>
      <c r="W70" s="885"/>
      <c r="X70" s="885"/>
      <c r="Y70" s="885"/>
      <c r="Z70" s="885"/>
      <c r="AA70" s="757"/>
      <c r="AB70" s="757"/>
      <c r="AC70" s="757"/>
      <c r="AD70" s="757"/>
      <c r="AE70" s="886"/>
    </row>
    <row r="71" customFormat="false" ht="15.75" hidden="false" customHeight="true" outlineLevel="0" collapsed="false">
      <c r="A71" s="894" t="s">
        <v>2078</v>
      </c>
      <c r="B71" s="894"/>
      <c r="C71" s="929" t="s">
        <v>2079</v>
      </c>
      <c r="D71" s="929"/>
      <c r="E71" s="929"/>
      <c r="F71" s="896" t="s">
        <v>2080</v>
      </c>
      <c r="G71" s="896"/>
      <c r="H71" s="896"/>
      <c r="I71" s="896"/>
      <c r="J71" s="44"/>
      <c r="K71" s="341" t="s">
        <v>2081</v>
      </c>
      <c r="L71" s="341"/>
      <c r="M71" s="341"/>
      <c r="N71" s="341"/>
      <c r="O71" s="44"/>
      <c r="P71" s="44"/>
      <c r="Q71" s="897"/>
      <c r="R71" s="897"/>
      <c r="S71" s="897"/>
      <c r="T71" s="897"/>
      <c r="U71" s="897"/>
      <c r="V71" s="897"/>
      <c r="W71" s="898"/>
      <c r="X71" s="898"/>
      <c r="Y71" s="898"/>
      <c r="Z71" s="898"/>
      <c r="AA71" s="899"/>
      <c r="AB71" s="899"/>
      <c r="AC71" s="899"/>
      <c r="AD71" s="899"/>
      <c r="AE71" s="881"/>
    </row>
    <row r="72" customFormat="false" ht="15.75" hidden="false" customHeight="false" outlineLevel="0" collapsed="false">
      <c r="A72" s="894"/>
      <c r="B72" s="894"/>
      <c r="C72" s="900" t="s">
        <v>2082</v>
      </c>
      <c r="D72" s="901" t="s">
        <v>2083</v>
      </c>
      <c r="E72" s="901" t="s">
        <v>2063</v>
      </c>
      <c r="F72" s="902" t="s">
        <v>2084</v>
      </c>
      <c r="G72" s="903" t="s">
        <v>2085</v>
      </c>
      <c r="H72" s="904" t="s">
        <v>2086</v>
      </c>
      <c r="I72" s="904" t="s">
        <v>2063</v>
      </c>
      <c r="J72" s="44"/>
      <c r="K72" s="891" t="str">
        <f aca="false">IFERROR(__xludf.dummyfunction("if(isna(filter($R$20:$R$31,isblank($R$20:$R$31)=FALSE)),""NONE"",filter($R$20:$R$31,isblank($R$20:$R$31)=FALSE))"),"Decidueye")</f>
        <v>Decidueye</v>
      </c>
      <c r="L72" s="891"/>
      <c r="M72" s="892" t="str">
        <f aca="false">IFERROR(__xludf.dummyfunction("if(isna(filter($S$20:$S$31,isblank($S$20:$S$31)=FALSE)),""N/A"",filter($S$20:$S$31,isblank($S$20:$S$31)=FALSE))"),"Defog")</f>
        <v>Defog</v>
      </c>
      <c r="N72" s="892"/>
      <c r="O72" s="44"/>
      <c r="P72" s="44"/>
      <c r="Q72" s="44"/>
      <c r="R72" s="824"/>
      <c r="S72" s="638"/>
      <c r="T72" s="638"/>
      <c r="U72" s="638"/>
      <c r="V72" s="638"/>
      <c r="W72" s="638"/>
      <c r="X72" s="638"/>
      <c r="Y72" s="638"/>
      <c r="Z72" s="638"/>
      <c r="AA72" s="638"/>
      <c r="AB72" s="638"/>
      <c r="AC72" s="638"/>
      <c r="AD72" s="638"/>
      <c r="AE72" s="638"/>
    </row>
    <row r="73" customFormat="false" ht="15.75" hidden="false" customHeight="false" outlineLevel="0" collapsed="false">
      <c r="A73" s="905" t="s">
        <v>794</v>
      </c>
      <c r="B73" s="905"/>
      <c r="C73" s="906" t="str">
        <f aca="false">IFERROR(__xludf.dummyfunction("countif(FILTER(Pokedex!$AC:$AC,Pokedex!$A:$A=$L$1,Pokedex!$AC:$AC=0-2),0-2)"),"0")</f>
        <v>0</v>
      </c>
      <c r="D73" s="907" t="str">
        <f aca="false">IFERROR(__xludf.dummyfunction("countif(FILTER(Pokedex!$AC:$AC,Pokedex!$A:$A=$L$1,Pokedex!$AC:$AC=0-1),0-1)"),"2")</f>
        <v>2</v>
      </c>
      <c r="E73" s="907" t="n">
        <f aca="false">SUM(C73:D73)</f>
        <v>0</v>
      </c>
      <c r="F73" s="908" t="str">
        <f aca="false">IFERROR(__xludf.dummyfunction("countif(FILTER(Pokedex!$AC:$AC,Pokedex!$A:$A=$L$1,Pokedex!$AC:$AC=4),4)"),"0")</f>
        <v>0</v>
      </c>
      <c r="G73" s="909" t="str">
        <f aca="false">IFERROR(__xludf.dummyfunction("countif(FILTER(Pokedex!$AC:$AC,Pokedex!$A:$A=$L$1,Pokedex!$AC:$AC=1),1)"),"1")</f>
        <v>1</v>
      </c>
      <c r="H73" s="908" t="str">
        <f aca="false">IFERROR(__xludf.dummyfunction("countif(FILTER(Pokedex!$AC:$AC,Pokedex!$A:$A=$L$1,Pokedex!$AC:$AC=2),2)"),"1")</f>
        <v>1</v>
      </c>
      <c r="I73" s="908" t="n">
        <f aca="false">SUM(F73:H73)</f>
        <v>0</v>
      </c>
      <c r="J73" s="44"/>
      <c r="K73" s="823" t="s">
        <v>259</v>
      </c>
      <c r="L73" s="823"/>
      <c r="M73" s="477" t="s">
        <v>1110</v>
      </c>
      <c r="N73" s="477"/>
      <c r="O73" s="44"/>
      <c r="P73" s="44"/>
      <c r="Q73" s="44"/>
      <c r="R73" s="824"/>
      <c r="S73" s="638"/>
      <c r="T73" s="638"/>
      <c r="U73" s="638"/>
      <c r="V73" s="638"/>
      <c r="W73" s="638"/>
      <c r="X73" s="638"/>
      <c r="Y73" s="638"/>
      <c r="Z73" s="638"/>
      <c r="AA73" s="638"/>
      <c r="AB73" s="638"/>
      <c r="AC73" s="638"/>
      <c r="AD73" s="638"/>
      <c r="AE73" s="638"/>
    </row>
    <row r="74" customFormat="false" ht="15.75" hidden="false" customHeight="false" outlineLevel="0" collapsed="false">
      <c r="A74" s="910" t="s">
        <v>795</v>
      </c>
      <c r="B74" s="910"/>
      <c r="C74" s="911" t="str">
        <f aca="false">IFERROR(__xludf.dummyfunction("countif(FILTER(Pokedex!$AD:$AD,Pokedex!$A:$A=$L$1,Pokedex!$AD:$AD=0-2),0-2)"),"0")</f>
        <v>0</v>
      </c>
      <c r="D74" s="912" t="str">
        <f aca="false">IFERROR(__xludf.dummyfunction("countif(FILTER(Pokedex!$AD:$AD,Pokedex!$A:$A=$L$1,Pokedex!$AD:$AD=0-1),0-1)"),"3")</f>
        <v>3</v>
      </c>
      <c r="E74" s="912" t="n">
        <f aca="false">SUM(C74:D74)</f>
        <v>0</v>
      </c>
      <c r="F74" s="913" t="str">
        <f aca="false">IFERROR(__xludf.dummyfunction("countif(FILTER(Pokedex!$AD:$AD,Pokedex!$A:$A=$L$1,Pokedex!$AD:$AD=4),4)"),"0")</f>
        <v>0</v>
      </c>
      <c r="G74" s="914" t="str">
        <f aca="false">IFERROR(__xludf.dummyfunction("countif(FILTER(Pokedex!$AD:$AD,Pokedex!$A:$A=$L$1,Pokedex!$AD:$AD=1),1)"),"2")</f>
        <v>2</v>
      </c>
      <c r="H74" s="913" t="str">
        <f aca="false">IFERROR(__xludf.dummyfunction("countif(FILTER(Pokedex!$AD:$AD,Pokedex!$A:$A=$L$1,Pokedex!$AD:$AD=2),2)"),"0")</f>
        <v>0</v>
      </c>
      <c r="I74" s="913" t="n">
        <f aca="false">SUM(F74:H74)</f>
        <v>0</v>
      </c>
      <c r="J74" s="44"/>
      <c r="K74" s="823" t="s">
        <v>247</v>
      </c>
      <c r="L74" s="823"/>
      <c r="M74" s="477" t="s">
        <v>1112</v>
      </c>
      <c r="N74" s="477"/>
      <c r="O74" s="44"/>
      <c r="P74" s="44"/>
      <c r="Q74" s="44"/>
      <c r="R74" s="824"/>
      <c r="S74" s="638"/>
      <c r="T74" s="638"/>
      <c r="U74" s="638"/>
      <c r="V74" s="638"/>
      <c r="W74" s="638"/>
      <c r="X74" s="638"/>
      <c r="Y74" s="638"/>
      <c r="Z74" s="638"/>
      <c r="AA74" s="638"/>
      <c r="AB74" s="638"/>
      <c r="AC74" s="638"/>
      <c r="AD74" s="638"/>
      <c r="AE74" s="638"/>
    </row>
    <row r="75" customFormat="false" ht="15.75" hidden="false" customHeight="false" outlineLevel="0" collapsed="false">
      <c r="A75" s="915" t="s">
        <v>835</v>
      </c>
      <c r="B75" s="915"/>
      <c r="C75" s="906" t="str">
        <f aca="false">IFERROR(__xludf.dummyfunction("countif(FILTER(Pokedex!$AE:$AE,Pokedex!$A:$A=$L$1,Pokedex!$AE:$AE=0-2),0-2)"),"0")</f>
        <v>0</v>
      </c>
      <c r="D75" s="907" t="str">
        <f aca="false">IFERROR(__xludf.dummyfunction("countif(FILTER(Pokedex!$AE:$AE,Pokedex!$A:$A=$L$1,Pokedex!$AE:$AE=0-1),0-1)"),"1")</f>
        <v>1</v>
      </c>
      <c r="E75" s="907" t="n">
        <f aca="false">SUM(C75:D75)</f>
        <v>0</v>
      </c>
      <c r="F75" s="908" t="str">
        <f aca="false">IFERROR(__xludf.dummyfunction("countif(FILTER(Pokedex!$AE:$AE,Pokedex!$A:$A=$L$1,Pokedex!$AE:$AE=4),4)"),"0")</f>
        <v>0</v>
      </c>
      <c r="G75" s="909" t="str">
        <f aca="false">IFERROR(__xludf.dummyfunction("countif(FILTER(Pokedex!$AE:$AE,Pokedex!$A:$A=$L$1,Pokedex!$AE:$AE=1),1)"),"0")</f>
        <v>0</v>
      </c>
      <c r="H75" s="908" t="str">
        <f aca="false">IFERROR(__xludf.dummyfunction("countif(FILTER(Pokedex!$AE:$AE,Pokedex!$A:$A=$L$1,Pokedex!$AE:$AE=2),2)"),"0")</f>
        <v>0</v>
      </c>
      <c r="I75" s="908" t="n">
        <f aca="false">SUM(F75:H75)</f>
        <v>0</v>
      </c>
      <c r="J75" s="44"/>
      <c r="K75" s="823"/>
      <c r="L75" s="823"/>
      <c r="M75" s="477"/>
      <c r="N75" s="477"/>
      <c r="O75" s="44"/>
      <c r="P75" s="44"/>
      <c r="Q75" s="44"/>
      <c r="R75" s="824"/>
      <c r="S75" s="638"/>
      <c r="T75" s="638"/>
      <c r="U75" s="638"/>
      <c r="V75" s="638"/>
      <c r="W75" s="638"/>
      <c r="X75" s="638"/>
      <c r="Y75" s="638"/>
      <c r="Z75" s="638"/>
      <c r="AA75" s="638"/>
      <c r="AB75" s="638"/>
      <c r="AC75" s="638"/>
      <c r="AD75" s="638"/>
      <c r="AE75" s="638"/>
    </row>
    <row r="76" customFormat="false" ht="15.75" hidden="false" customHeight="false" outlineLevel="0" collapsed="false">
      <c r="A76" s="916" t="s">
        <v>845</v>
      </c>
      <c r="B76" s="916"/>
      <c r="C76" s="911" t="str">
        <f aca="false">IFERROR(__xludf.dummyfunction("countif(FILTER(Pokedex!$AF:$AF,Pokedex!$A:$A=$L$1,Pokedex!$AF:$AF=0-2),0-2)"),"0")</f>
        <v>0</v>
      </c>
      <c r="D76" s="912" t="str">
        <f aca="false">IFERROR(__xludf.dummyfunction("countif(FILTER(Pokedex!$AF:$AF,Pokedex!$A:$A=$L$1,Pokedex!$AF:$AF=0-1),0-1)"),"4")</f>
        <v>4</v>
      </c>
      <c r="E76" s="912" t="n">
        <f aca="false">SUM(C76:D76)</f>
        <v>0</v>
      </c>
      <c r="F76" s="913" t="str">
        <f aca="false">IFERROR(__xludf.dummyfunction("countif(FILTER(Pokedex!$AF:$AF,Pokedex!$A:$A=$L$1,Pokedex!$AF:$AF=4),4)"),"1")</f>
        <v>1</v>
      </c>
      <c r="G76" s="914" t="str">
        <f aca="false">IFERROR(__xludf.dummyfunction("countif(FILTER(Pokedex!$AF:$AF,Pokedex!$A:$A=$L$1,Pokedex!$AF:$AF=1),1)"),"3")</f>
        <v>3</v>
      </c>
      <c r="H76" s="913" t="str">
        <f aca="false">IFERROR(__xludf.dummyfunction("countif(FILTER(Pokedex!$AF:$AF,Pokedex!$A:$A=$L$1,Pokedex!$AF:$AF=2),2)"),"0")</f>
        <v>0</v>
      </c>
      <c r="I76" s="913" t="n">
        <f aca="false">SUM(F76:H76)</f>
        <v>0</v>
      </c>
      <c r="J76" s="44"/>
      <c r="K76" s="823"/>
      <c r="L76" s="823"/>
      <c r="M76" s="477"/>
      <c r="N76" s="477"/>
      <c r="O76" s="44"/>
      <c r="P76" s="44"/>
      <c r="Q76" s="44"/>
      <c r="R76" s="824"/>
      <c r="S76" s="638"/>
      <c r="T76" s="638"/>
      <c r="U76" s="638"/>
      <c r="V76" s="638"/>
      <c r="W76" s="638"/>
      <c r="X76" s="638"/>
      <c r="Y76" s="638"/>
      <c r="Z76" s="638"/>
      <c r="AA76" s="638"/>
      <c r="AB76" s="638"/>
      <c r="AC76" s="638"/>
      <c r="AD76" s="638"/>
      <c r="AE76" s="638"/>
    </row>
    <row r="77" customFormat="false" ht="15.75" hidden="false" customHeight="false" outlineLevel="0" collapsed="false">
      <c r="A77" s="915" t="s">
        <v>798</v>
      </c>
      <c r="B77" s="915"/>
      <c r="C77" s="906" t="str">
        <f aca="false">IFERROR(__xludf.dummyfunction("countif(FILTER(Pokedex!$AG:$AG,Pokedex!$A:$A=$L$1,Pokedex!$AG:$AG=0-2),0-2)"),"0")</f>
        <v>0</v>
      </c>
      <c r="D77" s="907" t="str">
        <f aca="false">IFERROR(__xludf.dummyfunction("countif(FILTER(Pokedex!$AG:$AG,Pokedex!$A:$A=$L$1,Pokedex!$AG:$AG=0-1),0-1)"),"3")</f>
        <v>3</v>
      </c>
      <c r="E77" s="907" t="n">
        <f aca="false">SUM(C77:D77)</f>
        <v>0</v>
      </c>
      <c r="F77" s="908" t="str">
        <f aca="false">IFERROR(__xludf.dummyfunction("countif(FILTER(Pokedex!$AG:$AG,Pokedex!$A:$A=$L$1,Pokedex!$AG:$AG=4),4)"),"0")</f>
        <v>0</v>
      </c>
      <c r="G77" s="909" t="str">
        <f aca="false">IFERROR(__xludf.dummyfunction("countif(FILTER(Pokedex!$AG:$AG,Pokedex!$A:$A=$L$1,Pokedex!$AG:$AG=1),1)"),"1")</f>
        <v>1</v>
      </c>
      <c r="H77" s="908" t="str">
        <f aca="false">IFERROR(__xludf.dummyfunction("countif(FILTER(Pokedex!$AG:$AG,Pokedex!$A:$A=$L$1,Pokedex!$AG:$AG=2),2)"),"0")</f>
        <v>0</v>
      </c>
      <c r="I77" s="908" t="n">
        <f aca="false">SUM(F77:H77)</f>
        <v>0</v>
      </c>
      <c r="J77" s="44"/>
      <c r="K77" s="823"/>
      <c r="L77" s="823"/>
      <c r="M77" s="477"/>
      <c r="N77" s="477"/>
      <c r="O77" s="44"/>
      <c r="P77" s="44"/>
      <c r="Q77" s="44"/>
      <c r="R77" s="824"/>
      <c r="S77" s="638"/>
      <c r="T77" s="638"/>
      <c r="U77" s="638"/>
      <c r="V77" s="638"/>
      <c r="W77" s="638"/>
      <c r="X77" s="638"/>
      <c r="Y77" s="638"/>
      <c r="Z77" s="638"/>
      <c r="AA77" s="638"/>
      <c r="AB77" s="638"/>
      <c r="AC77" s="638"/>
      <c r="AD77" s="638"/>
      <c r="AE77" s="638"/>
    </row>
    <row r="78" customFormat="false" ht="15.75" hidden="false" customHeight="false" outlineLevel="0" collapsed="false">
      <c r="A78" s="916" t="s">
        <v>881</v>
      </c>
      <c r="B78" s="916"/>
      <c r="C78" s="911" t="str">
        <f aca="false">IFERROR(__xludf.dummyfunction("countif(FILTER(Pokedex!$AH:$AH,Pokedex!$A:$A=$L$1,Pokedex!$AH:$AH=0-2),0-2)"),"1")</f>
        <v>1</v>
      </c>
      <c r="D78" s="912" t="str">
        <f aca="false">IFERROR(__xludf.dummyfunction("countif(FILTER(Pokedex!$AH:$AH,Pokedex!$A:$A=$L$1,Pokedex!$AH:$AH=0-1),0-1)"),"2")</f>
        <v>2</v>
      </c>
      <c r="E78" s="912" t="n">
        <f aca="false">SUM(C78:D78)</f>
        <v>0</v>
      </c>
      <c r="F78" s="913" t="str">
        <f aca="false">IFERROR(__xludf.dummyfunction("countif(FILTER(Pokedex!$AH:$AH,Pokedex!$A:$A=$L$1,Pokedex!$AH:$AH=4),4)"),"2")</f>
        <v>2</v>
      </c>
      <c r="G78" s="914" t="str">
        <f aca="false">IFERROR(__xludf.dummyfunction("countif(FILTER(Pokedex!$AH:$AH,Pokedex!$A:$A=$L$1,Pokedex!$AH:$AH=1),1)"),"2")</f>
        <v>2</v>
      </c>
      <c r="H78" s="913" t="str">
        <f aca="false">IFERROR(__xludf.dummyfunction("countif(FILTER(Pokedex!$AH:$AH,Pokedex!$A:$A=$L$1,Pokedex!$AH:$AH=2),2)"),"1")</f>
        <v>1</v>
      </c>
      <c r="I78" s="913" t="n">
        <f aca="false">SUM(F78:H78)</f>
        <v>0</v>
      </c>
      <c r="J78" s="44"/>
      <c r="K78" s="823"/>
      <c r="L78" s="823"/>
      <c r="M78" s="477"/>
      <c r="N78" s="477"/>
      <c r="O78" s="44"/>
      <c r="P78" s="44"/>
      <c r="Q78" s="44"/>
      <c r="R78" s="824"/>
      <c r="S78" s="638"/>
      <c r="T78" s="638"/>
      <c r="U78" s="638"/>
      <c r="V78" s="638"/>
      <c r="W78" s="638"/>
      <c r="X78" s="638"/>
      <c r="Y78" s="638"/>
      <c r="Z78" s="638"/>
      <c r="AA78" s="638"/>
      <c r="AB78" s="638"/>
      <c r="AC78" s="638"/>
      <c r="AD78" s="638"/>
      <c r="AE78" s="638"/>
    </row>
    <row r="79" customFormat="false" ht="15.75" hidden="false" customHeight="false" outlineLevel="0" collapsed="false">
      <c r="A79" s="915" t="s">
        <v>800</v>
      </c>
      <c r="B79" s="915"/>
      <c r="C79" s="906" t="str">
        <f aca="false">IFERROR(__xludf.dummyfunction("countif(FILTER(Pokedex!$AI:$AI,Pokedex!$A:$A=$L$1,Pokedex!$AI:$AI=0-2),0-2)"),"0")</f>
        <v>0</v>
      </c>
      <c r="D79" s="907" t="str">
        <f aca="false">IFERROR(__xludf.dummyfunction("countif(FILTER(Pokedex!$AI:$AI,Pokedex!$A:$A=$L$1,Pokedex!$AI:$AI=0-1),0-1)"),"3")</f>
        <v>3</v>
      </c>
      <c r="E79" s="907" t="n">
        <f aca="false">SUM(C79:D79)</f>
        <v>0</v>
      </c>
      <c r="F79" s="908" t="str">
        <f aca="false">IFERROR(__xludf.dummyfunction("countif(FILTER(Pokedex!$AI:$AI,Pokedex!$A:$A=$L$1,Pokedex!$AI:$AI=4),4)"),"0")</f>
        <v>0</v>
      </c>
      <c r="G79" s="909" t="str">
        <f aca="false">IFERROR(__xludf.dummyfunction("countif(FILTER(Pokedex!$AI:$AI,Pokedex!$A:$A=$L$1,Pokedex!$AI:$AI=1),1)"),"2")</f>
        <v>2</v>
      </c>
      <c r="H79" s="908" t="str">
        <f aca="false">IFERROR(__xludf.dummyfunction("countif(FILTER(Pokedex!$AI:$AI,Pokedex!$A:$A=$L$1,Pokedex!$AI:$AI=2),2)"),"0")</f>
        <v>0</v>
      </c>
      <c r="I79" s="908" t="n">
        <f aca="false">SUM(F79:H79)</f>
        <v>0</v>
      </c>
      <c r="J79" s="44"/>
      <c r="K79" s="823"/>
      <c r="L79" s="823"/>
      <c r="M79" s="477"/>
      <c r="N79" s="477"/>
      <c r="O79" s="44"/>
      <c r="P79" s="44"/>
      <c r="Q79" s="44"/>
      <c r="R79" s="824"/>
      <c r="S79" s="638"/>
      <c r="T79" s="638"/>
      <c r="U79" s="638"/>
      <c r="V79" s="638"/>
      <c r="W79" s="638"/>
      <c r="X79" s="638"/>
      <c r="Y79" s="638"/>
      <c r="Z79" s="638"/>
      <c r="AA79" s="638"/>
      <c r="AB79" s="638"/>
      <c r="AC79" s="638"/>
      <c r="AD79" s="638"/>
      <c r="AE79" s="638"/>
    </row>
    <row r="80" customFormat="false" ht="15.75" hidden="false" customHeight="false" outlineLevel="0" collapsed="false">
      <c r="A80" s="916" t="s">
        <v>801</v>
      </c>
      <c r="B80" s="916"/>
      <c r="C80" s="911" t="str">
        <f aca="false">IFERROR(__xludf.dummyfunction("countif(FILTER(Pokedex!$AJ:$AJ,Pokedex!$A:$A=$L$1,Pokedex!$AJ:$AJ=0-2),0-2)"),"1")</f>
        <v>1</v>
      </c>
      <c r="D80" s="912" t="str">
        <f aca="false">IFERROR(__xludf.dummyfunction("countif(FILTER(Pokedex!$AJ:$AJ,Pokedex!$A:$A=$L$1,Pokedex!$AJ:$AJ=0-1),0-1)"),"3")</f>
        <v>3</v>
      </c>
      <c r="E80" s="912" t="n">
        <f aca="false">SUM(C80:D80)</f>
        <v>0</v>
      </c>
      <c r="F80" s="913" t="str">
        <f aca="false">IFERROR(__xludf.dummyfunction("countif(FILTER(Pokedex!$AJ:$AJ,Pokedex!$A:$A=$L$1,Pokedex!$AJ:$AJ=4),4)"),"0")</f>
        <v>0</v>
      </c>
      <c r="G80" s="914" t="str">
        <f aca="false">IFERROR(__xludf.dummyfunction("countif(FILTER(Pokedex!$AJ:$AJ,Pokedex!$A:$A=$L$1,Pokedex!$AJ:$AJ=1),1)"),"2")</f>
        <v>2</v>
      </c>
      <c r="H80" s="913" t="str">
        <f aca="false">IFERROR(__xludf.dummyfunction("countif(FILTER(Pokedex!$AJ:$AJ,Pokedex!$A:$A=$L$1,Pokedex!$AJ:$AJ=2),2)"),"0")</f>
        <v>0</v>
      </c>
      <c r="I80" s="913" t="n">
        <f aca="false">SUM(F80:H80)</f>
        <v>0</v>
      </c>
      <c r="J80" s="44"/>
      <c r="K80" s="823"/>
      <c r="L80" s="823"/>
      <c r="M80" s="477"/>
      <c r="N80" s="477"/>
      <c r="O80" s="44"/>
      <c r="P80" s="44"/>
      <c r="Q80" s="44"/>
      <c r="R80" s="824"/>
      <c r="S80" s="638"/>
      <c r="T80" s="638"/>
      <c r="U80" s="638"/>
      <c r="V80" s="638"/>
      <c r="W80" s="638"/>
      <c r="X80" s="638"/>
      <c r="Y80" s="638"/>
      <c r="Z80" s="638"/>
      <c r="AA80" s="638"/>
      <c r="AB80" s="638"/>
      <c r="AC80" s="638"/>
      <c r="AD80" s="638"/>
      <c r="AE80" s="638"/>
    </row>
    <row r="81" customFormat="false" ht="15.75" hidden="false" customHeight="false" outlineLevel="0" collapsed="false">
      <c r="A81" s="915" t="s">
        <v>802</v>
      </c>
      <c r="B81" s="915"/>
      <c r="C81" s="906" t="str">
        <f aca="false">IFERROR(__xludf.dummyfunction("countif(FILTER(Pokedex!$AK:$AK,Pokedex!$A:$A=$L$1,Pokedex!$AK:$AK=0-2),0-2)"),"0")</f>
        <v>0</v>
      </c>
      <c r="D81" s="907" t="str">
        <f aca="false">IFERROR(__xludf.dummyfunction("countif(FILTER(Pokedex!$AK:$AK,Pokedex!$A:$A=$L$1,Pokedex!$AK:$AK=0-1),0-1)"),"3")</f>
        <v>3</v>
      </c>
      <c r="E81" s="907" t="n">
        <f aca="false">SUM(C81:D81)</f>
        <v>0</v>
      </c>
      <c r="F81" s="908" t="str">
        <f aca="false">IFERROR(__xludf.dummyfunction("countif(FILTER(Pokedex!$AK:$AK,Pokedex!$A:$A=$L$1,Pokedex!$AK:$AK=4),4)"),"0")</f>
        <v>0</v>
      </c>
      <c r="G81" s="909" t="str">
        <f aca="false">IFERROR(__xludf.dummyfunction("countif(FILTER(Pokedex!$AK:$AK,Pokedex!$A:$A=$L$1,Pokedex!$AK:$AK=1),1)"),"1")</f>
        <v>1</v>
      </c>
      <c r="H81" s="908" t="str">
        <f aca="false">IFERROR(__xludf.dummyfunction("countif(FILTER(Pokedex!$AK:$AK,Pokedex!$A:$A=$L$1,Pokedex!$AK:$AK=2),2)"),"0")</f>
        <v>0</v>
      </c>
      <c r="I81" s="908" t="n">
        <f aca="false">SUM(F81:H81)</f>
        <v>0</v>
      </c>
      <c r="J81" s="44"/>
      <c r="K81" s="823"/>
      <c r="L81" s="823"/>
      <c r="M81" s="477"/>
      <c r="N81" s="477"/>
      <c r="O81" s="44"/>
      <c r="P81" s="44"/>
      <c r="Q81" s="44"/>
      <c r="R81" s="824"/>
      <c r="S81" s="638"/>
      <c r="T81" s="638"/>
      <c r="U81" s="638"/>
      <c r="V81" s="638"/>
      <c r="W81" s="638"/>
      <c r="X81" s="638"/>
      <c r="Y81" s="638"/>
      <c r="Z81" s="638"/>
      <c r="AA81" s="638"/>
      <c r="AB81" s="638"/>
      <c r="AC81" s="638"/>
      <c r="AD81" s="638"/>
      <c r="AE81" s="638"/>
    </row>
    <row r="82" customFormat="false" ht="15.75" hidden="false" customHeight="false" outlineLevel="0" collapsed="false">
      <c r="A82" s="916" t="s">
        <v>803</v>
      </c>
      <c r="B82" s="916"/>
      <c r="C82" s="911" t="str">
        <f aca="false">IFERROR(__xludf.dummyfunction("countif(FILTER(Pokedex!$AL:$AL,Pokedex!$A:$A=$L$1,Pokedex!$AL:$AL=0-2),0-2)"),"0")</f>
        <v>0</v>
      </c>
      <c r="D82" s="912" t="str">
        <f aca="false">IFERROR(__xludf.dummyfunction("countif(FILTER(Pokedex!$AL:$AL,Pokedex!$A:$A=$L$1,Pokedex!$AL:$AL=0-1),0-1)"),"3")</f>
        <v>3</v>
      </c>
      <c r="E82" s="912" t="n">
        <f aca="false">SUM(C82:D82)</f>
        <v>0</v>
      </c>
      <c r="F82" s="913" t="str">
        <f aca="false">IFERROR(__xludf.dummyfunction("countif(FILTER(Pokedex!$AL:$AL,Pokedex!$A:$A=$L$1,Pokedex!$AL:$AL=4),4)"),"0")</f>
        <v>0</v>
      </c>
      <c r="G82" s="914" t="str">
        <f aca="false">IFERROR(__xludf.dummyfunction("countif(FILTER(Pokedex!$AL:$AL,Pokedex!$A:$A=$L$1,Pokedex!$AL:$AL=1),1)"),"3")</f>
        <v>3</v>
      </c>
      <c r="H82" s="913" t="str">
        <f aca="false">IFERROR(__xludf.dummyfunction("countif(FILTER(Pokedex!$AL:$AL,Pokedex!$A:$A=$L$1,Pokedex!$AL:$AL=2),2)"),"1")</f>
        <v>1</v>
      </c>
      <c r="I82" s="913" t="n">
        <f aca="false">SUM(F82:H82)</f>
        <v>0</v>
      </c>
      <c r="J82" s="44"/>
      <c r="K82" s="893"/>
      <c r="L82" s="893"/>
      <c r="M82" s="831"/>
      <c r="N82" s="831"/>
      <c r="O82" s="44"/>
      <c r="P82" s="44"/>
      <c r="Q82" s="44"/>
      <c r="R82" s="824"/>
      <c r="S82" s="638"/>
      <c r="T82" s="638"/>
      <c r="U82" s="638"/>
      <c r="V82" s="638"/>
      <c r="W82" s="638"/>
      <c r="X82" s="638"/>
      <c r="Y82" s="638"/>
      <c r="Z82" s="638"/>
      <c r="AA82" s="638"/>
      <c r="AB82" s="638"/>
      <c r="AC82" s="638"/>
      <c r="AD82" s="638"/>
      <c r="AE82" s="638"/>
    </row>
    <row r="83" customFormat="false" ht="15.75" hidden="false" customHeight="false" outlineLevel="0" collapsed="false">
      <c r="A83" s="915" t="s">
        <v>907</v>
      </c>
      <c r="B83" s="915"/>
      <c r="C83" s="906" t="str">
        <f aca="false">IFERROR(__xludf.dummyfunction("countif(FILTER(Pokedex!$AM:$AM,Pokedex!$A:$A=$L$1,Pokedex!$AM:$AM=0-2),0-2)"),"0")</f>
        <v>0</v>
      </c>
      <c r="D83" s="907" t="str">
        <f aca="false">IFERROR(__xludf.dummyfunction("countif(FILTER(Pokedex!$AM:$AM,Pokedex!$A:$A=$L$1,Pokedex!$AM:$AM=0-1),0-1)"),"2")</f>
        <v>2</v>
      </c>
      <c r="E83" s="907" t="n">
        <f aca="false">SUM(C83:D83)</f>
        <v>0</v>
      </c>
      <c r="F83" s="908" t="str">
        <f aca="false">IFERROR(__xludf.dummyfunction("countif(FILTER(Pokedex!$AM:$AM,Pokedex!$A:$A=$L$1,Pokedex!$AM:$AM=4),4)"),"1")</f>
        <v>1</v>
      </c>
      <c r="G83" s="909" t="str">
        <f aca="false">IFERROR(__xludf.dummyfunction("countif(FILTER(Pokedex!$AM:$AM,Pokedex!$A:$A=$L$1,Pokedex!$AM:$AM=1),1)"),"3")</f>
        <v>3</v>
      </c>
      <c r="H83" s="908" t="str">
        <f aca="false">IFERROR(__xludf.dummyfunction("countif(FILTER(Pokedex!$AM:$AM,Pokedex!$A:$A=$L$1,Pokedex!$AM:$AM=2),2)"),"0")</f>
        <v>0</v>
      </c>
      <c r="I83" s="908" t="n">
        <f aca="false">SUM(F83:H83)</f>
        <v>0</v>
      </c>
      <c r="J83" s="44"/>
      <c r="K83" s="7"/>
      <c r="L83" s="7"/>
      <c r="M83" s="7"/>
      <c r="N83" s="7"/>
      <c r="O83" s="44"/>
      <c r="P83" s="44"/>
      <c r="Q83" s="44"/>
      <c r="R83" s="824"/>
      <c r="S83" s="638"/>
      <c r="T83" s="638"/>
      <c r="U83" s="638"/>
      <c r="V83" s="638"/>
      <c r="W83" s="638"/>
      <c r="X83" s="638"/>
      <c r="Y83" s="638"/>
      <c r="Z83" s="638"/>
      <c r="AA83" s="638"/>
      <c r="AB83" s="638"/>
      <c r="AC83" s="638"/>
      <c r="AD83" s="638"/>
      <c r="AE83" s="638"/>
    </row>
    <row r="84" customFormat="false" ht="15.75" hidden="false" customHeight="false" outlineLevel="0" collapsed="false">
      <c r="A84" s="916" t="s">
        <v>805</v>
      </c>
      <c r="B84" s="916"/>
      <c r="C84" s="911" t="str">
        <f aca="false">IFERROR(__xludf.dummyfunction("countif(FILTER(Pokedex!$AN:$AN,Pokedex!$A:$A=$L$1,Pokedex!$AN:$AN=0-2),0-2)"),"1")</f>
        <v>1</v>
      </c>
      <c r="D84" s="912" t="str">
        <f aca="false">IFERROR(__xludf.dummyfunction("countif(FILTER(Pokedex!$AN:$AN,Pokedex!$A:$A=$L$1,Pokedex!$AN:$AN=0-1),0-1)"),"3")</f>
        <v>3</v>
      </c>
      <c r="E84" s="912" t="n">
        <f aca="false">SUM(C84:D84)</f>
        <v>0</v>
      </c>
      <c r="F84" s="913" t="str">
        <f aca="false">IFERROR(__xludf.dummyfunction("countif(FILTER(Pokedex!$AN:$AN,Pokedex!$A:$A=$L$1,Pokedex!$AN:$AN=4),4)"),"0")</f>
        <v>0</v>
      </c>
      <c r="G84" s="914" t="str">
        <f aca="false">IFERROR(__xludf.dummyfunction("countif(FILTER(Pokedex!$AN:$AN,Pokedex!$A:$A=$L$1,Pokedex!$AN:$AN=1),1)"),"1")</f>
        <v>1</v>
      </c>
      <c r="H84" s="913" t="str">
        <f aca="false">IFERROR(__xludf.dummyfunction("countif(FILTER(Pokedex!$AN:$AN,Pokedex!$A:$A=$L$1,Pokedex!$AN:$AN=2),2)"),"2")</f>
        <v>2</v>
      </c>
      <c r="I84" s="913" t="n">
        <f aca="false">SUM(F84:H84)</f>
        <v>0</v>
      </c>
      <c r="J84" s="44"/>
      <c r="K84" s="341" t="s">
        <v>2087</v>
      </c>
      <c r="L84" s="341"/>
      <c r="M84" s="341"/>
      <c r="N84" s="341"/>
      <c r="O84" s="44"/>
      <c r="P84" s="44"/>
      <c r="Q84" s="44"/>
      <c r="R84" s="824"/>
      <c r="S84" s="638"/>
      <c r="T84" s="638"/>
      <c r="U84" s="638"/>
      <c r="V84" s="638"/>
      <c r="W84" s="638"/>
      <c r="X84" s="638"/>
      <c r="Y84" s="638"/>
      <c r="Z84" s="638"/>
      <c r="AA84" s="638"/>
      <c r="AB84" s="638"/>
      <c r="AC84" s="638"/>
      <c r="AD84" s="638"/>
      <c r="AE84" s="638"/>
    </row>
    <row r="85" customFormat="false" ht="15.75" hidden="false" customHeight="false" outlineLevel="0" collapsed="false">
      <c r="A85" s="915" t="s">
        <v>839</v>
      </c>
      <c r="B85" s="915"/>
      <c r="C85" s="906" t="str">
        <f aca="false">IFERROR(__xludf.dummyfunction("countif(FILTER(Pokedex!$AO:$AO,Pokedex!$A:$A=$L$1,Pokedex!$AO:$AO=0-2),0-2)"),"0")</f>
        <v>0</v>
      </c>
      <c r="D85" s="907" t="str">
        <f aca="false">IFERROR(__xludf.dummyfunction("countif(FILTER(Pokedex!$AO:$AO,Pokedex!$A:$A=$L$1,Pokedex!$AO:$AO=0-1),0-1)"),"0")</f>
        <v>0</v>
      </c>
      <c r="E85" s="907" t="n">
        <f aca="false">SUM(C85:D85)</f>
        <v>0</v>
      </c>
      <c r="F85" s="908" t="str">
        <f aca="false">IFERROR(__xludf.dummyfunction("countif(FILTER(Pokedex!$AO:$AO,Pokedex!$A:$A=$L$1,Pokedex!$AO:$AO=4),4)"),"2")</f>
        <v>2</v>
      </c>
      <c r="G85" s="909" t="str">
        <f aca="false">IFERROR(__xludf.dummyfunction("countif(FILTER(Pokedex!$AO:$AO,Pokedex!$A:$A=$L$1,Pokedex!$AO:$AO=1),1)"),"1")</f>
        <v>1</v>
      </c>
      <c r="H85" s="908" t="str">
        <f aca="false">IFERROR(__xludf.dummyfunction("countif(FILTER(Pokedex!$AO:$AO,Pokedex!$A:$A=$L$1,Pokedex!$AO:$AO=2),2)"),"0")</f>
        <v>0</v>
      </c>
      <c r="I85" s="908" t="n">
        <f aca="false">SUM(F85:H85)</f>
        <v>0</v>
      </c>
      <c r="J85" s="44"/>
      <c r="K85" s="891" t="str">
        <f aca="false">IFERROR(__xludf.dummyfunction("if(isna(filter($R$40:$R$51,isblank($R$40:$R$51)=FALSE)),""NONE"",filter($R$40:$R$51,isblank($R$40:$R$51)=FALSE))"),"Lapras")</f>
        <v>Lapras</v>
      </c>
      <c r="L85" s="891"/>
      <c r="M85" s="892" t="str">
        <f aca="false">IFERROR(__xludf.dummyfunction("if(isna(filter($S$40:$S$51,isblank($S$40:$S$51)=FALSE)),""N/A"",filter($S$40:$S$51,isblank($S$40:$S$51)=FALSE))"),"Heal Bell")</f>
        <v>Heal Bell</v>
      </c>
      <c r="N85" s="892"/>
      <c r="O85" s="44"/>
      <c r="P85" s="44"/>
      <c r="Q85" s="44"/>
      <c r="R85" s="824"/>
      <c r="S85" s="638"/>
      <c r="T85" s="638"/>
      <c r="U85" s="638"/>
      <c r="V85" s="638"/>
      <c r="W85" s="638"/>
      <c r="X85" s="638"/>
      <c r="Y85" s="638"/>
      <c r="Z85" s="638"/>
      <c r="AA85" s="638"/>
      <c r="AB85" s="638"/>
      <c r="AC85" s="638"/>
      <c r="AD85" s="638"/>
      <c r="AE85" s="638"/>
    </row>
    <row r="86" customFormat="false" ht="15.75" hidden="false" customHeight="false" outlineLevel="0" collapsed="false">
      <c r="A86" s="916" t="s">
        <v>843</v>
      </c>
      <c r="B86" s="916"/>
      <c r="C86" s="911" t="str">
        <f aca="false">IFERROR(__xludf.dummyfunction("countif(FILTER(Pokedex!$AP:$AP,Pokedex!$A:$A=$L$1,Pokedex!$AP:$AP=0-2),0-2)"),"0")</f>
        <v>0</v>
      </c>
      <c r="D86" s="912" t="str">
        <f aca="false">IFERROR(__xludf.dummyfunction("countif(FILTER(Pokedex!$AP:$AP,Pokedex!$A:$A=$L$1,Pokedex!$AP:$AP=0-1),0-1)"),"1")</f>
        <v>1</v>
      </c>
      <c r="E86" s="912" t="n">
        <f aca="false">SUM(C86:D86)</f>
        <v>0</v>
      </c>
      <c r="F86" s="913" t="str">
        <f aca="false">IFERROR(__xludf.dummyfunction("countif(FILTER(Pokedex!$AP:$AP,Pokedex!$A:$A=$L$1,Pokedex!$AP:$AP=4),4)"),"0")</f>
        <v>0</v>
      </c>
      <c r="G86" s="914" t="str">
        <f aca="false">IFERROR(__xludf.dummyfunction("countif(FILTER(Pokedex!$AP:$AP,Pokedex!$A:$A=$L$1,Pokedex!$AP:$AP=1),1)"),"4")</f>
        <v>4</v>
      </c>
      <c r="H86" s="913" t="str">
        <f aca="false">IFERROR(__xludf.dummyfunction("countif(FILTER(Pokedex!$AP:$AP,Pokedex!$A:$A=$L$1,Pokedex!$AP:$AP=2),2)"),"0")</f>
        <v>0</v>
      </c>
      <c r="I86" s="913" t="n">
        <f aca="false">SUM(F86:H86)</f>
        <v>0</v>
      </c>
      <c r="J86" s="44"/>
      <c r="K86" s="823" t="s">
        <v>65</v>
      </c>
      <c r="L86" s="823"/>
      <c r="M86" s="477" t="s">
        <v>1115</v>
      </c>
      <c r="N86" s="477"/>
      <c r="O86" s="44"/>
      <c r="P86" s="44"/>
      <c r="Q86" s="44"/>
      <c r="R86" s="824"/>
      <c r="S86" s="638"/>
      <c r="T86" s="638"/>
      <c r="U86" s="638"/>
      <c r="V86" s="638"/>
      <c r="W86" s="638"/>
      <c r="X86" s="638"/>
      <c r="Y86" s="638"/>
      <c r="Z86" s="638"/>
      <c r="AA86" s="638"/>
      <c r="AB86" s="638"/>
      <c r="AC86" s="638"/>
      <c r="AD86" s="638"/>
      <c r="AE86" s="638"/>
    </row>
    <row r="87" customFormat="false" ht="15.75" hidden="false" customHeight="false" outlineLevel="0" collapsed="false">
      <c r="A87" s="915" t="s">
        <v>828</v>
      </c>
      <c r="B87" s="915"/>
      <c r="C87" s="906" t="str">
        <f aca="false">IFERROR(__xludf.dummyfunction("countif(FILTER(Pokedex!$AQ:$AQ,Pokedex!$A:$A=$L$1,Pokedex!$AQ:$AQ=0-2),0-2)"),"0")</f>
        <v>0</v>
      </c>
      <c r="D87" s="907" t="str">
        <f aca="false">IFERROR(__xludf.dummyfunction("countif(FILTER(Pokedex!$AQ:$AQ,Pokedex!$A:$A=$L$1,Pokedex!$AQ:$AQ=0-1),0-1)"),"2")</f>
        <v>2</v>
      </c>
      <c r="E87" s="907" t="n">
        <f aca="false">SUM(C87:D87)</f>
        <v>0</v>
      </c>
      <c r="F87" s="908" t="str">
        <f aca="false">IFERROR(__xludf.dummyfunction("countif(FILTER(Pokedex!$AQ:$AQ,Pokedex!$A:$A=$L$1,Pokedex!$AQ:$AQ=4),4)"),"1")</f>
        <v>1</v>
      </c>
      <c r="G87" s="909" t="str">
        <f aca="false">IFERROR(__xludf.dummyfunction("countif(FILTER(Pokedex!$AQ:$AQ,Pokedex!$A:$A=$L$1,Pokedex!$AQ:$AQ=1),1)"),"1")</f>
        <v>1</v>
      </c>
      <c r="H87" s="908" t="str">
        <f aca="false">IFERROR(__xludf.dummyfunction("countif(FILTER(Pokedex!$AQ:$AQ,Pokedex!$A:$A=$L$1,Pokedex!$AQ:$AQ=2),2)"),"0")</f>
        <v>0</v>
      </c>
      <c r="I87" s="908" t="n">
        <f aca="false">SUM(F87:H87)</f>
        <v>0</v>
      </c>
      <c r="J87" s="44"/>
      <c r="K87" s="823" t="s">
        <v>259</v>
      </c>
      <c r="L87" s="823"/>
      <c r="M87" s="477" t="s">
        <v>1115</v>
      </c>
      <c r="N87" s="477"/>
      <c r="O87" s="44"/>
      <c r="P87" s="44"/>
      <c r="Q87" s="44"/>
      <c r="R87" s="824"/>
      <c r="S87" s="638"/>
      <c r="T87" s="638"/>
      <c r="U87" s="638"/>
      <c r="V87" s="638"/>
      <c r="W87" s="638"/>
      <c r="X87" s="638"/>
      <c r="Y87" s="638"/>
      <c r="Z87" s="638"/>
      <c r="AA87" s="638"/>
      <c r="AB87" s="638"/>
      <c r="AC87" s="638"/>
      <c r="AD87" s="638"/>
      <c r="AE87" s="638"/>
    </row>
    <row r="88" customFormat="false" ht="15.75" hidden="false" customHeight="false" outlineLevel="0" collapsed="false">
      <c r="A88" s="916" t="s">
        <v>809</v>
      </c>
      <c r="B88" s="916"/>
      <c r="C88" s="911" t="str">
        <f aca="false">IFERROR(__xludf.dummyfunction("countif(FILTER(Pokedex!$AR:$AR,Pokedex!$A:$A=$L$1,Pokedex!$AR:$AR=0-2),0-2)"),"0")</f>
        <v>0</v>
      </c>
      <c r="D88" s="912" t="str">
        <f aca="false">IFERROR(__xludf.dummyfunction("countif(FILTER(Pokedex!$AR:$AR,Pokedex!$A:$A=$L$1,Pokedex!$AR:$AR=0-1),0-1)"),"5")</f>
        <v>5</v>
      </c>
      <c r="E88" s="912" t="n">
        <f aca="false">SUM(C88:D88)</f>
        <v>0</v>
      </c>
      <c r="F88" s="913" t="str">
        <f aca="false">IFERROR(__xludf.dummyfunction("countif(FILTER(Pokedex!$AR:$AR,Pokedex!$A:$A=$L$1,Pokedex!$AR:$AR=4),4)"),"0")</f>
        <v>0</v>
      </c>
      <c r="G88" s="914" t="str">
        <f aca="false">IFERROR(__xludf.dummyfunction("countif(FILTER(Pokedex!$AR:$AR,Pokedex!$A:$A=$L$1,Pokedex!$AR:$AR=1),1)"),"2")</f>
        <v>2</v>
      </c>
      <c r="H88" s="913" t="str">
        <f aca="false">IFERROR(__xludf.dummyfunction("countif(FILTER(Pokedex!$AR:$AR,Pokedex!$A:$A=$L$1,Pokedex!$AR:$AR=2),2)"),"0")</f>
        <v>0</v>
      </c>
      <c r="I88" s="913" t="n">
        <f aca="false">SUM(F88:H88)</f>
        <v>0</v>
      </c>
      <c r="J88" s="44"/>
      <c r="K88" s="823" t="s">
        <v>69</v>
      </c>
      <c r="L88" s="823"/>
      <c r="M88" s="477" t="s">
        <v>1115</v>
      </c>
      <c r="N88" s="477"/>
      <c r="O88" s="44"/>
      <c r="P88" s="44"/>
      <c r="Q88" s="44"/>
      <c r="R88" s="824"/>
      <c r="S88" s="638"/>
      <c r="T88" s="638"/>
      <c r="U88" s="638"/>
      <c r="V88" s="638"/>
      <c r="W88" s="638"/>
      <c r="X88" s="638"/>
      <c r="Y88" s="638"/>
      <c r="Z88" s="638"/>
      <c r="AA88" s="638"/>
      <c r="AB88" s="638"/>
      <c r="AC88" s="638"/>
      <c r="AD88" s="638"/>
      <c r="AE88" s="638"/>
    </row>
    <row r="89" customFormat="false" ht="15.75" hidden="false" customHeight="false" outlineLevel="0" collapsed="false">
      <c r="A89" s="915" t="s">
        <v>810</v>
      </c>
      <c r="B89" s="915"/>
      <c r="C89" s="906" t="str">
        <f aca="false">IFERROR(__xludf.dummyfunction("countif(FILTER(Pokedex!$AS:$AS,Pokedex!$A:$A=$L$1,Pokedex!$AS:$AS=0-2),0-2)"),"0")</f>
        <v>0</v>
      </c>
      <c r="D89" s="907" t="str">
        <f aca="false">IFERROR(__xludf.dummyfunction("countif(FILTER(Pokedex!$AS:$AS,Pokedex!$A:$A=$L$1,Pokedex!$AS:$AS=0-1),0-1)"),"1")</f>
        <v>1</v>
      </c>
      <c r="E89" s="907" t="n">
        <f aca="false">SUM(C89:D89)</f>
        <v>0</v>
      </c>
      <c r="F89" s="908" t="str">
        <f aca="false">IFERROR(__xludf.dummyfunction("countif(FILTER(Pokedex!$AS:$AS,Pokedex!$A:$A=$L$1,Pokedex!$AS:$AS=4),4)"),"0")</f>
        <v>0</v>
      </c>
      <c r="G89" s="909" t="str">
        <f aca="false">IFERROR(__xludf.dummyfunction("countif(FILTER(Pokedex!$AS:$AS,Pokedex!$A:$A=$L$1,Pokedex!$AS:$AS=1),1)"),"2")</f>
        <v>2</v>
      </c>
      <c r="H89" s="908" t="str">
        <f aca="false">IFERROR(__xludf.dummyfunction("countif(FILTER(Pokedex!$AS:$AS,Pokedex!$A:$A=$L$1,Pokedex!$AS:$AS=2),2)"),"0")</f>
        <v>0</v>
      </c>
      <c r="I89" s="908" t="n">
        <f aca="false">SUM(F89:H89)</f>
        <v>0</v>
      </c>
      <c r="J89" s="44"/>
      <c r="K89" s="823"/>
      <c r="L89" s="823"/>
      <c r="M89" s="477"/>
      <c r="N89" s="477"/>
      <c r="O89" s="44"/>
      <c r="P89" s="44"/>
      <c r="Q89" s="44"/>
      <c r="R89" s="824"/>
      <c r="S89" s="638"/>
      <c r="T89" s="638"/>
      <c r="U89" s="638"/>
      <c r="V89" s="638"/>
      <c r="W89" s="638"/>
      <c r="X89" s="638"/>
      <c r="Y89" s="638"/>
      <c r="Z89" s="638"/>
      <c r="AA89" s="638"/>
      <c r="AB89" s="638"/>
      <c r="AC89" s="638"/>
      <c r="AD89" s="638"/>
      <c r="AE89" s="638"/>
    </row>
    <row r="90" customFormat="false" ht="15.75" hidden="false" customHeight="false" outlineLevel="0" collapsed="false">
      <c r="A90" s="917" t="s">
        <v>811</v>
      </c>
      <c r="B90" s="917"/>
      <c r="C90" s="918" t="str">
        <f aca="false">IFERROR(__xludf.dummyfunction("countif(FILTER(Pokedex!$AT:$AT,Pokedex!$A:$A=$L$1,Pokedex!$AT:$AT=0-2),0-2)"),"0")</f>
        <v>0</v>
      </c>
      <c r="D90" s="919" t="str">
        <f aca="false">IFERROR(__xludf.dummyfunction("countif(FILTER(Pokedex!$AT:$AT,Pokedex!$A:$A=$L$1,Pokedex!$AT:$AT=0-1),0-1)"),"1")</f>
        <v>1</v>
      </c>
      <c r="E90" s="919" t="n">
        <f aca="false">SUM(C90:D90)</f>
        <v>0</v>
      </c>
      <c r="F90" s="920" t="str">
        <f aca="false">IFERROR(__xludf.dummyfunction("countif(FILTER(Pokedex!$AT:$AT,Pokedex!$A:$A=$L$1,Pokedex!$AT:$AT=4),4)"),"0")</f>
        <v>0</v>
      </c>
      <c r="G90" s="921" t="str">
        <f aca="false">IFERROR(__xludf.dummyfunction("countif(FILTER(Pokedex!$AT:$AT,Pokedex!$A:$A=$L$1,Pokedex!$AT:$AT=1),1)"),"5")</f>
        <v>5</v>
      </c>
      <c r="H90" s="920" t="str">
        <f aca="false">IFERROR(__xludf.dummyfunction("countif(FILTER(Pokedex!$AT:$AT,Pokedex!$A:$A=$L$1,Pokedex!$AT:$AT=2),2)"),"0")</f>
        <v>0</v>
      </c>
      <c r="I90" s="920" t="n">
        <f aca="false">SUM(F90:H90)</f>
        <v>0</v>
      </c>
      <c r="J90" s="44"/>
      <c r="K90" s="823"/>
      <c r="L90" s="823"/>
      <c r="M90" s="477"/>
      <c r="N90" s="477"/>
      <c r="O90" s="44"/>
      <c r="P90" s="44"/>
      <c r="Q90" s="44"/>
      <c r="R90" s="824"/>
      <c r="S90" s="638"/>
      <c r="T90" s="638"/>
      <c r="U90" s="638"/>
      <c r="V90" s="638"/>
      <c r="W90" s="638"/>
      <c r="X90" s="638"/>
      <c r="Y90" s="638"/>
      <c r="Z90" s="638"/>
      <c r="AA90" s="638"/>
      <c r="AB90" s="638"/>
      <c r="AC90" s="638"/>
      <c r="AD90" s="638"/>
      <c r="AE90" s="638"/>
    </row>
    <row r="91" customFormat="false" ht="15.75" hidden="false" customHeight="false" outlineLevel="0" collapsed="false">
      <c r="A91" s="922" t="s">
        <v>2088</v>
      </c>
      <c r="B91" s="922"/>
      <c r="C91" s="923" t="n">
        <f aca="false">SUM(C73:C90)</f>
        <v>0</v>
      </c>
      <c r="D91" s="924" t="n">
        <f aca="false">SUM(D73:D90)</f>
        <v>0</v>
      </c>
      <c r="E91" s="924" t="n">
        <f aca="false">SUM(E73:E90)</f>
        <v>0</v>
      </c>
      <c r="F91" s="925" t="n">
        <f aca="false">SUM(F73:F90)</f>
        <v>0</v>
      </c>
      <c r="G91" s="926" t="n">
        <f aca="false">SUM(G73:G90)</f>
        <v>0</v>
      </c>
      <c r="H91" s="925" t="n">
        <f aca="false">SUM(H73:H90)</f>
        <v>0</v>
      </c>
      <c r="I91" s="925" t="n">
        <f aca="false">SUM(I73:I90)</f>
        <v>0</v>
      </c>
      <c r="J91" s="44"/>
      <c r="K91" s="823"/>
      <c r="L91" s="823"/>
      <c r="M91" s="477"/>
      <c r="N91" s="477"/>
      <c r="O91" s="44"/>
      <c r="P91" s="44"/>
      <c r="Q91" s="44"/>
      <c r="R91" s="824"/>
      <c r="S91" s="638"/>
      <c r="T91" s="638"/>
      <c r="U91" s="638"/>
      <c r="V91" s="638"/>
      <c r="W91" s="638"/>
      <c r="X91" s="638"/>
      <c r="Y91" s="638"/>
      <c r="Z91" s="638"/>
      <c r="AA91" s="638"/>
      <c r="AB91" s="638"/>
      <c r="AC91" s="638"/>
      <c r="AD91" s="638"/>
      <c r="AE91" s="638"/>
    </row>
    <row r="92" customFormat="false" ht="15.75" hidden="false" customHeight="false" outlineLevel="0" collapsed="false">
      <c r="A92" s="245"/>
      <c r="B92" s="738"/>
      <c r="C92" s="900" t="s">
        <v>2082</v>
      </c>
      <c r="D92" s="901" t="s">
        <v>2083</v>
      </c>
      <c r="E92" s="901" t="s">
        <v>2063</v>
      </c>
      <c r="F92" s="902" t="s">
        <v>2084</v>
      </c>
      <c r="G92" s="903" t="s">
        <v>2085</v>
      </c>
      <c r="H92" s="904" t="s">
        <v>2086</v>
      </c>
      <c r="I92" s="904" t="s">
        <v>2063</v>
      </c>
      <c r="J92" s="44"/>
      <c r="K92" s="823"/>
      <c r="L92" s="823"/>
      <c r="M92" s="477"/>
      <c r="N92" s="477"/>
      <c r="O92" s="44"/>
      <c r="P92" s="44"/>
      <c r="Q92" s="44"/>
      <c r="R92" s="824"/>
      <c r="S92" s="638"/>
      <c r="T92" s="638"/>
      <c r="U92" s="638"/>
      <c r="V92" s="638"/>
      <c r="W92" s="638"/>
      <c r="X92" s="638"/>
      <c r="Y92" s="638"/>
      <c r="Z92" s="638"/>
      <c r="AA92" s="638"/>
      <c r="AB92" s="638"/>
      <c r="AC92" s="638"/>
      <c r="AD92" s="638"/>
      <c r="AE92" s="638"/>
    </row>
    <row r="93" customFormat="false" ht="15.75" hidden="false" customHeight="false" outlineLevel="0" collapsed="false">
      <c r="A93" s="245"/>
      <c r="B93" s="738"/>
      <c r="C93" s="929" t="s">
        <v>2079</v>
      </c>
      <c r="D93" s="929"/>
      <c r="E93" s="929"/>
      <c r="F93" s="939" t="s">
        <v>2080</v>
      </c>
      <c r="G93" s="939"/>
      <c r="H93" s="939"/>
      <c r="I93" s="939"/>
      <c r="J93" s="44"/>
      <c r="K93" s="823"/>
      <c r="L93" s="823"/>
      <c r="M93" s="477"/>
      <c r="N93" s="477"/>
      <c r="O93" s="44"/>
      <c r="P93" s="44"/>
      <c r="Q93" s="44"/>
      <c r="R93" s="824"/>
      <c r="S93" s="638"/>
      <c r="T93" s="638"/>
      <c r="U93" s="638"/>
      <c r="V93" s="638"/>
      <c r="W93" s="638"/>
      <c r="X93" s="638"/>
      <c r="Y93" s="638"/>
      <c r="Z93" s="638"/>
      <c r="AA93" s="638"/>
      <c r="AB93" s="638"/>
      <c r="AC93" s="638"/>
      <c r="AD93" s="638"/>
      <c r="AE93" s="638"/>
    </row>
    <row r="94" customFormat="false" ht="15.75" hidden="false" customHeight="false" outlineLevel="0" collapsed="false">
      <c r="A94" s="44"/>
      <c r="B94" s="44"/>
      <c r="C94" s="44"/>
      <c r="D94" s="44"/>
      <c r="E94" s="44"/>
      <c r="F94" s="44"/>
      <c r="G94" s="44"/>
      <c r="H94" s="44"/>
      <c r="I94" s="44"/>
      <c r="J94" s="44"/>
      <c r="K94" s="823"/>
      <c r="L94" s="823"/>
      <c r="M94" s="477"/>
      <c r="N94" s="477"/>
      <c r="O94" s="44"/>
      <c r="P94" s="44"/>
      <c r="Q94" s="44"/>
      <c r="R94" s="824"/>
      <c r="S94" s="638"/>
      <c r="T94" s="638"/>
      <c r="U94" s="638"/>
      <c r="V94" s="638"/>
      <c r="W94" s="638"/>
      <c r="X94" s="638"/>
      <c r="Y94" s="638"/>
      <c r="Z94" s="638"/>
      <c r="AA94" s="638"/>
      <c r="AB94" s="638"/>
      <c r="AC94" s="638"/>
      <c r="AD94" s="638"/>
      <c r="AE94" s="638"/>
    </row>
    <row r="95" customFormat="false" ht="15.75" hidden="false" customHeight="false" outlineLevel="0" collapsed="false">
      <c r="A95" s="44"/>
      <c r="B95" s="44"/>
      <c r="C95" s="44"/>
      <c r="D95" s="44"/>
      <c r="E95" s="44"/>
      <c r="F95" s="44"/>
      <c r="G95" s="44"/>
      <c r="H95" s="44"/>
      <c r="I95" s="44"/>
      <c r="J95" s="93"/>
      <c r="K95" s="893"/>
      <c r="L95" s="893"/>
      <c r="M95" s="831"/>
      <c r="N95" s="831"/>
      <c r="O95" s="44"/>
      <c r="P95" s="44"/>
      <c r="Q95" s="44"/>
      <c r="R95" s="824"/>
      <c r="S95" s="638"/>
      <c r="T95" s="638"/>
      <c r="U95" s="638"/>
      <c r="V95" s="638"/>
      <c r="W95" s="638"/>
      <c r="X95" s="638"/>
      <c r="Y95" s="638"/>
      <c r="Z95" s="638"/>
      <c r="AA95" s="638"/>
      <c r="AB95" s="638"/>
      <c r="AC95" s="638"/>
      <c r="AD95" s="638"/>
      <c r="AE95" s="638"/>
    </row>
    <row r="96" customFormat="false" ht="15.75" hidden="false" customHeight="false" outlineLevel="0" collapsed="false">
      <c r="O96" s="44"/>
      <c r="P96" s="44"/>
      <c r="Q96" s="44"/>
      <c r="R96" s="824"/>
      <c r="S96" s="638"/>
      <c r="T96" s="638"/>
      <c r="U96" s="638"/>
      <c r="V96" s="638"/>
      <c r="W96" s="638"/>
      <c r="X96" s="638"/>
      <c r="Y96" s="638"/>
      <c r="Z96" s="638"/>
      <c r="AA96" s="638"/>
      <c r="AB96" s="638"/>
      <c r="AC96" s="638"/>
      <c r="AD96" s="638"/>
      <c r="AE96" s="638"/>
    </row>
    <row r="97" customFormat="false" ht="15.75" hidden="false" customHeight="false" outlineLevel="0" collapsed="false">
      <c r="A97" s="44"/>
      <c r="B97" s="44"/>
      <c r="C97" s="44"/>
      <c r="D97" s="44"/>
      <c r="E97" s="44"/>
      <c r="F97" s="44"/>
      <c r="G97" s="44"/>
      <c r="H97" s="44"/>
      <c r="I97" s="44"/>
      <c r="J97" s="44"/>
      <c r="K97" s="44"/>
      <c r="L97" s="44"/>
      <c r="M97" s="44"/>
      <c r="N97" s="44"/>
      <c r="O97" s="44"/>
      <c r="P97" s="44"/>
      <c r="Q97" s="44"/>
      <c r="R97" s="824"/>
      <c r="S97" s="638"/>
      <c r="T97" s="638"/>
      <c r="U97" s="638"/>
      <c r="V97" s="638"/>
      <c r="W97" s="638"/>
      <c r="X97" s="638"/>
      <c r="Y97" s="638"/>
      <c r="Z97" s="638"/>
      <c r="AA97" s="638"/>
      <c r="AB97" s="638"/>
      <c r="AC97" s="638"/>
      <c r="AD97" s="638"/>
      <c r="AE97" s="638"/>
    </row>
    <row r="98" customFormat="false" ht="15.75" hidden="false" customHeight="false" outlineLevel="0" collapsed="false">
      <c r="A98" s="44"/>
      <c r="B98" s="44"/>
      <c r="C98" s="44"/>
      <c r="D98" s="44"/>
      <c r="E98" s="44"/>
      <c r="F98" s="44"/>
      <c r="G98" s="44"/>
      <c r="H98" s="44"/>
      <c r="I98" s="44"/>
      <c r="J98" s="44"/>
      <c r="K98" s="44"/>
      <c r="L98" s="44"/>
      <c r="M98" s="44"/>
      <c r="N98" s="44"/>
      <c r="O98" s="44"/>
      <c r="P98" s="44"/>
      <c r="Q98" s="44"/>
      <c r="R98" s="824"/>
      <c r="S98" s="638"/>
      <c r="T98" s="638"/>
      <c r="U98" s="638"/>
      <c r="V98" s="638"/>
      <c r="W98" s="638"/>
      <c r="X98" s="638"/>
      <c r="Y98" s="638"/>
      <c r="Z98" s="638"/>
      <c r="AA98" s="638"/>
      <c r="AB98" s="638"/>
      <c r="AC98" s="638"/>
      <c r="AD98" s="638"/>
      <c r="AE98" s="638"/>
    </row>
    <row r="99" customFormat="false" ht="15.75" hidden="false" customHeight="false" outlineLevel="0" collapsed="false">
      <c r="A99" s="245"/>
      <c r="B99" s="245"/>
      <c r="C99" s="2"/>
      <c r="D99" s="2"/>
      <c r="E99" s="2"/>
      <c r="F99" s="2"/>
      <c r="G99" s="2"/>
      <c r="H99" s="2"/>
      <c r="I99" s="2"/>
      <c r="J99" s="93"/>
      <c r="K99" s="931"/>
      <c r="L99" s="931"/>
      <c r="M99" s="93"/>
      <c r="N99" s="931"/>
      <c r="O99" s="44"/>
      <c r="P99" s="44"/>
      <c r="Q99" s="44"/>
      <c r="R99" s="824"/>
      <c r="S99" s="638"/>
      <c r="T99" s="638"/>
      <c r="U99" s="638"/>
      <c r="V99" s="638"/>
      <c r="W99" s="638"/>
      <c r="X99" s="638"/>
      <c r="Y99" s="638"/>
      <c r="Z99" s="638"/>
      <c r="AA99" s="638"/>
      <c r="AB99" s="638"/>
      <c r="AC99" s="638"/>
      <c r="AD99" s="638"/>
      <c r="AE99" s="638"/>
    </row>
    <row r="100" customFormat="false" ht="15.75" hidden="false" customHeight="false" outlineLevel="0" collapsed="false">
      <c r="A100" s="245"/>
      <c r="B100" s="245"/>
      <c r="C100" s="931"/>
      <c r="D100" s="93"/>
      <c r="E100" s="931"/>
      <c r="F100" s="931"/>
      <c r="G100" s="93"/>
      <c r="H100" s="931"/>
      <c r="I100" s="931"/>
      <c r="J100" s="93"/>
      <c r="K100" s="931"/>
      <c r="L100" s="931"/>
      <c r="M100" s="93"/>
      <c r="N100" s="931"/>
      <c r="O100" s="44"/>
      <c r="P100" s="44"/>
      <c r="Q100" s="44"/>
      <c r="R100" s="824"/>
      <c r="S100" s="638"/>
      <c r="T100" s="638"/>
      <c r="U100" s="638"/>
      <c r="V100" s="638"/>
      <c r="W100" s="638"/>
      <c r="X100" s="638"/>
      <c r="Y100" s="638"/>
      <c r="Z100" s="638"/>
      <c r="AA100" s="638"/>
      <c r="AB100" s="638"/>
      <c r="AC100" s="638"/>
      <c r="AD100" s="638"/>
      <c r="AE100" s="638"/>
    </row>
  </sheetData>
  <mergeCells count="373">
    <mergeCell ref="A1:D8"/>
    <mergeCell ref="E1:F1"/>
    <mergeCell ref="G1:J1"/>
    <mergeCell ref="L1:N1"/>
    <mergeCell ref="R1:S1"/>
    <mergeCell ref="E2:F2"/>
    <mergeCell ref="G2:N2"/>
    <mergeCell ref="E3:F3"/>
    <mergeCell ref="G3:N3"/>
    <mergeCell ref="E4:F4"/>
    <mergeCell ref="G4:N4"/>
    <mergeCell ref="E5:F5"/>
    <mergeCell ref="G5:N5"/>
    <mergeCell ref="E6:F6"/>
    <mergeCell ref="G6:N6"/>
    <mergeCell ref="E7:F7"/>
    <mergeCell ref="G7:N7"/>
    <mergeCell ref="A9:D9"/>
    <mergeCell ref="I9:L9"/>
    <mergeCell ref="A10:B11"/>
    <mergeCell ref="C10:I10"/>
    <mergeCell ref="J10:M10"/>
    <mergeCell ref="J11:M11"/>
    <mergeCell ref="A12:B12"/>
    <mergeCell ref="J12:M12"/>
    <mergeCell ref="A13:B13"/>
    <mergeCell ref="J13:M13"/>
    <mergeCell ref="A14:B14"/>
    <mergeCell ref="J14:M14"/>
    <mergeCell ref="A15:B15"/>
    <mergeCell ref="A16:B16"/>
    <mergeCell ref="A17:B17"/>
    <mergeCell ref="A18:B18"/>
    <mergeCell ref="A19:B19"/>
    <mergeCell ref="R19:S19"/>
    <mergeCell ref="A20:B20"/>
    <mergeCell ref="A21:B21"/>
    <mergeCell ref="A22:B22"/>
    <mergeCell ref="A23:C23"/>
    <mergeCell ref="A27:C27"/>
    <mergeCell ref="D27:F27"/>
    <mergeCell ref="G27:H27"/>
    <mergeCell ref="J27:L27"/>
    <mergeCell ref="A28:C28"/>
    <mergeCell ref="D28:F28"/>
    <mergeCell ref="G28:H28"/>
    <mergeCell ref="J28:L28"/>
    <mergeCell ref="A29:C29"/>
    <mergeCell ref="D29:F29"/>
    <mergeCell ref="G29:H29"/>
    <mergeCell ref="J29:L29"/>
    <mergeCell ref="A30:C30"/>
    <mergeCell ref="D30:F30"/>
    <mergeCell ref="G30:H30"/>
    <mergeCell ref="J30:M30"/>
    <mergeCell ref="A32:C32"/>
    <mergeCell ref="D32:F32"/>
    <mergeCell ref="G32:H32"/>
    <mergeCell ref="I32:J32"/>
    <mergeCell ref="K32:N32"/>
    <mergeCell ref="A33:C33"/>
    <mergeCell ref="D33:F33"/>
    <mergeCell ref="G33:H33"/>
    <mergeCell ref="I33:J33"/>
    <mergeCell ref="K33:N33"/>
    <mergeCell ref="A34:C34"/>
    <mergeCell ref="D34:F34"/>
    <mergeCell ref="G34:H34"/>
    <mergeCell ref="I34:J34"/>
    <mergeCell ref="K34:N34"/>
    <mergeCell ref="A35:C35"/>
    <mergeCell ref="D35:F35"/>
    <mergeCell ref="G35:H35"/>
    <mergeCell ref="I35:J35"/>
    <mergeCell ref="K35:N35"/>
    <mergeCell ref="A36:C36"/>
    <mergeCell ref="D36:F36"/>
    <mergeCell ref="G36:H36"/>
    <mergeCell ref="I36:J36"/>
    <mergeCell ref="K36:N36"/>
    <mergeCell ref="A37:C37"/>
    <mergeCell ref="D37:F37"/>
    <mergeCell ref="G37:H37"/>
    <mergeCell ref="I37:J37"/>
    <mergeCell ref="K37:N37"/>
    <mergeCell ref="A38:C38"/>
    <mergeCell ref="D38:F38"/>
    <mergeCell ref="G38:H38"/>
    <mergeCell ref="I38:J38"/>
    <mergeCell ref="K38:N38"/>
    <mergeCell ref="A39:C39"/>
    <mergeCell ref="D39:F39"/>
    <mergeCell ref="G39:H39"/>
    <mergeCell ref="I39:J39"/>
    <mergeCell ref="K39:N39"/>
    <mergeCell ref="R39:S39"/>
    <mergeCell ref="A40:C40"/>
    <mergeCell ref="D40:F40"/>
    <mergeCell ref="G40:H40"/>
    <mergeCell ref="I40:J40"/>
    <mergeCell ref="K40:N40"/>
    <mergeCell ref="A41:C41"/>
    <mergeCell ref="D41:F41"/>
    <mergeCell ref="G41:H41"/>
    <mergeCell ref="I41:J41"/>
    <mergeCell ref="K41:N41"/>
    <mergeCell ref="A43:C43"/>
    <mergeCell ref="K43:L43"/>
    <mergeCell ref="M43:N43"/>
    <mergeCell ref="A44:C44"/>
    <mergeCell ref="K44:L44"/>
    <mergeCell ref="M44:N44"/>
    <mergeCell ref="A45:C45"/>
    <mergeCell ref="K45:L45"/>
    <mergeCell ref="M45:N45"/>
    <mergeCell ref="A46:C46"/>
    <mergeCell ref="K46:L46"/>
    <mergeCell ref="M46:N46"/>
    <mergeCell ref="A47:C47"/>
    <mergeCell ref="K47:L47"/>
    <mergeCell ref="M47:N47"/>
    <mergeCell ref="A48:C48"/>
    <mergeCell ref="K48:L48"/>
    <mergeCell ref="M48:N48"/>
    <mergeCell ref="A49:C49"/>
    <mergeCell ref="K49:L49"/>
    <mergeCell ref="M49:N49"/>
    <mergeCell ref="A50:C50"/>
    <mergeCell ref="K50:L50"/>
    <mergeCell ref="M50:N50"/>
    <mergeCell ref="A51:C51"/>
    <mergeCell ref="K51:L51"/>
    <mergeCell ref="M51:N51"/>
    <mergeCell ref="A52:C52"/>
    <mergeCell ref="K52:L52"/>
    <mergeCell ref="M52:N52"/>
    <mergeCell ref="A53:C53"/>
    <mergeCell ref="K53:L53"/>
    <mergeCell ref="M53:N53"/>
    <mergeCell ref="A54:C54"/>
    <mergeCell ref="K54:L54"/>
    <mergeCell ref="M54:N54"/>
    <mergeCell ref="Q54:S54"/>
    <mergeCell ref="T54:V54"/>
    <mergeCell ref="W54:X54"/>
    <mergeCell ref="Y54:Z54"/>
    <mergeCell ref="AA54:AD54"/>
    <mergeCell ref="A55:C55"/>
    <mergeCell ref="Q55:S55"/>
    <mergeCell ref="T55:V55"/>
    <mergeCell ref="W55:X55"/>
    <mergeCell ref="Y55:Z55"/>
    <mergeCell ref="AA55:AD55"/>
    <mergeCell ref="A56:C56"/>
    <mergeCell ref="Q56:S56"/>
    <mergeCell ref="T56:V56"/>
    <mergeCell ref="W56:X56"/>
    <mergeCell ref="Y56:Z56"/>
    <mergeCell ref="AA56:AD56"/>
    <mergeCell ref="Q57:S57"/>
    <mergeCell ref="T57:V57"/>
    <mergeCell ref="W57:X57"/>
    <mergeCell ref="Y57:Z57"/>
    <mergeCell ref="AA57:AD57"/>
    <mergeCell ref="A58:C58"/>
    <mergeCell ref="D58:I58"/>
    <mergeCell ref="K58:N58"/>
    <mergeCell ref="Q58:S58"/>
    <mergeCell ref="T58:V58"/>
    <mergeCell ref="W58:X58"/>
    <mergeCell ref="Y58:Z58"/>
    <mergeCell ref="AA58:AD58"/>
    <mergeCell ref="A59:C59"/>
    <mergeCell ref="D59:E59"/>
    <mergeCell ref="F59:G59"/>
    <mergeCell ref="H59:I59"/>
    <mergeCell ref="K59:L59"/>
    <mergeCell ref="M59:N59"/>
    <mergeCell ref="Q59:S59"/>
    <mergeCell ref="T59:V59"/>
    <mergeCell ref="W59:X59"/>
    <mergeCell ref="Y59:Z59"/>
    <mergeCell ref="AA59:AD59"/>
    <mergeCell ref="A60:C60"/>
    <mergeCell ref="D60:E60"/>
    <mergeCell ref="F60:G60"/>
    <mergeCell ref="H60:I60"/>
    <mergeCell ref="K60:L60"/>
    <mergeCell ref="M60:N60"/>
    <mergeCell ref="Q60:S60"/>
    <mergeCell ref="T60:V60"/>
    <mergeCell ref="W60:X60"/>
    <mergeCell ref="Y60:Z60"/>
    <mergeCell ref="AA60:AD60"/>
    <mergeCell ref="A61:C61"/>
    <mergeCell ref="D61:E61"/>
    <mergeCell ref="F61:G61"/>
    <mergeCell ref="H61:I61"/>
    <mergeCell ref="K61:L61"/>
    <mergeCell ref="M61:N61"/>
    <mergeCell ref="Q61:S61"/>
    <mergeCell ref="T61:V61"/>
    <mergeCell ref="W61:X61"/>
    <mergeCell ref="Y61:Z61"/>
    <mergeCell ref="AA61:AD61"/>
    <mergeCell ref="A62:C62"/>
    <mergeCell ref="D62:E62"/>
    <mergeCell ref="F62:G62"/>
    <mergeCell ref="H62:I62"/>
    <mergeCell ref="K62:L62"/>
    <mergeCell ref="M62:N62"/>
    <mergeCell ref="Q62:S62"/>
    <mergeCell ref="T62:V62"/>
    <mergeCell ref="W62:X62"/>
    <mergeCell ref="Y62:Z62"/>
    <mergeCell ref="AA62:AD62"/>
    <mergeCell ref="A63:C63"/>
    <mergeCell ref="D63:E63"/>
    <mergeCell ref="F63:G63"/>
    <mergeCell ref="H63:I63"/>
    <mergeCell ref="K63:L63"/>
    <mergeCell ref="M63:N63"/>
    <mergeCell ref="Q63:S63"/>
    <mergeCell ref="T63:V63"/>
    <mergeCell ref="W63:X63"/>
    <mergeCell ref="Y63:Z63"/>
    <mergeCell ref="AA63:AD63"/>
    <mergeCell ref="A64:C64"/>
    <mergeCell ref="D64:E64"/>
    <mergeCell ref="F64:G64"/>
    <mergeCell ref="H64:I64"/>
    <mergeCell ref="K64:L64"/>
    <mergeCell ref="M64:N64"/>
    <mergeCell ref="Q64:S64"/>
    <mergeCell ref="T64:V64"/>
    <mergeCell ref="W64:X64"/>
    <mergeCell ref="Y64:Z64"/>
    <mergeCell ref="AA64:AD64"/>
    <mergeCell ref="A65:C65"/>
    <mergeCell ref="D65:E65"/>
    <mergeCell ref="F65:G65"/>
    <mergeCell ref="H65:I65"/>
    <mergeCell ref="K65:L65"/>
    <mergeCell ref="M65:N65"/>
    <mergeCell ref="Q65:S65"/>
    <mergeCell ref="T65:V65"/>
    <mergeCell ref="W65:X65"/>
    <mergeCell ref="Y65:Z65"/>
    <mergeCell ref="AA65:AD65"/>
    <mergeCell ref="A66:C66"/>
    <mergeCell ref="D66:E66"/>
    <mergeCell ref="F66:G66"/>
    <mergeCell ref="H66:I66"/>
    <mergeCell ref="K66:L66"/>
    <mergeCell ref="M66:N66"/>
    <mergeCell ref="Q66:S66"/>
    <mergeCell ref="T66:V66"/>
    <mergeCell ref="W66:X66"/>
    <mergeCell ref="Y66:Z66"/>
    <mergeCell ref="AA66:AD66"/>
    <mergeCell ref="A67:C67"/>
    <mergeCell ref="D67:E67"/>
    <mergeCell ref="F67:G67"/>
    <mergeCell ref="H67:I67"/>
    <mergeCell ref="K67:L67"/>
    <mergeCell ref="M67:N67"/>
    <mergeCell ref="Q67:S67"/>
    <mergeCell ref="T67:V67"/>
    <mergeCell ref="W67:X67"/>
    <mergeCell ref="Y67:Z67"/>
    <mergeCell ref="AA67:AD67"/>
    <mergeCell ref="A68:C68"/>
    <mergeCell ref="D68:E68"/>
    <mergeCell ref="F68:G68"/>
    <mergeCell ref="H68:I68"/>
    <mergeCell ref="K68:L68"/>
    <mergeCell ref="M68:N68"/>
    <mergeCell ref="Q68:S68"/>
    <mergeCell ref="T68:V68"/>
    <mergeCell ref="W68:X68"/>
    <mergeCell ref="Y68:Z68"/>
    <mergeCell ref="AA68:AD68"/>
    <mergeCell ref="A69:C69"/>
    <mergeCell ref="D69:E69"/>
    <mergeCell ref="F69:G69"/>
    <mergeCell ref="H69:I69"/>
    <mergeCell ref="K69:L69"/>
    <mergeCell ref="M69:N69"/>
    <mergeCell ref="Q69:S69"/>
    <mergeCell ref="T69:V69"/>
    <mergeCell ref="W69:X69"/>
    <mergeCell ref="Y69:Z69"/>
    <mergeCell ref="AA69:AD69"/>
    <mergeCell ref="Q70:S70"/>
    <mergeCell ref="T70:V70"/>
    <mergeCell ref="W70:X70"/>
    <mergeCell ref="Y70:Z70"/>
    <mergeCell ref="AA70:AD70"/>
    <mergeCell ref="A71:B72"/>
    <mergeCell ref="C71:E71"/>
    <mergeCell ref="F71:I71"/>
    <mergeCell ref="K71:N71"/>
    <mergeCell ref="Q71:S71"/>
    <mergeCell ref="T71:V71"/>
    <mergeCell ref="W71:X71"/>
    <mergeCell ref="Y71:Z71"/>
    <mergeCell ref="AA71:AD71"/>
    <mergeCell ref="K72:L72"/>
    <mergeCell ref="M72:N72"/>
    <mergeCell ref="A73:B73"/>
    <mergeCell ref="K73:L73"/>
    <mergeCell ref="M73:N73"/>
    <mergeCell ref="A74:B74"/>
    <mergeCell ref="K74:L74"/>
    <mergeCell ref="M74:N74"/>
    <mergeCell ref="A75:B75"/>
    <mergeCell ref="K75:L75"/>
    <mergeCell ref="M75:N75"/>
    <mergeCell ref="A76:B76"/>
    <mergeCell ref="K76:L76"/>
    <mergeCell ref="M76:N76"/>
    <mergeCell ref="A77:B77"/>
    <mergeCell ref="K77:L77"/>
    <mergeCell ref="M77:N77"/>
    <mergeCell ref="A78:B78"/>
    <mergeCell ref="K78:L78"/>
    <mergeCell ref="M78:N78"/>
    <mergeCell ref="A79:B79"/>
    <mergeCell ref="K79:L79"/>
    <mergeCell ref="M79:N79"/>
    <mergeCell ref="A80:B80"/>
    <mergeCell ref="K80:L80"/>
    <mergeCell ref="M80:N80"/>
    <mergeCell ref="A81:B81"/>
    <mergeCell ref="K81:L81"/>
    <mergeCell ref="M81:N81"/>
    <mergeCell ref="A82:B82"/>
    <mergeCell ref="K82:L82"/>
    <mergeCell ref="M82:N82"/>
    <mergeCell ref="A83:B83"/>
    <mergeCell ref="A84:B84"/>
    <mergeCell ref="K84:N84"/>
    <mergeCell ref="A85:B85"/>
    <mergeCell ref="K85:L85"/>
    <mergeCell ref="M85:N85"/>
    <mergeCell ref="A86:B86"/>
    <mergeCell ref="K86:L86"/>
    <mergeCell ref="M86:N86"/>
    <mergeCell ref="A87:B87"/>
    <mergeCell ref="K87:L87"/>
    <mergeCell ref="M87:N87"/>
    <mergeCell ref="A88:B88"/>
    <mergeCell ref="K88:L88"/>
    <mergeCell ref="M88:N88"/>
    <mergeCell ref="A89:B89"/>
    <mergeCell ref="K89:L89"/>
    <mergeCell ref="M89:N89"/>
    <mergeCell ref="A90:B90"/>
    <mergeCell ref="K90:L90"/>
    <mergeCell ref="M90:N90"/>
    <mergeCell ref="A91:B91"/>
    <mergeCell ref="K91:L91"/>
    <mergeCell ref="M91:N91"/>
    <mergeCell ref="K92:L92"/>
    <mergeCell ref="M92:N92"/>
    <mergeCell ref="C93:E93"/>
    <mergeCell ref="F93:I93"/>
    <mergeCell ref="K93:L93"/>
    <mergeCell ref="M93:N93"/>
    <mergeCell ref="K94:L94"/>
    <mergeCell ref="M94:N94"/>
    <mergeCell ref="K95:L95"/>
    <mergeCell ref="M95:N95"/>
  </mergeCells>
  <conditionalFormatting sqref="J29:M30">
    <cfRule type="containsText" priority="2" aboveAverage="0" equalAverage="0" bottom="0" percent="0" rank="0" text="ERROR" dxfId="1"/>
  </conditionalFormatting>
  <conditionalFormatting sqref="N9">
    <cfRule type="notContainsText" priority="3" aboveAverage="0" equalAverage="0" bottom="0" percent="0" rank="0" text="OUT" dxfId="0"/>
  </conditionalFormatting>
  <conditionalFormatting sqref="N9">
    <cfRule type="containsText" priority="4" aboveAverage="0" equalAverage="0" bottom="0" percent="0" rank="0" text="OUT" dxfId="1"/>
  </conditionalFormatting>
  <conditionalFormatting sqref="N8">
    <cfRule type="containsText" priority="5" aboveAverage="0" equalAverage="0" bottom="0" percent="0" rank="0" text="Win" dxfId="3"/>
  </conditionalFormatting>
  <conditionalFormatting sqref="N8">
    <cfRule type="containsText" priority="6" aboveAverage="0" equalAverage="0" bottom="0" percent="0" rank="0" text="Lose" dxfId="4"/>
  </conditionalFormatting>
  <conditionalFormatting sqref="M27">
    <cfRule type="cellIs" priority="7" operator="lessThanOrEqual" aboveAverage="0" equalAverage="0" bottom="0" percent="0" rank="0" text="" dxfId="4">
      <formula>0</formula>
    </cfRule>
  </conditionalFormatting>
  <conditionalFormatting sqref="M27">
    <cfRule type="cellIs" priority="8" operator="greaterThan" aboveAverage="0" equalAverage="0" bottom="0" percent="0" rank="0" text="" dxfId="3">
      <formula>0</formula>
    </cfRule>
  </conditionalFormatting>
  <conditionalFormatting sqref="A12:I22,A44:N54,A59:I69">
    <cfRule type="expression" priority="9" aboveAverage="0" equalAverage="0" bottom="0" percent="0" rank="0" text="" dxfId="0">
      <formula>AND(NOT(ISBLANK($A:$A)),$A:$A=$J$11)</formula>
    </cfRule>
  </conditionalFormatting>
  <conditionalFormatting sqref="A12:I22,A44:N54,A59:I69">
    <cfRule type="expression" priority="10" aboveAverage="0" equalAverage="0" bottom="0" percent="0" rank="0" text="" dxfId="1">
      <formula>AND(NOT(ISBLANK($A:$A)),$A:$A=$J$13)</formula>
    </cfRule>
  </conditionalFormatting>
  <conditionalFormatting sqref="A12:I22,A44:N54,A59:I69">
    <cfRule type="expression" priority="11" aboveAverage="0" equalAverage="0" bottom="0" percent="0" rank="0" text="" dxfId="1">
      <formula>AND(NOT(ISBLANK($A:$A)),$A:$A=$J$14)</formula>
    </cfRule>
  </conditionalFormatting>
  <printOptions headings="false" gridLines="false" gridLinesSet="true" horizontalCentered="false" verticalCentered="false"/>
  <pageMargins left="0.747916666666667" right="0.747916666666667" top="0.984027777777778" bottom="0.984027777777778" header="0.511805555555555" footer="0.511805555555555"/>
  <pageSetup paperSize="1" scale="100" firstPageNumber="0" fitToWidth="1" fitToHeight="1" pageOrder="downThenOver" orientation="portrait" usePrinterDefaults="false" blackAndWhite="false" draft="false" cellComments="none" useFirstPageNumber="false" horizontalDpi="300" verticalDpi="300" copies="1"/>
  <headerFooter differentFirst="false" differentOddEven="false">
    <oddHeader/>
    <oddFooter/>
  </headerFooter>
  <drawing r:id="rId1"/>
</worksheet>
</file>

<file path=xl/worksheets/sheet18.xml><?xml version="1.0" encoding="utf-8"?>
<worksheet xmlns="http://schemas.openxmlformats.org/spreadsheetml/2006/main" xmlns:r="http://schemas.openxmlformats.org/officeDocument/2006/relationships">
  <sheetPr filterMode="false">
    <tabColor rgb="FF6D9EEB"/>
    <pageSetUpPr fitToPage="false"/>
  </sheetPr>
  <dimension ref="A1:AE100"/>
  <sheetViews>
    <sheetView windowProtection="false"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A1" activeCellId="0" sqref="A1"/>
    </sheetView>
  </sheetViews>
  <sheetFormatPr defaultRowHeight="15.75"/>
  <cols>
    <col collapsed="false" hidden="false" max="2" min="1" style="0" width="10.6632653061225"/>
    <col collapsed="false" hidden="false" max="14" min="3" style="0" width="7.1530612244898"/>
    <col collapsed="false" hidden="false" max="15" min="15" style="0" width="1.48469387755102"/>
    <col collapsed="false" hidden="true" max="31" min="16" style="0" width="0"/>
    <col collapsed="false" hidden="false" max="1025" min="32" style="0" width="14.1734693877551"/>
  </cols>
  <sheetData>
    <row r="1" customFormat="false" ht="15.75" hidden="false" customHeight="false" outlineLevel="0" collapsed="false">
      <c r="A1" s="765" t="s">
        <v>466</v>
      </c>
      <c r="B1" s="765"/>
      <c r="C1" s="765"/>
      <c r="D1" s="765"/>
      <c r="E1" s="766" t="s">
        <v>2038</v>
      </c>
      <c r="F1" s="766"/>
      <c r="G1" s="767" t="s">
        <v>2112</v>
      </c>
      <c r="H1" s="767"/>
      <c r="I1" s="767"/>
      <c r="J1" s="767"/>
      <c r="K1" s="768" t="s">
        <v>2040</v>
      </c>
      <c r="L1" s="769" t="s">
        <v>715</v>
      </c>
      <c r="M1" s="769"/>
      <c r="N1" s="769"/>
      <c r="O1" s="44"/>
      <c r="P1" s="44"/>
      <c r="Q1" s="770" t="e">
        <f aca="false">flg!$l$1</f>
        <v>#NAME?</v>
      </c>
      <c r="R1" s="341" t="s">
        <v>1681</v>
      </c>
      <c r="S1" s="341"/>
      <c r="T1" s="771"/>
      <c r="U1" s="771"/>
      <c r="V1" s="771"/>
      <c r="W1" s="771"/>
      <c r="X1" s="771"/>
      <c r="Y1" s="771"/>
      <c r="Z1" s="771"/>
      <c r="AA1" s="771"/>
      <c r="AB1" s="771"/>
      <c r="AC1" s="771"/>
      <c r="AD1" s="771"/>
      <c r="AE1" s="771"/>
    </row>
    <row r="2" customFormat="false" ht="15.75" hidden="false" customHeight="false" outlineLevel="0" collapsed="false">
      <c r="A2" s="765"/>
      <c r="B2" s="765"/>
      <c r="C2" s="765"/>
      <c r="D2" s="765"/>
      <c r="E2" s="772" t="s">
        <v>2041</v>
      </c>
      <c r="F2" s="772"/>
      <c r="G2" s="773" t="s">
        <v>2113</v>
      </c>
      <c r="H2" s="773"/>
      <c r="I2" s="773"/>
      <c r="J2" s="773"/>
      <c r="K2" s="773"/>
      <c r="L2" s="773"/>
      <c r="M2" s="773"/>
      <c r="N2" s="773"/>
      <c r="O2" s="44"/>
      <c r="P2" s="44"/>
      <c r="Q2" s="774" t="e">
        <f aca="false">fst!$l$1</f>
        <v>#NAME?</v>
      </c>
      <c r="R2" s="386" t="str">
        <f aca="false">IFERROR(__xludf.dummyfunction("{ if(isna(FILTER(MoveDex!$T:$T,MoveDex!$S:$S=$L$1)),,FILTER(MoveDex!$T:$T,MoveDex!$S:$S=$L$1)) ; if(isna(FILTER(MoveDex!$X:$X,MoveDex!$W:$W=$L$1)),,FILTER(MoveDex!$X:$X,MoveDex!$W:$W=$L$1)) ; if(isna(FILTER(MoveDex!$AB:$AB,MoveDex!$AA:$AA=$L$1)),,FILTER(M"&amp;"oveDex!$AB:$AB,MoveDex!$AA:$AA=$L$1)) ; if(isna(FILTER(MoveDex!$AF:$AF,MoveDex!$AE:$AE=$L$1)),,FILTER(MoveDex!$AF:$AF,MoveDex!$AE:$AE=$L$1)) }"),"Mamoswine")</f>
        <v>Mamoswine</v>
      </c>
      <c r="S2" s="386" t="str">
        <f aca="false">IFERROR(__xludf.dummyfunction("{ if(isna(FILTER(MoveDex!$U:$U,MoveDex!$S:$S=$L$1)),,FILTER(MoveDex!$U:$U,MoveDex!$S:$S=$L$1)) ; if(isna(FILTER(MoveDex!$Y:$Y,MoveDex!$W:$W=$L$1)),,FILTER(MoveDex!$Y:$Y,MoveDex!$W:$W=$L$1)) ; if(isna(FILTER(MoveDex!$AC:$AC,MoveDex!$AA:$AA=$L$1)),,FILTER(M"&amp;"oveDex!$AC:$AC,MoveDex!$AA:$AA=$L$1)) ; if(isna(FILTER(MoveDex!$AG:$AG,MoveDex!$AE:$AE=$L$1)),,FILTER(MoveDex!$AG:$AG,MoveDex!$AE:$AE=$L$1)) }"),"Stealth Rock")</f>
        <v>Stealth Rock</v>
      </c>
      <c r="T2" s="777"/>
      <c r="U2" s="777"/>
      <c r="V2" s="777"/>
      <c r="W2" s="777"/>
      <c r="X2" s="777"/>
      <c r="Y2" s="777"/>
      <c r="Z2" s="777"/>
      <c r="AA2" s="777"/>
      <c r="AB2" s="777"/>
      <c r="AC2" s="777"/>
      <c r="AD2" s="777"/>
      <c r="AE2" s="777"/>
    </row>
    <row r="3" customFormat="false" ht="15.75" hidden="false" customHeight="false" outlineLevel="0" collapsed="false">
      <c r="A3" s="765"/>
      <c r="B3" s="765"/>
      <c r="C3" s="765"/>
      <c r="D3" s="765"/>
      <c r="E3" s="772" t="s">
        <v>2043</v>
      </c>
      <c r="F3" s="772"/>
      <c r="G3" s="773" t="s">
        <v>93</v>
      </c>
      <c r="H3" s="773"/>
      <c r="I3" s="773"/>
      <c r="J3" s="773"/>
      <c r="K3" s="773"/>
      <c r="L3" s="773"/>
      <c r="M3" s="773"/>
      <c r="N3" s="773"/>
      <c r="O3" s="44"/>
      <c r="P3" s="44"/>
      <c r="Q3" s="774" t="e">
        <f aca="false">phi!$l$1</f>
        <v>#NAME?</v>
      </c>
      <c r="R3" s="778" t="s">
        <v>126</v>
      </c>
      <c r="S3" s="511" t="s">
        <v>1106</v>
      </c>
      <c r="T3" s="638"/>
      <c r="U3" s="638"/>
      <c r="V3" s="638"/>
      <c r="W3" s="638"/>
      <c r="X3" s="638"/>
      <c r="Y3" s="638"/>
      <c r="Z3" s="638"/>
      <c r="AA3" s="638"/>
      <c r="AB3" s="638"/>
      <c r="AC3" s="638"/>
      <c r="AD3" s="638"/>
      <c r="AE3" s="638"/>
    </row>
    <row r="4" customFormat="false" ht="15.75" hidden="false" customHeight="false" outlineLevel="0" collapsed="false">
      <c r="A4" s="765"/>
      <c r="B4" s="765"/>
      <c r="C4" s="765"/>
      <c r="D4" s="765"/>
      <c r="E4" s="772" t="s">
        <v>2044</v>
      </c>
      <c r="F4" s="772"/>
      <c r="G4" s="773" t="s">
        <v>2103</v>
      </c>
      <c r="H4" s="773"/>
      <c r="I4" s="773"/>
      <c r="J4" s="773"/>
      <c r="K4" s="773"/>
      <c r="L4" s="773"/>
      <c r="M4" s="773"/>
      <c r="N4" s="773"/>
      <c r="O4" s="44"/>
      <c r="P4" s="44"/>
      <c r="Q4" s="774" t="e">
        <f aca="false">stl!$l$1</f>
        <v>#NAME?</v>
      </c>
      <c r="R4" s="778"/>
      <c r="S4" s="511"/>
      <c r="T4" s="638"/>
      <c r="U4" s="638"/>
      <c r="V4" s="638"/>
      <c r="W4" s="638"/>
      <c r="X4" s="638"/>
      <c r="Y4" s="638"/>
      <c r="Z4" s="638"/>
      <c r="AA4" s="638"/>
      <c r="AB4" s="638"/>
      <c r="AC4" s="638"/>
      <c r="AD4" s="638"/>
      <c r="AE4" s="638"/>
    </row>
    <row r="5" customFormat="false" ht="15.75" hidden="false" customHeight="false" outlineLevel="0" collapsed="false">
      <c r="A5" s="765"/>
      <c r="B5" s="765"/>
      <c r="C5" s="765"/>
      <c r="D5" s="765"/>
      <c r="E5" s="772" t="s">
        <v>2046</v>
      </c>
      <c r="F5" s="772"/>
      <c r="G5" s="773" t="s">
        <v>2114</v>
      </c>
      <c r="H5" s="773"/>
      <c r="I5" s="773"/>
      <c r="J5" s="773"/>
      <c r="K5" s="773"/>
      <c r="L5" s="773"/>
      <c r="M5" s="773"/>
      <c r="N5" s="773"/>
      <c r="O5" s="44"/>
      <c r="P5" s="44"/>
      <c r="Q5" s="779" t="e">
        <f aca="false">bor!$l$1</f>
        <v>#NAME?</v>
      </c>
      <c r="R5" s="778"/>
      <c r="S5" s="511"/>
      <c r="T5" s="638"/>
      <c r="U5" s="638"/>
      <c r="V5" s="638"/>
      <c r="W5" s="638"/>
      <c r="X5" s="638"/>
      <c r="Y5" s="638"/>
      <c r="Z5" s="638"/>
      <c r="AA5" s="638"/>
      <c r="AB5" s="638"/>
      <c r="AC5" s="638"/>
      <c r="AD5" s="638"/>
      <c r="AE5" s="638"/>
    </row>
    <row r="6" customFormat="false" ht="15.75" hidden="false" customHeight="false" outlineLevel="0" collapsed="false">
      <c r="A6" s="765"/>
      <c r="B6" s="765"/>
      <c r="C6" s="765"/>
      <c r="D6" s="765"/>
      <c r="E6" s="772" t="s">
        <v>2048</v>
      </c>
      <c r="F6" s="772"/>
      <c r="G6" s="773" t="s">
        <v>2115</v>
      </c>
      <c r="H6" s="773"/>
      <c r="I6" s="773"/>
      <c r="J6" s="773"/>
      <c r="K6" s="773"/>
      <c r="L6" s="773"/>
      <c r="M6" s="773"/>
      <c r="N6" s="773"/>
      <c r="O6" s="44"/>
      <c r="P6" s="44"/>
      <c r="Q6" s="779" t="e">
        <f aca="false">pit!$l$1</f>
        <v>#NAME?</v>
      </c>
      <c r="R6" s="778" t="s">
        <v>93</v>
      </c>
      <c r="S6" s="511" t="s">
        <v>1109</v>
      </c>
      <c r="T6" s="638"/>
      <c r="U6" s="638"/>
      <c r="V6" s="638"/>
      <c r="W6" s="638"/>
      <c r="X6" s="638"/>
      <c r="Y6" s="638"/>
      <c r="Z6" s="638"/>
      <c r="AA6" s="638"/>
      <c r="AB6" s="638"/>
      <c r="AC6" s="638"/>
      <c r="AD6" s="638"/>
      <c r="AE6" s="638"/>
    </row>
    <row r="7" customFormat="false" ht="15.75" hidden="false" customHeight="false" outlineLevel="0" collapsed="false">
      <c r="A7" s="765"/>
      <c r="B7" s="765"/>
      <c r="C7" s="765"/>
      <c r="D7" s="765"/>
      <c r="E7" s="780" t="s">
        <v>2050</v>
      </c>
      <c r="F7" s="780"/>
      <c r="G7" s="781" t="s">
        <v>2116</v>
      </c>
      <c r="H7" s="781"/>
      <c r="I7" s="781"/>
      <c r="J7" s="781"/>
      <c r="K7" s="781"/>
      <c r="L7" s="781"/>
      <c r="M7" s="781"/>
      <c r="N7" s="781"/>
      <c r="O7" s="44"/>
      <c r="P7" s="44"/>
      <c r="Q7" s="779" t="e">
        <f aca="false">sfa!$l$1</f>
        <v>#NAME?</v>
      </c>
      <c r="R7" s="778"/>
      <c r="S7" s="511"/>
      <c r="T7" s="638"/>
      <c r="U7" s="638"/>
      <c r="V7" s="638"/>
      <c r="W7" s="638"/>
      <c r="X7" s="638"/>
      <c r="Y7" s="638"/>
      <c r="Z7" s="638"/>
      <c r="AA7" s="638"/>
      <c r="AB7" s="638"/>
      <c r="AC7" s="638"/>
      <c r="AD7" s="638"/>
      <c r="AE7" s="638"/>
    </row>
    <row r="8" customFormat="false" ht="15.75" hidden="false" customHeight="false" outlineLevel="0" collapsed="false">
      <c r="A8" s="765"/>
      <c r="B8" s="765"/>
      <c r="C8" s="765"/>
      <c r="D8" s="765"/>
      <c r="E8" s="782" t="s">
        <v>2051</v>
      </c>
      <c r="F8" s="783" t="n">
        <f aca="false">COUNTIF(MatchSource!X3:X19, "WIN")</f>
        <v>4</v>
      </c>
      <c r="G8" s="784" t="s">
        <v>2052</v>
      </c>
      <c r="H8" s="785" t="n">
        <f aca="false">COUNTIF(MatchSource!X3:X19, "LOSE")</f>
        <v>9</v>
      </c>
      <c r="I8" s="786" t="s">
        <v>2053</v>
      </c>
      <c r="J8" s="787" t="n">
        <f aca="false">MatchSource!X44</f>
        <v>-35</v>
      </c>
      <c r="K8" s="88" t="s">
        <v>2054</v>
      </c>
      <c r="L8" s="788" t="n">
        <f aca="false">COUNTIF(MatchSource!X3:X19, "DNP")</f>
        <v>4</v>
      </c>
      <c r="M8" s="562" t="s">
        <v>2055</v>
      </c>
      <c r="N8" s="789" t="str">
        <f aca="false">MatchSource!X23</f>
        <v>Win-1</v>
      </c>
      <c r="O8" s="44"/>
      <c r="P8" s="44"/>
      <c r="Q8" s="779" t="e">
        <f aca="false">tbl!$l$1</f>
        <v>#NAME?</v>
      </c>
      <c r="R8" s="790"/>
      <c r="S8" s="791"/>
      <c r="T8" s="792"/>
      <c r="U8" s="792"/>
      <c r="V8" s="792"/>
      <c r="W8" s="792"/>
      <c r="X8" s="792"/>
      <c r="Y8" s="792"/>
      <c r="Z8" s="792"/>
      <c r="AA8" s="792"/>
      <c r="AB8" s="792"/>
      <c r="AC8" s="792"/>
      <c r="AD8" s="792"/>
      <c r="AE8" s="792"/>
    </row>
    <row r="9" customFormat="false" ht="15.75" hidden="false" customHeight="false" outlineLevel="0" collapsed="false">
      <c r="A9" s="793" t="str">
        <f aca="false">$G$1</f>
        <v>Slung Patrol</v>
      </c>
      <c r="B9" s="793"/>
      <c r="C9" s="793"/>
      <c r="D9" s="793"/>
      <c r="E9" s="794" t="s">
        <v>171</v>
      </c>
      <c r="F9" s="795" t="n">
        <v>3</v>
      </c>
      <c r="G9" s="794" t="s">
        <v>172</v>
      </c>
      <c r="H9" s="795" t="n">
        <v>1</v>
      </c>
      <c r="I9" s="938" t="e">
        <f aca="false">CONCATENATE("Currently #",MATCH($G$1,Main!$A$8:$A$11,0)," in Showdown Conference")</f>
        <v>#N/A</v>
      </c>
      <c r="J9" s="938"/>
      <c r="K9" s="938"/>
      <c r="L9" s="938"/>
      <c r="M9" s="797" t="s">
        <v>2056</v>
      </c>
      <c r="N9" s="798" t="e">
        <f aca="false" t="array" ref="N9:N9">INDEX(Main!$L$3:$O$11,MATCH($G$1,Main!$M$3:$M$11,0),1)</f>
        <v>#N/A</v>
      </c>
      <c r="O9" s="44"/>
      <c r="P9" s="44"/>
      <c r="Q9" s="799" t="str">
        <f aca="false">BBG!$L$1</f>
        <v>BBG</v>
      </c>
      <c r="R9" s="790"/>
      <c r="S9" s="791"/>
      <c r="T9" s="792"/>
      <c r="U9" s="792"/>
      <c r="V9" s="792"/>
      <c r="W9" s="792"/>
      <c r="X9" s="792"/>
      <c r="Y9" s="792"/>
      <c r="Z9" s="792"/>
      <c r="AA9" s="792"/>
      <c r="AB9" s="792"/>
      <c r="AC9" s="792"/>
      <c r="AD9" s="792"/>
      <c r="AE9" s="792"/>
    </row>
    <row r="10" customFormat="false" ht="15.75" hidden="false" customHeight="false" outlineLevel="0" collapsed="false">
      <c r="A10" s="800" t="s">
        <v>2057</v>
      </c>
      <c r="B10" s="800"/>
      <c r="C10" s="801" t="s">
        <v>2058</v>
      </c>
      <c r="D10" s="801"/>
      <c r="E10" s="801"/>
      <c r="F10" s="801"/>
      <c r="G10" s="801"/>
      <c r="H10" s="801"/>
      <c r="I10" s="801"/>
      <c r="J10" s="802" t="s">
        <v>264</v>
      </c>
      <c r="K10" s="802"/>
      <c r="L10" s="802"/>
      <c r="M10" s="802"/>
      <c r="N10" s="44"/>
      <c r="O10" s="44"/>
      <c r="P10" s="44"/>
      <c r="Q10" s="799" t="str">
        <f aca="false">SEA!$L$1</f>
        <v>SEA</v>
      </c>
      <c r="R10" s="790"/>
      <c r="S10" s="791"/>
      <c r="T10" s="792"/>
      <c r="U10" s="792"/>
      <c r="V10" s="792"/>
      <c r="W10" s="792"/>
      <c r="X10" s="792"/>
      <c r="Y10" s="792"/>
      <c r="Z10" s="792"/>
      <c r="AA10" s="792"/>
      <c r="AB10" s="792"/>
      <c r="AC10" s="792"/>
      <c r="AD10" s="792"/>
    </row>
    <row r="11" customFormat="false" ht="15.75" hidden="false" customHeight="false" outlineLevel="0" collapsed="false">
      <c r="A11" s="800"/>
      <c r="B11" s="800"/>
      <c r="C11" s="803" t="s">
        <v>2059</v>
      </c>
      <c r="D11" s="804" t="s">
        <v>5</v>
      </c>
      <c r="E11" s="805" t="s">
        <v>6</v>
      </c>
      <c r="F11" s="806" t="s">
        <v>170</v>
      </c>
      <c r="G11" s="807" t="s">
        <v>191</v>
      </c>
      <c r="H11" s="808" t="s">
        <v>7</v>
      </c>
      <c r="I11" s="809" t="s">
        <v>2060</v>
      </c>
      <c r="J11" s="810" t="str">
        <f aca="false">DraftRosters!$U$16</f>
        <v>Politoed</v>
      </c>
      <c r="K11" s="810"/>
      <c r="L11" s="810"/>
      <c r="M11" s="810"/>
      <c r="N11" s="44"/>
      <c r="O11" s="44"/>
      <c r="P11" s="44"/>
      <c r="Q11" s="799" t="str">
        <f aca="false">JVJ!$L$1</f>
        <v>JVJ</v>
      </c>
      <c r="R11" s="790"/>
      <c r="S11" s="791"/>
      <c r="T11" s="792"/>
      <c r="U11" s="792"/>
      <c r="V11" s="792"/>
      <c r="W11" s="792"/>
      <c r="X11" s="792"/>
      <c r="Y11" s="792"/>
      <c r="Z11" s="792"/>
      <c r="AA11" s="792"/>
      <c r="AB11" s="792"/>
      <c r="AC11" s="792"/>
      <c r="AD11" s="792"/>
    </row>
    <row r="12" customFormat="false" ht="15.75" hidden="false" customHeight="false" outlineLevel="0" collapsed="false">
      <c r="A12" s="811" t="str">
        <f aca="false">IFERROR(__xludf.dummyfunction("if(isna(filter(DraftRosters!$U$4:$U$14,not(isblank(DraftRosters!$U$4:$U$14)))), ""NONE DRAFTED"", filter(DraftRosters!$U$4:$U$14,not(isblank(DraftRosters!$U$4:$U$14))))"),"Kartana")</f>
        <v>Kartana</v>
      </c>
      <c r="B12" s="811"/>
      <c r="C12" s="812" t="str">
        <f aca="false" t="array" ref="C12:C12">IF(ISNA(INDEX(Pokedex!J$2:J$610,MATCH($A12,Pokedex!$B$2:$B$610,0))),"-",INDEX(Pokedex!J$2:J$610,MATCH($A12,Pokedex!$B$2:$B$610,0)))</f>
        <v>Tier 1</v>
      </c>
      <c r="D12" s="813" t="n">
        <f aca="false" t="array" ref="D12:D12">IF(ISNA(INDEX(Pokedex!E$2:E$610,MATCH($A12,Pokedex!$B$2:$B$610,0))),"-",INDEX(Pokedex!E$2:E$610,MATCH($A12,Pokedex!$B$2:$B$610,0)))</f>
        <v>0</v>
      </c>
      <c r="E12" s="813" t="n">
        <f aca="false" t="array" ref="E12:E12">IF(ISNA(INDEX(Pokedex!F$2:F$610,MATCH($A12,Pokedex!$B$2:$B$610,0))),"-",INDEX(Pokedex!F$2:F$610,MATCH($A12,Pokedex!$B$2:$B$610,0)))</f>
        <v>0</v>
      </c>
      <c r="F12" s="814" t="e">
        <f aca="false" t="array" ref="F12:F12">IF(ISNA(INDEX(Pokedex!G$2:G$610,MATCH($A12,Pokedex!$B$2:$B$610,0))),"-",INDEX(Pokedex!G$2:G$610,MATCH($A12,Pokedex!$B$2:$B$610,0)))</f>
        <v>#NAME?</v>
      </c>
      <c r="G12" s="814" t="n">
        <f aca="false" t="array" ref="G12:G12">IF(ISNA(INDEX(Pokedex!H$2:H$610,MATCH($A12,Pokedex!$B$2:$B$610,0))),"-",INDEX(Pokedex!H$2:H$610,MATCH($A12,Pokedex!$B$2:$B$610,0)))</f>
        <v>3</v>
      </c>
      <c r="H12" s="813" t="n">
        <f aca="false" t="array" ref="H12:H12">IF(ISNA(INDEX(Pokedex!I$2:I$610,MATCH($A12,Pokedex!$B$2:$B$610,0))),"-",INDEX(Pokedex!I$2:I$610,MATCH($A12,Pokedex!$B$2:$B$610,0)))</f>
        <v>0</v>
      </c>
      <c r="I12" s="815" t="n">
        <f aca="false" t="array" ref="I12:I12">IF(ISNA(INDEX(ExpandedStats!$A$3:$A$240,MATCH($A12,ExpandedStats!$C$3:$C$240,0))),"-",INDEX(ExpandedStats!$A$3:$A$240,MATCH($A12,ExpandedStats!$C$3:$C$240,0)))</f>
        <v>57</v>
      </c>
      <c r="J12" s="816" t="s">
        <v>2061</v>
      </c>
      <c r="K12" s="816"/>
      <c r="L12" s="816"/>
      <c r="M12" s="816"/>
      <c r="N12" s="44"/>
      <c r="O12" s="44"/>
      <c r="P12" s="44"/>
      <c r="Q12" s="799" t="str">
        <f aca="false">KKS!$L$1</f>
        <v>KKS</v>
      </c>
      <c r="R12" s="790"/>
      <c r="S12" s="791"/>
      <c r="T12" s="792"/>
      <c r="U12" s="792"/>
      <c r="V12" s="792"/>
      <c r="W12" s="792"/>
      <c r="X12" s="792"/>
      <c r="Y12" s="792"/>
      <c r="Z12" s="792"/>
      <c r="AA12" s="792"/>
      <c r="AB12" s="792"/>
      <c r="AC12" s="792"/>
      <c r="AD12" s="792"/>
    </row>
    <row r="13" customFormat="false" ht="15.75" hidden="false" customHeight="false" outlineLevel="0" collapsed="false">
      <c r="A13" s="817" t="s">
        <v>75</v>
      </c>
      <c r="B13" s="817"/>
      <c r="C13" s="818" t="str">
        <f aca="false" t="array" ref="C13:C13">IF(ISNA(INDEX(Pokedex!J$2:J$610,MATCH($A13,Pokedex!$B$2:$B$610,0))),"-",INDEX(Pokedex!J$2:J$610,MATCH($A13,Pokedex!$B$2:$B$610,0)))</f>
        <v>Tier 2</v>
      </c>
      <c r="D13" s="50" t="n">
        <f aca="false" t="array" ref="D13:D13">IF(ISNA(INDEX(Pokedex!E$2:E$610,MATCH($A13,Pokedex!$B$2:$B$610,0))),"-",INDEX(Pokedex!E$2:E$610,MATCH($A13,Pokedex!$B$2:$B$610,0)))</f>
        <v>0</v>
      </c>
      <c r="E13" s="50" t="n">
        <f aca="false" t="array" ref="E13:E13">IF(ISNA(INDEX(Pokedex!F$2:F$610,MATCH($A13,Pokedex!$B$2:$B$610,0))),"-",INDEX(Pokedex!F$2:F$610,MATCH($A13,Pokedex!$B$2:$B$610,0)))</f>
        <v>0</v>
      </c>
      <c r="F13" s="469" t="e">
        <f aca="false" t="array" ref="F13:F13">IF(ISNA(INDEX(Pokedex!G$2:G$610,MATCH($A13,Pokedex!$B$2:$B$610,0))),"-",INDEX(Pokedex!G$2:G$610,MATCH($A13,Pokedex!$B$2:$B$610,0)))</f>
        <v>#NAME?</v>
      </c>
      <c r="G13" s="50" t="n">
        <f aca="false" t="array" ref="G13:G13">IF(ISNA(INDEX(Pokedex!H$2:H$610,MATCH($A13,Pokedex!$B$2:$B$610,0))),"-",INDEX(Pokedex!H$2:H$610,MATCH($A13,Pokedex!$B$2:$B$610,0)))</f>
        <v>6</v>
      </c>
      <c r="H13" s="477" t="n">
        <f aca="false" t="array" ref="H13:H13">IF(ISNA(INDEX(Pokedex!I$2:I$610,MATCH($A13,Pokedex!$B$2:$B$610,0))),"-",INDEX(Pokedex!I$2:I$610,MATCH($A13,Pokedex!$B$2:$B$610,0)))</f>
        <v>0</v>
      </c>
      <c r="I13" s="477" t="n">
        <f aca="false" t="array" ref="I13:I13">IF(ISNA(INDEX(ExpandedStats!$A$3:$A$240,MATCH($A13,ExpandedStats!$C$3:$C$240,0))),"-",INDEX(ExpandedStats!$A$3:$A$240,MATCH($A13,ExpandedStats!$C$3:$C$240,0)))</f>
        <v>33</v>
      </c>
      <c r="J13" s="819" t="str">
        <f aca="false">DraftRosters!$U$18</f>
        <v>Dhelmise</v>
      </c>
      <c r="K13" s="819"/>
      <c r="L13" s="819"/>
      <c r="M13" s="819"/>
      <c r="N13" s="44"/>
      <c r="O13" s="44"/>
      <c r="P13" s="44"/>
      <c r="Q13" s="83" t="str">
        <f aca="false">LVC!$L$1</f>
        <v>LVC</v>
      </c>
      <c r="R13" s="820"/>
      <c r="S13" s="821"/>
      <c r="T13" s="792"/>
      <c r="U13" s="792"/>
      <c r="V13" s="792"/>
      <c r="W13" s="792"/>
      <c r="X13" s="792"/>
      <c r="Y13" s="792"/>
      <c r="Z13" s="792"/>
      <c r="AA13" s="792"/>
      <c r="AB13" s="792"/>
      <c r="AC13" s="792"/>
      <c r="AD13" s="792"/>
    </row>
    <row r="14" customFormat="false" ht="15.75" hidden="false" customHeight="false" outlineLevel="0" collapsed="false">
      <c r="A14" s="817" t="s">
        <v>73</v>
      </c>
      <c r="B14" s="817"/>
      <c r="C14" s="818" t="str">
        <f aca="false" t="array" ref="C14:C14">IF(ISNA(INDEX(Pokedex!J$2:J$610,MATCH($A14,Pokedex!$B$2:$B$610,0))),"-",INDEX(Pokedex!J$2:J$610,MATCH($A14,Pokedex!$B$2:$B$610,0)))</f>
        <v>Tier 3</v>
      </c>
      <c r="D14" s="51" t="n">
        <f aca="false" t="array" ref="D14:D14">IF(ISNA(INDEX(Pokedex!E$2:E$610,MATCH($A14,Pokedex!$B$2:$B$610,0))),"-",INDEX(Pokedex!E$2:E$610,MATCH($A14,Pokedex!$B$2:$B$610,0)))</f>
        <v>0</v>
      </c>
      <c r="E14" s="50" t="n">
        <f aca="false" t="array" ref="E14:E14">IF(ISNA(INDEX(Pokedex!F$2:F$610,MATCH($A14,Pokedex!$B$2:$B$610,0))),"-",INDEX(Pokedex!F$2:F$610,MATCH($A14,Pokedex!$B$2:$B$610,0)))</f>
        <v>0</v>
      </c>
      <c r="F14" s="469" t="e">
        <f aca="false" t="array" ref="F14:F14">IF(ISNA(INDEX(Pokedex!G$2:G$610,MATCH($A14,Pokedex!$B$2:$B$610,0))),"-",INDEX(Pokedex!G$2:G$610,MATCH($A14,Pokedex!$B$2:$B$610,0)))</f>
        <v>#NAME?</v>
      </c>
      <c r="G14" s="50" t="n">
        <f aca="false" t="array" ref="G14:G14">IF(ISNA(INDEX(Pokedex!H$2:H$610,MATCH($A14,Pokedex!$B$2:$B$610,0))),"-",INDEX(Pokedex!H$2:H$610,MATCH($A14,Pokedex!$B$2:$B$610,0)))</f>
        <v>4</v>
      </c>
      <c r="H14" s="477" t="n">
        <f aca="false" t="array" ref="H14:H14">IF(ISNA(INDEX(Pokedex!I$2:I$610,MATCH($A14,Pokedex!$B$2:$B$610,0))),"-",INDEX(Pokedex!I$2:I$610,MATCH($A14,Pokedex!$B$2:$B$610,0)))</f>
        <v>0</v>
      </c>
      <c r="I14" s="727" t="n">
        <f aca="false" t="array" ref="I14:I14">IF(ISNA(INDEX(ExpandedStats!$A$3:$A$240,MATCH($A14,ExpandedStats!$C$3:$C$240,0))),"-",INDEX(ExpandedStats!$A$3:$A$240,MATCH($A14,ExpandedStats!$C$3:$C$240,0)))</f>
        <v>46</v>
      </c>
      <c r="J14" s="810" t="str">
        <f aca="false">DraftRosters!$U$19</f>
        <v>Goodra</v>
      </c>
      <c r="K14" s="810"/>
      <c r="L14" s="810"/>
      <c r="M14" s="810"/>
      <c r="N14" s="44"/>
      <c r="O14" s="44"/>
      <c r="P14" s="44"/>
      <c r="Q14" s="331" t="str">
        <f aca="false">BTB!$L$1</f>
        <v>BTB</v>
      </c>
      <c r="R14" s="822"/>
      <c r="S14" s="792"/>
      <c r="T14" s="792"/>
      <c r="U14" s="792"/>
      <c r="V14" s="792"/>
      <c r="W14" s="792"/>
      <c r="X14" s="792"/>
      <c r="Y14" s="792"/>
      <c r="Z14" s="792"/>
      <c r="AA14" s="792"/>
      <c r="AB14" s="792"/>
      <c r="AC14" s="792"/>
      <c r="AD14" s="792"/>
    </row>
    <row r="15" customFormat="false" ht="15.75" hidden="false" customHeight="false" outlineLevel="0" collapsed="false">
      <c r="A15" s="817" t="s">
        <v>97</v>
      </c>
      <c r="B15" s="817"/>
      <c r="C15" s="818" t="str">
        <f aca="false" t="array" ref="C15:C15">IF(ISNA(INDEX(Pokedex!J$2:J$610,MATCH($A15,Pokedex!$B$2:$B$610,0))),"-",INDEX(Pokedex!J$2:J$610,MATCH($A15,Pokedex!$B$2:$B$610,0)))</f>
        <v>Tier 3</v>
      </c>
      <c r="D15" s="50" t="n">
        <f aca="false" t="array" ref="D15:D15">IF(ISNA(INDEX(Pokedex!E$2:E$610,MATCH($A15,Pokedex!$B$2:$B$610,0))),"-",INDEX(Pokedex!E$2:E$610,MATCH($A15,Pokedex!$B$2:$B$610,0)))</f>
        <v>0</v>
      </c>
      <c r="E15" s="50" t="n">
        <f aca="false" t="array" ref="E15:E15">IF(ISNA(INDEX(Pokedex!F$2:F$610,MATCH($A15,Pokedex!$B$2:$B$610,0))),"-",INDEX(Pokedex!F$2:F$610,MATCH($A15,Pokedex!$B$2:$B$610,0)))</f>
        <v>0</v>
      </c>
      <c r="F15" s="469" t="e">
        <f aca="false" t="array" ref="F15:F15">IF(ISNA(INDEX(Pokedex!G$2:G$610,MATCH($A15,Pokedex!$B$2:$B$610,0))),"-",INDEX(Pokedex!G$2:G$610,MATCH($A15,Pokedex!$B$2:$B$610,0)))</f>
        <v>#NAME?</v>
      </c>
      <c r="G15" s="50" t="n">
        <f aca="false" t="array" ref="G15:G15">IF(ISNA(INDEX(Pokedex!H$2:H$610,MATCH($A15,Pokedex!$B$2:$B$610,0))),"-",INDEX(Pokedex!H$2:H$610,MATCH($A15,Pokedex!$B$2:$B$610,0)))</f>
        <v>7</v>
      </c>
      <c r="H15" s="477" t="n">
        <f aca="false" t="array" ref="H15:H15">IF(ISNA(INDEX(Pokedex!I$2:I$610,MATCH($A15,Pokedex!$B$2:$B$610,0))),"-",INDEX(Pokedex!I$2:I$610,MATCH($A15,Pokedex!$B$2:$B$610,0)))</f>
        <v>0</v>
      </c>
      <c r="I15" s="50" t="n">
        <f aca="false" t="array" ref="I15:I15">IF(ISNA(INDEX(ExpandedStats!$A$3:$A$240,MATCH($A15,ExpandedStats!$C$3:$C$240,0))),"-",INDEX(ExpandedStats!$A$3:$A$240,MATCH($A15,ExpandedStats!$C$3:$C$240,0)))</f>
        <v>61</v>
      </c>
      <c r="J15" s="823"/>
      <c r="K15" s="111"/>
      <c r="L15" s="111"/>
      <c r="M15" s="111"/>
      <c r="N15" s="44"/>
      <c r="O15" s="44"/>
      <c r="P15" s="44"/>
      <c r="Q15" s="331" t="str">
        <f aca="false">SGP!$L$1</f>
        <v>SGP</v>
      </c>
      <c r="R15" s="822"/>
      <c r="S15" s="792"/>
      <c r="T15" s="792"/>
      <c r="U15" s="792"/>
      <c r="V15" s="792"/>
      <c r="W15" s="792"/>
      <c r="X15" s="792"/>
      <c r="Y15" s="792"/>
      <c r="Z15" s="792"/>
      <c r="AA15" s="792"/>
      <c r="AB15" s="792"/>
      <c r="AC15" s="792"/>
      <c r="AD15" s="792"/>
    </row>
    <row r="16" customFormat="false" ht="15.75" hidden="false" customHeight="false" outlineLevel="0" collapsed="false">
      <c r="A16" s="817" t="s">
        <v>93</v>
      </c>
      <c r="B16" s="817"/>
      <c r="C16" s="818" t="str">
        <f aca="false" t="array" ref="C16:C16">IF(ISNA(INDEX(Pokedex!J$2:J$610,MATCH($A16,Pokedex!$B$2:$B$610,0))),"-",INDEX(Pokedex!J$2:J$610,MATCH($A16,Pokedex!$B$2:$B$610,0)))</f>
        <v>Tier 4</v>
      </c>
      <c r="D16" s="51" t="n">
        <f aca="false" t="array" ref="D16:D16">IF(ISNA(INDEX(Pokedex!E$2:E$610,MATCH($A16,Pokedex!$B$2:$B$610,0))),"-",INDEX(Pokedex!E$2:E$610,MATCH($A16,Pokedex!$B$2:$B$610,0)))</f>
        <v>0</v>
      </c>
      <c r="E16" s="50" t="n">
        <f aca="false" t="array" ref="E16:E16">IF(ISNA(INDEX(Pokedex!F$2:F$610,MATCH($A16,Pokedex!$B$2:$B$610,0))),"-",INDEX(Pokedex!F$2:F$610,MATCH($A16,Pokedex!$B$2:$B$610,0)))</f>
        <v>0</v>
      </c>
      <c r="F16" s="469" t="e">
        <f aca="false" t="array" ref="F16:F16">IF(ISNA(INDEX(Pokedex!G$2:G$610,MATCH($A16,Pokedex!$B$2:$B$610,0))),"-",INDEX(Pokedex!G$2:G$610,MATCH($A16,Pokedex!$B$2:$B$610,0)))</f>
        <v>#NAME?</v>
      </c>
      <c r="G16" s="50" t="n">
        <f aca="false" t="array" ref="G16:G16">IF(ISNA(INDEX(Pokedex!H$2:H$610,MATCH($A16,Pokedex!$B$2:$B$610,0))),"-",INDEX(Pokedex!H$2:H$610,MATCH($A16,Pokedex!$B$2:$B$610,0)))</f>
        <v>8</v>
      </c>
      <c r="H16" s="477" t="n">
        <f aca="false" t="array" ref="H16:H16">IF(ISNA(INDEX(Pokedex!I$2:I$610,MATCH($A16,Pokedex!$B$2:$B$610,0))),"-",INDEX(Pokedex!I$2:I$610,MATCH($A16,Pokedex!$B$2:$B$610,0)))</f>
        <v>0</v>
      </c>
      <c r="I16" s="51" t="n">
        <f aca="false" t="array" ref="I16:I16">IF(ISNA(INDEX(ExpandedStats!$A$3:$A$240,MATCH($A16,ExpandedStats!$C$3:$C$240,0))),"-",INDEX(ExpandedStats!$A$3:$A$240,MATCH($A16,ExpandedStats!$C$3:$C$240,0)))</f>
        <v>50</v>
      </c>
      <c r="J16" s="823"/>
      <c r="K16" s="111"/>
      <c r="L16" s="111"/>
      <c r="M16" s="111"/>
      <c r="N16" s="44"/>
      <c r="O16" s="44"/>
      <c r="P16" s="44"/>
      <c r="Q16" s="340" t="str">
        <f aca="false">FTT!$L$1</f>
        <v>FTT</v>
      </c>
      <c r="R16" s="822"/>
      <c r="S16" s="792"/>
      <c r="T16" s="792"/>
      <c r="U16" s="792"/>
      <c r="V16" s="792"/>
      <c r="W16" s="792"/>
      <c r="X16" s="792"/>
      <c r="Y16" s="792"/>
      <c r="Z16" s="792"/>
      <c r="AA16" s="792"/>
      <c r="AB16" s="792"/>
      <c r="AC16" s="792"/>
      <c r="AD16" s="792"/>
    </row>
    <row r="17" customFormat="false" ht="15.75" hidden="false" customHeight="false" outlineLevel="0" collapsed="false">
      <c r="A17" s="817" t="s">
        <v>114</v>
      </c>
      <c r="B17" s="817"/>
      <c r="C17" s="818" t="str">
        <f aca="false" t="array" ref="C17:C17">IF(ISNA(INDEX(Pokedex!J$2:J$610,MATCH($A17,Pokedex!$B$2:$B$610,0))),"-",INDEX(Pokedex!J$2:J$610,MATCH($A17,Pokedex!$B$2:$B$610,0)))</f>
        <v>Tier 5</v>
      </c>
      <c r="D17" s="50" t="n">
        <f aca="false" t="array" ref="D17:D17">IF(ISNA(INDEX(Pokedex!E$2:E$610,MATCH($A17,Pokedex!$B$2:$B$610,0))),"-",INDEX(Pokedex!E$2:E$610,MATCH($A17,Pokedex!$B$2:$B$610,0)))</f>
        <v>0</v>
      </c>
      <c r="E17" s="50" t="n">
        <f aca="false" t="array" ref="E17:E17">IF(ISNA(INDEX(Pokedex!F$2:F$610,MATCH($A17,Pokedex!$B$2:$B$610,0))),"-",INDEX(Pokedex!F$2:F$610,MATCH($A17,Pokedex!$B$2:$B$610,0)))</f>
        <v>0</v>
      </c>
      <c r="F17" s="469" t="e">
        <f aca="false" t="array" ref="F17:F17">IF(ISNA(INDEX(Pokedex!G$2:G$610,MATCH($A17,Pokedex!$B$2:$B$610,0))),"-",INDEX(Pokedex!G$2:G$610,MATCH($A17,Pokedex!$B$2:$B$610,0)))</f>
        <v>#NAME?</v>
      </c>
      <c r="G17" s="50" t="n">
        <f aca="false" t="array" ref="G17:G17">IF(ISNA(INDEX(Pokedex!H$2:H$610,MATCH($A17,Pokedex!$B$2:$B$610,0))),"-",INDEX(Pokedex!H$2:H$610,MATCH($A17,Pokedex!$B$2:$B$610,0)))</f>
        <v>3</v>
      </c>
      <c r="H17" s="477" t="n">
        <f aca="false" t="array" ref="H17:H17">IF(ISNA(INDEX(Pokedex!I$2:I$610,MATCH($A17,Pokedex!$B$2:$B$610,0))),"-",INDEX(Pokedex!I$2:I$610,MATCH($A17,Pokedex!$B$2:$B$610,0)))</f>
        <v>0</v>
      </c>
      <c r="I17" s="50" t="n">
        <f aca="false" t="array" ref="I17:I17">IF(ISNA(INDEX(ExpandedStats!$A$3:$A$240,MATCH($A17,ExpandedStats!$C$3:$C$240,0))),"-",INDEX(ExpandedStats!$A$3:$A$240,MATCH($A17,ExpandedStats!$C$3:$C$240,0)))</f>
        <v>34</v>
      </c>
      <c r="J17" s="823"/>
      <c r="K17" s="111"/>
      <c r="L17" s="111"/>
      <c r="M17" s="111"/>
      <c r="N17" s="44"/>
      <c r="O17" s="44"/>
      <c r="P17" s="44"/>
      <c r="Q17" s="93"/>
      <c r="R17" s="824"/>
      <c r="S17" s="638"/>
      <c r="T17" s="638"/>
      <c r="U17" s="638"/>
      <c r="V17" s="638"/>
      <c r="W17" s="638"/>
      <c r="X17" s="638"/>
      <c r="Y17" s="638"/>
      <c r="Z17" s="638"/>
      <c r="AA17" s="638"/>
      <c r="AB17" s="638"/>
      <c r="AC17" s="638"/>
      <c r="AD17" s="638"/>
    </row>
    <row r="18" customFormat="false" ht="15.75" hidden="false" customHeight="false" outlineLevel="0" collapsed="false">
      <c r="A18" s="817" t="s">
        <v>79</v>
      </c>
      <c r="B18" s="817"/>
      <c r="C18" s="818" t="str">
        <f aca="false" t="array" ref="C18:C18">IF(ISNA(INDEX(Pokedex!J$2:J$610,MATCH($A18,Pokedex!$B$2:$B$610,0))),"-",INDEX(Pokedex!J$2:J$610,MATCH($A18,Pokedex!$B$2:$B$610,0)))</f>
        <v>M1</v>
      </c>
      <c r="D18" s="51" t="n">
        <f aca="false" t="array" ref="D18:D18">IF(ISNA(INDEX(Pokedex!E$2:E$610,MATCH($A18,Pokedex!$B$2:$B$610,0))),"-",INDEX(Pokedex!E$2:E$610,MATCH($A18,Pokedex!$B$2:$B$610,0)))</f>
        <v>0</v>
      </c>
      <c r="E18" s="50" t="n">
        <f aca="false" t="array" ref="E18:E18">IF(ISNA(INDEX(Pokedex!F$2:F$610,MATCH($A18,Pokedex!$B$2:$B$610,0))),"-",INDEX(Pokedex!F$2:F$610,MATCH($A18,Pokedex!$B$2:$B$610,0)))</f>
        <v>0</v>
      </c>
      <c r="F18" s="469" t="e">
        <f aca="false" t="array" ref="F18:F18">IF(ISNA(INDEX(Pokedex!G$2:G$610,MATCH($A18,Pokedex!$B$2:$B$610,0))),"-",INDEX(Pokedex!G$2:G$610,MATCH($A18,Pokedex!$B$2:$B$610,0)))</f>
        <v>#NAME?</v>
      </c>
      <c r="G18" s="50" t="n">
        <f aca="false" t="array" ref="G18:G18">IF(ISNA(INDEX(Pokedex!H$2:H$610,MATCH($A18,Pokedex!$B$2:$B$610,0))),"-",INDEX(Pokedex!H$2:H$610,MATCH($A18,Pokedex!$B$2:$B$610,0)))</f>
        <v>1</v>
      </c>
      <c r="H18" s="477" t="n">
        <f aca="false" t="array" ref="H18:H18">IF(ISNA(INDEX(Pokedex!I$2:I$610,MATCH($A18,Pokedex!$B$2:$B$610,0))),"-",INDEX(Pokedex!I$2:I$610,MATCH($A18,Pokedex!$B$2:$B$610,0)))</f>
        <v>0</v>
      </c>
      <c r="I18" s="51" t="n">
        <f aca="false" t="array" ref="I18:I18">IF(ISNA(INDEX(ExpandedStats!$A$3:$A$240,MATCH($A18,ExpandedStats!$C$3:$C$240,0))),"-",INDEX(ExpandedStats!$A$3:$A$240,MATCH($A18,ExpandedStats!$C$3:$C$240,0)))</f>
        <v>67</v>
      </c>
      <c r="J18" s="823"/>
      <c r="K18" s="111"/>
      <c r="L18" s="111"/>
      <c r="M18" s="111"/>
      <c r="N18" s="44"/>
      <c r="O18" s="44"/>
      <c r="P18" s="44"/>
      <c r="Q18" s="93"/>
      <c r="T18" s="825"/>
      <c r="U18" s="825"/>
      <c r="V18" s="825"/>
      <c r="W18" s="825"/>
      <c r="X18" s="825"/>
      <c r="Y18" s="825"/>
      <c r="Z18" s="825"/>
      <c r="AA18" s="825"/>
      <c r="AB18" s="825"/>
      <c r="AC18" s="825"/>
      <c r="AD18" s="825"/>
    </row>
    <row r="19" customFormat="false" ht="15.75" hidden="false" customHeight="false" outlineLevel="0" collapsed="false">
      <c r="A19" s="817" t="s">
        <v>81</v>
      </c>
      <c r="B19" s="817"/>
      <c r="C19" s="818" t="str">
        <f aca="false" t="array" ref="C19:C19">IF(ISNA(INDEX(Pokedex!J$2:J$610,MATCH($A19,Pokedex!$B$2:$B$610,0))),"-",INDEX(Pokedex!J$2:J$610,MATCH($A19,Pokedex!$B$2:$B$610,0)))</f>
        <v>Tier 3</v>
      </c>
      <c r="D19" s="50" t="n">
        <f aca="false" t="array" ref="D19:D19">IF(ISNA(INDEX(Pokedex!E$2:E$610,MATCH($A19,Pokedex!$B$2:$B$610,0))),"-",INDEX(Pokedex!E$2:E$610,MATCH($A19,Pokedex!$B$2:$B$610,0)))</f>
        <v>0</v>
      </c>
      <c r="E19" s="50" t="n">
        <f aca="false" t="array" ref="E19:E19">IF(ISNA(INDEX(Pokedex!F$2:F$610,MATCH($A19,Pokedex!$B$2:$B$610,0))),"-",INDEX(Pokedex!F$2:F$610,MATCH($A19,Pokedex!$B$2:$B$610,0)))</f>
        <v>0</v>
      </c>
      <c r="F19" s="469" t="e">
        <f aca="false" t="array" ref="F19:F19">IF(ISNA(INDEX(Pokedex!G$2:G$610,MATCH($A19,Pokedex!$B$2:$B$610,0))),"-",INDEX(Pokedex!G$2:G$610,MATCH($A19,Pokedex!$B$2:$B$610,0)))</f>
        <v>#NAME?</v>
      </c>
      <c r="G19" s="50" t="n">
        <f aca="false" t="array" ref="G19:G19">IF(ISNA(INDEX(Pokedex!H$2:H$610,MATCH($A19,Pokedex!$B$2:$B$610,0))),"-",INDEX(Pokedex!H$2:H$610,MATCH($A19,Pokedex!$B$2:$B$610,0)))</f>
        <v>8</v>
      </c>
      <c r="H19" s="477" t="n">
        <f aca="false" t="array" ref="H19:H19">IF(ISNA(INDEX(Pokedex!I$2:I$610,MATCH($A19,Pokedex!$B$2:$B$610,0))),"-",INDEX(Pokedex!I$2:I$610,MATCH($A19,Pokedex!$B$2:$B$610,0)))</f>
        <v>0</v>
      </c>
      <c r="I19" s="50" t="n">
        <f aca="false" t="array" ref="I19:I19">IF(ISNA(INDEX(ExpandedStats!$A$3:$A$240,MATCH($A19,ExpandedStats!$C$3:$C$240,0))),"-",INDEX(ExpandedStats!$A$3:$A$240,MATCH($A19,ExpandedStats!$C$3:$C$240,0)))</f>
        <v>62</v>
      </c>
      <c r="J19" s="823"/>
      <c r="K19" s="111"/>
      <c r="L19" s="111"/>
      <c r="M19" s="111"/>
      <c r="N19" s="44"/>
      <c r="O19" s="44"/>
      <c r="P19" s="44"/>
      <c r="Q19" s="93"/>
      <c r="R19" s="341" t="s">
        <v>2062</v>
      </c>
      <c r="S19" s="341"/>
      <c r="T19" s="771"/>
      <c r="U19" s="771"/>
      <c r="V19" s="771"/>
      <c r="W19" s="771"/>
      <c r="X19" s="771"/>
      <c r="Y19" s="771"/>
      <c r="Z19" s="771"/>
      <c r="AA19" s="771"/>
      <c r="AB19" s="771"/>
      <c r="AC19" s="771"/>
      <c r="AD19" s="771"/>
    </row>
    <row r="20" customFormat="false" ht="15.75" hidden="false" customHeight="false" outlineLevel="0" collapsed="false">
      <c r="A20" s="817" t="s">
        <v>16</v>
      </c>
      <c r="B20" s="817"/>
      <c r="C20" s="818" t="str">
        <f aca="false" t="array" ref="C20:C20">IF(ISNA(INDEX(Pokedex!J$2:J$610,MATCH($A20,Pokedex!$B$2:$B$610,0))),"-",INDEX(Pokedex!J$2:J$610,MATCH($A20,Pokedex!$B$2:$B$610,0)))</f>
        <v>Tier 2</v>
      </c>
      <c r="D20" s="51" t="n">
        <f aca="false" t="array" ref="D20:D20">IF(ISNA(INDEX(Pokedex!E$2:E$610,MATCH($A20,Pokedex!$B$2:$B$610,0))),"-",INDEX(Pokedex!E$2:E$610,MATCH($A20,Pokedex!$B$2:$B$610,0)))</f>
        <v>0</v>
      </c>
      <c r="E20" s="50" t="n">
        <f aca="false" t="array" ref="E20:E20">IF(ISNA(INDEX(Pokedex!F$2:F$610,MATCH($A20,Pokedex!$B$2:$B$610,0))),"-",INDEX(Pokedex!F$2:F$610,MATCH($A20,Pokedex!$B$2:$B$610,0)))</f>
        <v>0</v>
      </c>
      <c r="F20" s="469" t="e">
        <f aca="false" t="array" ref="F20:F20">IF(ISNA(INDEX(Pokedex!G$2:G$610,MATCH($A20,Pokedex!$B$2:$B$610,0))),"-",INDEX(Pokedex!G$2:G$610,MATCH($A20,Pokedex!$B$2:$B$610,0)))</f>
        <v>#NAME?</v>
      </c>
      <c r="G20" s="50" t="n">
        <f aca="false" t="array" ref="G20:G20">IF(ISNA(INDEX(Pokedex!H$2:H$610,MATCH($A20,Pokedex!$B$2:$B$610,0))),"-",INDEX(Pokedex!H$2:H$610,MATCH($A20,Pokedex!$B$2:$B$610,0)))</f>
        <v>5</v>
      </c>
      <c r="H20" s="477" t="n">
        <f aca="false" t="array" ref="H20:H20">IF(ISNA(INDEX(Pokedex!I$2:I$610,MATCH($A20,Pokedex!$B$2:$B$610,0))),"-",INDEX(Pokedex!I$2:I$610,MATCH($A20,Pokedex!$B$2:$B$610,0)))</f>
        <v>0</v>
      </c>
      <c r="I20" s="727" t="n">
        <f aca="false" t="array" ref="I20:I20">IF(ISNA(INDEX(ExpandedStats!$A$3:$A$240,MATCH($A20,ExpandedStats!$C$3:$C$240,0))),"-",INDEX(ExpandedStats!$A$3:$A$240,MATCH($A20,ExpandedStats!$C$3:$C$240,0)))</f>
        <v>25</v>
      </c>
      <c r="K20" s="44"/>
      <c r="L20" s="44"/>
      <c r="M20" s="44"/>
      <c r="N20" s="44"/>
      <c r="O20" s="44"/>
      <c r="P20" s="44"/>
      <c r="Q20" s="93"/>
      <c r="R20" s="386" t="str">
        <f aca="false">IFERROR(__xludf.dummyfunction("{ if(isna(FILTER(MoveDex!$AJ:$AJ,MoveDex!$AI:$AI=$L$1)),,FILTER(MoveDex!$AJ:$AJ,MoveDex!$AI:$AI=$L$1)) ; if(isna(FILTER(MoveDex!$AN:$AN,MoveDex!$AM:$AM=$L$1)),,FILTER(MoveDex!$AN:$AN,MoveDex!$AM:$AM=$L$1)) }"),"Kartana")</f>
        <v>Kartana</v>
      </c>
      <c r="S20" s="386" t="str">
        <f aca="false">IFERROR(__xludf.dummyfunction("{ if(isna(FILTER(MoveDex!$AK:$AK,MoveDex!$AI:$AI=$L$1)),,FILTER(MoveDex!$AK:$AK,MoveDex!$AI:$AI=$L$1)) ; if(isna(FILTER(MoveDex!$AO:$AO,MoveDex!$AM:$AM=$L$1)),,FILTER(MoveDex!$AO:$AO,MoveDex!$AM:$AM=$L$1)) }"),"Defog")</f>
        <v>Defog</v>
      </c>
      <c r="T20" s="825"/>
      <c r="U20" s="825"/>
      <c r="V20" s="825"/>
      <c r="W20" s="825"/>
      <c r="X20" s="825"/>
      <c r="Y20" s="825"/>
      <c r="Z20" s="825"/>
      <c r="AA20" s="825"/>
      <c r="AB20" s="825"/>
      <c r="AC20" s="825"/>
      <c r="AD20" s="825"/>
    </row>
    <row r="21" customFormat="false" ht="15.75" hidden="false" customHeight="false" outlineLevel="0" collapsed="false">
      <c r="A21" s="817" t="s">
        <v>107</v>
      </c>
      <c r="B21" s="817"/>
      <c r="C21" s="818" t="str">
        <f aca="false" t="array" ref="C21:C21">IF(ISNA(INDEX(Pokedex!J$2:J$610,MATCH($A21,Pokedex!$B$2:$B$610,0))),"-",INDEX(Pokedex!J$2:J$610,MATCH($A21,Pokedex!$B$2:$B$610,0)))</f>
        <v>Tier 2</v>
      </c>
      <c r="D21" s="50" t="n">
        <f aca="false" t="array" ref="D21:D21">IF(ISNA(INDEX(Pokedex!E$2:E$610,MATCH($A21,Pokedex!$B$2:$B$610,0))),"-",INDEX(Pokedex!E$2:E$610,MATCH($A21,Pokedex!$B$2:$B$610,0)))</f>
        <v>0</v>
      </c>
      <c r="E21" s="50" t="n">
        <f aca="false" t="array" ref="E21:E21">IF(ISNA(INDEX(Pokedex!F$2:F$610,MATCH($A21,Pokedex!$B$2:$B$610,0))),"-",INDEX(Pokedex!F$2:F$610,MATCH($A21,Pokedex!$B$2:$B$610,0)))</f>
        <v>0</v>
      </c>
      <c r="F21" s="469" t="e">
        <f aca="false" t="array" ref="F21:F21">IF(ISNA(INDEX(Pokedex!G$2:G$610,MATCH($A21,Pokedex!$B$2:$B$610,0))),"-",INDEX(Pokedex!G$2:G$610,MATCH($A21,Pokedex!$B$2:$B$610,0)))</f>
        <v>#NAME?</v>
      </c>
      <c r="G21" s="50" t="n">
        <f aca="false" t="array" ref="G21:G21">IF(ISNA(INDEX(Pokedex!H$2:H$610,MATCH($A21,Pokedex!$B$2:$B$610,0))),"-",INDEX(Pokedex!H$2:H$610,MATCH($A21,Pokedex!$B$2:$B$610,0)))</f>
        <v>4</v>
      </c>
      <c r="H21" s="477" t="n">
        <f aca="false" t="array" ref="H21:H21">IF(ISNA(INDEX(Pokedex!I$2:I$610,MATCH($A21,Pokedex!$B$2:$B$610,0))),"-",INDEX(Pokedex!I$2:I$610,MATCH($A21,Pokedex!$B$2:$B$610,0)))</f>
        <v>0</v>
      </c>
      <c r="I21" s="50" t="n">
        <f aca="false" t="array" ref="I21:I21">IF(ISNA(INDEX(ExpandedStats!$A$3:$A$240,MATCH($A21,ExpandedStats!$C$3:$C$240,0))),"-",INDEX(ExpandedStats!$A$3:$A$240,MATCH($A21,ExpandedStats!$C$3:$C$240,0)))</f>
        <v>39</v>
      </c>
      <c r="J21" s="823"/>
      <c r="K21" s="111"/>
      <c r="L21" s="111"/>
      <c r="M21" s="111"/>
      <c r="N21" s="44"/>
      <c r="O21" s="44"/>
      <c r="P21" s="44"/>
      <c r="Q21" s="93"/>
      <c r="R21" s="778" t="s">
        <v>93</v>
      </c>
      <c r="S21" s="511" t="s">
        <v>1110</v>
      </c>
      <c r="T21" s="638"/>
      <c r="U21" s="638"/>
      <c r="V21" s="638"/>
      <c r="W21" s="638"/>
      <c r="X21" s="638"/>
      <c r="Y21" s="638"/>
      <c r="Z21" s="638"/>
      <c r="AA21" s="638"/>
      <c r="AB21" s="638"/>
      <c r="AC21" s="638"/>
      <c r="AD21" s="638"/>
    </row>
    <row r="22" customFormat="false" ht="15.75" hidden="false" customHeight="false" outlineLevel="0" collapsed="false">
      <c r="A22" s="826" t="s">
        <v>126</v>
      </c>
      <c r="B22" s="826"/>
      <c r="C22" s="827" t="str">
        <f aca="false" t="array" ref="C22:C22">IF(ISNA(INDEX(Pokedex!J$2:J$610,MATCH($A22,Pokedex!$B$2:$B$610,0))),"-",INDEX(Pokedex!J$2:J$610,MATCH($A22,Pokedex!$B$2:$B$610,0)))</f>
        <v>Tier 5</v>
      </c>
      <c r="D22" s="828" t="n">
        <f aca="false" t="array" ref="D22:D22">IF(ISNA(INDEX(Pokedex!E$2:E$610,MATCH($A22,Pokedex!$B$2:$B$610,0))),"-",INDEX(Pokedex!E$2:E$610,MATCH($A22,Pokedex!$B$2:$B$610,0)))</f>
        <v>0</v>
      </c>
      <c r="E22" s="50" t="n">
        <f aca="false" t="array" ref="E22:E22">IF(ISNA(INDEX(Pokedex!F$2:F$610,MATCH($A22,Pokedex!$B$2:$B$610,0))),"-",INDEX(Pokedex!F$2:F$610,MATCH($A22,Pokedex!$B$2:$B$610,0)))</f>
        <v>0</v>
      </c>
      <c r="F22" s="829" t="e">
        <f aca="false" t="array" ref="F22:F22">IF(ISNA(INDEX(Pokedex!G$2:G$610,MATCH($A22,Pokedex!$B$2:$B$610,0))),"-",INDEX(Pokedex!G$2:G$610,MATCH($A22,Pokedex!$B$2:$B$610,0)))</f>
        <v>#NAME?</v>
      </c>
      <c r="G22" s="830" t="n">
        <f aca="false" t="array" ref="G22:G22">IF(ISNA(INDEX(Pokedex!H$2:H$610,MATCH($A22,Pokedex!$B$2:$B$610,0))),"-",INDEX(Pokedex!H$2:H$610,MATCH($A22,Pokedex!$B$2:$B$610,0)))</f>
        <v>1</v>
      </c>
      <c r="H22" s="831" t="n">
        <f aca="false" t="array" ref="H22:H22">IF(ISNA(INDEX(Pokedex!I$2:I$610,MATCH($A22,Pokedex!$B$2:$B$610,0))),"-",INDEX(Pokedex!I$2:I$610,MATCH($A22,Pokedex!$B$2:$B$610,0)))</f>
        <v>0</v>
      </c>
      <c r="I22" s="828" t="n">
        <f aca="false" t="array" ref="I22:I22">IF(ISNA(INDEX(ExpandedStats!$A$3:$A$240,MATCH($A22,ExpandedStats!$C$3:$C$240,0))),"-",INDEX(ExpandedStats!$A$3:$A$240,MATCH($A22,ExpandedStats!$C$3:$C$240,0)))</f>
        <v>68</v>
      </c>
      <c r="J22" s="823"/>
      <c r="K22" s="111"/>
      <c r="L22" s="111"/>
      <c r="M22" s="111"/>
      <c r="N22" s="44"/>
      <c r="O22" s="44"/>
      <c r="P22" s="44"/>
      <c r="Q22" s="93"/>
      <c r="R22" s="778" t="s">
        <v>97</v>
      </c>
      <c r="S22" s="511" t="s">
        <v>1112</v>
      </c>
      <c r="T22" s="638"/>
      <c r="U22" s="638"/>
      <c r="V22" s="638"/>
      <c r="W22" s="638"/>
      <c r="X22" s="638"/>
      <c r="Y22" s="638"/>
      <c r="Z22" s="638"/>
      <c r="AA22" s="638"/>
      <c r="AB22" s="638"/>
      <c r="AC22" s="638"/>
      <c r="AD22" s="638"/>
    </row>
    <row r="23" customFormat="false" ht="15.75" hidden="false" customHeight="false" outlineLevel="0" collapsed="false">
      <c r="A23" s="832" t="s">
        <v>2063</v>
      </c>
      <c r="B23" s="832"/>
      <c r="C23" s="832"/>
      <c r="D23" s="833" t="n">
        <f aca="false">SUM(D12:D22)</f>
        <v>0</v>
      </c>
      <c r="E23" s="834" t="n">
        <f aca="false">SUM(E12:E22)</f>
        <v>0</v>
      </c>
      <c r="F23" s="111"/>
      <c r="G23" s="111"/>
      <c r="H23" s="111"/>
      <c r="I23" s="111"/>
      <c r="J23" s="111"/>
      <c r="K23" s="111"/>
      <c r="L23" s="111"/>
      <c r="M23" s="111"/>
      <c r="N23" s="44"/>
      <c r="O23" s="44"/>
      <c r="P23" s="44"/>
      <c r="Q23" s="44"/>
      <c r="R23" s="778"/>
      <c r="S23" s="511"/>
      <c r="T23" s="638"/>
      <c r="U23" s="638"/>
      <c r="V23" s="638"/>
      <c r="W23" s="638"/>
      <c r="X23" s="638"/>
      <c r="Y23" s="638"/>
      <c r="Z23" s="638"/>
      <c r="AA23" s="638"/>
      <c r="AB23" s="638"/>
      <c r="AC23" s="638"/>
      <c r="AD23" s="638"/>
    </row>
    <row r="24" customFormat="false" ht="15.75" hidden="false" customHeight="false" outlineLevel="0" collapsed="false">
      <c r="A24" s="400"/>
      <c r="B24" s="400"/>
      <c r="C24" s="400"/>
      <c r="D24" s="835"/>
      <c r="E24" s="835"/>
      <c r="F24" s="111"/>
      <c r="G24" s="111"/>
      <c r="H24" s="111"/>
      <c r="I24" s="111"/>
      <c r="J24" s="111"/>
      <c r="K24" s="111"/>
      <c r="L24" s="111"/>
      <c r="M24" s="111"/>
      <c r="N24" s="44"/>
      <c r="O24" s="44"/>
      <c r="P24" s="44"/>
      <c r="Q24" s="44"/>
      <c r="R24" s="778"/>
      <c r="S24" s="511"/>
      <c r="T24" s="638"/>
      <c r="U24" s="638"/>
      <c r="V24" s="638"/>
      <c r="W24" s="638"/>
      <c r="X24" s="638"/>
      <c r="Y24" s="638"/>
      <c r="Z24" s="638"/>
      <c r="AA24" s="638"/>
      <c r="AB24" s="638"/>
      <c r="AC24" s="638"/>
      <c r="AD24" s="638"/>
    </row>
    <row r="25" customFormat="false" ht="15.75" hidden="false" customHeight="false" outlineLevel="0" collapsed="false">
      <c r="A25" s="400"/>
      <c r="B25" s="400"/>
      <c r="C25" s="400"/>
      <c r="D25" s="44"/>
      <c r="E25" s="44"/>
      <c r="F25" s="44"/>
      <c r="G25" s="44"/>
      <c r="H25" s="44"/>
      <c r="I25" s="44"/>
      <c r="J25" s="111"/>
      <c r="K25" s="111"/>
      <c r="L25" s="111"/>
      <c r="M25" s="111"/>
      <c r="N25" s="44"/>
      <c r="O25" s="44"/>
      <c r="P25" s="44"/>
      <c r="Q25" s="44"/>
      <c r="R25" s="778"/>
      <c r="S25" s="511"/>
      <c r="T25" s="638"/>
      <c r="U25" s="638"/>
      <c r="V25" s="638"/>
      <c r="W25" s="638"/>
      <c r="X25" s="638"/>
      <c r="Y25" s="638"/>
      <c r="Z25" s="638"/>
      <c r="AA25" s="638"/>
      <c r="AB25" s="638"/>
      <c r="AC25" s="638"/>
      <c r="AD25" s="638"/>
      <c r="AE25" s="638"/>
    </row>
    <row r="26" customFormat="false" ht="15.75" hidden="false" customHeight="false" outlineLevel="0" collapsed="false">
      <c r="A26" s="400"/>
      <c r="B26" s="400"/>
      <c r="C26" s="400"/>
      <c r="D26" s="44"/>
      <c r="E26" s="44"/>
      <c r="F26" s="44"/>
      <c r="G26" s="44"/>
      <c r="H26" s="44"/>
      <c r="I26" s="44"/>
      <c r="J26" s="400"/>
      <c r="K26" s="400"/>
      <c r="L26" s="400"/>
      <c r="M26" s="400"/>
      <c r="N26" s="44"/>
      <c r="O26" s="44"/>
      <c r="P26" s="44"/>
      <c r="Q26" s="44"/>
      <c r="R26" s="790"/>
      <c r="S26" s="791"/>
      <c r="T26" s="792"/>
      <c r="U26" s="792"/>
      <c r="V26" s="792"/>
      <c r="W26" s="792"/>
      <c r="X26" s="792"/>
      <c r="Y26" s="792"/>
      <c r="Z26" s="792"/>
      <c r="AA26" s="792"/>
      <c r="AB26" s="792"/>
      <c r="AC26" s="792"/>
      <c r="AD26" s="792"/>
      <c r="AE26" s="792"/>
    </row>
    <row r="27" customFormat="false" ht="15.75" hidden="false" customHeight="false" outlineLevel="0" collapsed="false">
      <c r="A27" s="118" t="s">
        <v>208</v>
      </c>
      <c r="B27" s="118"/>
      <c r="C27" s="118"/>
      <c r="D27" s="836" t="s">
        <v>207</v>
      </c>
      <c r="E27" s="836"/>
      <c r="F27" s="836"/>
      <c r="G27" s="837" t="s">
        <v>209</v>
      </c>
      <c r="H27" s="837"/>
      <c r="I27" s="44"/>
      <c r="J27" s="838" t="s">
        <v>2064</v>
      </c>
      <c r="K27" s="838"/>
      <c r="L27" s="838"/>
      <c r="M27" s="839" t="e">
        <f aca="false">IF($A$28="CHECK ERROR BLOCK",0,IF(NOT($A$28="NONE"),minus(3,COUNTIF(A28:A30,"*")), 3))</f>
        <v>#NAME?</v>
      </c>
      <c r="N27" s="44"/>
      <c r="O27" s="44"/>
      <c r="P27" s="44"/>
      <c r="Q27" s="44"/>
      <c r="R27" s="790"/>
      <c r="S27" s="791"/>
      <c r="T27" s="792"/>
      <c r="U27" s="792"/>
      <c r="V27" s="792"/>
      <c r="W27" s="792"/>
      <c r="X27" s="792"/>
      <c r="Y27" s="792"/>
      <c r="Z27" s="792"/>
      <c r="AA27" s="792"/>
      <c r="AB27" s="792"/>
      <c r="AC27" s="792"/>
      <c r="AD27" s="792"/>
      <c r="AE27" s="792"/>
    </row>
    <row r="28" customFormat="false" ht="15.75" hidden="false" customHeight="false" outlineLevel="0" collapsed="false">
      <c r="A28" s="840" t="str">
        <f aca="false">IFERROR(__xludf.dummyfunction("if(ISNA(filter(Transactions!$O$3:$V$100,Transactions!$M$3:$M$100=$L$1)),""NONE"",if(countif(Transactions!$M$3:$M$100,$L$1)&gt;3,""CHECK ERROR BLOCK"",(filter(Transactions!$O$3:$V$100,Transactions!$M$3:$M$100=$L$1))))"),"Sigilyph")</f>
        <v>Sigilyph</v>
      </c>
      <c r="B28" s="840"/>
      <c r="C28" s="840"/>
      <c r="D28" s="841" t="s">
        <v>126</v>
      </c>
      <c r="E28" s="841"/>
      <c r="F28" s="841"/>
      <c r="G28" s="842" t="s">
        <v>121</v>
      </c>
      <c r="H28" s="842"/>
      <c r="I28" s="44"/>
      <c r="J28" s="843" t="s">
        <v>2065</v>
      </c>
      <c r="K28" s="843"/>
      <c r="L28" s="843"/>
      <c r="M28" s="844" t="s">
        <v>2066</v>
      </c>
      <c r="N28" s="44"/>
      <c r="O28" s="44"/>
      <c r="P28" s="44"/>
      <c r="Q28" s="44"/>
      <c r="R28" s="790"/>
      <c r="S28" s="791"/>
      <c r="T28" s="792"/>
      <c r="U28" s="792"/>
      <c r="V28" s="792"/>
      <c r="W28" s="792"/>
      <c r="X28" s="792"/>
      <c r="Y28" s="792"/>
      <c r="Z28" s="792"/>
      <c r="AA28" s="792"/>
      <c r="AB28" s="792"/>
      <c r="AC28" s="792"/>
      <c r="AD28" s="792"/>
      <c r="AE28" s="792"/>
    </row>
    <row r="29" customFormat="false" ht="15.75" hidden="false" customHeight="true" outlineLevel="0" collapsed="false">
      <c r="A29" s="840" t="s">
        <v>77</v>
      </c>
      <c r="B29" s="840"/>
      <c r="C29" s="840"/>
      <c r="D29" s="841" t="s">
        <v>124</v>
      </c>
      <c r="E29" s="841"/>
      <c r="F29" s="841"/>
      <c r="G29" s="845" t="s">
        <v>121</v>
      </c>
      <c r="H29" s="845"/>
      <c r="I29" s="44"/>
      <c r="J29" s="846" t="s">
        <v>2067</v>
      </c>
      <c r="K29" s="846"/>
      <c r="L29" s="846"/>
      <c r="M29" s="847" t="n">
        <v>2</v>
      </c>
      <c r="N29" s="44"/>
      <c r="O29" s="44"/>
      <c r="P29" s="44"/>
      <c r="Q29" s="44"/>
      <c r="R29" s="790"/>
      <c r="S29" s="791"/>
      <c r="T29" s="792"/>
      <c r="U29" s="792"/>
      <c r="V29" s="792"/>
      <c r="W29" s="792"/>
      <c r="X29" s="792"/>
      <c r="Y29" s="792"/>
      <c r="Z29" s="792"/>
      <c r="AA29" s="792"/>
      <c r="AB29" s="792"/>
      <c r="AC29" s="792"/>
      <c r="AD29" s="792"/>
      <c r="AE29" s="792"/>
    </row>
    <row r="30" customFormat="false" ht="15.75" hidden="false" customHeight="false" outlineLevel="0" collapsed="false">
      <c r="A30" s="848" t="s">
        <v>268</v>
      </c>
      <c r="B30" s="848"/>
      <c r="C30" s="848"/>
      <c r="D30" s="849" t="s">
        <v>93</v>
      </c>
      <c r="E30" s="849"/>
      <c r="F30" s="849"/>
      <c r="G30" s="850" t="s">
        <v>83</v>
      </c>
      <c r="H30" s="850"/>
      <c r="I30" s="44"/>
      <c r="J30" s="851" t="str">
        <f aca="false">IF($A$28="CHECK ERROR BLOCK","ERROR - MAXIMUM NUMBER OF FREE AGENCY TRANSACTIONS LOGGED IN TRANSACTIONS TAB","")</f>
        <v/>
      </c>
      <c r="K30" s="851"/>
      <c r="L30" s="851"/>
      <c r="M30" s="851"/>
      <c r="N30" s="44"/>
      <c r="O30" s="44"/>
      <c r="P30" s="44"/>
      <c r="Q30" s="44"/>
      <c r="R30" s="790"/>
      <c r="S30" s="791"/>
      <c r="T30" s="792"/>
      <c r="U30" s="792"/>
      <c r="V30" s="792"/>
      <c r="W30" s="792"/>
      <c r="X30" s="792"/>
      <c r="Y30" s="792"/>
      <c r="Z30" s="792"/>
      <c r="AA30" s="792"/>
      <c r="AB30" s="792"/>
      <c r="AC30" s="792"/>
      <c r="AD30" s="792"/>
      <c r="AE30" s="792"/>
    </row>
    <row r="31" customFormat="false" ht="15.75" hidden="false" customHeight="false" outlineLevel="0" collapsed="false">
      <c r="A31" s="44"/>
      <c r="B31" s="44"/>
      <c r="C31" s="44"/>
      <c r="D31" s="44"/>
      <c r="E31" s="44"/>
      <c r="F31" s="44"/>
      <c r="G31" s="44"/>
      <c r="H31" s="44"/>
      <c r="I31" s="44"/>
      <c r="J31" s="44"/>
      <c r="K31" s="44"/>
      <c r="L31" s="44"/>
      <c r="M31" s="44"/>
      <c r="N31" s="44"/>
      <c r="O31" s="44"/>
      <c r="P31" s="44"/>
      <c r="Q31" s="44"/>
      <c r="R31" s="820"/>
      <c r="S31" s="821"/>
      <c r="T31" s="792"/>
      <c r="U31" s="792"/>
      <c r="V31" s="792"/>
      <c r="W31" s="792"/>
      <c r="X31" s="792"/>
      <c r="Y31" s="792"/>
      <c r="Z31" s="792"/>
      <c r="AA31" s="792"/>
      <c r="AB31" s="792"/>
      <c r="AC31" s="792"/>
      <c r="AD31" s="792"/>
      <c r="AE31" s="792"/>
    </row>
    <row r="32" customFormat="false" ht="15.75" hidden="false" customHeight="false" outlineLevel="0" collapsed="false">
      <c r="A32" s="118" t="s">
        <v>2068</v>
      </c>
      <c r="B32" s="118"/>
      <c r="C32" s="118"/>
      <c r="D32" s="118" t="s">
        <v>2069</v>
      </c>
      <c r="E32" s="118"/>
      <c r="F32" s="118"/>
      <c r="G32" s="837" t="s">
        <v>209</v>
      </c>
      <c r="H32" s="837"/>
      <c r="I32" s="272" t="s">
        <v>2070</v>
      </c>
      <c r="J32" s="272"/>
      <c r="K32" s="363" t="s">
        <v>213</v>
      </c>
      <c r="L32" s="363"/>
      <c r="M32" s="363"/>
      <c r="N32" s="363"/>
      <c r="O32" s="44"/>
      <c r="P32" s="44"/>
      <c r="Q32" s="44"/>
      <c r="R32" s="824"/>
      <c r="S32" s="638"/>
      <c r="T32" s="638"/>
      <c r="U32" s="638"/>
      <c r="V32" s="638"/>
      <c r="W32" s="638"/>
      <c r="X32" s="638"/>
      <c r="Y32" s="638"/>
      <c r="Z32" s="638"/>
      <c r="AA32" s="638"/>
      <c r="AB32" s="638"/>
      <c r="AC32" s="638"/>
      <c r="AD32" s="638"/>
      <c r="AE32" s="638"/>
    </row>
    <row r="33" customFormat="false" ht="15.75" hidden="false" customHeight="false" outlineLevel="0" collapsed="false">
      <c r="A33" s="840" t="str">
        <f aca="false">IFERROR(__xludf.dummyfunction("if(isna(filter($Q$55:$AD$70,not(isblank($Q$55:$Q$70)))),""NONE"",filter($Q$55:$AD$70,not(isblank($Q$55:$Q$70))))"),"Sylveon")</f>
        <v>Sylveon</v>
      </c>
      <c r="B33" s="840"/>
      <c r="C33" s="840"/>
      <c r="D33" s="853"/>
      <c r="E33" s="853"/>
      <c r="F33" s="853"/>
      <c r="G33" s="855"/>
      <c r="H33" s="855"/>
      <c r="I33" s="855"/>
      <c r="J33" s="855"/>
      <c r="K33" s="856"/>
      <c r="L33" s="856"/>
      <c r="M33" s="856"/>
      <c r="N33" s="856"/>
      <c r="O33" s="44"/>
      <c r="P33" s="44"/>
      <c r="Q33" s="44"/>
      <c r="R33" s="824"/>
      <c r="S33" s="638"/>
      <c r="T33" s="638"/>
      <c r="U33" s="638"/>
      <c r="V33" s="638"/>
      <c r="W33" s="638"/>
      <c r="X33" s="638"/>
      <c r="Y33" s="638"/>
      <c r="Z33" s="638"/>
      <c r="AA33" s="638"/>
      <c r="AB33" s="638"/>
      <c r="AC33" s="638"/>
      <c r="AD33" s="638"/>
      <c r="AE33" s="638"/>
    </row>
    <row r="34" customFormat="false" ht="15.75" hidden="false" customHeight="false" outlineLevel="0" collapsed="false">
      <c r="A34" s="840"/>
      <c r="B34" s="840"/>
      <c r="C34" s="840"/>
      <c r="D34" s="857"/>
      <c r="E34" s="857"/>
      <c r="F34" s="857"/>
      <c r="G34" s="855"/>
      <c r="H34" s="855"/>
      <c r="I34" s="855"/>
      <c r="J34" s="855"/>
      <c r="K34" s="479"/>
      <c r="L34" s="479"/>
      <c r="M34" s="479"/>
      <c r="N34" s="479"/>
      <c r="O34" s="44"/>
      <c r="P34" s="44"/>
      <c r="Q34" s="44"/>
      <c r="R34" s="824"/>
      <c r="S34" s="638"/>
      <c r="T34" s="638"/>
      <c r="U34" s="638"/>
      <c r="V34" s="638"/>
      <c r="W34" s="638"/>
      <c r="X34" s="638"/>
      <c r="Y34" s="638"/>
      <c r="Z34" s="638"/>
      <c r="AA34" s="638"/>
      <c r="AB34" s="638"/>
      <c r="AC34" s="638"/>
      <c r="AD34" s="638"/>
      <c r="AE34" s="638"/>
    </row>
    <row r="35" customFormat="false" ht="15.75" hidden="false" customHeight="false" outlineLevel="0" collapsed="false">
      <c r="A35" s="817"/>
      <c r="B35" s="817"/>
      <c r="C35" s="817"/>
      <c r="D35" s="858"/>
      <c r="E35" s="858"/>
      <c r="F35" s="858"/>
      <c r="G35" s="860"/>
      <c r="H35" s="860"/>
      <c r="I35" s="860"/>
      <c r="J35" s="860"/>
      <c r="K35" s="856"/>
      <c r="L35" s="856"/>
      <c r="M35" s="856"/>
      <c r="N35" s="856"/>
      <c r="O35" s="44"/>
      <c r="P35" s="44"/>
      <c r="Q35" s="44"/>
      <c r="R35" s="824"/>
      <c r="S35" s="638"/>
      <c r="T35" s="638"/>
      <c r="U35" s="638"/>
      <c r="V35" s="638"/>
      <c r="W35" s="638"/>
      <c r="X35" s="638"/>
      <c r="Y35" s="638"/>
      <c r="Z35" s="638"/>
      <c r="AA35" s="638"/>
      <c r="AB35" s="638"/>
      <c r="AC35" s="638"/>
      <c r="AD35" s="638"/>
      <c r="AE35" s="638"/>
    </row>
    <row r="36" customFormat="false" ht="15.75" hidden="false" customHeight="false" outlineLevel="0" collapsed="false">
      <c r="A36" s="840"/>
      <c r="B36" s="840"/>
      <c r="C36" s="840"/>
      <c r="D36" s="857"/>
      <c r="E36" s="857"/>
      <c r="F36" s="857"/>
      <c r="G36" s="855"/>
      <c r="H36" s="855"/>
      <c r="I36" s="855"/>
      <c r="J36" s="855"/>
      <c r="K36" s="479"/>
      <c r="L36" s="479"/>
      <c r="M36" s="479"/>
      <c r="N36" s="479"/>
      <c r="O36" s="44"/>
      <c r="P36" s="44"/>
      <c r="Q36" s="44"/>
      <c r="R36" s="824"/>
      <c r="S36" s="638"/>
      <c r="T36" s="638"/>
      <c r="U36" s="638"/>
      <c r="V36" s="638"/>
      <c r="W36" s="638"/>
      <c r="X36" s="638"/>
      <c r="Y36" s="638"/>
      <c r="Z36" s="638"/>
      <c r="AA36" s="638"/>
      <c r="AB36" s="638"/>
      <c r="AC36" s="638"/>
      <c r="AD36" s="638"/>
      <c r="AE36" s="638"/>
    </row>
    <row r="37" customFormat="false" ht="15.75" hidden="false" customHeight="false" outlineLevel="0" collapsed="false">
      <c r="A37" s="817"/>
      <c r="B37" s="817"/>
      <c r="C37" s="817"/>
      <c r="D37" s="858"/>
      <c r="E37" s="858"/>
      <c r="F37" s="858"/>
      <c r="G37" s="860"/>
      <c r="H37" s="860"/>
      <c r="I37" s="860"/>
      <c r="J37" s="860"/>
      <c r="K37" s="856"/>
      <c r="L37" s="856"/>
      <c r="M37" s="856"/>
      <c r="N37" s="856"/>
      <c r="O37" s="44"/>
      <c r="P37" s="44"/>
      <c r="Q37" s="44"/>
      <c r="R37" s="824"/>
      <c r="S37" s="638"/>
      <c r="T37" s="638"/>
      <c r="U37" s="638"/>
      <c r="V37" s="638"/>
      <c r="W37" s="638"/>
      <c r="X37" s="638"/>
      <c r="Y37" s="638"/>
      <c r="Z37" s="638"/>
      <c r="AA37" s="638"/>
      <c r="AB37" s="638"/>
      <c r="AC37" s="638"/>
      <c r="AD37" s="638"/>
      <c r="AE37" s="638"/>
    </row>
    <row r="38" customFormat="false" ht="15.75" hidden="false" customHeight="false" outlineLevel="0" collapsed="false">
      <c r="A38" s="840"/>
      <c r="B38" s="840"/>
      <c r="C38" s="840"/>
      <c r="D38" s="857"/>
      <c r="E38" s="857"/>
      <c r="F38" s="857"/>
      <c r="G38" s="855"/>
      <c r="H38" s="855"/>
      <c r="I38" s="855"/>
      <c r="J38" s="855"/>
      <c r="K38" s="479"/>
      <c r="L38" s="479"/>
      <c r="M38" s="479"/>
      <c r="N38" s="479"/>
      <c r="O38" s="44"/>
      <c r="P38" s="44"/>
      <c r="Q38" s="44"/>
      <c r="R38" s="824"/>
      <c r="S38" s="638"/>
      <c r="T38" s="638"/>
      <c r="U38" s="638"/>
      <c r="V38" s="638"/>
      <c r="W38" s="638"/>
      <c r="X38" s="638"/>
      <c r="Y38" s="638"/>
      <c r="Z38" s="638"/>
      <c r="AA38" s="638"/>
      <c r="AB38" s="638"/>
      <c r="AC38" s="638"/>
      <c r="AD38" s="638"/>
      <c r="AE38" s="638"/>
    </row>
    <row r="39" customFormat="false" ht="15.75" hidden="false" customHeight="false" outlineLevel="0" collapsed="false">
      <c r="A39" s="817"/>
      <c r="B39" s="817"/>
      <c r="C39" s="817"/>
      <c r="D39" s="858"/>
      <c r="E39" s="858"/>
      <c r="F39" s="858"/>
      <c r="G39" s="860"/>
      <c r="H39" s="860"/>
      <c r="I39" s="860"/>
      <c r="J39" s="860"/>
      <c r="K39" s="856"/>
      <c r="L39" s="856"/>
      <c r="M39" s="856"/>
      <c r="N39" s="856"/>
      <c r="O39" s="44"/>
      <c r="P39" s="44"/>
      <c r="Q39" s="44"/>
      <c r="R39" s="341" t="s">
        <v>2071</v>
      </c>
      <c r="S39" s="341"/>
      <c r="T39" s="771"/>
      <c r="U39" s="771"/>
      <c r="V39" s="771"/>
      <c r="W39" s="771"/>
      <c r="X39" s="771"/>
      <c r="Y39" s="771"/>
      <c r="Z39" s="771"/>
      <c r="AA39" s="771"/>
      <c r="AB39" s="771"/>
      <c r="AC39" s="771"/>
      <c r="AD39" s="771"/>
      <c r="AE39" s="771"/>
    </row>
    <row r="40" customFormat="false" ht="15.75" hidden="false" customHeight="false" outlineLevel="0" collapsed="false">
      <c r="A40" s="840"/>
      <c r="B40" s="840"/>
      <c r="C40" s="840"/>
      <c r="D40" s="857"/>
      <c r="E40" s="857"/>
      <c r="F40" s="857"/>
      <c r="G40" s="855"/>
      <c r="H40" s="855"/>
      <c r="I40" s="855"/>
      <c r="J40" s="855"/>
      <c r="K40" s="479"/>
      <c r="L40" s="479"/>
      <c r="M40" s="479"/>
      <c r="N40" s="479"/>
      <c r="O40" s="44"/>
      <c r="P40" s="44"/>
      <c r="Q40" s="44"/>
      <c r="R40" s="386" t="str">
        <f aca="false">IFERROR(__xludf.dummyfunction("{ if(isna(FILTER(MoveDex!$AR:$AR,MoveDex!$AQ:$AQ=$L$1)),,FILTER(MoveDex!$AR:$AR,MoveDex!$AQ:$AQ=$L$1)) ; if(isna(FILTER(MoveDex!$AV:$AV,MoveDex!$AU:$AU=$L$1)),,FILTER(MoveDex!$AV:$AV,MoveDex!$AU:$AU=$L$1)) ; if(isna(FILTER(MoveDex!$AZ:$AZ,MoveDex!$AY:$AY="&amp;"$L$1)),,FILTER(MoveDex!$AZ:$AZ,MoveDex!$AY:$AY=$L$1)) }"),"Ribombee")</f>
        <v>Ribombee</v>
      </c>
      <c r="S40" s="386" t="str">
        <f aca="false">IFERROR(__xludf.dummyfunction("{ if(isna(FILTER(MoveDex!$AS:$AS,MoveDex!$AQ:$AQ=$L$1)),,FILTER(MoveDex!$AS:$AS,MoveDex!$AQ:$AQ=$L$1)) ; if(isna(FILTER(MoveDex!$AW:$AW,MoveDex!$AU:$AU=$L$1)),,FILTER(MoveDex!$AW:$AW,MoveDex!$AU:$AU=$L$1)) ; if(isna(FILTER(MoveDex!$BA:$BA,MoveDex!$AY:$AY="&amp;"$L$1)),,FILTER(MoveDex!$BA:$BA,MoveDex!$AY:$AY=$L$1)) }"),"Aromatherapy")</f>
        <v>Aromatherapy</v>
      </c>
      <c r="T40" s="777"/>
      <c r="U40" s="777"/>
      <c r="V40" s="777"/>
      <c r="W40" s="777"/>
      <c r="X40" s="777"/>
      <c r="Y40" s="777"/>
      <c r="Z40" s="777"/>
      <c r="AA40" s="777"/>
      <c r="AB40" s="777"/>
      <c r="AC40" s="777"/>
      <c r="AD40" s="777"/>
      <c r="AE40" s="777"/>
    </row>
    <row r="41" customFormat="false" ht="15.75" hidden="false" customHeight="false" outlineLevel="0" collapsed="false">
      <c r="A41" s="826"/>
      <c r="B41" s="826"/>
      <c r="C41" s="826"/>
      <c r="D41" s="861"/>
      <c r="E41" s="861"/>
      <c r="F41" s="861"/>
      <c r="G41" s="862"/>
      <c r="H41" s="862"/>
      <c r="I41" s="862"/>
      <c r="J41" s="862"/>
      <c r="K41" s="863"/>
      <c r="L41" s="863"/>
      <c r="M41" s="863"/>
      <c r="N41" s="863"/>
      <c r="O41" s="44"/>
      <c r="P41" s="44"/>
      <c r="Q41" s="44"/>
      <c r="R41" s="778"/>
      <c r="S41" s="511"/>
      <c r="T41" s="638"/>
      <c r="U41" s="638"/>
      <c r="V41" s="638"/>
      <c r="W41" s="638"/>
      <c r="X41" s="638"/>
      <c r="Y41" s="638"/>
      <c r="Z41" s="638"/>
      <c r="AA41" s="638"/>
      <c r="AB41" s="638"/>
      <c r="AC41" s="638"/>
      <c r="AD41" s="638"/>
      <c r="AE41" s="638"/>
    </row>
    <row r="42" customFormat="false" ht="15.75" hidden="false" customHeight="false" outlineLevel="0" collapsed="false">
      <c r="A42" s="44"/>
      <c r="B42" s="44"/>
      <c r="C42" s="44"/>
      <c r="D42" s="44"/>
      <c r="E42" s="44"/>
      <c r="F42" s="44"/>
      <c r="G42" s="44"/>
      <c r="H42" s="44"/>
      <c r="I42" s="44"/>
      <c r="J42" s="44"/>
      <c r="K42" s="44"/>
      <c r="L42" s="44"/>
      <c r="M42" s="44"/>
      <c r="N42" s="44"/>
      <c r="O42" s="44"/>
      <c r="P42" s="44"/>
      <c r="Q42" s="44"/>
      <c r="R42" s="778" t="s">
        <v>79</v>
      </c>
      <c r="S42" s="511" t="s">
        <v>1115</v>
      </c>
      <c r="T42" s="638"/>
      <c r="U42" s="638"/>
      <c r="V42" s="638"/>
      <c r="W42" s="638"/>
      <c r="X42" s="638"/>
      <c r="Y42" s="638"/>
      <c r="Z42" s="638"/>
      <c r="AA42" s="638"/>
      <c r="AB42" s="638"/>
      <c r="AC42" s="638"/>
      <c r="AD42" s="638"/>
      <c r="AE42" s="638"/>
    </row>
    <row r="43" customFormat="false" ht="15.75" hidden="false" customHeight="false" outlineLevel="0" collapsed="false">
      <c r="A43" s="864" t="s">
        <v>2072</v>
      </c>
      <c r="B43" s="864"/>
      <c r="C43" s="864"/>
      <c r="D43" s="562" t="s">
        <v>777</v>
      </c>
      <c r="E43" s="865" t="s">
        <v>778</v>
      </c>
      <c r="F43" s="865" t="s">
        <v>779</v>
      </c>
      <c r="G43" s="865" t="s">
        <v>780</v>
      </c>
      <c r="H43" s="865" t="s">
        <v>781</v>
      </c>
      <c r="I43" s="865" t="s">
        <v>782</v>
      </c>
      <c r="J43" s="363" t="s">
        <v>2063</v>
      </c>
      <c r="K43" s="562" t="s">
        <v>2073</v>
      </c>
      <c r="L43" s="562"/>
      <c r="M43" s="866" t="s">
        <v>2074</v>
      </c>
      <c r="N43" s="866"/>
      <c r="O43" s="44"/>
      <c r="P43" s="44"/>
      <c r="Q43" s="44"/>
      <c r="R43" s="778" t="s">
        <v>93</v>
      </c>
      <c r="S43" s="511" t="s">
        <v>1115</v>
      </c>
      <c r="T43" s="638"/>
      <c r="U43" s="638"/>
      <c r="V43" s="638"/>
      <c r="W43" s="638"/>
      <c r="X43" s="638"/>
      <c r="Y43" s="638"/>
      <c r="Z43" s="638"/>
      <c r="AA43" s="638"/>
      <c r="AB43" s="638"/>
      <c r="AC43" s="638"/>
      <c r="AD43" s="638"/>
      <c r="AE43" s="638"/>
    </row>
    <row r="44" customFormat="false" ht="15.75" hidden="false" customHeight="false" outlineLevel="0" collapsed="false">
      <c r="A44" s="811" t="str">
        <f aca="false">$A$12</f>
        <v>Kartana</v>
      </c>
      <c r="B44" s="811"/>
      <c r="C44" s="811"/>
      <c r="D44" s="867" t="n">
        <f aca="false" t="array" ref="D44:D44">IF(ISNA(INDEX(Pokedex!L$2:L$610,MATCH($A44,Pokedex!$B$2:$B$610,0))),"-",INDEX(Pokedex!L$2:L$610,MATCH($A44,Pokedex!$B$2:$B$610,0)))</f>
        <v>59</v>
      </c>
      <c r="E44" s="868" t="n">
        <f aca="false" t="array" ref="E44:E44">IF(ISNA(INDEX(Pokedex!M$2:M$610,MATCH($A44,Pokedex!$B$2:$B$610,0))),"-",INDEX(Pokedex!M$2:M$610,MATCH($A44,Pokedex!$B$2:$B$610,0)))</f>
        <v>181</v>
      </c>
      <c r="F44" s="868" t="n">
        <f aca="false" t="array" ref="F44:F44">IF(ISNA(INDEX(Pokedex!N$2:N$610,MATCH($A44,Pokedex!$B$2:$B$610,0))),"-",INDEX(Pokedex!N$2:N$610,MATCH($A44,Pokedex!$B$2:$B$610,0)))</f>
        <v>131</v>
      </c>
      <c r="G44" s="868" t="n">
        <f aca="false" t="array" ref="G44:G44">IF(ISNA(INDEX(Pokedex!O$2:O$610,MATCH($A44,Pokedex!$B$2:$B$610,0))),"-",INDEX(Pokedex!O$2:O$610,MATCH($A44,Pokedex!$B$2:$B$610,0)))</f>
        <v>59</v>
      </c>
      <c r="H44" s="868" t="n">
        <f aca="false" t="array" ref="H44:H44">IF(ISNA(INDEX(Pokedex!P$2:P$610,MATCH($A44,Pokedex!$B$2:$B$610,0))),"-",INDEX(Pokedex!P$2:P$610,MATCH($A44,Pokedex!$B$2:$B$610,0)))</f>
        <v>31</v>
      </c>
      <c r="I44" s="869" t="n">
        <f aca="false" t="array" ref="I44:I44">IF(ISNA(INDEX(Pokedex!Q$2:Q$610,MATCH($A44,Pokedex!$B$2:$B$610,0))),"-",INDEX(Pokedex!Q$2:Q$610,MATCH($A44,Pokedex!$B$2:$B$610,0)))</f>
        <v>109</v>
      </c>
      <c r="J44" s="868" t="n">
        <f aca="false">SUM(D44:I44)</f>
        <v>570</v>
      </c>
      <c r="K44" s="867" t="str">
        <f aca="false" t="array" ref="K44:K44">IF(ISNA(INDEX(Pokedex!R$2:R$610,MATCH($A44,Pokedex!$B$2:$B$610,0))),"-",INDEX(Pokedex!R$2:R$610,MATCH($A44,Pokedex!$B$2:$B$610,0)))</f>
        <v>Grass</v>
      </c>
      <c r="L44" s="867"/>
      <c r="M44" s="869" t="str">
        <f aca="false" t="array" ref="M44:M44">IF(ISNA(INDEX(Pokedex!S$2:S$610,MATCH($A44,Pokedex!$B$2:$B$610,0))),"-",INDEX(Pokedex!S$2:S$610,MATCH($A44,Pokedex!$B$2:$B$610,0)))</f>
        <v>Steel</v>
      </c>
      <c r="N44" s="869"/>
      <c r="O44" s="44"/>
      <c r="P44" s="44"/>
      <c r="Q44" s="44"/>
      <c r="R44" s="778"/>
      <c r="S44" s="511"/>
      <c r="T44" s="638"/>
      <c r="U44" s="638"/>
      <c r="V44" s="638"/>
      <c r="W44" s="638"/>
      <c r="X44" s="638"/>
      <c r="Y44" s="638"/>
      <c r="Z44" s="638"/>
      <c r="AA44" s="638"/>
      <c r="AB44" s="638"/>
      <c r="AC44" s="638"/>
      <c r="AD44" s="638"/>
      <c r="AE44" s="638"/>
    </row>
    <row r="45" customFormat="false" ht="15.75" hidden="false" customHeight="false" outlineLevel="0" collapsed="false">
      <c r="A45" s="817" t="str">
        <f aca="false">$A$13</f>
        <v>Goodra</v>
      </c>
      <c r="B45" s="817"/>
      <c r="C45" s="817"/>
      <c r="D45" s="855" t="n">
        <f aca="false" t="array" ref="D45:D45">IF(ISNA(INDEX(Pokedex!L$2:L$610,MATCH($A45,Pokedex!$B$2:$B$610,0))),"-",INDEX(Pokedex!L$2:L$610,MATCH($A45,Pokedex!$B$2:$B$610,0)))</f>
        <v>90</v>
      </c>
      <c r="E45" s="51" t="n">
        <f aca="false" t="array" ref="E45:E45">IF(ISNA(INDEX(Pokedex!M$2:M$610,MATCH($A45,Pokedex!$B$2:$B$610,0))),"-",INDEX(Pokedex!M$2:M$610,MATCH($A45,Pokedex!$B$2:$B$610,0)))</f>
        <v>100</v>
      </c>
      <c r="F45" s="51" t="n">
        <f aca="false" t="array" ref="F45:F45">IF(ISNA(INDEX(Pokedex!N$2:N$610,MATCH($A45,Pokedex!$B$2:$B$610,0))),"-",INDEX(Pokedex!N$2:N$610,MATCH($A45,Pokedex!$B$2:$B$610,0)))</f>
        <v>70</v>
      </c>
      <c r="G45" s="51" t="n">
        <f aca="false" t="array" ref="G45:G45">IF(ISNA(INDEX(Pokedex!O$2:O$610,MATCH($A45,Pokedex!$B$2:$B$610,0))),"-",INDEX(Pokedex!O$2:O$610,MATCH($A45,Pokedex!$B$2:$B$610,0)))</f>
        <v>110</v>
      </c>
      <c r="H45" s="51" t="n">
        <f aca="false" t="array" ref="H45:H45">IF(ISNA(INDEX(Pokedex!P$2:P$610,MATCH($A45,Pokedex!$B$2:$B$610,0))),"-",INDEX(Pokedex!P$2:P$610,MATCH($A45,Pokedex!$B$2:$B$610,0)))</f>
        <v>150</v>
      </c>
      <c r="I45" s="727" t="n">
        <f aca="false" t="array" ref="I45:I45">IF(ISNA(INDEX(Pokedex!Q$2:Q$610,MATCH($A45,Pokedex!$B$2:$B$610,0))),"-",INDEX(Pokedex!Q$2:Q$610,MATCH($A45,Pokedex!$B$2:$B$610,0)))</f>
        <v>80</v>
      </c>
      <c r="J45" s="51" t="n">
        <f aca="false">SUM(D45:I45)</f>
        <v>600</v>
      </c>
      <c r="K45" s="855" t="str">
        <f aca="false" t="array" ref="K45:K45">IF(ISNA(INDEX(Pokedex!R$2:R$610,MATCH($A45,Pokedex!$B$2:$B$610,0))),"-",INDEX(Pokedex!R$2:R$610,MATCH($A45,Pokedex!$B$2:$B$610,0)))</f>
        <v>Dragon</v>
      </c>
      <c r="L45" s="855"/>
      <c r="M45" s="727" t="n">
        <f aca="false">IF(ISNA(INDEX(Pokedex!S$2:S$610,MATCH($A45,Pokedex!$B$2:$B$610,0))),"-",INDEX(Pokedex!S$2:S$610,MATCH($A45,Pokedex!$B$2:$B$610,0)))</f>
        <v>0</v>
      </c>
      <c r="N45" s="727"/>
      <c r="O45" s="44"/>
      <c r="P45" s="44"/>
      <c r="Q45" s="44"/>
      <c r="R45" s="778"/>
      <c r="S45" s="511"/>
      <c r="T45" s="638"/>
      <c r="U45" s="638"/>
      <c r="V45" s="638"/>
      <c r="W45" s="638"/>
      <c r="X45" s="638"/>
      <c r="Y45" s="638"/>
      <c r="Z45" s="638"/>
      <c r="AA45" s="638"/>
      <c r="AB45" s="638"/>
      <c r="AC45" s="638"/>
      <c r="AD45" s="638"/>
      <c r="AE45" s="638"/>
    </row>
    <row r="46" customFormat="false" ht="15.75" hidden="false" customHeight="false" outlineLevel="0" collapsed="false">
      <c r="A46" s="817" t="str">
        <f aca="false">$A$14</f>
        <v>Politoed</v>
      </c>
      <c r="B46" s="817"/>
      <c r="C46" s="817"/>
      <c r="D46" s="855" t="n">
        <f aca="false" t="array" ref="D46:D46">IF(ISNA(INDEX(Pokedex!L$2:L$610,MATCH($A46,Pokedex!$B$2:$B$610,0))),"-",INDEX(Pokedex!L$2:L$610,MATCH($A46,Pokedex!$B$2:$B$610,0)))</f>
        <v>90</v>
      </c>
      <c r="E46" s="51" t="n">
        <f aca="false" t="array" ref="E46:E46">IF(ISNA(INDEX(Pokedex!M$2:M$610,MATCH($A46,Pokedex!$B$2:$B$610,0))),"-",INDEX(Pokedex!M$2:M$610,MATCH($A46,Pokedex!$B$2:$B$610,0)))</f>
        <v>75</v>
      </c>
      <c r="F46" s="51" t="n">
        <f aca="false" t="array" ref="F46:F46">IF(ISNA(INDEX(Pokedex!N$2:N$610,MATCH($A46,Pokedex!$B$2:$B$610,0))),"-",INDEX(Pokedex!N$2:N$610,MATCH($A46,Pokedex!$B$2:$B$610,0)))</f>
        <v>75</v>
      </c>
      <c r="G46" s="51" t="n">
        <f aca="false" t="array" ref="G46:G46">IF(ISNA(INDEX(Pokedex!O$2:O$610,MATCH($A46,Pokedex!$B$2:$B$610,0))),"-",INDEX(Pokedex!O$2:O$610,MATCH($A46,Pokedex!$B$2:$B$610,0)))</f>
        <v>90</v>
      </c>
      <c r="H46" s="51" t="n">
        <f aca="false" t="array" ref="H46:H46">IF(ISNA(INDEX(Pokedex!P$2:P$610,MATCH($A46,Pokedex!$B$2:$B$610,0))),"-",INDEX(Pokedex!P$2:P$610,MATCH($A46,Pokedex!$B$2:$B$610,0)))</f>
        <v>100</v>
      </c>
      <c r="I46" s="727" t="n">
        <f aca="false" t="array" ref="I46:I46">IF(ISNA(INDEX(Pokedex!Q$2:Q$610,MATCH($A46,Pokedex!$B$2:$B$610,0))),"-",INDEX(Pokedex!Q$2:Q$610,MATCH($A46,Pokedex!$B$2:$B$610,0)))</f>
        <v>70</v>
      </c>
      <c r="J46" s="51" t="n">
        <f aca="false">SUM(D46:I46)</f>
        <v>500</v>
      </c>
      <c r="K46" s="855" t="str">
        <f aca="false" t="array" ref="K46:K46">IF(ISNA(INDEX(Pokedex!R$2:R$610,MATCH($A46,Pokedex!$B$2:$B$610,0))),"-",INDEX(Pokedex!R$2:R$610,MATCH($A46,Pokedex!$B$2:$B$610,0)))</f>
        <v>Water</v>
      </c>
      <c r="L46" s="855"/>
      <c r="M46" s="727" t="n">
        <f aca="false">IF(ISNA(INDEX(Pokedex!S$2:S$610,MATCH($A46,Pokedex!$B$2:$B$610,0))),"-",INDEX(Pokedex!S$2:S$610,MATCH($A46,Pokedex!$B$2:$B$610,0)))</f>
        <v>0</v>
      </c>
      <c r="N46" s="727"/>
      <c r="O46" s="44"/>
      <c r="P46" s="44"/>
      <c r="Q46" s="44"/>
      <c r="R46" s="790"/>
      <c r="S46" s="791"/>
      <c r="T46" s="792"/>
      <c r="U46" s="792"/>
      <c r="V46" s="792"/>
      <c r="W46" s="792"/>
      <c r="X46" s="792"/>
      <c r="Y46" s="792"/>
      <c r="Z46" s="792"/>
      <c r="AA46" s="792"/>
      <c r="AB46" s="792"/>
      <c r="AC46" s="792"/>
      <c r="AD46" s="792"/>
      <c r="AE46" s="792"/>
    </row>
    <row r="47" customFormat="false" ht="15.75" hidden="false" customHeight="false" outlineLevel="0" collapsed="false">
      <c r="A47" s="817" t="str">
        <f aca="false">$A$15</f>
        <v>Dhelmise</v>
      </c>
      <c r="B47" s="817"/>
      <c r="C47" s="817"/>
      <c r="D47" s="855" t="n">
        <f aca="false" t="array" ref="D47:D47">IF(ISNA(INDEX(Pokedex!L$2:L$610,MATCH($A47,Pokedex!$B$2:$B$610,0))),"-",INDEX(Pokedex!L$2:L$610,MATCH($A47,Pokedex!$B$2:$B$610,0)))</f>
        <v>70</v>
      </c>
      <c r="E47" s="51" t="n">
        <f aca="false" t="array" ref="E47:E47">IF(ISNA(INDEX(Pokedex!M$2:M$610,MATCH($A47,Pokedex!$B$2:$B$610,0))),"-",INDEX(Pokedex!M$2:M$610,MATCH($A47,Pokedex!$B$2:$B$610,0)))</f>
        <v>131</v>
      </c>
      <c r="F47" s="51" t="n">
        <f aca="false" t="array" ref="F47:F47">IF(ISNA(INDEX(Pokedex!N$2:N$610,MATCH($A47,Pokedex!$B$2:$B$610,0))),"-",INDEX(Pokedex!N$2:N$610,MATCH($A47,Pokedex!$B$2:$B$610,0)))</f>
        <v>100</v>
      </c>
      <c r="G47" s="51" t="n">
        <f aca="false" t="array" ref="G47:G47">IF(ISNA(INDEX(Pokedex!O$2:O$610,MATCH($A47,Pokedex!$B$2:$B$610,0))),"-",INDEX(Pokedex!O$2:O$610,MATCH($A47,Pokedex!$B$2:$B$610,0)))</f>
        <v>86</v>
      </c>
      <c r="H47" s="51" t="n">
        <f aca="false" t="array" ref="H47:H47">IF(ISNA(INDEX(Pokedex!P$2:P$610,MATCH($A47,Pokedex!$B$2:$B$610,0))),"-",INDEX(Pokedex!P$2:P$610,MATCH($A47,Pokedex!$B$2:$B$610,0)))</f>
        <v>90</v>
      </c>
      <c r="I47" s="727" t="n">
        <f aca="false" t="array" ref="I47:I47">IF(ISNA(INDEX(Pokedex!Q$2:Q$610,MATCH($A47,Pokedex!$B$2:$B$610,0))),"-",INDEX(Pokedex!Q$2:Q$610,MATCH($A47,Pokedex!$B$2:$B$610,0)))</f>
        <v>40</v>
      </c>
      <c r="J47" s="51" t="n">
        <f aca="false">SUM(D47:I47)</f>
        <v>517</v>
      </c>
      <c r="K47" s="855" t="str">
        <f aca="false" t="array" ref="K47:K47">IF(ISNA(INDEX(Pokedex!R$2:R$610,MATCH($A47,Pokedex!$B$2:$B$610,0))),"-",INDEX(Pokedex!R$2:R$610,MATCH($A47,Pokedex!$B$2:$B$610,0)))</f>
        <v>Ghost</v>
      </c>
      <c r="L47" s="855"/>
      <c r="M47" s="727" t="str">
        <f aca="false" t="array" ref="M47:M47">IF(ISNA(INDEX(Pokedex!S$2:S$610,MATCH($A47,Pokedex!$B$2:$B$610,0))),"-",INDEX(Pokedex!S$2:S$610,MATCH($A47,Pokedex!$B$2:$B$610,0)))</f>
        <v>Grass</v>
      </c>
      <c r="N47" s="727"/>
      <c r="O47" s="44"/>
      <c r="P47" s="44"/>
      <c r="Q47" s="44"/>
      <c r="R47" s="790"/>
      <c r="S47" s="791"/>
      <c r="T47" s="792"/>
      <c r="U47" s="792"/>
      <c r="V47" s="792"/>
      <c r="W47" s="792"/>
      <c r="X47" s="792"/>
      <c r="Y47" s="792"/>
      <c r="Z47" s="792"/>
      <c r="AA47" s="792"/>
      <c r="AB47" s="792"/>
      <c r="AC47" s="792"/>
      <c r="AD47" s="792"/>
      <c r="AE47" s="792"/>
    </row>
    <row r="48" customFormat="false" ht="15.75" hidden="false" customHeight="false" outlineLevel="0" collapsed="false">
      <c r="A48" s="817" t="str">
        <f aca="false">$A$16</f>
        <v>Ribombee</v>
      </c>
      <c r="B48" s="817"/>
      <c r="C48" s="817"/>
      <c r="D48" s="855" t="n">
        <f aca="false" t="array" ref="D48:D48">IF(ISNA(INDEX(Pokedex!L$2:L$610,MATCH($A48,Pokedex!$B$2:$B$610,0))),"-",INDEX(Pokedex!L$2:L$610,MATCH($A48,Pokedex!$B$2:$B$610,0)))</f>
        <v>60</v>
      </c>
      <c r="E48" s="51" t="n">
        <f aca="false" t="array" ref="E48:E48">IF(ISNA(INDEX(Pokedex!M$2:M$610,MATCH($A48,Pokedex!$B$2:$B$610,0))),"-",INDEX(Pokedex!M$2:M$610,MATCH($A48,Pokedex!$B$2:$B$610,0)))</f>
        <v>55</v>
      </c>
      <c r="F48" s="51" t="n">
        <f aca="false" t="array" ref="F48:F48">IF(ISNA(INDEX(Pokedex!N$2:N$610,MATCH($A48,Pokedex!$B$2:$B$610,0))),"-",INDEX(Pokedex!N$2:N$610,MATCH($A48,Pokedex!$B$2:$B$610,0)))</f>
        <v>60</v>
      </c>
      <c r="G48" s="51" t="n">
        <f aca="false" t="array" ref="G48:G48">IF(ISNA(INDEX(Pokedex!O$2:O$610,MATCH($A48,Pokedex!$B$2:$B$610,0))),"-",INDEX(Pokedex!O$2:O$610,MATCH($A48,Pokedex!$B$2:$B$610,0)))</f>
        <v>95</v>
      </c>
      <c r="H48" s="51" t="n">
        <f aca="false" t="array" ref="H48:H48">IF(ISNA(INDEX(Pokedex!P$2:P$610,MATCH($A48,Pokedex!$B$2:$B$610,0))),"-",INDEX(Pokedex!P$2:P$610,MATCH($A48,Pokedex!$B$2:$B$610,0)))</f>
        <v>70</v>
      </c>
      <c r="I48" s="727" t="n">
        <f aca="false" t="array" ref="I48:I48">IF(ISNA(INDEX(Pokedex!Q$2:Q$610,MATCH($A48,Pokedex!$B$2:$B$610,0))),"-",INDEX(Pokedex!Q$2:Q$610,MATCH($A48,Pokedex!$B$2:$B$610,0)))</f>
        <v>124</v>
      </c>
      <c r="J48" s="51" t="n">
        <f aca="false">SUM(D48:I48)</f>
        <v>464</v>
      </c>
      <c r="K48" s="855" t="str">
        <f aca="false" t="array" ref="K48:K48">IF(ISNA(INDEX(Pokedex!R$2:R$610,MATCH($A48,Pokedex!$B$2:$B$610,0))),"-",INDEX(Pokedex!R$2:R$610,MATCH($A48,Pokedex!$B$2:$B$610,0)))</f>
        <v>Bug</v>
      </c>
      <c r="L48" s="855"/>
      <c r="M48" s="727" t="str">
        <f aca="false" t="array" ref="M48:M48">IF(ISNA(INDEX(Pokedex!S$2:S$610,MATCH($A48,Pokedex!$B$2:$B$610,0))),"-",INDEX(Pokedex!S$2:S$610,MATCH($A48,Pokedex!$B$2:$B$610,0)))</f>
        <v>Fairy</v>
      </c>
      <c r="N48" s="727"/>
      <c r="O48" s="44"/>
      <c r="P48" s="44"/>
      <c r="Q48" s="44"/>
      <c r="R48" s="790"/>
      <c r="S48" s="791"/>
      <c r="T48" s="792"/>
      <c r="U48" s="792"/>
      <c r="V48" s="792"/>
      <c r="W48" s="792"/>
      <c r="X48" s="792"/>
      <c r="Y48" s="792"/>
      <c r="Z48" s="792"/>
      <c r="AA48" s="792"/>
      <c r="AB48" s="792"/>
      <c r="AC48" s="792"/>
      <c r="AD48" s="792"/>
      <c r="AE48" s="792"/>
    </row>
    <row r="49" customFormat="false" ht="15.75" hidden="false" customHeight="false" outlineLevel="0" collapsed="false">
      <c r="A49" s="817" t="str">
        <f aca="false">$A$17</f>
        <v>Togedemaru</v>
      </c>
      <c r="B49" s="817"/>
      <c r="C49" s="817"/>
      <c r="D49" s="855" t="n">
        <f aca="false" t="array" ref="D49:D49">IF(ISNA(INDEX(Pokedex!L$2:L$610,MATCH($A49,Pokedex!$B$2:$B$610,0))),"-",INDEX(Pokedex!L$2:L$610,MATCH($A49,Pokedex!$B$2:$B$610,0)))</f>
        <v>65</v>
      </c>
      <c r="E49" s="51" t="n">
        <f aca="false" t="array" ref="E49:E49">IF(ISNA(INDEX(Pokedex!M$2:M$610,MATCH($A49,Pokedex!$B$2:$B$610,0))),"-",INDEX(Pokedex!M$2:M$610,MATCH($A49,Pokedex!$B$2:$B$610,0)))</f>
        <v>98</v>
      </c>
      <c r="F49" s="51" t="n">
        <f aca="false" t="array" ref="F49:F49">IF(ISNA(INDEX(Pokedex!N$2:N$610,MATCH($A49,Pokedex!$B$2:$B$610,0))),"-",INDEX(Pokedex!N$2:N$610,MATCH($A49,Pokedex!$B$2:$B$610,0)))</f>
        <v>63</v>
      </c>
      <c r="G49" s="51" t="n">
        <f aca="false" t="array" ref="G49:G49">IF(ISNA(INDEX(Pokedex!O$2:O$610,MATCH($A49,Pokedex!$B$2:$B$610,0))),"-",INDEX(Pokedex!O$2:O$610,MATCH($A49,Pokedex!$B$2:$B$610,0)))</f>
        <v>40</v>
      </c>
      <c r="H49" s="51" t="n">
        <f aca="false" t="array" ref="H49:H49">IF(ISNA(INDEX(Pokedex!P$2:P$610,MATCH($A49,Pokedex!$B$2:$B$610,0))),"-",INDEX(Pokedex!P$2:P$610,MATCH($A49,Pokedex!$B$2:$B$610,0)))</f>
        <v>73</v>
      </c>
      <c r="I49" s="727" t="n">
        <f aca="false" t="array" ref="I49:I49">IF(ISNA(INDEX(Pokedex!Q$2:Q$610,MATCH($A49,Pokedex!$B$2:$B$610,0))),"-",INDEX(Pokedex!Q$2:Q$610,MATCH($A49,Pokedex!$B$2:$B$610,0)))</f>
        <v>96</v>
      </c>
      <c r="J49" s="51" t="n">
        <f aca="false">SUM(D49:I49)</f>
        <v>435</v>
      </c>
      <c r="K49" s="855" t="str">
        <f aca="false" t="array" ref="K49:K49">IF(ISNA(INDEX(Pokedex!R$2:R$610,MATCH($A49,Pokedex!$B$2:$B$610,0))),"-",INDEX(Pokedex!R$2:R$610,MATCH($A49,Pokedex!$B$2:$B$610,0)))</f>
        <v>Electric</v>
      </c>
      <c r="L49" s="855"/>
      <c r="M49" s="727" t="str">
        <f aca="false" t="array" ref="M49:M49">IF(ISNA(INDEX(Pokedex!S$2:S$610,MATCH($A49,Pokedex!$B$2:$B$610,0))),"-",INDEX(Pokedex!S$2:S$610,MATCH($A49,Pokedex!$B$2:$B$610,0)))</f>
        <v>Steel</v>
      </c>
      <c r="N49" s="727"/>
      <c r="O49" s="44"/>
      <c r="P49" s="44"/>
      <c r="Q49" s="44"/>
      <c r="R49" s="790"/>
      <c r="S49" s="791"/>
      <c r="T49" s="792"/>
      <c r="U49" s="792"/>
      <c r="V49" s="792"/>
      <c r="W49" s="792"/>
      <c r="X49" s="792"/>
      <c r="Y49" s="792"/>
      <c r="Z49" s="792"/>
      <c r="AA49" s="792"/>
      <c r="AB49" s="792"/>
      <c r="AC49" s="792"/>
      <c r="AD49" s="792"/>
      <c r="AE49" s="792"/>
    </row>
    <row r="50" customFormat="false" ht="15.75" hidden="false" customHeight="false" outlineLevel="0" collapsed="false">
      <c r="A50" s="817" t="str">
        <f aca="false">$A$18</f>
        <v>Medicham-Mega</v>
      </c>
      <c r="B50" s="817"/>
      <c r="C50" s="817"/>
      <c r="D50" s="855" t="n">
        <f aca="false" t="array" ref="D50:D50">IF(ISNA(INDEX(Pokedex!L$2:L$610,MATCH($A50,Pokedex!$B$2:$B$610,0))),"-",INDEX(Pokedex!L$2:L$610,MATCH($A50,Pokedex!$B$2:$B$610,0)))</f>
        <v>60</v>
      </c>
      <c r="E50" s="51" t="n">
        <f aca="false" t="array" ref="E50:E50">IF(ISNA(INDEX(Pokedex!M$2:M$610,MATCH($A50,Pokedex!$B$2:$B$610,0))),"-",INDEX(Pokedex!M$2:M$610,MATCH($A50,Pokedex!$B$2:$B$610,0)))</f>
        <v>100</v>
      </c>
      <c r="F50" s="51" t="n">
        <f aca="false" t="array" ref="F50:F50">IF(ISNA(INDEX(Pokedex!N$2:N$610,MATCH($A50,Pokedex!$B$2:$B$610,0))),"-",INDEX(Pokedex!N$2:N$610,MATCH($A50,Pokedex!$B$2:$B$610,0)))</f>
        <v>85</v>
      </c>
      <c r="G50" s="51" t="n">
        <f aca="false" t="array" ref="G50:G50">IF(ISNA(INDEX(Pokedex!O$2:O$610,MATCH($A50,Pokedex!$B$2:$B$610,0))),"-",INDEX(Pokedex!O$2:O$610,MATCH($A50,Pokedex!$B$2:$B$610,0)))</f>
        <v>80</v>
      </c>
      <c r="H50" s="51" t="n">
        <f aca="false" t="array" ref="H50:H50">IF(ISNA(INDEX(Pokedex!P$2:P$610,MATCH($A50,Pokedex!$B$2:$B$610,0))),"-",INDEX(Pokedex!P$2:P$610,MATCH($A50,Pokedex!$B$2:$B$610,0)))</f>
        <v>85</v>
      </c>
      <c r="I50" s="727" t="n">
        <f aca="false" t="array" ref="I50:I50">IF(ISNA(INDEX(Pokedex!Q$2:Q$610,MATCH($A50,Pokedex!$B$2:$B$610,0))),"-",INDEX(Pokedex!Q$2:Q$610,MATCH($A50,Pokedex!$B$2:$B$610,0)))</f>
        <v>100</v>
      </c>
      <c r="J50" s="51" t="n">
        <f aca="false">SUM(D50:I50)</f>
        <v>510</v>
      </c>
      <c r="K50" s="855" t="str">
        <f aca="false" t="array" ref="K50:K50">IF(ISNA(INDEX(Pokedex!R$2:R$610,MATCH($A50,Pokedex!$B$2:$B$610,0))),"-",INDEX(Pokedex!R$2:R$610,MATCH($A50,Pokedex!$B$2:$B$610,0)))</f>
        <v>Fighting</v>
      </c>
      <c r="L50" s="855"/>
      <c r="M50" s="727" t="str">
        <f aca="false" t="array" ref="M50:M50">IF(ISNA(INDEX(Pokedex!S$2:S$610,MATCH($A50,Pokedex!$B$2:$B$610,0))),"-",INDEX(Pokedex!S$2:S$610,MATCH($A50,Pokedex!$B$2:$B$610,0)))</f>
        <v>Psychic</v>
      </c>
      <c r="N50" s="727"/>
      <c r="O50" s="44"/>
      <c r="P50" s="44"/>
      <c r="Q50" s="44"/>
      <c r="R50" s="790"/>
      <c r="S50" s="791"/>
      <c r="T50" s="792"/>
      <c r="U50" s="792"/>
      <c r="V50" s="792"/>
      <c r="W50" s="792"/>
      <c r="X50" s="792"/>
      <c r="Y50" s="792"/>
      <c r="Z50" s="792"/>
      <c r="AA50" s="792"/>
      <c r="AB50" s="792"/>
      <c r="AC50" s="792"/>
      <c r="AD50" s="792"/>
      <c r="AE50" s="792"/>
    </row>
    <row r="51" customFormat="false" ht="15.75" hidden="false" customHeight="false" outlineLevel="0" collapsed="false">
      <c r="A51" s="817" t="str">
        <f aca="false">$A$19</f>
        <v>Chandelure</v>
      </c>
      <c r="B51" s="817"/>
      <c r="C51" s="817"/>
      <c r="D51" s="855" t="n">
        <f aca="false" t="array" ref="D51:D51">IF(ISNA(INDEX(Pokedex!L$2:L$610,MATCH($A51,Pokedex!$B$2:$B$610,0))),"-",INDEX(Pokedex!L$2:L$610,MATCH($A51,Pokedex!$B$2:$B$610,0)))</f>
        <v>60</v>
      </c>
      <c r="E51" s="51" t="n">
        <f aca="false" t="array" ref="E51:E51">IF(ISNA(INDEX(Pokedex!M$2:M$610,MATCH($A51,Pokedex!$B$2:$B$610,0))),"-",INDEX(Pokedex!M$2:M$610,MATCH($A51,Pokedex!$B$2:$B$610,0)))</f>
        <v>55</v>
      </c>
      <c r="F51" s="51" t="n">
        <f aca="false" t="array" ref="F51:F51">IF(ISNA(INDEX(Pokedex!N$2:N$610,MATCH($A51,Pokedex!$B$2:$B$610,0))),"-",INDEX(Pokedex!N$2:N$610,MATCH($A51,Pokedex!$B$2:$B$610,0)))</f>
        <v>90</v>
      </c>
      <c r="G51" s="51" t="n">
        <f aca="false" t="array" ref="G51:G51">IF(ISNA(INDEX(Pokedex!O$2:O$610,MATCH($A51,Pokedex!$B$2:$B$610,0))),"-",INDEX(Pokedex!O$2:O$610,MATCH($A51,Pokedex!$B$2:$B$610,0)))</f>
        <v>145</v>
      </c>
      <c r="H51" s="51" t="n">
        <f aca="false" t="array" ref="H51:H51">IF(ISNA(INDEX(Pokedex!P$2:P$610,MATCH($A51,Pokedex!$B$2:$B$610,0))),"-",INDEX(Pokedex!P$2:P$610,MATCH($A51,Pokedex!$B$2:$B$610,0)))</f>
        <v>90</v>
      </c>
      <c r="I51" s="727" t="n">
        <f aca="false" t="array" ref="I51:I51">IF(ISNA(INDEX(Pokedex!Q$2:Q$610,MATCH($A51,Pokedex!$B$2:$B$610,0))),"-",INDEX(Pokedex!Q$2:Q$610,MATCH($A51,Pokedex!$B$2:$B$610,0)))</f>
        <v>80</v>
      </c>
      <c r="J51" s="51" t="n">
        <f aca="false">SUM(D51:I51)</f>
        <v>520</v>
      </c>
      <c r="K51" s="855" t="str">
        <f aca="false" t="array" ref="K51:K51">IF(ISNA(INDEX(Pokedex!R$2:R$610,MATCH($A51,Pokedex!$B$2:$B$610,0))),"-",INDEX(Pokedex!R$2:R$610,MATCH($A51,Pokedex!$B$2:$B$610,0)))</f>
        <v>Fire</v>
      </c>
      <c r="L51" s="855"/>
      <c r="M51" s="727" t="str">
        <f aca="false" t="array" ref="M51:M51">IF(ISNA(INDEX(Pokedex!S$2:S$610,MATCH($A51,Pokedex!$B$2:$B$610,0))),"-",INDEX(Pokedex!S$2:S$610,MATCH($A51,Pokedex!$B$2:$B$610,0)))</f>
        <v>Ghost</v>
      </c>
      <c r="N51" s="727"/>
      <c r="O51" s="44"/>
      <c r="P51" s="44"/>
      <c r="Q51" s="44"/>
      <c r="R51" s="820"/>
      <c r="S51" s="821"/>
      <c r="T51" s="792"/>
      <c r="U51" s="792"/>
      <c r="V51" s="792"/>
      <c r="W51" s="792"/>
      <c r="X51" s="792"/>
      <c r="Y51" s="792"/>
      <c r="Z51" s="792"/>
      <c r="AA51" s="792"/>
      <c r="AB51" s="792"/>
      <c r="AC51" s="792"/>
      <c r="AD51" s="792"/>
      <c r="AE51" s="792"/>
    </row>
    <row r="52" customFormat="false" ht="15.75" hidden="false" customHeight="false" outlineLevel="0" collapsed="false">
      <c r="A52" s="817" t="str">
        <f aca="false">$A$20</f>
        <v>Mamoswine</v>
      </c>
      <c r="B52" s="817"/>
      <c r="C52" s="817"/>
      <c r="D52" s="855" t="n">
        <f aca="false" t="array" ref="D52:D52">IF(ISNA(INDEX(Pokedex!L$2:L$610,MATCH($A52,Pokedex!$B$2:$B$610,0))),"-",INDEX(Pokedex!L$2:L$610,MATCH($A52,Pokedex!$B$2:$B$610,0)))</f>
        <v>110</v>
      </c>
      <c r="E52" s="51" t="n">
        <f aca="false" t="array" ref="E52:E52">IF(ISNA(INDEX(Pokedex!M$2:M$610,MATCH($A52,Pokedex!$B$2:$B$610,0))),"-",INDEX(Pokedex!M$2:M$610,MATCH($A52,Pokedex!$B$2:$B$610,0)))</f>
        <v>130</v>
      </c>
      <c r="F52" s="51" t="n">
        <f aca="false" t="array" ref="F52:F52">IF(ISNA(INDEX(Pokedex!N$2:N$610,MATCH($A52,Pokedex!$B$2:$B$610,0))),"-",INDEX(Pokedex!N$2:N$610,MATCH($A52,Pokedex!$B$2:$B$610,0)))</f>
        <v>80</v>
      </c>
      <c r="G52" s="51" t="n">
        <f aca="false" t="array" ref="G52:G52">IF(ISNA(INDEX(Pokedex!O$2:O$610,MATCH($A52,Pokedex!$B$2:$B$610,0))),"-",INDEX(Pokedex!O$2:O$610,MATCH($A52,Pokedex!$B$2:$B$610,0)))</f>
        <v>70</v>
      </c>
      <c r="H52" s="51" t="n">
        <f aca="false" t="array" ref="H52:H52">IF(ISNA(INDEX(Pokedex!P$2:P$610,MATCH($A52,Pokedex!$B$2:$B$610,0))),"-",INDEX(Pokedex!P$2:P$610,MATCH($A52,Pokedex!$B$2:$B$610,0)))</f>
        <v>60</v>
      </c>
      <c r="I52" s="727" t="n">
        <f aca="false" t="array" ref="I52:I52">IF(ISNA(INDEX(Pokedex!Q$2:Q$610,MATCH($A52,Pokedex!$B$2:$B$610,0))),"-",INDEX(Pokedex!Q$2:Q$610,MATCH($A52,Pokedex!$B$2:$B$610,0)))</f>
        <v>80</v>
      </c>
      <c r="J52" s="51" t="n">
        <f aca="false">SUM(D52:I52)</f>
        <v>530</v>
      </c>
      <c r="K52" s="855" t="str">
        <f aca="false" t="array" ref="K52:K52">IF(ISNA(INDEX(Pokedex!R$2:R$610,MATCH($A52,Pokedex!$B$2:$B$610,0))),"-",INDEX(Pokedex!R$2:R$610,MATCH($A52,Pokedex!$B$2:$B$610,0)))</f>
        <v>Ground</v>
      </c>
      <c r="L52" s="855"/>
      <c r="M52" s="727" t="str">
        <f aca="false" t="array" ref="M52:M52">IF(ISNA(INDEX(Pokedex!S$2:S$610,MATCH($A52,Pokedex!$B$2:$B$610,0))),"-",INDEX(Pokedex!S$2:S$610,MATCH($A52,Pokedex!$B$2:$B$610,0)))</f>
        <v>Ice</v>
      </c>
      <c r="N52" s="727"/>
      <c r="O52" s="44"/>
      <c r="P52" s="44"/>
      <c r="Q52" s="44"/>
      <c r="R52" s="824"/>
      <c r="S52" s="638"/>
      <c r="T52" s="638"/>
      <c r="U52" s="638"/>
      <c r="V52" s="638"/>
      <c r="W52" s="638"/>
      <c r="X52" s="638"/>
      <c r="Y52" s="638"/>
      <c r="Z52" s="638"/>
      <c r="AA52" s="638"/>
      <c r="AB52" s="638"/>
      <c r="AC52" s="638"/>
      <c r="AD52" s="638"/>
      <c r="AE52" s="638"/>
    </row>
    <row r="53" customFormat="false" ht="15.75" hidden="false" customHeight="false" outlineLevel="0" collapsed="false">
      <c r="A53" s="817" t="str">
        <f aca="false">$A$21</f>
        <v>Milotic</v>
      </c>
      <c r="B53" s="817"/>
      <c r="C53" s="817"/>
      <c r="D53" s="855" t="n">
        <f aca="false" t="array" ref="D53:D53">IF(ISNA(INDEX(Pokedex!L$2:L$610,MATCH($A53,Pokedex!$B$2:$B$610,0))),"-",INDEX(Pokedex!L$2:L$610,MATCH($A53,Pokedex!$B$2:$B$610,0)))</f>
        <v>95</v>
      </c>
      <c r="E53" s="51" t="n">
        <f aca="false" t="array" ref="E53:E53">IF(ISNA(INDEX(Pokedex!M$2:M$610,MATCH($A53,Pokedex!$B$2:$B$610,0))),"-",INDEX(Pokedex!M$2:M$610,MATCH($A53,Pokedex!$B$2:$B$610,0)))</f>
        <v>60</v>
      </c>
      <c r="F53" s="51" t="n">
        <f aca="false" t="array" ref="F53:F53">IF(ISNA(INDEX(Pokedex!N$2:N$610,MATCH($A53,Pokedex!$B$2:$B$610,0))),"-",INDEX(Pokedex!N$2:N$610,MATCH($A53,Pokedex!$B$2:$B$610,0)))</f>
        <v>79</v>
      </c>
      <c r="G53" s="51" t="n">
        <f aca="false" t="array" ref="G53:G53">IF(ISNA(INDEX(Pokedex!O$2:O$610,MATCH($A53,Pokedex!$B$2:$B$610,0))),"-",INDEX(Pokedex!O$2:O$610,MATCH($A53,Pokedex!$B$2:$B$610,0)))</f>
        <v>100</v>
      </c>
      <c r="H53" s="51" t="n">
        <f aca="false" t="array" ref="H53:H53">IF(ISNA(INDEX(Pokedex!P$2:P$610,MATCH($A53,Pokedex!$B$2:$B$610,0))),"-",INDEX(Pokedex!P$2:P$610,MATCH($A53,Pokedex!$B$2:$B$610,0)))</f>
        <v>125</v>
      </c>
      <c r="I53" s="727" t="n">
        <f aca="false" t="array" ref="I53:I53">IF(ISNA(INDEX(Pokedex!Q$2:Q$610,MATCH($A53,Pokedex!$B$2:$B$610,0))),"-",INDEX(Pokedex!Q$2:Q$610,MATCH($A53,Pokedex!$B$2:$B$610,0)))</f>
        <v>81</v>
      </c>
      <c r="J53" s="51" t="n">
        <f aca="false">SUM(D53:I53)</f>
        <v>540</v>
      </c>
      <c r="K53" s="855" t="str">
        <f aca="false" t="array" ref="K53:K53">IF(ISNA(INDEX(Pokedex!R$2:R$610,MATCH($A53,Pokedex!$B$2:$B$610,0))),"-",INDEX(Pokedex!R$2:R$610,MATCH($A53,Pokedex!$B$2:$B$610,0)))</f>
        <v>Water</v>
      </c>
      <c r="L53" s="855"/>
      <c r="M53" s="727" t="n">
        <f aca="false">IF(ISNA(INDEX(Pokedex!S$2:S$610,MATCH($A53,Pokedex!$B$2:$B$610,0))),"-",INDEX(Pokedex!S$2:S$610,MATCH($A53,Pokedex!$B$2:$B$610,0)))</f>
        <v>0</v>
      </c>
      <c r="N53" s="727"/>
      <c r="O53" s="44"/>
      <c r="P53" s="44"/>
      <c r="Q53" s="44"/>
      <c r="R53" s="824"/>
      <c r="S53" s="638"/>
      <c r="T53" s="638"/>
      <c r="U53" s="638"/>
      <c r="V53" s="638"/>
      <c r="W53" s="638"/>
      <c r="X53" s="638"/>
      <c r="Y53" s="638"/>
      <c r="Z53" s="638"/>
      <c r="AA53" s="638"/>
      <c r="AB53" s="638"/>
      <c r="AC53" s="638"/>
      <c r="AD53" s="638"/>
      <c r="AE53" s="638"/>
    </row>
    <row r="54" customFormat="false" ht="15.75" hidden="false" customHeight="false" outlineLevel="0" collapsed="false">
      <c r="A54" s="826" t="str">
        <f aca="false">$A$22</f>
        <v>Palossand</v>
      </c>
      <c r="B54" s="826"/>
      <c r="C54" s="826"/>
      <c r="D54" s="870" t="n">
        <f aca="false" t="array" ref="D54:D54">IF(ISNA(INDEX(Pokedex!L$2:L$610,MATCH($A54,Pokedex!$B$2:$B$610,0))),"-",INDEX(Pokedex!L$2:L$610,MATCH($A54,Pokedex!$B$2:$B$610,0)))</f>
        <v>85</v>
      </c>
      <c r="E54" s="828" t="n">
        <f aca="false" t="array" ref="E54:E54">IF(ISNA(INDEX(Pokedex!M$2:M$610,MATCH($A54,Pokedex!$B$2:$B$610,0))),"-",INDEX(Pokedex!M$2:M$610,MATCH($A54,Pokedex!$B$2:$B$610,0)))</f>
        <v>75</v>
      </c>
      <c r="F54" s="828" t="n">
        <f aca="false" t="array" ref="F54:F54">IF(ISNA(INDEX(Pokedex!N$2:N$610,MATCH($A54,Pokedex!$B$2:$B$610,0))),"-",INDEX(Pokedex!N$2:N$610,MATCH($A54,Pokedex!$B$2:$B$610,0)))</f>
        <v>110</v>
      </c>
      <c r="G54" s="828" t="n">
        <f aca="false" t="array" ref="G54:G54">IF(ISNA(INDEX(Pokedex!O$2:O$610,MATCH($A54,Pokedex!$B$2:$B$610,0))),"-",INDEX(Pokedex!O$2:O$610,MATCH($A54,Pokedex!$B$2:$B$610,0)))</f>
        <v>100</v>
      </c>
      <c r="H54" s="828" t="n">
        <f aca="false" t="array" ref="H54:H54">IF(ISNA(INDEX(Pokedex!P$2:P$610,MATCH($A54,Pokedex!$B$2:$B$610,0))),"-",INDEX(Pokedex!P$2:P$610,MATCH($A54,Pokedex!$B$2:$B$610,0)))</f>
        <v>75</v>
      </c>
      <c r="I54" s="744" t="n">
        <f aca="false" t="array" ref="I54:I54">IF(ISNA(INDEX(Pokedex!Q$2:Q$610,MATCH($A54,Pokedex!$B$2:$B$610,0))),"-",INDEX(Pokedex!Q$2:Q$610,MATCH($A54,Pokedex!$B$2:$B$610,0)))</f>
        <v>35</v>
      </c>
      <c r="J54" s="828" t="n">
        <f aca="false">SUM(D54:I54)</f>
        <v>480</v>
      </c>
      <c r="K54" s="870" t="str">
        <f aca="false" t="array" ref="K54:K54">IF(ISNA(INDEX(Pokedex!R$2:R$610,MATCH($A54,Pokedex!$B$2:$B$610,0))),"-",INDEX(Pokedex!R$2:R$610,MATCH($A54,Pokedex!$B$2:$B$610,0)))</f>
        <v>Ghost</v>
      </c>
      <c r="L54" s="870"/>
      <c r="M54" s="744" t="str">
        <f aca="false" t="array" ref="M54:M54">IF(ISNA(INDEX(Pokedex!S$2:S$610,MATCH($A54,Pokedex!$B$2:$B$610,0))),"-",INDEX(Pokedex!S$2:S$610,MATCH($A54,Pokedex!$B$2:$B$610,0)))</f>
        <v>Ground</v>
      </c>
      <c r="N54" s="744"/>
      <c r="O54" s="44"/>
      <c r="P54" s="44"/>
      <c r="Q54" s="871" t="s">
        <v>2068</v>
      </c>
      <c r="R54" s="871"/>
      <c r="S54" s="871"/>
      <c r="T54" s="871" t="s">
        <v>2069</v>
      </c>
      <c r="U54" s="871"/>
      <c r="V54" s="871"/>
      <c r="W54" s="872" t="s">
        <v>209</v>
      </c>
      <c r="X54" s="872"/>
      <c r="Y54" s="332" t="s">
        <v>2070</v>
      </c>
      <c r="Z54" s="332"/>
      <c r="AA54" s="172" t="s">
        <v>213</v>
      </c>
      <c r="AB54" s="172"/>
      <c r="AC54" s="172"/>
      <c r="AD54" s="172"/>
      <c r="AE54" s="873"/>
    </row>
    <row r="55" customFormat="false" ht="15.75" hidden="false" customHeight="false" outlineLevel="0" collapsed="false">
      <c r="A55" s="874" t="s">
        <v>2075</v>
      </c>
      <c r="B55" s="874"/>
      <c r="C55" s="874"/>
      <c r="D55" s="875" t="n">
        <f aca="false">IF(ISERROR(AVERAGE(D44:D54)),"-",AVERAGE(D44:D54))</f>
        <v>76.7272727272727</v>
      </c>
      <c r="E55" s="876" t="n">
        <f aca="false">IF(ISERROR(AVERAGE(E44:E54)),"-",AVERAGE(E44:E54))</f>
        <v>96.3636363636364</v>
      </c>
      <c r="F55" s="876" t="n">
        <f aca="false">IF(ISERROR(AVERAGE(F44:F54)),"-",AVERAGE(F44:F54))</f>
        <v>85.7272727272727</v>
      </c>
      <c r="G55" s="876" t="n">
        <f aca="false">IF(ISERROR(AVERAGE(G44:G54)),"-",AVERAGE(G44:G54))</f>
        <v>88.6363636363636</v>
      </c>
      <c r="H55" s="876" t="n">
        <f aca="false">IF(ISERROR(AVERAGE(H44:H54)),"-",AVERAGE(H44:H54))</f>
        <v>86.2727272727273</v>
      </c>
      <c r="I55" s="877" t="n">
        <f aca="false">IF(ISERROR(AVERAGE(I44:I54)),"-",AVERAGE(I44:I54))</f>
        <v>81.3636363636364</v>
      </c>
      <c r="J55" s="877" t="n">
        <f aca="false">IF(ISERROR(AVERAGE(J44:J54)),"-",AVERAGE(J44:J54))</f>
        <v>515.090909090909</v>
      </c>
      <c r="K55" s="44"/>
      <c r="L55" s="44"/>
      <c r="M55" s="44"/>
      <c r="N55" s="44"/>
      <c r="O55" s="44"/>
      <c r="P55" s="44"/>
      <c r="Q55" s="878" t="str">
        <f aca="false">IFERROR(__xludf.dummyfunction("{if(isna(filter(Transactions!$AR$3:$AR$100,Transactions!$AU$3:$AU$100=$L$1)),,filter(Transactions!$AR$3:$AR$100,Transactions!$AU$3:$AU$100=$L$1));if(isna(filter(Transactions!$AW$3:$AW$100,Transactions!$AP$3:$AP$100=$L$1)),,filter(Transactions!$AW$3:$AW$10"&amp;"0,Transactions!$AP$3:$AP$100=$L$1))}"),"")</f>
        <v/>
      </c>
      <c r="R55" s="878"/>
      <c r="S55" s="878"/>
      <c r="T55" s="878" t="str">
        <f aca="false">IFERROR(__xludf.dummyfunction("{if(isna(filter(Transactions!$AW$3:$AW$100,Transactions!$AU$3:$AU$100=$L$1)),,filter(Transactions!$AW$3:$AW$100,Transactions!$AU$3:$AU$100=$L$1));if(isna(filter(Transactions!$AR$3:$AR$100,Transactions!$AP$3:$AP$100=$L$1)),,filter(Transactions!$AR$3:$AR$10"&amp;"0,Transactions!$AP$3:$AP$100=$L$1))}"),"")</f>
        <v/>
      </c>
      <c r="U55" s="878"/>
      <c r="V55" s="878"/>
      <c r="W55" s="879" t="str">
        <f aca="false">IFERROR(__xludf.dummyfunction("{if(isna(filter(Transactions!$AZ$3:$AZ$100,Transactions!$AU$3:$AU$100=$L$1)),,filter(Transactions!$AZ$3:$AZ$100,Transactions!$AU$3:$AU$100=$L$1));if(isna(filter(Transactions!$AZ$3:$AZ$100,Transactions!$AP$3:$AP$100=$L$1)),,filter(Transactions!$AZ$3:$AZ$10"&amp;"0,Transactions!$AP$3:$AP$100=$L$1))}"),"")</f>
        <v/>
      </c>
      <c r="X55" s="879"/>
      <c r="Y55" s="879" t="str">
        <f aca="false">IFERROR(__xludf.dummyfunction("{if(isna(filter(Transactions!$AP$3:$AP$100,Transactions!$AU$3:$AU$100=$L$1)),,filter(Transactions!$AP$3:$AP$100,Transactions!$AU$3:$AU$100=$L$1));if(isna(filter(Transactions!$AU$3:$AU$100,Transactions!$AP$3:$AP$100=$L$1)),,filter(Transactions!$AU$3:$AU$10"&amp;"0,Transactions!$AP$3:$AP$100=$L$1))}"),"")</f>
        <v/>
      </c>
      <c r="Z55" s="879"/>
      <c r="AA55" s="880" t="str">
        <f aca="false">IFERROR(__xludf.dummyfunction("{if(isna(filter(Transactions!$BB$3:$BB$100,Transactions!$AU$3:$AU$100=$L$1)),,filter(Transactions!$BB$3:$BB$100,Transactions!$AU$3:$AU$100=$L$1));if(isna(filter(Transactions!$BB$3:$BB$100,Transactions!$AP$3:$AP$100=$L$1)),,filter(Transactions!$BB$3:$BB$10"&amp;"0,Transactions!$AP$3:$AP$100=$L$1))}"),"")</f>
        <v/>
      </c>
      <c r="AB55" s="880"/>
      <c r="AC55" s="880"/>
      <c r="AD55" s="880"/>
      <c r="AE55" s="881"/>
    </row>
    <row r="56" customFormat="false" ht="15.75" hidden="false" customHeight="false" outlineLevel="0" collapsed="false">
      <c r="A56" s="832" t="s">
        <v>2063</v>
      </c>
      <c r="B56" s="832"/>
      <c r="C56" s="832"/>
      <c r="D56" s="882" t="n">
        <f aca="false">SUM(D44:D54)</f>
        <v>844</v>
      </c>
      <c r="E56" s="883" t="n">
        <f aca="false">SUM(E44:E54)</f>
        <v>1060</v>
      </c>
      <c r="F56" s="883" t="n">
        <f aca="false">SUM(F44:F54)</f>
        <v>943</v>
      </c>
      <c r="G56" s="883" t="n">
        <f aca="false">SUM(G44:G54)</f>
        <v>975</v>
      </c>
      <c r="H56" s="883" t="n">
        <f aca="false">SUM(H44:H54)</f>
        <v>949</v>
      </c>
      <c r="I56" s="783" t="n">
        <f aca="false">SUM(I44:I54)</f>
        <v>895</v>
      </c>
      <c r="J56" s="783" t="n">
        <f aca="false">SUM(J44:J54)</f>
        <v>5666</v>
      </c>
      <c r="K56" s="44"/>
      <c r="L56" s="44"/>
      <c r="M56" s="44"/>
      <c r="N56" s="44"/>
      <c r="O56" s="44"/>
      <c r="P56" s="44"/>
      <c r="Q56" s="884" t="s">
        <v>124</v>
      </c>
      <c r="R56" s="884"/>
      <c r="S56" s="884"/>
      <c r="T56" s="884"/>
      <c r="U56" s="884"/>
      <c r="V56" s="884"/>
      <c r="W56" s="885"/>
      <c r="X56" s="885"/>
      <c r="Y56" s="885"/>
      <c r="Z56" s="885"/>
      <c r="AA56" s="757"/>
      <c r="AB56" s="757"/>
      <c r="AC56" s="757"/>
      <c r="AD56" s="757"/>
      <c r="AE56" s="886"/>
    </row>
    <row r="57" customFormat="false" ht="15.75" hidden="false" customHeight="false" outlineLevel="0" collapsed="false">
      <c r="A57" s="44"/>
      <c r="B57" s="44"/>
      <c r="C57" s="44"/>
      <c r="D57" s="44"/>
      <c r="E57" s="44"/>
      <c r="F57" s="44"/>
      <c r="G57" s="44"/>
      <c r="H57" s="44"/>
      <c r="I57" s="44"/>
      <c r="J57" s="44"/>
      <c r="K57" s="44"/>
      <c r="L57" s="44"/>
      <c r="M57" s="44"/>
      <c r="N57" s="44"/>
      <c r="O57" s="44"/>
      <c r="P57" s="44"/>
      <c r="Q57" s="887"/>
      <c r="R57" s="887"/>
      <c r="S57" s="887"/>
      <c r="T57" s="887"/>
      <c r="U57" s="887"/>
      <c r="V57" s="887"/>
      <c r="W57" s="888"/>
      <c r="X57" s="888"/>
      <c r="Y57" s="888"/>
      <c r="Z57" s="888"/>
      <c r="AA57" s="889"/>
      <c r="AB57" s="889"/>
      <c r="AC57" s="889"/>
      <c r="AD57" s="889"/>
      <c r="AE57" s="881"/>
    </row>
    <row r="58" customFormat="false" ht="15.75" hidden="false" customHeight="false" outlineLevel="0" collapsed="false">
      <c r="A58" s="852" t="s">
        <v>773</v>
      </c>
      <c r="B58" s="852"/>
      <c r="C58" s="852"/>
      <c r="D58" s="342" t="s">
        <v>2076</v>
      </c>
      <c r="E58" s="342"/>
      <c r="F58" s="342"/>
      <c r="G58" s="342"/>
      <c r="H58" s="342"/>
      <c r="I58" s="342"/>
      <c r="J58" s="50"/>
      <c r="K58" s="341" t="s">
        <v>2077</v>
      </c>
      <c r="L58" s="341"/>
      <c r="M58" s="341"/>
      <c r="N58" s="341"/>
      <c r="O58" s="44"/>
      <c r="P58" s="44"/>
      <c r="Q58" s="884"/>
      <c r="R58" s="884"/>
      <c r="S58" s="884"/>
      <c r="T58" s="884"/>
      <c r="U58" s="884"/>
      <c r="V58" s="884"/>
      <c r="W58" s="885"/>
      <c r="X58" s="885"/>
      <c r="Y58" s="885"/>
      <c r="Z58" s="885"/>
      <c r="AA58" s="757"/>
      <c r="AB58" s="757"/>
      <c r="AC58" s="757"/>
      <c r="AD58" s="757"/>
      <c r="AE58" s="886"/>
    </row>
    <row r="59" customFormat="false" ht="15.75" hidden="false" customHeight="false" outlineLevel="0" collapsed="false">
      <c r="A59" s="890" t="str">
        <f aca="false">$A$12</f>
        <v>Kartana</v>
      </c>
      <c r="B59" s="890"/>
      <c r="C59" s="890"/>
      <c r="D59" s="867" t="str">
        <f aca="false" t="array" ref="D59:D59">IF(ISNA(INDEX(Pokedex!T$2:T$610,MATCH($A59,Pokedex!$B$2:$B$610,0))),"-",INDEX(Pokedex!T$2:T$610,MATCH($A59,Pokedex!$B$2:$B$610,0)))</f>
        <v>Beast Boost</v>
      </c>
      <c r="E59" s="867"/>
      <c r="F59" s="868" t="n">
        <f aca="false">IF(ISNA(INDEX(Pokedex!U$2:U$610,MATCH($A59,Pokedex!$B$2:$B$610,0))),"-",INDEX(Pokedex!U$2:U$610,MATCH($A59,Pokedex!$B$2:$B$610,0)))</f>
        <v>0</v>
      </c>
      <c r="G59" s="868"/>
      <c r="H59" s="869" t="n">
        <f aca="false">IF(ISNA(INDEX(Pokedex!V$2:V$610,MATCH($A59,Pokedex!$B$2:$B$610,0))),"-",INDEX(Pokedex!V$2:V$610,MATCH($A59,Pokedex!$B$2:$B$610,0)))</f>
        <v>0</v>
      </c>
      <c r="I59" s="869"/>
      <c r="J59" s="44"/>
      <c r="K59" s="891" t="str">
        <f aca="false">IFERROR(__xludf.dummyfunction("if(isna(filter($R$2:$R$13,isblank($R$2:$R$13)=FALSE)),""NONE"",filter($R$2:$R$13,isblank($R$2:$R$13)=FALSE))"),"Mamoswine")</f>
        <v>Mamoswine</v>
      </c>
      <c r="L59" s="891"/>
      <c r="M59" s="892" t="str">
        <f aca="false">IFERROR(__xludf.dummyfunction("if(isna(filter($S$2:$S$13,isblank($S$2:$S$13)=FALSE)),""N/A"",filter($S$2:$S$13,isblank($S$2:$S$13)=FALSE))"),"Stealth Rock")</f>
        <v>Stealth Rock</v>
      </c>
      <c r="N59" s="892"/>
      <c r="O59" s="44"/>
      <c r="P59" s="44"/>
      <c r="Q59" s="887"/>
      <c r="R59" s="887"/>
      <c r="S59" s="887"/>
      <c r="T59" s="887"/>
      <c r="U59" s="887"/>
      <c r="V59" s="887"/>
      <c r="W59" s="888"/>
      <c r="X59" s="888"/>
      <c r="Y59" s="888"/>
      <c r="Z59" s="888"/>
      <c r="AA59" s="889"/>
      <c r="AB59" s="889"/>
      <c r="AC59" s="889"/>
      <c r="AD59" s="889"/>
      <c r="AE59" s="881"/>
    </row>
    <row r="60" customFormat="false" ht="15.75" hidden="false" customHeight="false" outlineLevel="0" collapsed="false">
      <c r="A60" s="840" t="str">
        <f aca="false">$A$13</f>
        <v>Goodra</v>
      </c>
      <c r="B60" s="840"/>
      <c r="C60" s="840"/>
      <c r="D60" s="855" t="str">
        <f aca="false" t="array" ref="D60:D60">IF(ISNA(INDEX(Pokedex!T$2:T$610,MATCH($A60,Pokedex!$B$2:$B$610,0))),"-",INDEX(Pokedex!T$2:T$610,MATCH($A60,Pokedex!$B$2:$B$610,0)))</f>
        <v>Gooey</v>
      </c>
      <c r="E60" s="855"/>
      <c r="F60" s="854" t="str">
        <f aca="false" t="array" ref="F60:F60">IF(ISNA(INDEX(Pokedex!U$2:U$610,MATCH($A60,Pokedex!$B$2:$B$610,0))),"-",INDEX(Pokedex!U$2:U$610,MATCH($A60,Pokedex!$B$2:$B$610,0)))</f>
        <v>Hydration</v>
      </c>
      <c r="G60" s="854"/>
      <c r="H60" s="727" t="str">
        <f aca="false" t="array" ref="H60:H60">IF(ISNA(INDEX(Pokedex!V$2:V$610,MATCH($A60,Pokedex!$B$2:$B$610,0))),"-",INDEX(Pokedex!V$2:V$610,MATCH($A60,Pokedex!$B$2:$B$610,0)))</f>
        <v>Sap Sipper</v>
      </c>
      <c r="I60" s="727"/>
      <c r="J60" s="44"/>
      <c r="K60" s="823" t="s">
        <v>126</v>
      </c>
      <c r="L60" s="823"/>
      <c r="M60" s="477" t="s">
        <v>1106</v>
      </c>
      <c r="N60" s="477"/>
      <c r="O60" s="44"/>
      <c r="P60" s="44"/>
      <c r="Q60" s="884"/>
      <c r="R60" s="884"/>
      <c r="S60" s="884"/>
      <c r="T60" s="884"/>
      <c r="U60" s="884"/>
      <c r="V60" s="884"/>
      <c r="W60" s="885"/>
      <c r="X60" s="885"/>
      <c r="Y60" s="885"/>
      <c r="Z60" s="885"/>
      <c r="AA60" s="757"/>
      <c r="AB60" s="757"/>
      <c r="AC60" s="757"/>
      <c r="AD60" s="757"/>
      <c r="AE60" s="886"/>
    </row>
    <row r="61" customFormat="false" ht="15.75" hidden="false" customHeight="false" outlineLevel="0" collapsed="false">
      <c r="A61" s="840" t="str">
        <f aca="false">$A$14</f>
        <v>Politoed</v>
      </c>
      <c r="B61" s="840"/>
      <c r="C61" s="840"/>
      <c r="D61" s="855" t="str">
        <f aca="false" t="array" ref="D61:D61">IF(ISNA(INDEX(Pokedex!T$2:T$610,MATCH($A61,Pokedex!$B$2:$B$610,0))),"-",INDEX(Pokedex!T$2:T$610,MATCH($A61,Pokedex!$B$2:$B$610,0)))</f>
        <v>Damp</v>
      </c>
      <c r="E61" s="855"/>
      <c r="F61" s="854" t="str">
        <f aca="false" t="array" ref="F61:F61">IF(ISNA(INDEX(Pokedex!U$2:U$610,MATCH($A61,Pokedex!$B$2:$B$610,0))),"-",INDEX(Pokedex!U$2:U$610,MATCH($A61,Pokedex!$B$2:$B$610,0)))</f>
        <v>Water Absorb</v>
      </c>
      <c r="G61" s="854"/>
      <c r="H61" s="727" t="str">
        <f aca="false" t="array" ref="H61:H61">IF(ISNA(INDEX(Pokedex!V$2:V$610,MATCH($A61,Pokedex!$B$2:$B$610,0))),"-",INDEX(Pokedex!V$2:V$610,MATCH($A61,Pokedex!$B$2:$B$610,0)))</f>
        <v>Drizzle</v>
      </c>
      <c r="I61" s="727"/>
      <c r="J61" s="44"/>
      <c r="K61" s="823" t="s">
        <v>93</v>
      </c>
      <c r="L61" s="823"/>
      <c r="M61" s="477" t="s">
        <v>1109</v>
      </c>
      <c r="N61" s="477"/>
      <c r="O61" s="44"/>
      <c r="P61" s="44"/>
      <c r="Q61" s="887"/>
      <c r="R61" s="887"/>
      <c r="S61" s="887"/>
      <c r="T61" s="887"/>
      <c r="U61" s="887"/>
      <c r="V61" s="887"/>
      <c r="W61" s="888"/>
      <c r="X61" s="888"/>
      <c r="Y61" s="888"/>
      <c r="Z61" s="888"/>
      <c r="AA61" s="889"/>
      <c r="AB61" s="889"/>
      <c r="AC61" s="889"/>
      <c r="AD61" s="889"/>
      <c r="AE61" s="881"/>
    </row>
    <row r="62" customFormat="false" ht="15.75" hidden="false" customHeight="false" outlineLevel="0" collapsed="false">
      <c r="A62" s="840" t="str">
        <f aca="false">$A$15</f>
        <v>Dhelmise</v>
      </c>
      <c r="B62" s="840"/>
      <c r="C62" s="840"/>
      <c r="D62" s="855" t="str">
        <f aca="false" t="array" ref="D62:D62">IF(ISNA(INDEX(Pokedex!T$2:T$610,MATCH($A62,Pokedex!$B$2:$B$610,0))),"-",INDEX(Pokedex!T$2:T$610,MATCH($A62,Pokedex!$B$2:$B$610,0)))</f>
        <v>Steelworker</v>
      </c>
      <c r="E62" s="855"/>
      <c r="F62" s="854" t="n">
        <f aca="false">IF(ISNA(INDEX(Pokedex!U$2:U$610,MATCH($A62,Pokedex!$B$2:$B$610,0))),"-",INDEX(Pokedex!U$2:U$610,MATCH($A62,Pokedex!$B$2:$B$610,0)))</f>
        <v>0</v>
      </c>
      <c r="G62" s="854"/>
      <c r="H62" s="727" t="n">
        <f aca="false">IF(ISNA(INDEX(Pokedex!V$2:V$610,MATCH($A62,Pokedex!$B$2:$B$610,0))),"-",INDEX(Pokedex!V$2:V$610,MATCH($A62,Pokedex!$B$2:$B$610,0)))</f>
        <v>0</v>
      </c>
      <c r="I62" s="727"/>
      <c r="J62" s="44"/>
      <c r="K62" s="823"/>
      <c r="L62" s="823"/>
      <c r="M62" s="477"/>
      <c r="N62" s="477"/>
      <c r="O62" s="44"/>
      <c r="P62" s="44"/>
      <c r="Q62" s="884"/>
      <c r="R62" s="884"/>
      <c r="S62" s="884"/>
      <c r="T62" s="884"/>
      <c r="U62" s="884"/>
      <c r="V62" s="884"/>
      <c r="W62" s="885"/>
      <c r="X62" s="885"/>
      <c r="Y62" s="885"/>
      <c r="Z62" s="885"/>
      <c r="AA62" s="757"/>
      <c r="AB62" s="757"/>
      <c r="AC62" s="757"/>
      <c r="AD62" s="757"/>
      <c r="AE62" s="886"/>
    </row>
    <row r="63" customFormat="false" ht="15.75" hidden="false" customHeight="false" outlineLevel="0" collapsed="false">
      <c r="A63" s="840" t="str">
        <f aca="false">$A$16</f>
        <v>Ribombee</v>
      </c>
      <c r="B63" s="840"/>
      <c r="C63" s="840"/>
      <c r="D63" s="855" t="str">
        <f aca="false" t="array" ref="D63:D63">IF(ISNA(INDEX(Pokedex!T$2:T$610,MATCH($A63,Pokedex!$B$2:$B$610,0))),"-",INDEX(Pokedex!T$2:T$610,MATCH($A63,Pokedex!$B$2:$B$610,0)))</f>
        <v>Honey Gather</v>
      </c>
      <c r="E63" s="855"/>
      <c r="F63" s="854" t="str">
        <f aca="false" t="array" ref="F63:F63">IF(ISNA(INDEX(Pokedex!U$2:U$610,MATCH($A63,Pokedex!$B$2:$B$610,0))),"-",INDEX(Pokedex!U$2:U$610,MATCH($A63,Pokedex!$B$2:$B$610,0)))</f>
        <v>Shield Dust</v>
      </c>
      <c r="G63" s="854"/>
      <c r="H63" s="727" t="str">
        <f aca="false" t="array" ref="H63:H63">IF(ISNA(INDEX(Pokedex!V$2:V$610,MATCH($A63,Pokedex!$B$2:$B$610,0))),"-",INDEX(Pokedex!V$2:V$610,MATCH($A63,Pokedex!$B$2:$B$610,0)))</f>
        <v>Sweet Veil</v>
      </c>
      <c r="I63" s="727"/>
      <c r="J63" s="44"/>
      <c r="K63" s="823"/>
      <c r="L63" s="823"/>
      <c r="M63" s="477"/>
      <c r="N63" s="477"/>
      <c r="O63" s="44"/>
      <c r="P63" s="44"/>
      <c r="Q63" s="887"/>
      <c r="R63" s="887"/>
      <c r="S63" s="887"/>
      <c r="T63" s="887"/>
      <c r="U63" s="887"/>
      <c r="V63" s="887"/>
      <c r="W63" s="888"/>
      <c r="X63" s="888"/>
      <c r="Y63" s="888"/>
      <c r="Z63" s="888"/>
      <c r="AA63" s="889"/>
      <c r="AB63" s="889"/>
      <c r="AC63" s="889"/>
      <c r="AD63" s="889"/>
      <c r="AE63" s="881"/>
    </row>
    <row r="64" customFormat="false" ht="15.75" hidden="false" customHeight="false" outlineLevel="0" collapsed="false">
      <c r="A64" s="840" t="str">
        <f aca="false">$A$17</f>
        <v>Togedemaru</v>
      </c>
      <c r="B64" s="840"/>
      <c r="C64" s="840"/>
      <c r="D64" s="855" t="str">
        <f aca="false" t="array" ref="D64:D64">IF(ISNA(INDEX(Pokedex!T$2:T$610,MATCH($A64,Pokedex!$B$2:$B$610,0))),"-",INDEX(Pokedex!T$2:T$610,MATCH($A64,Pokedex!$B$2:$B$610,0)))</f>
        <v>Iron Barbs</v>
      </c>
      <c r="E64" s="855"/>
      <c r="F64" s="854" t="str">
        <f aca="false" t="array" ref="F64:F64">IF(ISNA(INDEX(Pokedex!U$2:U$610,MATCH($A64,Pokedex!$B$2:$B$610,0))),"-",INDEX(Pokedex!U$2:U$610,MATCH($A64,Pokedex!$B$2:$B$610,0)))</f>
        <v>Lightning Rod</v>
      </c>
      <c r="G64" s="854"/>
      <c r="H64" s="727" t="str">
        <f aca="false" t="array" ref="H64:H64">IF(ISNA(INDEX(Pokedex!V$2:V$610,MATCH($A64,Pokedex!$B$2:$B$610,0))),"-",INDEX(Pokedex!V$2:V$610,MATCH($A64,Pokedex!$B$2:$B$610,0)))</f>
        <v>Sturdy</v>
      </c>
      <c r="I64" s="727"/>
      <c r="J64" s="44"/>
      <c r="K64" s="823"/>
      <c r="L64" s="823"/>
      <c r="M64" s="477"/>
      <c r="N64" s="477"/>
      <c r="O64" s="44"/>
      <c r="P64" s="44"/>
      <c r="Q64" s="884"/>
      <c r="R64" s="884"/>
      <c r="S64" s="884"/>
      <c r="T64" s="884"/>
      <c r="U64" s="884"/>
      <c r="V64" s="884"/>
      <c r="W64" s="885"/>
      <c r="X64" s="885"/>
      <c r="Y64" s="885"/>
      <c r="Z64" s="885"/>
      <c r="AA64" s="757"/>
      <c r="AB64" s="757"/>
      <c r="AC64" s="757"/>
      <c r="AD64" s="757"/>
      <c r="AE64" s="886"/>
    </row>
    <row r="65" customFormat="false" ht="15.75" hidden="false" customHeight="false" outlineLevel="0" collapsed="false">
      <c r="A65" s="840" t="str">
        <f aca="false">$A$18</f>
        <v>Medicham-Mega</v>
      </c>
      <c r="B65" s="840"/>
      <c r="C65" s="840"/>
      <c r="D65" s="855" t="str">
        <f aca="false" t="array" ref="D65:D65">IF(ISNA(INDEX(Pokedex!T$2:T$610,MATCH($A65,Pokedex!$B$2:$B$610,0))),"-",INDEX(Pokedex!T$2:T$610,MATCH($A65,Pokedex!$B$2:$B$610,0)))</f>
        <v>Pure Power</v>
      </c>
      <c r="E65" s="855"/>
      <c r="F65" s="854" t="n">
        <f aca="false">IF(ISNA(INDEX(Pokedex!U$2:U$610,MATCH($A65,Pokedex!$B$2:$B$610,0))),"-",INDEX(Pokedex!U$2:U$610,MATCH($A65,Pokedex!$B$2:$B$610,0)))</f>
        <v>0</v>
      </c>
      <c r="G65" s="854"/>
      <c r="H65" s="727" t="n">
        <f aca="false">IF(ISNA(INDEX(Pokedex!V$2:V$610,MATCH($A65,Pokedex!$B$2:$B$610,0))),"-",INDEX(Pokedex!V$2:V$610,MATCH($A65,Pokedex!$B$2:$B$610,0)))</f>
        <v>0</v>
      </c>
      <c r="I65" s="727"/>
      <c r="J65" s="44"/>
      <c r="K65" s="823"/>
      <c r="L65" s="823"/>
      <c r="M65" s="477"/>
      <c r="N65" s="477"/>
      <c r="O65" s="44"/>
      <c r="P65" s="44"/>
      <c r="Q65" s="887"/>
      <c r="R65" s="887"/>
      <c r="S65" s="887"/>
      <c r="T65" s="887"/>
      <c r="U65" s="887"/>
      <c r="V65" s="887"/>
      <c r="W65" s="888"/>
      <c r="X65" s="888"/>
      <c r="Y65" s="888"/>
      <c r="Z65" s="888"/>
      <c r="AA65" s="889"/>
      <c r="AB65" s="889"/>
      <c r="AC65" s="889"/>
      <c r="AD65" s="889"/>
      <c r="AE65" s="881"/>
    </row>
    <row r="66" customFormat="false" ht="15.75" hidden="false" customHeight="false" outlineLevel="0" collapsed="false">
      <c r="A66" s="840" t="str">
        <f aca="false">$A$19</f>
        <v>Chandelure</v>
      </c>
      <c r="B66" s="840"/>
      <c r="C66" s="840"/>
      <c r="D66" s="855" t="str">
        <f aca="false" t="array" ref="D66:D66">IF(ISNA(INDEX(Pokedex!T$2:T$610,MATCH($A66,Pokedex!$B$2:$B$610,0))),"-",INDEX(Pokedex!T$2:T$610,MATCH($A66,Pokedex!$B$2:$B$610,0)))</f>
        <v>Flame Body</v>
      </c>
      <c r="E66" s="855"/>
      <c r="F66" s="854" t="str">
        <f aca="false" t="array" ref="F66:F66">IF(ISNA(INDEX(Pokedex!U$2:U$610,MATCH($A66,Pokedex!$B$2:$B$610,0))),"-",INDEX(Pokedex!U$2:U$610,MATCH($A66,Pokedex!$B$2:$B$610,0)))</f>
        <v>Infiltrator</v>
      </c>
      <c r="G66" s="854"/>
      <c r="H66" s="727" t="str">
        <f aca="false" t="array" ref="H66:H66">IF(ISNA(INDEX(Pokedex!V$2:V$610,MATCH($A66,Pokedex!$B$2:$B$610,0))),"-",INDEX(Pokedex!V$2:V$610,MATCH($A66,Pokedex!$B$2:$B$610,0)))</f>
        <v>Flash Fire</v>
      </c>
      <c r="I66" s="727"/>
      <c r="J66" s="44"/>
      <c r="K66" s="823"/>
      <c r="L66" s="823"/>
      <c r="M66" s="477"/>
      <c r="N66" s="477"/>
      <c r="O66" s="44"/>
      <c r="P66" s="44"/>
      <c r="Q66" s="884"/>
      <c r="R66" s="884"/>
      <c r="S66" s="884"/>
      <c r="T66" s="884"/>
      <c r="U66" s="884"/>
      <c r="V66" s="884"/>
      <c r="W66" s="885"/>
      <c r="X66" s="885"/>
      <c r="Y66" s="885"/>
      <c r="Z66" s="885"/>
      <c r="AA66" s="757"/>
      <c r="AB66" s="757"/>
      <c r="AC66" s="757"/>
      <c r="AD66" s="757"/>
      <c r="AE66" s="886"/>
    </row>
    <row r="67" customFormat="false" ht="15.75" hidden="false" customHeight="false" outlineLevel="0" collapsed="false">
      <c r="A67" s="840" t="str">
        <f aca="false">$A$20</f>
        <v>Mamoswine</v>
      </c>
      <c r="B67" s="840"/>
      <c r="C67" s="840"/>
      <c r="D67" s="855" t="str">
        <f aca="false" t="array" ref="D67:D67">IF(ISNA(INDEX(Pokedex!T$2:T$610,MATCH($A67,Pokedex!$B$2:$B$610,0))),"-",INDEX(Pokedex!T$2:T$610,MATCH($A67,Pokedex!$B$2:$B$610,0)))</f>
        <v>Oblivious</v>
      </c>
      <c r="E67" s="855"/>
      <c r="F67" s="854" t="str">
        <f aca="false" t="array" ref="F67:F67">IF(ISNA(INDEX(Pokedex!U$2:U$610,MATCH($A67,Pokedex!$B$2:$B$610,0))),"-",INDEX(Pokedex!U$2:U$610,MATCH($A67,Pokedex!$B$2:$B$610,0)))</f>
        <v>Thick Fat</v>
      </c>
      <c r="G67" s="854"/>
      <c r="H67" s="727" t="str">
        <f aca="false" t="array" ref="H67:H67">IF(ISNA(INDEX(Pokedex!V$2:V$610,MATCH($A67,Pokedex!$B$2:$B$610,0))),"-",INDEX(Pokedex!V$2:V$610,MATCH($A67,Pokedex!$B$2:$B$610,0)))</f>
        <v>Snow Cloak</v>
      </c>
      <c r="I67" s="727"/>
      <c r="J67" s="44"/>
      <c r="K67" s="823"/>
      <c r="L67" s="823"/>
      <c r="M67" s="477"/>
      <c r="N67" s="477"/>
      <c r="O67" s="44"/>
      <c r="P67" s="44"/>
      <c r="Q67" s="887"/>
      <c r="R67" s="887"/>
      <c r="S67" s="887"/>
      <c r="T67" s="887"/>
      <c r="U67" s="887"/>
      <c r="V67" s="887"/>
      <c r="W67" s="888"/>
      <c r="X67" s="888"/>
      <c r="Y67" s="888"/>
      <c r="Z67" s="888"/>
      <c r="AA67" s="889"/>
      <c r="AB67" s="889"/>
      <c r="AC67" s="889"/>
      <c r="AD67" s="889"/>
      <c r="AE67" s="881"/>
    </row>
    <row r="68" customFormat="false" ht="15.75" hidden="false" customHeight="false" outlineLevel="0" collapsed="false">
      <c r="A68" s="840" t="str">
        <f aca="false">$A$21</f>
        <v>Milotic</v>
      </c>
      <c r="B68" s="840"/>
      <c r="C68" s="840"/>
      <c r="D68" s="855" t="str">
        <f aca="false" t="array" ref="D68:D68">IF(ISNA(INDEX(Pokedex!T$2:T$610,MATCH($A68,Pokedex!$B$2:$B$610,0))),"-",INDEX(Pokedex!T$2:T$610,MATCH($A68,Pokedex!$B$2:$B$610,0)))</f>
        <v>Competitive</v>
      </c>
      <c r="E68" s="855"/>
      <c r="F68" s="854" t="str">
        <f aca="false" t="array" ref="F68:F68">IF(ISNA(INDEX(Pokedex!U$2:U$610,MATCH($A68,Pokedex!$B$2:$B$610,0))),"-",INDEX(Pokedex!U$2:U$610,MATCH($A68,Pokedex!$B$2:$B$610,0)))</f>
        <v>Marvel Scale</v>
      </c>
      <c r="G68" s="854"/>
      <c r="H68" s="727" t="str">
        <f aca="false" t="array" ref="H68:H68">IF(ISNA(INDEX(Pokedex!V$2:V$610,MATCH($A68,Pokedex!$B$2:$B$610,0))),"-",INDEX(Pokedex!V$2:V$610,MATCH($A68,Pokedex!$B$2:$B$610,0)))</f>
        <v>Cute Charm</v>
      </c>
      <c r="I68" s="727"/>
      <c r="J68" s="44"/>
      <c r="K68" s="823"/>
      <c r="L68" s="823"/>
      <c r="M68" s="477"/>
      <c r="N68" s="477"/>
      <c r="O68" s="44"/>
      <c r="P68" s="44"/>
      <c r="Q68" s="884"/>
      <c r="R68" s="884"/>
      <c r="S68" s="884"/>
      <c r="T68" s="884"/>
      <c r="U68" s="884"/>
      <c r="V68" s="884"/>
      <c r="W68" s="885"/>
      <c r="X68" s="885"/>
      <c r="Y68" s="885"/>
      <c r="Z68" s="885"/>
      <c r="AA68" s="757"/>
      <c r="AB68" s="757"/>
      <c r="AC68" s="757"/>
      <c r="AD68" s="757"/>
      <c r="AE68" s="886"/>
    </row>
    <row r="69" customFormat="false" ht="15.75" hidden="false" customHeight="false" outlineLevel="0" collapsed="false">
      <c r="A69" s="848" t="str">
        <f aca="false">$A$22</f>
        <v>Palossand</v>
      </c>
      <c r="B69" s="848"/>
      <c r="C69" s="848"/>
      <c r="D69" s="870" t="str">
        <f aca="false" t="array" ref="D69:D69">IF(ISNA(INDEX(Pokedex!T$2:T$610,MATCH($A69,Pokedex!$B$2:$B$610,0))),"-",INDEX(Pokedex!T$2:T$610,MATCH($A69,Pokedex!$B$2:$B$610,0)))</f>
        <v>Water Compaction</v>
      </c>
      <c r="E69" s="870"/>
      <c r="F69" s="828" t="str">
        <f aca="false" t="array" ref="F69:F69">IF(ISNA(INDEX(Pokedex!U$2:U$610,MATCH($A69,Pokedex!$B$2:$B$610,0))),"-",INDEX(Pokedex!U$2:U$610,MATCH($A69,Pokedex!$B$2:$B$610,0)))</f>
        <v>Sand Veil</v>
      </c>
      <c r="G69" s="828"/>
      <c r="H69" s="744" t="n">
        <f aca="false">IF(ISNA(INDEX(Pokedex!V$2:V$610,MATCH($A69,Pokedex!$B$2:$B$610,0))),"-",INDEX(Pokedex!V$2:V$610,MATCH($A69,Pokedex!$B$2:$B$610,0)))</f>
        <v>0</v>
      </c>
      <c r="I69" s="744"/>
      <c r="J69" s="44"/>
      <c r="K69" s="893"/>
      <c r="L69" s="893"/>
      <c r="M69" s="831"/>
      <c r="N69" s="831"/>
      <c r="O69" s="44"/>
      <c r="P69" s="44"/>
      <c r="Q69" s="887"/>
      <c r="R69" s="887"/>
      <c r="S69" s="887"/>
      <c r="T69" s="887"/>
      <c r="U69" s="887"/>
      <c r="V69" s="887"/>
      <c r="W69" s="888"/>
      <c r="X69" s="888"/>
      <c r="Y69" s="888"/>
      <c r="Z69" s="888"/>
      <c r="AA69" s="889"/>
      <c r="AB69" s="889"/>
      <c r="AC69" s="889"/>
      <c r="AD69" s="889"/>
      <c r="AE69" s="881"/>
    </row>
    <row r="70" customFormat="false" ht="15.75" hidden="false" customHeight="false" outlineLevel="0" collapsed="false">
      <c r="A70" s="44"/>
      <c r="B70" s="44"/>
      <c r="C70" s="44"/>
      <c r="D70" s="44"/>
      <c r="E70" s="44"/>
      <c r="F70" s="44"/>
      <c r="G70" s="44"/>
      <c r="H70" s="44"/>
      <c r="I70" s="44"/>
      <c r="J70" s="44"/>
      <c r="K70" s="7"/>
      <c r="L70" s="7"/>
      <c r="M70" s="7"/>
      <c r="N70" s="7"/>
      <c r="O70" s="44"/>
      <c r="P70" s="44"/>
      <c r="Q70" s="884"/>
      <c r="R70" s="884"/>
      <c r="S70" s="884"/>
      <c r="T70" s="884"/>
      <c r="U70" s="884"/>
      <c r="V70" s="884"/>
      <c r="W70" s="885"/>
      <c r="X70" s="885"/>
      <c r="Y70" s="885"/>
      <c r="Z70" s="885"/>
      <c r="AA70" s="757"/>
      <c r="AB70" s="757"/>
      <c r="AC70" s="757"/>
      <c r="AD70" s="757"/>
      <c r="AE70" s="886"/>
    </row>
    <row r="71" customFormat="false" ht="15.75" hidden="false" customHeight="true" outlineLevel="0" collapsed="false">
      <c r="A71" s="894" t="s">
        <v>2078</v>
      </c>
      <c r="B71" s="894"/>
      <c r="C71" s="929" t="s">
        <v>2079</v>
      </c>
      <c r="D71" s="929"/>
      <c r="E71" s="929"/>
      <c r="F71" s="896" t="s">
        <v>2080</v>
      </c>
      <c r="G71" s="896"/>
      <c r="H71" s="896"/>
      <c r="I71" s="896"/>
      <c r="J71" s="44"/>
      <c r="K71" s="341" t="s">
        <v>2081</v>
      </c>
      <c r="L71" s="341"/>
      <c r="M71" s="341"/>
      <c r="N71" s="341"/>
      <c r="O71" s="44"/>
      <c r="P71" s="44"/>
      <c r="Q71" s="897"/>
      <c r="R71" s="897"/>
      <c r="S71" s="897"/>
      <c r="T71" s="897"/>
      <c r="U71" s="897"/>
      <c r="V71" s="897"/>
      <c r="W71" s="898"/>
      <c r="X71" s="898"/>
      <c r="Y71" s="898"/>
      <c r="Z71" s="898"/>
      <c r="AA71" s="899"/>
      <c r="AB71" s="899"/>
      <c r="AC71" s="899"/>
      <c r="AD71" s="899"/>
      <c r="AE71" s="881"/>
    </row>
    <row r="72" customFormat="false" ht="15.75" hidden="false" customHeight="false" outlineLevel="0" collapsed="false">
      <c r="A72" s="894"/>
      <c r="B72" s="894"/>
      <c r="C72" s="900" t="s">
        <v>2082</v>
      </c>
      <c r="D72" s="901" t="s">
        <v>2083</v>
      </c>
      <c r="E72" s="901" t="s">
        <v>2063</v>
      </c>
      <c r="F72" s="902" t="s">
        <v>2084</v>
      </c>
      <c r="G72" s="903" t="s">
        <v>2085</v>
      </c>
      <c r="H72" s="904" t="s">
        <v>2086</v>
      </c>
      <c r="I72" s="904" t="s">
        <v>2063</v>
      </c>
      <c r="J72" s="44"/>
      <c r="K72" s="891" t="str">
        <f aca="false">IFERROR(__xludf.dummyfunction("if(isna(filter($R$20:$R$31,isblank($R$20:$R$31)=FALSE)),""NONE"",filter($R$20:$R$31,isblank($R$20:$R$31)=FALSE))"),"Kartana")</f>
        <v>Kartana</v>
      </c>
      <c r="L72" s="891"/>
      <c r="M72" s="892" t="str">
        <f aca="false">IFERROR(__xludf.dummyfunction("if(isna(filter($S$20:$S$31,isblank($S$20:$S$31)=FALSE)),""N/A"",filter($S$20:$S$31,isblank($S$20:$S$31)=FALSE))"),"Defog")</f>
        <v>Defog</v>
      </c>
      <c r="N72" s="892"/>
      <c r="O72" s="44"/>
      <c r="P72" s="44"/>
      <c r="Q72" s="44"/>
      <c r="R72" s="824"/>
      <c r="S72" s="638"/>
      <c r="T72" s="638"/>
      <c r="U72" s="638"/>
      <c r="V72" s="638"/>
      <c r="W72" s="638"/>
      <c r="X72" s="638"/>
      <c r="Y72" s="638"/>
      <c r="Z72" s="638"/>
      <c r="AA72" s="638"/>
      <c r="AB72" s="638"/>
      <c r="AC72" s="638"/>
      <c r="AD72" s="638"/>
      <c r="AE72" s="638"/>
    </row>
    <row r="73" customFormat="false" ht="15.75" hidden="false" customHeight="false" outlineLevel="0" collapsed="false">
      <c r="A73" s="905" t="s">
        <v>794</v>
      </c>
      <c r="B73" s="905"/>
      <c r="C73" s="906" t="str">
        <f aca="false">IFERROR(__xludf.dummyfunction("countif(FILTER(Pokedex!$AC:$AC,Pokedex!$A:$A=$L$1,Pokedex!$AC:$AC=0-2),0-2)"),"0")</f>
        <v>0</v>
      </c>
      <c r="D73" s="907" t="str">
        <f aca="false">IFERROR(__xludf.dummyfunction("countif(FILTER(Pokedex!$AC:$AC,Pokedex!$A:$A=$L$1,Pokedex!$AC:$AC=0-1),0-1)"),"0")</f>
        <v>0</v>
      </c>
      <c r="E73" s="907" t="n">
        <f aca="false">SUM(C73:D73)</f>
        <v>0</v>
      </c>
      <c r="F73" s="908" t="str">
        <f aca="false">IFERROR(__xludf.dummyfunction("countif(FILTER(Pokedex!$AC:$AC,Pokedex!$A:$A=$L$1,Pokedex!$AC:$AC=4),4)"),"0")</f>
        <v>0</v>
      </c>
      <c r="G73" s="909" t="str">
        <f aca="false">IFERROR(__xludf.dummyfunction("countif(FILTER(Pokedex!$AC:$AC,Pokedex!$A:$A=$L$1,Pokedex!$AC:$AC=1),1)"),"3")</f>
        <v>3</v>
      </c>
      <c r="H73" s="908" t="str">
        <f aca="false">IFERROR(__xludf.dummyfunction("countif(FILTER(Pokedex!$AC:$AC,Pokedex!$A:$A=$L$1,Pokedex!$AC:$AC=2),2)"),"1")</f>
        <v>1</v>
      </c>
      <c r="I73" s="908" t="n">
        <f aca="false">SUM(F73:H73)</f>
        <v>0</v>
      </c>
      <c r="J73" s="44"/>
      <c r="K73" s="823" t="s">
        <v>93</v>
      </c>
      <c r="L73" s="823"/>
      <c r="M73" s="477" t="s">
        <v>1110</v>
      </c>
      <c r="N73" s="477"/>
      <c r="O73" s="44"/>
      <c r="P73" s="44"/>
      <c r="Q73" s="44"/>
      <c r="R73" s="824"/>
      <c r="S73" s="638"/>
      <c r="T73" s="638"/>
      <c r="U73" s="638"/>
      <c r="V73" s="638"/>
      <c r="W73" s="638"/>
      <c r="X73" s="638"/>
      <c r="Y73" s="638"/>
      <c r="Z73" s="638"/>
      <c r="AA73" s="638"/>
      <c r="AB73" s="638"/>
      <c r="AC73" s="638"/>
      <c r="AD73" s="638"/>
      <c r="AE73" s="638"/>
    </row>
    <row r="74" customFormat="false" ht="15.75" hidden="false" customHeight="false" outlineLevel="0" collapsed="false">
      <c r="A74" s="910" t="s">
        <v>795</v>
      </c>
      <c r="B74" s="910"/>
      <c r="C74" s="911" t="str">
        <f aca="false">IFERROR(__xludf.dummyfunction("countif(FILTER(Pokedex!$AD:$AD,Pokedex!$A:$A=$L$1,Pokedex!$AD:$AD=0-2),0-2)"),"0")</f>
        <v>0</v>
      </c>
      <c r="D74" s="912" t="str">
        <f aca="false">IFERROR(__xludf.dummyfunction("countif(FILTER(Pokedex!$AD:$AD,Pokedex!$A:$A=$L$1,Pokedex!$AD:$AD=0-1),0-1)"),"3")</f>
        <v>3</v>
      </c>
      <c r="E74" s="912" t="n">
        <f aca="false">SUM(C74:D74)</f>
        <v>0</v>
      </c>
      <c r="F74" s="913" t="str">
        <f aca="false">IFERROR(__xludf.dummyfunction("countif(FILTER(Pokedex!$AD:$AD,Pokedex!$A:$A=$L$1,Pokedex!$AD:$AD=4),4)"),"0")</f>
        <v>0</v>
      </c>
      <c r="G74" s="914" t="str">
        <f aca="false">IFERROR(__xludf.dummyfunction("countif(FILTER(Pokedex!$AD:$AD,Pokedex!$A:$A=$L$1,Pokedex!$AD:$AD=1),1)"),"1")</f>
        <v>1</v>
      </c>
      <c r="H74" s="913" t="str">
        <f aca="false">IFERROR(__xludf.dummyfunction("countif(FILTER(Pokedex!$AD:$AD,Pokedex!$A:$A=$L$1,Pokedex!$AD:$AD=2),2)"),"0")</f>
        <v>0</v>
      </c>
      <c r="I74" s="913" t="n">
        <f aca="false">SUM(F74:H74)</f>
        <v>0</v>
      </c>
      <c r="J74" s="44"/>
      <c r="K74" s="823" t="s">
        <v>97</v>
      </c>
      <c r="L74" s="823"/>
      <c r="M74" s="477" t="s">
        <v>1112</v>
      </c>
      <c r="N74" s="477"/>
      <c r="O74" s="44"/>
      <c r="P74" s="44"/>
      <c r="Q74" s="44"/>
      <c r="R74" s="824"/>
      <c r="S74" s="638"/>
      <c r="T74" s="638"/>
      <c r="U74" s="638"/>
      <c r="V74" s="638"/>
      <c r="W74" s="638"/>
      <c r="X74" s="638"/>
      <c r="Y74" s="638"/>
      <c r="Z74" s="638"/>
      <c r="AA74" s="638"/>
      <c r="AB74" s="638"/>
      <c r="AC74" s="638"/>
      <c r="AD74" s="638"/>
      <c r="AE74" s="638"/>
    </row>
    <row r="75" customFormat="false" ht="15.75" hidden="false" customHeight="false" outlineLevel="0" collapsed="false">
      <c r="A75" s="915" t="s">
        <v>835</v>
      </c>
      <c r="B75" s="915"/>
      <c r="C75" s="906" t="str">
        <f aca="false">IFERROR(__xludf.dummyfunction("countif(FILTER(Pokedex!$AE:$AE,Pokedex!$A:$A=$L$1,Pokedex!$AE:$AE=0-2),0-2)"),"0")</f>
        <v>0</v>
      </c>
      <c r="D75" s="907" t="str">
        <f aca="false">IFERROR(__xludf.dummyfunction("countif(FILTER(Pokedex!$AE:$AE,Pokedex!$A:$A=$L$1,Pokedex!$AE:$AE=0-1),0-1)"),"1")</f>
        <v>1</v>
      </c>
      <c r="E75" s="907" t="n">
        <f aca="false">SUM(C75:D75)</f>
        <v>0</v>
      </c>
      <c r="F75" s="908" t="str">
        <f aca="false">IFERROR(__xludf.dummyfunction("countif(FILTER(Pokedex!$AE:$AE,Pokedex!$A:$A=$L$1,Pokedex!$AE:$AE=4),4)"),"1")</f>
        <v>1</v>
      </c>
      <c r="G75" s="909" t="str">
        <f aca="false">IFERROR(__xludf.dummyfunction("countif(FILTER(Pokedex!$AE:$AE,Pokedex!$A:$A=$L$1,Pokedex!$AE:$AE=1),1)"),"2")</f>
        <v>2</v>
      </c>
      <c r="H75" s="908" t="str">
        <f aca="false">IFERROR(__xludf.dummyfunction("countif(FILTER(Pokedex!$AE:$AE,Pokedex!$A:$A=$L$1,Pokedex!$AE:$AE=2),2)"),"0")</f>
        <v>0</v>
      </c>
      <c r="I75" s="908" t="n">
        <f aca="false">SUM(F75:H75)</f>
        <v>0</v>
      </c>
      <c r="J75" s="44"/>
      <c r="K75" s="823"/>
      <c r="L75" s="823"/>
      <c r="M75" s="477"/>
      <c r="N75" s="477"/>
      <c r="O75" s="44"/>
      <c r="P75" s="44"/>
      <c r="Q75" s="44"/>
      <c r="R75" s="824"/>
      <c r="S75" s="638"/>
      <c r="T75" s="638"/>
      <c r="U75" s="638"/>
      <c r="V75" s="638"/>
      <c r="W75" s="638"/>
      <c r="X75" s="638"/>
      <c r="Y75" s="638"/>
      <c r="Z75" s="638"/>
      <c r="AA75" s="638"/>
      <c r="AB75" s="638"/>
      <c r="AC75" s="638"/>
      <c r="AD75" s="638"/>
      <c r="AE75" s="638"/>
    </row>
    <row r="76" customFormat="false" ht="15.75" hidden="false" customHeight="false" outlineLevel="0" collapsed="false">
      <c r="A76" s="916" t="s">
        <v>845</v>
      </c>
      <c r="B76" s="916"/>
      <c r="C76" s="911" t="str">
        <f aca="false">IFERROR(__xludf.dummyfunction("countif(FILTER(Pokedex!$AF:$AF,Pokedex!$A:$A=$L$1,Pokedex!$AF:$AF=0-2),0-2)"),"0")</f>
        <v>0</v>
      </c>
      <c r="D76" s="912" t="str">
        <f aca="false">IFERROR(__xludf.dummyfunction("countif(FILTER(Pokedex!$AF:$AF,Pokedex!$A:$A=$L$1,Pokedex!$AF:$AF=0-1),0-1)"),"2")</f>
        <v>2</v>
      </c>
      <c r="E76" s="912" t="n">
        <f aca="false">SUM(C76:D76)</f>
        <v>0</v>
      </c>
      <c r="F76" s="913" t="str">
        <f aca="false">IFERROR(__xludf.dummyfunction("countif(FILTER(Pokedex!$AF:$AF,Pokedex!$A:$A=$L$1,Pokedex!$AF:$AF=4),4)"),"2")</f>
        <v>2</v>
      </c>
      <c r="G76" s="914" t="str">
        <f aca="false">IFERROR(__xludf.dummyfunction("countif(FILTER(Pokedex!$AF:$AF,Pokedex!$A:$A=$L$1,Pokedex!$AF:$AF=1),1)"),"4")</f>
        <v>4</v>
      </c>
      <c r="H76" s="913" t="str">
        <f aca="false">IFERROR(__xludf.dummyfunction("countif(FILTER(Pokedex!$AF:$AF,Pokedex!$A:$A=$L$1,Pokedex!$AF:$AF=2),2)"),"0")</f>
        <v>0</v>
      </c>
      <c r="I76" s="913" t="n">
        <f aca="false">SUM(F76:H76)</f>
        <v>0</v>
      </c>
      <c r="J76" s="44"/>
      <c r="K76" s="823"/>
      <c r="L76" s="823"/>
      <c r="M76" s="477"/>
      <c r="N76" s="477"/>
      <c r="O76" s="44"/>
      <c r="P76" s="44"/>
      <c r="Q76" s="44"/>
      <c r="R76" s="824"/>
      <c r="S76" s="638"/>
      <c r="T76" s="638"/>
      <c r="U76" s="638"/>
      <c r="V76" s="638"/>
      <c r="W76" s="638"/>
      <c r="X76" s="638"/>
      <c r="Y76" s="638"/>
      <c r="Z76" s="638"/>
      <c r="AA76" s="638"/>
      <c r="AB76" s="638"/>
      <c r="AC76" s="638"/>
      <c r="AD76" s="638"/>
      <c r="AE76" s="638"/>
    </row>
    <row r="77" customFormat="false" ht="15.75" hidden="false" customHeight="false" outlineLevel="0" collapsed="false">
      <c r="A77" s="915" t="s">
        <v>798</v>
      </c>
      <c r="B77" s="915"/>
      <c r="C77" s="906" t="str">
        <f aca="false">IFERROR(__xludf.dummyfunction("countif(FILTER(Pokedex!$AG:$AG,Pokedex!$A:$A=$L$1,Pokedex!$AG:$AG=0-2),0-2)"),"0")</f>
        <v>0</v>
      </c>
      <c r="D77" s="907" t="str">
        <f aca="false">IFERROR(__xludf.dummyfunction("countif(FILTER(Pokedex!$AG:$AG,Pokedex!$A:$A=$L$1,Pokedex!$AG:$AG=0-1),0-1)"),"2")</f>
        <v>2</v>
      </c>
      <c r="E77" s="907" t="n">
        <f aca="false">SUM(C77:D77)</f>
        <v>0</v>
      </c>
      <c r="F77" s="908" t="str">
        <f aca="false">IFERROR(__xludf.dummyfunction("countif(FILTER(Pokedex!$AG:$AG,Pokedex!$A:$A=$L$1,Pokedex!$AG:$AG=4),4)"),"0")</f>
        <v>0</v>
      </c>
      <c r="G77" s="909" t="str">
        <f aca="false">IFERROR(__xludf.dummyfunction("countif(FILTER(Pokedex!$AG:$AG,Pokedex!$A:$A=$L$1,Pokedex!$AG:$AG=1),1)"),"3")</f>
        <v>3</v>
      </c>
      <c r="H77" s="908" t="str">
        <f aca="false">IFERROR(__xludf.dummyfunction("countif(FILTER(Pokedex!$AG:$AG,Pokedex!$A:$A=$L$1,Pokedex!$AG:$AG=2),2)"),"0")</f>
        <v>0</v>
      </c>
      <c r="I77" s="908" t="n">
        <f aca="false">SUM(F77:H77)</f>
        <v>0</v>
      </c>
      <c r="J77" s="44"/>
      <c r="K77" s="823"/>
      <c r="L77" s="823"/>
      <c r="M77" s="477"/>
      <c r="N77" s="477"/>
      <c r="O77" s="44"/>
      <c r="P77" s="44"/>
      <c r="Q77" s="44"/>
      <c r="R77" s="824"/>
      <c r="S77" s="638"/>
      <c r="T77" s="638"/>
      <c r="U77" s="638"/>
      <c r="V77" s="638"/>
      <c r="W77" s="638"/>
      <c r="X77" s="638"/>
      <c r="Y77" s="638"/>
      <c r="Z77" s="638"/>
      <c r="AA77" s="638"/>
      <c r="AB77" s="638"/>
      <c r="AC77" s="638"/>
      <c r="AD77" s="638"/>
      <c r="AE77" s="638"/>
    </row>
    <row r="78" customFormat="false" ht="15.75" hidden="false" customHeight="false" outlineLevel="0" collapsed="false">
      <c r="A78" s="916" t="s">
        <v>881</v>
      </c>
      <c r="B78" s="916"/>
      <c r="C78" s="911" t="str">
        <f aca="false">IFERROR(__xludf.dummyfunction("countif(FILTER(Pokedex!$AH:$AH,Pokedex!$A:$A=$L$1,Pokedex!$AH:$AH=0-2),0-2)"),"0")</f>
        <v>0</v>
      </c>
      <c r="D78" s="912" t="str">
        <f aca="false">IFERROR(__xludf.dummyfunction("countif(FILTER(Pokedex!$AH:$AH,Pokedex!$A:$A=$L$1,Pokedex!$AH:$AH=0-1),0-1)"),"3")</f>
        <v>3</v>
      </c>
      <c r="E78" s="912" t="n">
        <f aca="false">SUM(C78:D78)</f>
        <v>0</v>
      </c>
      <c r="F78" s="913" t="str">
        <f aca="false">IFERROR(__xludf.dummyfunction("countif(FILTER(Pokedex!$AH:$AH,Pokedex!$A:$A=$L$1,Pokedex!$AH:$AH=4),4)"),"3")</f>
        <v>3</v>
      </c>
      <c r="G78" s="914" t="str">
        <f aca="false">IFERROR(__xludf.dummyfunction("countif(FILTER(Pokedex!$AH:$AH,Pokedex!$A:$A=$L$1,Pokedex!$AH:$AH=1),1)"),"1")</f>
        <v>1</v>
      </c>
      <c r="H78" s="913" t="str">
        <f aca="false">IFERROR(__xludf.dummyfunction("countif(FILTER(Pokedex!$AH:$AH,Pokedex!$A:$A=$L$1,Pokedex!$AH:$AH=2),2)"),"1")</f>
        <v>1</v>
      </c>
      <c r="I78" s="913" t="n">
        <f aca="false">SUM(F78:H78)</f>
        <v>0</v>
      </c>
      <c r="J78" s="44"/>
      <c r="K78" s="823"/>
      <c r="L78" s="823"/>
      <c r="M78" s="477"/>
      <c r="N78" s="477"/>
      <c r="O78" s="44"/>
      <c r="P78" s="44"/>
      <c r="Q78" s="44"/>
      <c r="R78" s="824"/>
      <c r="S78" s="638"/>
      <c r="T78" s="638"/>
      <c r="U78" s="638"/>
      <c r="V78" s="638"/>
      <c r="W78" s="638"/>
      <c r="X78" s="638"/>
      <c r="Y78" s="638"/>
      <c r="Z78" s="638"/>
      <c r="AA78" s="638"/>
      <c r="AB78" s="638"/>
      <c r="AC78" s="638"/>
      <c r="AD78" s="638"/>
      <c r="AE78" s="638"/>
    </row>
    <row r="79" customFormat="false" ht="15.75" hidden="false" customHeight="false" outlineLevel="0" collapsed="false">
      <c r="A79" s="915" t="s">
        <v>800</v>
      </c>
      <c r="B79" s="915"/>
      <c r="C79" s="906" t="str">
        <f aca="false">IFERROR(__xludf.dummyfunction("countif(FILTER(Pokedex!$AI:$AI,Pokedex!$A:$A=$L$1,Pokedex!$AI:$AI=0-2),0-2)"),"1")</f>
        <v>1</v>
      </c>
      <c r="D79" s="907" t="str">
        <f aca="false">IFERROR(__xludf.dummyfunction("countif(FILTER(Pokedex!$AI:$AI,Pokedex!$A:$A=$L$1,Pokedex!$AI:$AI=0-1),0-1)"),"4")</f>
        <v>4</v>
      </c>
      <c r="E79" s="907" t="n">
        <f aca="false">SUM(C79:D79)</f>
        <v>0</v>
      </c>
      <c r="F79" s="908" t="str">
        <f aca="false">IFERROR(__xludf.dummyfunction("countif(FILTER(Pokedex!$AI:$AI,Pokedex!$A:$A=$L$1,Pokedex!$AI:$AI=4),4)"),"0")</f>
        <v>0</v>
      </c>
      <c r="G79" s="909" t="str">
        <f aca="false">IFERROR(__xludf.dummyfunction("countif(FILTER(Pokedex!$AI:$AI,Pokedex!$A:$A=$L$1,Pokedex!$AI:$AI=1),1)"),"4")</f>
        <v>4</v>
      </c>
      <c r="H79" s="908" t="str">
        <f aca="false">IFERROR(__xludf.dummyfunction("countif(FILTER(Pokedex!$AI:$AI,Pokedex!$A:$A=$L$1,Pokedex!$AI:$AI=2),2)"),"0")</f>
        <v>0</v>
      </c>
      <c r="I79" s="908" t="n">
        <f aca="false">SUM(F79:H79)</f>
        <v>0</v>
      </c>
      <c r="J79" s="44"/>
      <c r="K79" s="823"/>
      <c r="L79" s="823"/>
      <c r="M79" s="477"/>
      <c r="N79" s="477"/>
      <c r="O79" s="44"/>
      <c r="P79" s="44"/>
      <c r="Q79" s="44"/>
      <c r="R79" s="824"/>
      <c r="S79" s="638"/>
      <c r="T79" s="638"/>
      <c r="U79" s="638"/>
      <c r="V79" s="638"/>
      <c r="W79" s="638"/>
      <c r="X79" s="638"/>
      <c r="Y79" s="638"/>
      <c r="Z79" s="638"/>
      <c r="AA79" s="638"/>
      <c r="AB79" s="638"/>
      <c r="AC79" s="638"/>
      <c r="AD79" s="638"/>
      <c r="AE79" s="638"/>
    </row>
    <row r="80" customFormat="false" ht="15.75" hidden="false" customHeight="false" outlineLevel="0" collapsed="false">
      <c r="A80" s="916" t="s">
        <v>801</v>
      </c>
      <c r="B80" s="916"/>
      <c r="C80" s="911" t="str">
        <f aca="false">IFERROR(__xludf.dummyfunction("countif(FILTER(Pokedex!$AJ:$AJ,Pokedex!$A:$A=$L$1,Pokedex!$AJ:$AJ=0-2),0-2)"),"0")</f>
        <v>0</v>
      </c>
      <c r="D80" s="912" t="str">
        <f aca="false">IFERROR(__xludf.dummyfunction("countif(FILTER(Pokedex!$AJ:$AJ,Pokedex!$A:$A=$L$1,Pokedex!$AJ:$AJ=0-1),0-1)"),"3")</f>
        <v>3</v>
      </c>
      <c r="E80" s="912" t="n">
        <f aca="false">SUM(C80:D80)</f>
        <v>0</v>
      </c>
      <c r="F80" s="913" t="str">
        <f aca="false">IFERROR(__xludf.dummyfunction("countif(FILTER(Pokedex!$AJ:$AJ,Pokedex!$A:$A=$L$1,Pokedex!$AJ:$AJ=4),4)"),"0")</f>
        <v>0</v>
      </c>
      <c r="G80" s="914" t="str">
        <f aca="false">IFERROR(__xludf.dummyfunction("countif(FILTER(Pokedex!$AJ:$AJ,Pokedex!$A:$A=$L$1,Pokedex!$AJ:$AJ=1),1)"),"0")</f>
        <v>0</v>
      </c>
      <c r="H80" s="913" t="str">
        <f aca="false">IFERROR(__xludf.dummyfunction("countif(FILTER(Pokedex!$AJ:$AJ,Pokedex!$A:$A=$L$1,Pokedex!$AJ:$AJ=2),2)"),"1")</f>
        <v>1</v>
      </c>
      <c r="I80" s="913" t="n">
        <f aca="false">SUM(F80:H80)</f>
        <v>0</v>
      </c>
      <c r="J80" s="44"/>
      <c r="K80" s="823"/>
      <c r="L80" s="823"/>
      <c r="M80" s="477"/>
      <c r="N80" s="477"/>
      <c r="O80" s="44"/>
      <c r="P80" s="44"/>
      <c r="Q80" s="44"/>
      <c r="R80" s="824"/>
      <c r="S80" s="638"/>
      <c r="T80" s="638"/>
      <c r="U80" s="638"/>
      <c r="V80" s="638"/>
      <c r="W80" s="638"/>
      <c r="X80" s="638"/>
      <c r="Y80" s="638"/>
      <c r="Z80" s="638"/>
      <c r="AA80" s="638"/>
      <c r="AB80" s="638"/>
      <c r="AC80" s="638"/>
      <c r="AD80" s="638"/>
      <c r="AE80" s="638"/>
    </row>
    <row r="81" customFormat="false" ht="15.75" hidden="false" customHeight="false" outlineLevel="0" collapsed="false">
      <c r="A81" s="915" t="s">
        <v>802</v>
      </c>
      <c r="B81" s="915"/>
      <c r="C81" s="906" t="str">
        <f aca="false">IFERROR(__xludf.dummyfunction("countif(FILTER(Pokedex!$AK:$AK,Pokedex!$A:$A=$L$1,Pokedex!$AK:$AK=0-2),0-2)"),"0")</f>
        <v>0</v>
      </c>
      <c r="D81" s="907" t="str">
        <f aca="false">IFERROR(__xludf.dummyfunction("countif(FILTER(Pokedex!$AK:$AK,Pokedex!$A:$A=$L$1,Pokedex!$AK:$AK=0-1),0-1)"),"4")</f>
        <v>4</v>
      </c>
      <c r="E81" s="907" t="n">
        <f aca="false">SUM(C81:D81)</f>
        <v>0</v>
      </c>
      <c r="F81" s="908" t="str">
        <f aca="false">IFERROR(__xludf.dummyfunction("countif(FILTER(Pokedex!$AK:$AK,Pokedex!$A:$A=$L$1,Pokedex!$AK:$AK=4),4)"),"0")</f>
        <v>0</v>
      </c>
      <c r="G81" s="909" t="str">
        <f aca="false">IFERROR(__xludf.dummyfunction("countif(FILTER(Pokedex!$AK:$AK,Pokedex!$A:$A=$L$1,Pokedex!$AK:$AK=1),1)"),"0")</f>
        <v>0</v>
      </c>
      <c r="H81" s="908" t="str">
        <f aca="false">IFERROR(__xludf.dummyfunction("countif(FILTER(Pokedex!$AK:$AK,Pokedex!$A:$A=$L$1,Pokedex!$AK:$AK=2),2)"),"0")</f>
        <v>0</v>
      </c>
      <c r="I81" s="908" t="n">
        <f aca="false">SUM(F81:H81)</f>
        <v>0</v>
      </c>
      <c r="J81" s="44"/>
      <c r="K81" s="823"/>
      <c r="L81" s="823"/>
      <c r="M81" s="477"/>
      <c r="N81" s="477"/>
      <c r="O81" s="44"/>
      <c r="P81" s="44"/>
      <c r="Q81" s="44"/>
      <c r="R81" s="824"/>
      <c r="S81" s="638"/>
      <c r="T81" s="638"/>
      <c r="U81" s="638"/>
      <c r="V81" s="638"/>
      <c r="W81" s="638"/>
      <c r="X81" s="638"/>
      <c r="Y81" s="638"/>
      <c r="Z81" s="638"/>
      <c r="AA81" s="638"/>
      <c r="AB81" s="638"/>
      <c r="AC81" s="638"/>
      <c r="AD81" s="638"/>
      <c r="AE81" s="638"/>
    </row>
    <row r="82" customFormat="false" ht="15.75" hidden="false" customHeight="false" outlineLevel="0" collapsed="false">
      <c r="A82" s="916" t="s">
        <v>803</v>
      </c>
      <c r="B82" s="916"/>
      <c r="C82" s="911" t="str">
        <f aca="false">IFERROR(__xludf.dummyfunction("countif(FILTER(Pokedex!$AL:$AL,Pokedex!$A:$A=$L$1,Pokedex!$AL:$AL=0-2),0-2)"),"0")</f>
        <v>0</v>
      </c>
      <c r="D82" s="912" t="str">
        <f aca="false">IFERROR(__xludf.dummyfunction("countif(FILTER(Pokedex!$AL:$AL,Pokedex!$A:$A=$L$1,Pokedex!$AL:$AL=0-1),0-1)"),"4")</f>
        <v>4</v>
      </c>
      <c r="E82" s="912" t="n">
        <f aca="false">SUM(C82:D82)</f>
        <v>0</v>
      </c>
      <c r="F82" s="913" t="str">
        <f aca="false">IFERROR(__xludf.dummyfunction("countif(FILTER(Pokedex!$AL:$AL,Pokedex!$A:$A=$L$1,Pokedex!$AL:$AL=4),4)"),"0")</f>
        <v>0</v>
      </c>
      <c r="G82" s="914" t="str">
        <f aca="false">IFERROR(__xludf.dummyfunction("countif(FILTER(Pokedex!$AL:$AL,Pokedex!$A:$A=$L$1,Pokedex!$AL:$AL=1),1)"),"5")</f>
        <v>5</v>
      </c>
      <c r="H82" s="913" t="str">
        <f aca="false">IFERROR(__xludf.dummyfunction("countif(FILTER(Pokedex!$AL:$AL,Pokedex!$A:$A=$L$1,Pokedex!$AL:$AL=2),2)"),"1")</f>
        <v>1</v>
      </c>
      <c r="I82" s="913" t="n">
        <f aca="false">SUM(F82:H82)</f>
        <v>0</v>
      </c>
      <c r="J82" s="44"/>
      <c r="K82" s="893"/>
      <c r="L82" s="893"/>
      <c r="M82" s="831"/>
      <c r="N82" s="831"/>
      <c r="O82" s="44"/>
      <c r="P82" s="44"/>
      <c r="Q82" s="44"/>
      <c r="R82" s="824"/>
      <c r="S82" s="638"/>
      <c r="T82" s="638"/>
      <c r="U82" s="638"/>
      <c r="V82" s="638"/>
      <c r="W82" s="638"/>
      <c r="X82" s="638"/>
      <c r="Y82" s="638"/>
      <c r="Z82" s="638"/>
      <c r="AA82" s="638"/>
      <c r="AB82" s="638"/>
      <c r="AC82" s="638"/>
      <c r="AD82" s="638"/>
      <c r="AE82" s="638"/>
    </row>
    <row r="83" customFormat="false" ht="15.75" hidden="false" customHeight="false" outlineLevel="0" collapsed="false">
      <c r="A83" s="915" t="s">
        <v>907</v>
      </c>
      <c r="B83" s="915"/>
      <c r="C83" s="906" t="str">
        <f aca="false">IFERROR(__xludf.dummyfunction("countif(FILTER(Pokedex!$AM:$AM,Pokedex!$A:$A=$L$1,Pokedex!$AM:$AM=0-2),0-2)"),"1")</f>
        <v>1</v>
      </c>
      <c r="D83" s="907" t="str">
        <f aca="false">IFERROR(__xludf.dummyfunction("countif(FILTER(Pokedex!$AM:$AM,Pokedex!$A:$A=$L$1,Pokedex!$AM:$AM=0-1),0-1)"),"1")</f>
        <v>1</v>
      </c>
      <c r="E83" s="907" t="n">
        <f aca="false">SUM(C83:D83)</f>
        <v>0</v>
      </c>
      <c r="F83" s="908" t="str">
        <f aca="false">IFERROR(__xludf.dummyfunction("countif(FILTER(Pokedex!$AM:$AM,Pokedex!$A:$A=$L$1,Pokedex!$AM:$AM=4),4)"),"0")</f>
        <v>0</v>
      </c>
      <c r="G83" s="909" t="str">
        <f aca="false">IFERROR(__xludf.dummyfunction("countif(FILTER(Pokedex!$AM:$AM,Pokedex!$A:$A=$L$1,Pokedex!$AM:$AM=1),1)"),"2")</f>
        <v>2</v>
      </c>
      <c r="H83" s="908" t="str">
        <f aca="false">IFERROR(__xludf.dummyfunction("countif(FILTER(Pokedex!$AM:$AM,Pokedex!$A:$A=$L$1,Pokedex!$AM:$AM=2),2)"),"0")</f>
        <v>0</v>
      </c>
      <c r="I83" s="908" t="n">
        <f aca="false">SUM(F83:H83)</f>
        <v>0</v>
      </c>
      <c r="J83" s="44"/>
      <c r="K83" s="7"/>
      <c r="L83" s="7"/>
      <c r="M83" s="7"/>
      <c r="N83" s="7"/>
      <c r="O83" s="44"/>
      <c r="P83" s="44"/>
      <c r="Q83" s="44"/>
      <c r="R83" s="824"/>
      <c r="S83" s="638"/>
      <c r="T83" s="638"/>
      <c r="U83" s="638"/>
      <c r="V83" s="638"/>
      <c r="W83" s="638"/>
      <c r="X83" s="638"/>
      <c r="Y83" s="638"/>
      <c r="Z83" s="638"/>
      <c r="AA83" s="638"/>
      <c r="AB83" s="638"/>
      <c r="AC83" s="638"/>
      <c r="AD83" s="638"/>
      <c r="AE83" s="638"/>
    </row>
    <row r="84" customFormat="false" ht="15.75" hidden="false" customHeight="false" outlineLevel="0" collapsed="false">
      <c r="A84" s="916" t="s">
        <v>805</v>
      </c>
      <c r="B84" s="916"/>
      <c r="C84" s="911" t="str">
        <f aca="false">IFERROR(__xludf.dummyfunction("countif(FILTER(Pokedex!$AN:$AN,Pokedex!$A:$A=$L$1,Pokedex!$AN:$AN=0-2),0-2)"),"0")</f>
        <v>0</v>
      </c>
      <c r="D84" s="912" t="str">
        <f aca="false">IFERROR(__xludf.dummyfunction("countif(FILTER(Pokedex!$AN:$AN,Pokedex!$A:$A=$L$1,Pokedex!$AN:$AN=0-1),0-1)"),"3")</f>
        <v>3</v>
      </c>
      <c r="E84" s="912" t="n">
        <f aca="false">SUM(C84:D84)</f>
        <v>0</v>
      </c>
      <c r="F84" s="913" t="str">
        <f aca="false">IFERROR(__xludf.dummyfunction("countif(FILTER(Pokedex!$AN:$AN,Pokedex!$A:$A=$L$1,Pokedex!$AN:$AN=4),4)"),"0")</f>
        <v>0</v>
      </c>
      <c r="G84" s="914" t="str">
        <f aca="false">IFERROR(__xludf.dummyfunction("countif(FILTER(Pokedex!$AN:$AN,Pokedex!$A:$A=$L$1,Pokedex!$AN:$AN=1),1)"),"4")</f>
        <v>4</v>
      </c>
      <c r="H84" s="913" t="str">
        <f aca="false">IFERROR(__xludf.dummyfunction("countif(FILTER(Pokedex!$AN:$AN,Pokedex!$A:$A=$L$1,Pokedex!$AN:$AN=2),2)"),"0")</f>
        <v>0</v>
      </c>
      <c r="I84" s="913" t="n">
        <f aca="false">SUM(F84:H84)</f>
        <v>0</v>
      </c>
      <c r="J84" s="44"/>
      <c r="K84" s="341" t="s">
        <v>2087</v>
      </c>
      <c r="L84" s="341"/>
      <c r="M84" s="341"/>
      <c r="N84" s="341"/>
      <c r="O84" s="44"/>
      <c r="P84" s="44"/>
      <c r="Q84" s="44"/>
      <c r="R84" s="824"/>
      <c r="S84" s="638"/>
      <c r="T84" s="638"/>
      <c r="U84" s="638"/>
      <c r="V84" s="638"/>
      <c r="W84" s="638"/>
      <c r="X84" s="638"/>
      <c r="Y84" s="638"/>
      <c r="Z84" s="638"/>
      <c r="AA84" s="638"/>
      <c r="AB84" s="638"/>
      <c r="AC84" s="638"/>
      <c r="AD84" s="638"/>
      <c r="AE84" s="638"/>
    </row>
    <row r="85" customFormat="false" ht="15.75" hidden="false" customHeight="false" outlineLevel="0" collapsed="false">
      <c r="A85" s="915" t="s">
        <v>839</v>
      </c>
      <c r="B85" s="915"/>
      <c r="C85" s="906" t="str">
        <f aca="false">IFERROR(__xludf.dummyfunction("countif(FILTER(Pokedex!$AO:$AO,Pokedex!$A:$A=$L$1,Pokedex!$AO:$AO=0-2),0-2)"),"0")</f>
        <v>0</v>
      </c>
      <c r="D85" s="907" t="str">
        <f aca="false">IFERROR(__xludf.dummyfunction("countif(FILTER(Pokedex!$AO:$AO,Pokedex!$A:$A=$L$1,Pokedex!$AO:$AO=0-1),0-1)"),"0")</f>
        <v>0</v>
      </c>
      <c r="E85" s="907" t="n">
        <f aca="false">SUM(C85:D85)</f>
        <v>0</v>
      </c>
      <c r="F85" s="908" t="str">
        <f aca="false">IFERROR(__xludf.dummyfunction("countif(FILTER(Pokedex!$AO:$AO,Pokedex!$A:$A=$L$1,Pokedex!$AO:$AO=4),4)"),"3")</f>
        <v>3</v>
      </c>
      <c r="G85" s="909" t="str">
        <f aca="false">IFERROR(__xludf.dummyfunction("countif(FILTER(Pokedex!$AO:$AO,Pokedex!$A:$A=$L$1,Pokedex!$AO:$AO=1),1)"),"2")</f>
        <v>2</v>
      </c>
      <c r="H85" s="908" t="str">
        <f aca="false">IFERROR(__xludf.dummyfunction("countif(FILTER(Pokedex!$AO:$AO,Pokedex!$A:$A=$L$1,Pokedex!$AO:$AO=2),2)"),"0")</f>
        <v>0</v>
      </c>
      <c r="I85" s="908" t="n">
        <f aca="false">SUM(F85:H85)</f>
        <v>0</v>
      </c>
      <c r="J85" s="44"/>
      <c r="K85" s="891" t="str">
        <f aca="false">IFERROR(__xludf.dummyfunction("if(isna(filter($R$40:$R$51,isblank($R$40:$R$51)=FALSE)),""NONE"",filter($R$40:$R$51,isblank($R$40:$R$51)=FALSE))"),"Ribombee")</f>
        <v>Ribombee</v>
      </c>
      <c r="L85" s="891"/>
      <c r="M85" s="892" t="str">
        <f aca="false">IFERROR(__xludf.dummyfunction("if(isna(filter($S$40:$S$51,isblank($S$40:$S$51)=FALSE)),""N/A"",filter($S$40:$S$51,isblank($S$40:$S$51)=FALSE))"),"Aromatherapy")</f>
        <v>Aromatherapy</v>
      </c>
      <c r="N85" s="892"/>
      <c r="O85" s="44"/>
      <c r="P85" s="44"/>
      <c r="Q85" s="44"/>
      <c r="R85" s="824"/>
      <c r="S85" s="638"/>
      <c r="T85" s="638"/>
      <c r="U85" s="638"/>
      <c r="V85" s="638"/>
      <c r="W85" s="638"/>
      <c r="X85" s="638"/>
      <c r="Y85" s="638"/>
      <c r="Z85" s="638"/>
      <c r="AA85" s="638"/>
      <c r="AB85" s="638"/>
      <c r="AC85" s="638"/>
      <c r="AD85" s="638"/>
      <c r="AE85" s="638"/>
    </row>
    <row r="86" customFormat="false" ht="15.75" hidden="false" customHeight="false" outlineLevel="0" collapsed="false">
      <c r="A86" s="916" t="s">
        <v>843</v>
      </c>
      <c r="B86" s="916"/>
      <c r="C86" s="911" t="str">
        <f aca="false">IFERROR(__xludf.dummyfunction("countif(FILTER(Pokedex!$AP:$AP,Pokedex!$A:$A=$L$1,Pokedex!$AP:$AP=0-2),0-2)"),"0")</f>
        <v>0</v>
      </c>
      <c r="D86" s="912" t="str">
        <f aca="false">IFERROR(__xludf.dummyfunction("countif(FILTER(Pokedex!$AP:$AP,Pokedex!$A:$A=$L$1,Pokedex!$AP:$AP=0-1),0-1)"),"1")</f>
        <v>1</v>
      </c>
      <c r="E86" s="912" t="n">
        <f aca="false">SUM(C86:D86)</f>
        <v>0</v>
      </c>
      <c r="F86" s="913" t="str">
        <f aca="false">IFERROR(__xludf.dummyfunction("countif(FILTER(Pokedex!$AP:$AP,Pokedex!$A:$A=$L$1,Pokedex!$AP:$AP=4),4)"),"2")</f>
        <v>2</v>
      </c>
      <c r="G86" s="914" t="str">
        <f aca="false">IFERROR(__xludf.dummyfunction("countif(FILTER(Pokedex!$AP:$AP,Pokedex!$A:$A=$L$1,Pokedex!$AP:$AP=1),1)"),"2")</f>
        <v>2</v>
      </c>
      <c r="H86" s="913" t="str">
        <f aca="false">IFERROR(__xludf.dummyfunction("countif(FILTER(Pokedex!$AP:$AP,Pokedex!$A:$A=$L$1,Pokedex!$AP:$AP=2),2)"),"1")</f>
        <v>1</v>
      </c>
      <c r="I86" s="913" t="n">
        <f aca="false">SUM(F86:H86)</f>
        <v>0</v>
      </c>
      <c r="J86" s="44"/>
      <c r="K86" s="823" t="s">
        <v>79</v>
      </c>
      <c r="L86" s="823"/>
      <c r="M86" s="477" t="s">
        <v>1115</v>
      </c>
      <c r="N86" s="477"/>
      <c r="O86" s="44"/>
      <c r="P86" s="44"/>
      <c r="Q86" s="44"/>
      <c r="R86" s="824"/>
      <c r="S86" s="638"/>
      <c r="T86" s="638"/>
      <c r="U86" s="638"/>
      <c r="V86" s="638"/>
      <c r="W86" s="638"/>
      <c r="X86" s="638"/>
      <c r="Y86" s="638"/>
      <c r="Z86" s="638"/>
      <c r="AA86" s="638"/>
      <c r="AB86" s="638"/>
      <c r="AC86" s="638"/>
      <c r="AD86" s="638"/>
      <c r="AE86" s="638"/>
    </row>
    <row r="87" customFormat="false" ht="15.75" hidden="false" customHeight="false" outlineLevel="0" collapsed="false">
      <c r="A87" s="915" t="s">
        <v>828</v>
      </c>
      <c r="B87" s="915"/>
      <c r="C87" s="906" t="str">
        <f aca="false">IFERROR(__xludf.dummyfunction("countif(FILTER(Pokedex!$AQ:$AQ,Pokedex!$A:$A=$L$1,Pokedex!$AQ:$AQ=0-2),0-2)"),"0")</f>
        <v>0</v>
      </c>
      <c r="D87" s="907" t="str">
        <f aca="false">IFERROR(__xludf.dummyfunction("countif(FILTER(Pokedex!$AQ:$AQ,Pokedex!$A:$A=$L$1,Pokedex!$AQ:$AQ=0-1),0-1)"),"0")</f>
        <v>0</v>
      </c>
      <c r="E87" s="907" t="n">
        <f aca="false">SUM(C87:D87)</f>
        <v>0</v>
      </c>
      <c r="F87" s="908" t="str">
        <f aca="false">IFERROR(__xludf.dummyfunction("countif(FILTER(Pokedex!$AQ:$AQ,Pokedex!$A:$A=$L$1,Pokedex!$AQ:$AQ=4),4)"),"0")</f>
        <v>0</v>
      </c>
      <c r="G87" s="909" t="str">
        <f aca="false">IFERROR(__xludf.dummyfunction("countif(FILTER(Pokedex!$AQ:$AQ,Pokedex!$A:$A=$L$1,Pokedex!$AQ:$AQ=1),1)"),"2")</f>
        <v>2</v>
      </c>
      <c r="H87" s="908" t="str">
        <f aca="false">IFERROR(__xludf.dummyfunction("countif(FILTER(Pokedex!$AQ:$AQ,Pokedex!$A:$A=$L$1,Pokedex!$AQ:$AQ=2),2)"),"0")</f>
        <v>0</v>
      </c>
      <c r="I87" s="908" t="n">
        <f aca="false">SUM(F87:H87)</f>
        <v>0</v>
      </c>
      <c r="J87" s="44"/>
      <c r="K87" s="823" t="s">
        <v>93</v>
      </c>
      <c r="L87" s="823"/>
      <c r="M87" s="477" t="s">
        <v>1115</v>
      </c>
      <c r="N87" s="477"/>
      <c r="O87" s="44"/>
      <c r="P87" s="44"/>
      <c r="Q87" s="44"/>
      <c r="R87" s="824"/>
      <c r="S87" s="638"/>
      <c r="T87" s="638"/>
      <c r="U87" s="638"/>
      <c r="V87" s="638"/>
      <c r="W87" s="638"/>
      <c r="X87" s="638"/>
      <c r="Y87" s="638"/>
      <c r="Z87" s="638"/>
      <c r="AA87" s="638"/>
      <c r="AB87" s="638"/>
      <c r="AC87" s="638"/>
      <c r="AD87" s="638"/>
      <c r="AE87" s="638"/>
    </row>
    <row r="88" customFormat="false" ht="15.75" hidden="false" customHeight="false" outlineLevel="0" collapsed="false">
      <c r="A88" s="916" t="s">
        <v>809</v>
      </c>
      <c r="B88" s="916"/>
      <c r="C88" s="911" t="str">
        <f aca="false">IFERROR(__xludf.dummyfunction("countif(FILTER(Pokedex!$AR:$AR,Pokedex!$A:$A=$L$1,Pokedex!$AR:$AR=0-2),0-2)"),"0")</f>
        <v>0</v>
      </c>
      <c r="D88" s="912" t="str">
        <f aca="false">IFERROR(__xludf.dummyfunction("countif(FILTER(Pokedex!$AR:$AR,Pokedex!$A:$A=$L$1,Pokedex!$AR:$AR=0-1),0-1)"),"2")</f>
        <v>2</v>
      </c>
      <c r="E88" s="912" t="n">
        <f aca="false">SUM(C88:D88)</f>
        <v>0</v>
      </c>
      <c r="F88" s="913" t="str">
        <f aca="false">IFERROR(__xludf.dummyfunction("countif(FILTER(Pokedex!$AR:$AR,Pokedex!$A:$A=$L$1,Pokedex!$AR:$AR=4),4)"),"0")</f>
        <v>0</v>
      </c>
      <c r="G88" s="914" t="str">
        <f aca="false">IFERROR(__xludf.dummyfunction("countif(FILTER(Pokedex!$AR:$AR,Pokedex!$A:$A=$L$1,Pokedex!$AR:$AR=1),1)"),"4")</f>
        <v>4</v>
      </c>
      <c r="H88" s="913" t="str">
        <f aca="false">IFERROR(__xludf.dummyfunction("countif(FILTER(Pokedex!$AR:$AR,Pokedex!$A:$A=$L$1,Pokedex!$AR:$AR=2),2)"),"0")</f>
        <v>0</v>
      </c>
      <c r="I88" s="913" t="n">
        <f aca="false">SUM(F88:H88)</f>
        <v>0</v>
      </c>
      <c r="J88" s="44"/>
      <c r="K88" s="823"/>
      <c r="L88" s="823"/>
      <c r="M88" s="477"/>
      <c r="N88" s="477"/>
      <c r="O88" s="44"/>
      <c r="P88" s="44"/>
      <c r="Q88" s="44"/>
      <c r="R88" s="824"/>
      <c r="S88" s="638"/>
      <c r="T88" s="638"/>
      <c r="U88" s="638"/>
      <c r="V88" s="638"/>
      <c r="W88" s="638"/>
      <c r="X88" s="638"/>
      <c r="Y88" s="638"/>
      <c r="Z88" s="638"/>
      <c r="AA88" s="638"/>
      <c r="AB88" s="638"/>
      <c r="AC88" s="638"/>
      <c r="AD88" s="638"/>
      <c r="AE88" s="638"/>
    </row>
    <row r="89" customFormat="false" ht="15.75" hidden="false" customHeight="false" outlineLevel="0" collapsed="false">
      <c r="A89" s="915" t="s">
        <v>810</v>
      </c>
      <c r="B89" s="915"/>
      <c r="C89" s="906" t="str">
        <f aca="false">IFERROR(__xludf.dummyfunction("countif(FILTER(Pokedex!$AS:$AS,Pokedex!$A:$A=$L$1,Pokedex!$AS:$AS=0-2),0-2)"),"0")</f>
        <v>0</v>
      </c>
      <c r="D89" s="907" t="str">
        <f aca="false">IFERROR(__xludf.dummyfunction("countif(FILTER(Pokedex!$AS:$AS,Pokedex!$A:$A=$L$1,Pokedex!$AS:$AS=0-1),0-1)"),"2")</f>
        <v>2</v>
      </c>
      <c r="E89" s="907" t="n">
        <f aca="false">SUM(C89:D89)</f>
        <v>0</v>
      </c>
      <c r="F89" s="908" t="str">
        <f aca="false">IFERROR(__xludf.dummyfunction("countif(FILTER(Pokedex!$AS:$AS,Pokedex!$A:$A=$L$1,Pokedex!$AS:$AS=4),4)"),"0")</f>
        <v>0</v>
      </c>
      <c r="G89" s="909" t="str">
        <f aca="false">IFERROR(__xludf.dummyfunction("countif(FILTER(Pokedex!$AS:$AS,Pokedex!$A:$A=$L$1,Pokedex!$AS:$AS=1),1)"),"4")</f>
        <v>4</v>
      </c>
      <c r="H89" s="908" t="str">
        <f aca="false">IFERROR(__xludf.dummyfunction("countif(FILTER(Pokedex!$AS:$AS,Pokedex!$A:$A=$L$1,Pokedex!$AS:$AS=2),2)"),"1")</f>
        <v>1</v>
      </c>
      <c r="I89" s="908" t="n">
        <f aca="false">SUM(F89:H89)</f>
        <v>0</v>
      </c>
      <c r="J89" s="44"/>
      <c r="K89" s="823"/>
      <c r="L89" s="823"/>
      <c r="M89" s="477"/>
      <c r="N89" s="477"/>
      <c r="O89" s="44"/>
      <c r="P89" s="44"/>
      <c r="Q89" s="44"/>
      <c r="R89" s="824"/>
      <c r="S89" s="638"/>
      <c r="T89" s="638"/>
      <c r="U89" s="638"/>
      <c r="V89" s="638"/>
      <c r="W89" s="638"/>
      <c r="X89" s="638"/>
      <c r="Y89" s="638"/>
      <c r="Z89" s="638"/>
      <c r="AA89" s="638"/>
      <c r="AB89" s="638"/>
      <c r="AC89" s="638"/>
      <c r="AD89" s="638"/>
      <c r="AE89" s="638"/>
    </row>
    <row r="90" customFormat="false" ht="15.75" hidden="false" customHeight="false" outlineLevel="0" collapsed="false">
      <c r="A90" s="917" t="s">
        <v>811</v>
      </c>
      <c r="B90" s="917"/>
      <c r="C90" s="918" t="str">
        <f aca="false">IFERROR(__xludf.dummyfunction("countif(FILTER(Pokedex!$AT:$AT,Pokedex!$A:$A=$L$1,Pokedex!$AT:$AT=0-2),0-2)"),"0")</f>
        <v>0</v>
      </c>
      <c r="D90" s="919" t="str">
        <f aca="false">IFERROR(__xludf.dummyfunction("countif(FILTER(Pokedex!$AT:$AT,Pokedex!$A:$A=$L$1,Pokedex!$AT:$AT=0-1),0-1)"),"3")</f>
        <v>3</v>
      </c>
      <c r="E90" s="919" t="n">
        <f aca="false">SUM(C90:D90)</f>
        <v>0</v>
      </c>
      <c r="F90" s="920" t="str">
        <f aca="false">IFERROR(__xludf.dummyfunction("countif(FILTER(Pokedex!$AT:$AT,Pokedex!$A:$A=$L$1,Pokedex!$AT:$AT=4),4)"),"0")</f>
        <v>0</v>
      </c>
      <c r="G90" s="921" t="str">
        <f aca="false">IFERROR(__xludf.dummyfunction("countif(FILTER(Pokedex!$AT:$AT,Pokedex!$A:$A=$L$1,Pokedex!$AT:$AT=1),1)"),"5")</f>
        <v>5</v>
      </c>
      <c r="H90" s="920" t="str">
        <f aca="false">IFERROR(__xludf.dummyfunction("countif(FILTER(Pokedex!$AT:$AT,Pokedex!$A:$A=$L$1,Pokedex!$AT:$AT=2),2)"),"0")</f>
        <v>0</v>
      </c>
      <c r="I90" s="920" t="n">
        <f aca="false">SUM(F90:H90)</f>
        <v>0</v>
      </c>
      <c r="J90" s="44"/>
      <c r="K90" s="823"/>
      <c r="L90" s="823"/>
      <c r="M90" s="477"/>
      <c r="N90" s="477"/>
      <c r="O90" s="44"/>
      <c r="P90" s="44"/>
      <c r="Q90" s="44"/>
      <c r="R90" s="824"/>
      <c r="S90" s="638"/>
      <c r="T90" s="638"/>
      <c r="U90" s="638"/>
      <c r="V90" s="638"/>
      <c r="W90" s="638"/>
      <c r="X90" s="638"/>
      <c r="Y90" s="638"/>
      <c r="Z90" s="638"/>
      <c r="AA90" s="638"/>
      <c r="AB90" s="638"/>
      <c r="AC90" s="638"/>
      <c r="AD90" s="638"/>
      <c r="AE90" s="638"/>
    </row>
    <row r="91" customFormat="false" ht="15.75" hidden="false" customHeight="false" outlineLevel="0" collapsed="false">
      <c r="A91" s="922" t="s">
        <v>2088</v>
      </c>
      <c r="B91" s="922"/>
      <c r="C91" s="923" t="n">
        <f aca="false">SUM(C73:C90)</f>
        <v>0</v>
      </c>
      <c r="D91" s="924" t="n">
        <f aca="false">SUM(D73:D90)</f>
        <v>0</v>
      </c>
      <c r="E91" s="924" t="n">
        <f aca="false">SUM(E73:E90)</f>
        <v>0</v>
      </c>
      <c r="F91" s="925" t="n">
        <f aca="false">SUM(F73:F90)</f>
        <v>0</v>
      </c>
      <c r="G91" s="926" t="n">
        <f aca="false">SUM(G73:G90)</f>
        <v>0</v>
      </c>
      <c r="H91" s="925" t="n">
        <f aca="false">SUM(H73:H90)</f>
        <v>0</v>
      </c>
      <c r="I91" s="925" t="n">
        <f aca="false">SUM(I73:I90)</f>
        <v>0</v>
      </c>
      <c r="J91" s="44"/>
      <c r="K91" s="823"/>
      <c r="L91" s="823"/>
      <c r="M91" s="477"/>
      <c r="N91" s="477"/>
      <c r="O91" s="44"/>
      <c r="P91" s="44"/>
      <c r="Q91" s="44"/>
      <c r="R91" s="824"/>
      <c r="S91" s="638"/>
      <c r="T91" s="638"/>
      <c r="U91" s="638"/>
      <c r="V91" s="638"/>
      <c r="W91" s="638"/>
      <c r="X91" s="638"/>
      <c r="Y91" s="638"/>
      <c r="Z91" s="638"/>
      <c r="AA91" s="638"/>
      <c r="AB91" s="638"/>
      <c r="AC91" s="638"/>
      <c r="AD91" s="638"/>
      <c r="AE91" s="638"/>
    </row>
    <row r="92" customFormat="false" ht="15.75" hidden="false" customHeight="false" outlineLevel="0" collapsed="false">
      <c r="A92" s="245"/>
      <c r="B92" s="738"/>
      <c r="C92" s="900" t="s">
        <v>2082</v>
      </c>
      <c r="D92" s="901" t="s">
        <v>2083</v>
      </c>
      <c r="E92" s="901" t="s">
        <v>2063</v>
      </c>
      <c r="F92" s="902" t="s">
        <v>2084</v>
      </c>
      <c r="G92" s="903" t="s">
        <v>2085</v>
      </c>
      <c r="H92" s="904" t="s">
        <v>2086</v>
      </c>
      <c r="I92" s="904" t="s">
        <v>2063</v>
      </c>
      <c r="J92" s="44"/>
      <c r="K92" s="823"/>
      <c r="L92" s="823"/>
      <c r="M92" s="477"/>
      <c r="N92" s="477"/>
      <c r="O92" s="44"/>
      <c r="P92" s="44"/>
      <c r="Q92" s="44"/>
      <c r="R92" s="824"/>
      <c r="S92" s="638"/>
      <c r="T92" s="638"/>
      <c r="U92" s="638"/>
      <c r="V92" s="638"/>
      <c r="W92" s="638"/>
      <c r="X92" s="638"/>
      <c r="Y92" s="638"/>
      <c r="Z92" s="638"/>
      <c r="AA92" s="638"/>
      <c r="AB92" s="638"/>
      <c r="AC92" s="638"/>
      <c r="AD92" s="638"/>
      <c r="AE92" s="638"/>
    </row>
    <row r="93" customFormat="false" ht="15.75" hidden="false" customHeight="false" outlineLevel="0" collapsed="false">
      <c r="A93" s="245"/>
      <c r="B93" s="738"/>
      <c r="C93" s="929" t="s">
        <v>2079</v>
      </c>
      <c r="D93" s="929"/>
      <c r="E93" s="929"/>
      <c r="F93" s="939" t="s">
        <v>2080</v>
      </c>
      <c r="G93" s="939"/>
      <c r="H93" s="939"/>
      <c r="I93" s="939"/>
      <c r="J93" s="44"/>
      <c r="K93" s="823"/>
      <c r="L93" s="823"/>
      <c r="M93" s="477"/>
      <c r="N93" s="477"/>
      <c r="O93" s="44"/>
      <c r="P93" s="44"/>
      <c r="Q93" s="44"/>
      <c r="R93" s="824"/>
      <c r="S93" s="638"/>
      <c r="T93" s="638"/>
      <c r="U93" s="638"/>
      <c r="V93" s="638"/>
      <c r="W93" s="638"/>
      <c r="X93" s="638"/>
      <c r="Y93" s="638"/>
      <c r="Z93" s="638"/>
      <c r="AA93" s="638"/>
      <c r="AB93" s="638"/>
      <c r="AC93" s="638"/>
      <c r="AD93" s="638"/>
      <c r="AE93" s="638"/>
    </row>
    <row r="94" customFormat="false" ht="15.75" hidden="false" customHeight="false" outlineLevel="0" collapsed="false">
      <c r="A94" s="44"/>
      <c r="B94" s="44"/>
      <c r="C94" s="44"/>
      <c r="D94" s="44"/>
      <c r="E94" s="44"/>
      <c r="F94" s="44"/>
      <c r="G94" s="44"/>
      <c r="H94" s="44"/>
      <c r="I94" s="44"/>
      <c r="J94" s="44"/>
      <c r="K94" s="823"/>
      <c r="L94" s="823"/>
      <c r="M94" s="477"/>
      <c r="N94" s="477"/>
      <c r="O94" s="44"/>
      <c r="P94" s="44"/>
      <c r="Q94" s="44"/>
      <c r="R94" s="824"/>
      <c r="S94" s="638"/>
      <c r="T94" s="638"/>
      <c r="U94" s="638"/>
      <c r="V94" s="638"/>
      <c r="W94" s="638"/>
      <c r="X94" s="638"/>
      <c r="Y94" s="638"/>
      <c r="Z94" s="638"/>
      <c r="AA94" s="638"/>
      <c r="AB94" s="638"/>
      <c r="AC94" s="638"/>
      <c r="AD94" s="638"/>
      <c r="AE94" s="638"/>
    </row>
    <row r="95" customFormat="false" ht="15.75" hidden="false" customHeight="false" outlineLevel="0" collapsed="false">
      <c r="A95" s="44"/>
      <c r="B95" s="44"/>
      <c r="C95" s="44"/>
      <c r="D95" s="44"/>
      <c r="E95" s="44"/>
      <c r="F95" s="44"/>
      <c r="G95" s="44"/>
      <c r="H95" s="44"/>
      <c r="I95" s="44"/>
      <c r="J95" s="93"/>
      <c r="K95" s="893"/>
      <c r="L95" s="893"/>
      <c r="M95" s="831"/>
      <c r="N95" s="831"/>
      <c r="O95" s="44"/>
      <c r="P95" s="44"/>
      <c r="Q95" s="44"/>
      <c r="R95" s="824"/>
      <c r="S95" s="638"/>
      <c r="T95" s="638"/>
      <c r="U95" s="638"/>
      <c r="V95" s="638"/>
      <c r="W95" s="638"/>
      <c r="X95" s="638"/>
      <c r="Y95" s="638"/>
      <c r="Z95" s="638"/>
      <c r="AA95" s="638"/>
      <c r="AB95" s="638"/>
      <c r="AC95" s="638"/>
      <c r="AD95" s="638"/>
      <c r="AE95" s="638"/>
    </row>
    <row r="96" customFormat="false" ht="15.75" hidden="false" customHeight="false" outlineLevel="0" collapsed="false">
      <c r="O96" s="44"/>
      <c r="P96" s="44"/>
      <c r="Q96" s="44"/>
      <c r="R96" s="824"/>
      <c r="S96" s="638"/>
      <c r="T96" s="638"/>
      <c r="U96" s="638"/>
      <c r="V96" s="638"/>
      <c r="W96" s="638"/>
      <c r="X96" s="638"/>
      <c r="Y96" s="638"/>
      <c r="Z96" s="638"/>
      <c r="AA96" s="638"/>
      <c r="AB96" s="638"/>
      <c r="AC96" s="638"/>
      <c r="AD96" s="638"/>
      <c r="AE96" s="638"/>
    </row>
    <row r="97" customFormat="false" ht="15.75" hidden="false" customHeight="false" outlineLevel="0" collapsed="false">
      <c r="A97" s="44"/>
      <c r="B97" s="44"/>
      <c r="C97" s="44"/>
      <c r="D97" s="44"/>
      <c r="E97" s="44"/>
      <c r="F97" s="44"/>
      <c r="G97" s="44"/>
      <c r="H97" s="44"/>
      <c r="I97" s="44"/>
      <c r="J97" s="44"/>
      <c r="K97" s="44"/>
      <c r="L97" s="44"/>
      <c r="M97" s="44"/>
      <c r="N97" s="44"/>
      <c r="O97" s="44"/>
      <c r="P97" s="44"/>
      <c r="Q97" s="44"/>
      <c r="R97" s="824"/>
      <c r="S97" s="638"/>
      <c r="T97" s="638"/>
      <c r="U97" s="638"/>
      <c r="V97" s="638"/>
      <c r="W97" s="638"/>
      <c r="X97" s="638"/>
      <c r="Y97" s="638"/>
      <c r="Z97" s="638"/>
      <c r="AA97" s="638"/>
      <c r="AB97" s="638"/>
      <c r="AC97" s="638"/>
      <c r="AD97" s="638"/>
      <c r="AE97" s="638"/>
    </row>
    <row r="98" customFormat="false" ht="15.75" hidden="false" customHeight="false" outlineLevel="0" collapsed="false">
      <c r="A98" s="44"/>
      <c r="B98" s="44"/>
      <c r="C98" s="44"/>
      <c r="D98" s="44"/>
      <c r="E98" s="44"/>
      <c r="F98" s="44"/>
      <c r="G98" s="44"/>
      <c r="H98" s="44"/>
      <c r="I98" s="44"/>
      <c r="J98" s="44"/>
      <c r="K98" s="44"/>
      <c r="L98" s="44"/>
      <c r="M98" s="44"/>
      <c r="N98" s="44"/>
      <c r="O98" s="44"/>
      <c r="P98" s="44"/>
      <c r="Q98" s="44"/>
      <c r="R98" s="824"/>
      <c r="S98" s="638"/>
      <c r="T98" s="638"/>
      <c r="U98" s="638"/>
      <c r="V98" s="638"/>
      <c r="W98" s="638"/>
      <c r="X98" s="638"/>
      <c r="Y98" s="638"/>
      <c r="Z98" s="638"/>
      <c r="AA98" s="638"/>
      <c r="AB98" s="638"/>
      <c r="AC98" s="638"/>
      <c r="AD98" s="638"/>
      <c r="AE98" s="638"/>
    </row>
    <row r="99" customFormat="false" ht="15.75" hidden="false" customHeight="false" outlineLevel="0" collapsed="false">
      <c r="A99" s="245"/>
      <c r="B99" s="245"/>
      <c r="C99" s="2"/>
      <c r="D99" s="2"/>
      <c r="E99" s="2"/>
      <c r="F99" s="2"/>
      <c r="G99" s="2"/>
      <c r="H99" s="2"/>
      <c r="I99" s="2"/>
      <c r="J99" s="93"/>
      <c r="K99" s="931"/>
      <c r="L99" s="931"/>
      <c r="M99" s="93"/>
      <c r="N99" s="931"/>
      <c r="O99" s="44"/>
      <c r="P99" s="44"/>
      <c r="Q99" s="44"/>
      <c r="R99" s="824"/>
      <c r="S99" s="638"/>
      <c r="T99" s="638"/>
      <c r="U99" s="638"/>
      <c r="V99" s="638"/>
      <c r="W99" s="638"/>
      <c r="X99" s="638"/>
      <c r="Y99" s="638"/>
      <c r="Z99" s="638"/>
      <c r="AA99" s="638"/>
      <c r="AB99" s="638"/>
      <c r="AC99" s="638"/>
      <c r="AD99" s="638"/>
      <c r="AE99" s="638"/>
    </row>
    <row r="100" customFormat="false" ht="15.75" hidden="false" customHeight="false" outlineLevel="0" collapsed="false">
      <c r="A100" s="245"/>
      <c r="B100" s="245"/>
      <c r="C100" s="931"/>
      <c r="D100" s="93"/>
      <c r="E100" s="931"/>
      <c r="F100" s="931"/>
      <c r="G100" s="93"/>
      <c r="H100" s="931"/>
      <c r="I100" s="931"/>
      <c r="J100" s="93"/>
      <c r="K100" s="931"/>
      <c r="L100" s="931"/>
      <c r="M100" s="93"/>
      <c r="N100" s="931"/>
      <c r="O100" s="44"/>
      <c r="P100" s="44"/>
      <c r="Q100" s="44"/>
      <c r="R100" s="824"/>
      <c r="S100" s="638"/>
      <c r="T100" s="638"/>
      <c r="U100" s="638"/>
      <c r="V100" s="638"/>
      <c r="W100" s="638"/>
      <c r="X100" s="638"/>
      <c r="Y100" s="638"/>
      <c r="Z100" s="638"/>
      <c r="AA100" s="638"/>
      <c r="AB100" s="638"/>
      <c r="AC100" s="638"/>
      <c r="AD100" s="638"/>
      <c r="AE100" s="638"/>
    </row>
  </sheetData>
  <mergeCells count="373">
    <mergeCell ref="A1:D8"/>
    <mergeCell ref="E1:F1"/>
    <mergeCell ref="G1:J1"/>
    <mergeCell ref="L1:N1"/>
    <mergeCell ref="R1:S1"/>
    <mergeCell ref="E2:F2"/>
    <mergeCell ref="G2:N2"/>
    <mergeCell ref="E3:F3"/>
    <mergeCell ref="G3:N3"/>
    <mergeCell ref="E4:F4"/>
    <mergeCell ref="G4:N4"/>
    <mergeCell ref="E5:F5"/>
    <mergeCell ref="G5:N5"/>
    <mergeCell ref="E6:F6"/>
    <mergeCell ref="G6:N6"/>
    <mergeCell ref="E7:F7"/>
    <mergeCell ref="G7:N7"/>
    <mergeCell ref="A9:D9"/>
    <mergeCell ref="I9:L9"/>
    <mergeCell ref="A10:B11"/>
    <mergeCell ref="C10:I10"/>
    <mergeCell ref="J10:M10"/>
    <mergeCell ref="J11:M11"/>
    <mergeCell ref="A12:B12"/>
    <mergeCell ref="J12:M12"/>
    <mergeCell ref="A13:B13"/>
    <mergeCell ref="J13:M13"/>
    <mergeCell ref="A14:B14"/>
    <mergeCell ref="J14:M14"/>
    <mergeCell ref="A15:B15"/>
    <mergeCell ref="A16:B16"/>
    <mergeCell ref="A17:B17"/>
    <mergeCell ref="A18:B18"/>
    <mergeCell ref="A19:B19"/>
    <mergeCell ref="R19:S19"/>
    <mergeCell ref="A20:B20"/>
    <mergeCell ref="A21:B21"/>
    <mergeCell ref="A22:B22"/>
    <mergeCell ref="A23:C23"/>
    <mergeCell ref="A27:C27"/>
    <mergeCell ref="D27:F27"/>
    <mergeCell ref="G27:H27"/>
    <mergeCell ref="J27:L27"/>
    <mergeCell ref="A28:C28"/>
    <mergeCell ref="D28:F28"/>
    <mergeCell ref="G28:H28"/>
    <mergeCell ref="J28:L28"/>
    <mergeCell ref="A29:C29"/>
    <mergeCell ref="D29:F29"/>
    <mergeCell ref="G29:H29"/>
    <mergeCell ref="J29:L29"/>
    <mergeCell ref="A30:C30"/>
    <mergeCell ref="D30:F30"/>
    <mergeCell ref="G30:H30"/>
    <mergeCell ref="J30:M30"/>
    <mergeCell ref="A32:C32"/>
    <mergeCell ref="D32:F32"/>
    <mergeCell ref="G32:H32"/>
    <mergeCell ref="I32:J32"/>
    <mergeCell ref="K32:N32"/>
    <mergeCell ref="A33:C33"/>
    <mergeCell ref="D33:F33"/>
    <mergeCell ref="G33:H33"/>
    <mergeCell ref="I33:J33"/>
    <mergeCell ref="K33:N33"/>
    <mergeCell ref="A34:C34"/>
    <mergeCell ref="D34:F34"/>
    <mergeCell ref="G34:H34"/>
    <mergeCell ref="I34:J34"/>
    <mergeCell ref="K34:N34"/>
    <mergeCell ref="A35:C35"/>
    <mergeCell ref="D35:F35"/>
    <mergeCell ref="G35:H35"/>
    <mergeCell ref="I35:J35"/>
    <mergeCell ref="K35:N35"/>
    <mergeCell ref="A36:C36"/>
    <mergeCell ref="D36:F36"/>
    <mergeCell ref="G36:H36"/>
    <mergeCell ref="I36:J36"/>
    <mergeCell ref="K36:N36"/>
    <mergeCell ref="A37:C37"/>
    <mergeCell ref="D37:F37"/>
    <mergeCell ref="G37:H37"/>
    <mergeCell ref="I37:J37"/>
    <mergeCell ref="K37:N37"/>
    <mergeCell ref="A38:C38"/>
    <mergeCell ref="D38:F38"/>
    <mergeCell ref="G38:H38"/>
    <mergeCell ref="I38:J38"/>
    <mergeCell ref="K38:N38"/>
    <mergeCell ref="A39:C39"/>
    <mergeCell ref="D39:F39"/>
    <mergeCell ref="G39:H39"/>
    <mergeCell ref="I39:J39"/>
    <mergeCell ref="K39:N39"/>
    <mergeCell ref="R39:S39"/>
    <mergeCell ref="A40:C40"/>
    <mergeCell ref="D40:F40"/>
    <mergeCell ref="G40:H40"/>
    <mergeCell ref="I40:J40"/>
    <mergeCell ref="K40:N40"/>
    <mergeCell ref="A41:C41"/>
    <mergeCell ref="D41:F41"/>
    <mergeCell ref="G41:H41"/>
    <mergeCell ref="I41:J41"/>
    <mergeCell ref="K41:N41"/>
    <mergeCell ref="A43:C43"/>
    <mergeCell ref="K43:L43"/>
    <mergeCell ref="M43:N43"/>
    <mergeCell ref="A44:C44"/>
    <mergeCell ref="K44:L44"/>
    <mergeCell ref="M44:N44"/>
    <mergeCell ref="A45:C45"/>
    <mergeCell ref="K45:L45"/>
    <mergeCell ref="M45:N45"/>
    <mergeCell ref="A46:C46"/>
    <mergeCell ref="K46:L46"/>
    <mergeCell ref="M46:N46"/>
    <mergeCell ref="A47:C47"/>
    <mergeCell ref="K47:L47"/>
    <mergeCell ref="M47:N47"/>
    <mergeCell ref="A48:C48"/>
    <mergeCell ref="K48:L48"/>
    <mergeCell ref="M48:N48"/>
    <mergeCell ref="A49:C49"/>
    <mergeCell ref="K49:L49"/>
    <mergeCell ref="M49:N49"/>
    <mergeCell ref="A50:C50"/>
    <mergeCell ref="K50:L50"/>
    <mergeCell ref="M50:N50"/>
    <mergeCell ref="A51:C51"/>
    <mergeCell ref="K51:L51"/>
    <mergeCell ref="M51:N51"/>
    <mergeCell ref="A52:C52"/>
    <mergeCell ref="K52:L52"/>
    <mergeCell ref="M52:N52"/>
    <mergeCell ref="A53:C53"/>
    <mergeCell ref="K53:L53"/>
    <mergeCell ref="M53:N53"/>
    <mergeCell ref="A54:C54"/>
    <mergeCell ref="K54:L54"/>
    <mergeCell ref="M54:N54"/>
    <mergeCell ref="Q54:S54"/>
    <mergeCell ref="T54:V54"/>
    <mergeCell ref="W54:X54"/>
    <mergeCell ref="Y54:Z54"/>
    <mergeCell ref="AA54:AD54"/>
    <mergeCell ref="A55:C55"/>
    <mergeCell ref="Q55:S55"/>
    <mergeCell ref="T55:V55"/>
    <mergeCell ref="W55:X55"/>
    <mergeCell ref="Y55:Z55"/>
    <mergeCell ref="AA55:AD55"/>
    <mergeCell ref="A56:C56"/>
    <mergeCell ref="Q56:S56"/>
    <mergeCell ref="T56:V56"/>
    <mergeCell ref="W56:X56"/>
    <mergeCell ref="Y56:Z56"/>
    <mergeCell ref="AA56:AD56"/>
    <mergeCell ref="Q57:S57"/>
    <mergeCell ref="T57:V57"/>
    <mergeCell ref="W57:X57"/>
    <mergeCell ref="Y57:Z57"/>
    <mergeCell ref="AA57:AD57"/>
    <mergeCell ref="A58:C58"/>
    <mergeCell ref="D58:I58"/>
    <mergeCell ref="K58:N58"/>
    <mergeCell ref="Q58:S58"/>
    <mergeCell ref="T58:V58"/>
    <mergeCell ref="W58:X58"/>
    <mergeCell ref="Y58:Z58"/>
    <mergeCell ref="AA58:AD58"/>
    <mergeCell ref="A59:C59"/>
    <mergeCell ref="D59:E59"/>
    <mergeCell ref="F59:G59"/>
    <mergeCell ref="H59:I59"/>
    <mergeCell ref="K59:L59"/>
    <mergeCell ref="M59:N59"/>
    <mergeCell ref="Q59:S59"/>
    <mergeCell ref="T59:V59"/>
    <mergeCell ref="W59:X59"/>
    <mergeCell ref="Y59:Z59"/>
    <mergeCell ref="AA59:AD59"/>
    <mergeCell ref="A60:C60"/>
    <mergeCell ref="D60:E60"/>
    <mergeCell ref="F60:G60"/>
    <mergeCell ref="H60:I60"/>
    <mergeCell ref="K60:L60"/>
    <mergeCell ref="M60:N60"/>
    <mergeCell ref="Q60:S60"/>
    <mergeCell ref="T60:V60"/>
    <mergeCell ref="W60:X60"/>
    <mergeCell ref="Y60:Z60"/>
    <mergeCell ref="AA60:AD60"/>
    <mergeCell ref="A61:C61"/>
    <mergeCell ref="D61:E61"/>
    <mergeCell ref="F61:G61"/>
    <mergeCell ref="H61:I61"/>
    <mergeCell ref="K61:L61"/>
    <mergeCell ref="M61:N61"/>
    <mergeCell ref="Q61:S61"/>
    <mergeCell ref="T61:V61"/>
    <mergeCell ref="W61:X61"/>
    <mergeCell ref="Y61:Z61"/>
    <mergeCell ref="AA61:AD61"/>
    <mergeCell ref="A62:C62"/>
    <mergeCell ref="D62:E62"/>
    <mergeCell ref="F62:G62"/>
    <mergeCell ref="H62:I62"/>
    <mergeCell ref="K62:L62"/>
    <mergeCell ref="M62:N62"/>
    <mergeCell ref="Q62:S62"/>
    <mergeCell ref="T62:V62"/>
    <mergeCell ref="W62:X62"/>
    <mergeCell ref="Y62:Z62"/>
    <mergeCell ref="AA62:AD62"/>
    <mergeCell ref="A63:C63"/>
    <mergeCell ref="D63:E63"/>
    <mergeCell ref="F63:G63"/>
    <mergeCell ref="H63:I63"/>
    <mergeCell ref="K63:L63"/>
    <mergeCell ref="M63:N63"/>
    <mergeCell ref="Q63:S63"/>
    <mergeCell ref="T63:V63"/>
    <mergeCell ref="W63:X63"/>
    <mergeCell ref="Y63:Z63"/>
    <mergeCell ref="AA63:AD63"/>
    <mergeCell ref="A64:C64"/>
    <mergeCell ref="D64:E64"/>
    <mergeCell ref="F64:G64"/>
    <mergeCell ref="H64:I64"/>
    <mergeCell ref="K64:L64"/>
    <mergeCell ref="M64:N64"/>
    <mergeCell ref="Q64:S64"/>
    <mergeCell ref="T64:V64"/>
    <mergeCell ref="W64:X64"/>
    <mergeCell ref="Y64:Z64"/>
    <mergeCell ref="AA64:AD64"/>
    <mergeCell ref="A65:C65"/>
    <mergeCell ref="D65:E65"/>
    <mergeCell ref="F65:G65"/>
    <mergeCell ref="H65:I65"/>
    <mergeCell ref="K65:L65"/>
    <mergeCell ref="M65:N65"/>
    <mergeCell ref="Q65:S65"/>
    <mergeCell ref="T65:V65"/>
    <mergeCell ref="W65:X65"/>
    <mergeCell ref="Y65:Z65"/>
    <mergeCell ref="AA65:AD65"/>
    <mergeCell ref="A66:C66"/>
    <mergeCell ref="D66:E66"/>
    <mergeCell ref="F66:G66"/>
    <mergeCell ref="H66:I66"/>
    <mergeCell ref="K66:L66"/>
    <mergeCell ref="M66:N66"/>
    <mergeCell ref="Q66:S66"/>
    <mergeCell ref="T66:V66"/>
    <mergeCell ref="W66:X66"/>
    <mergeCell ref="Y66:Z66"/>
    <mergeCell ref="AA66:AD66"/>
    <mergeCell ref="A67:C67"/>
    <mergeCell ref="D67:E67"/>
    <mergeCell ref="F67:G67"/>
    <mergeCell ref="H67:I67"/>
    <mergeCell ref="K67:L67"/>
    <mergeCell ref="M67:N67"/>
    <mergeCell ref="Q67:S67"/>
    <mergeCell ref="T67:V67"/>
    <mergeCell ref="W67:X67"/>
    <mergeCell ref="Y67:Z67"/>
    <mergeCell ref="AA67:AD67"/>
    <mergeCell ref="A68:C68"/>
    <mergeCell ref="D68:E68"/>
    <mergeCell ref="F68:G68"/>
    <mergeCell ref="H68:I68"/>
    <mergeCell ref="K68:L68"/>
    <mergeCell ref="M68:N68"/>
    <mergeCell ref="Q68:S68"/>
    <mergeCell ref="T68:V68"/>
    <mergeCell ref="W68:X68"/>
    <mergeCell ref="Y68:Z68"/>
    <mergeCell ref="AA68:AD68"/>
    <mergeCell ref="A69:C69"/>
    <mergeCell ref="D69:E69"/>
    <mergeCell ref="F69:G69"/>
    <mergeCell ref="H69:I69"/>
    <mergeCell ref="K69:L69"/>
    <mergeCell ref="M69:N69"/>
    <mergeCell ref="Q69:S69"/>
    <mergeCell ref="T69:V69"/>
    <mergeCell ref="W69:X69"/>
    <mergeCell ref="Y69:Z69"/>
    <mergeCell ref="AA69:AD69"/>
    <mergeCell ref="Q70:S70"/>
    <mergeCell ref="T70:V70"/>
    <mergeCell ref="W70:X70"/>
    <mergeCell ref="Y70:Z70"/>
    <mergeCell ref="AA70:AD70"/>
    <mergeCell ref="A71:B72"/>
    <mergeCell ref="C71:E71"/>
    <mergeCell ref="F71:I71"/>
    <mergeCell ref="K71:N71"/>
    <mergeCell ref="Q71:S71"/>
    <mergeCell ref="T71:V71"/>
    <mergeCell ref="W71:X71"/>
    <mergeCell ref="Y71:Z71"/>
    <mergeCell ref="AA71:AD71"/>
    <mergeCell ref="K72:L72"/>
    <mergeCell ref="M72:N72"/>
    <mergeCell ref="A73:B73"/>
    <mergeCell ref="K73:L73"/>
    <mergeCell ref="M73:N73"/>
    <mergeCell ref="A74:B74"/>
    <mergeCell ref="K74:L74"/>
    <mergeCell ref="M74:N74"/>
    <mergeCell ref="A75:B75"/>
    <mergeCell ref="K75:L75"/>
    <mergeCell ref="M75:N75"/>
    <mergeCell ref="A76:B76"/>
    <mergeCell ref="K76:L76"/>
    <mergeCell ref="M76:N76"/>
    <mergeCell ref="A77:B77"/>
    <mergeCell ref="K77:L77"/>
    <mergeCell ref="M77:N77"/>
    <mergeCell ref="A78:B78"/>
    <mergeCell ref="K78:L78"/>
    <mergeCell ref="M78:N78"/>
    <mergeCell ref="A79:B79"/>
    <mergeCell ref="K79:L79"/>
    <mergeCell ref="M79:N79"/>
    <mergeCell ref="A80:B80"/>
    <mergeCell ref="K80:L80"/>
    <mergeCell ref="M80:N80"/>
    <mergeCell ref="A81:B81"/>
    <mergeCell ref="K81:L81"/>
    <mergeCell ref="M81:N81"/>
    <mergeCell ref="A82:B82"/>
    <mergeCell ref="K82:L82"/>
    <mergeCell ref="M82:N82"/>
    <mergeCell ref="A83:B83"/>
    <mergeCell ref="A84:B84"/>
    <mergeCell ref="K84:N84"/>
    <mergeCell ref="A85:B85"/>
    <mergeCell ref="K85:L85"/>
    <mergeCell ref="M85:N85"/>
    <mergeCell ref="A86:B86"/>
    <mergeCell ref="K86:L86"/>
    <mergeCell ref="M86:N86"/>
    <mergeCell ref="A87:B87"/>
    <mergeCell ref="K87:L87"/>
    <mergeCell ref="M87:N87"/>
    <mergeCell ref="A88:B88"/>
    <mergeCell ref="K88:L88"/>
    <mergeCell ref="M88:N88"/>
    <mergeCell ref="A89:B89"/>
    <mergeCell ref="K89:L89"/>
    <mergeCell ref="M89:N89"/>
    <mergeCell ref="A90:B90"/>
    <mergeCell ref="K90:L90"/>
    <mergeCell ref="M90:N90"/>
    <mergeCell ref="A91:B91"/>
    <mergeCell ref="K91:L91"/>
    <mergeCell ref="M91:N91"/>
    <mergeCell ref="K92:L92"/>
    <mergeCell ref="M92:N92"/>
    <mergeCell ref="C93:E93"/>
    <mergeCell ref="F93:I93"/>
    <mergeCell ref="K93:L93"/>
    <mergeCell ref="M93:N93"/>
    <mergeCell ref="K94:L94"/>
    <mergeCell ref="M94:N94"/>
    <mergeCell ref="K95:L95"/>
    <mergeCell ref="M95:N95"/>
  </mergeCells>
  <conditionalFormatting sqref="J29:M30">
    <cfRule type="containsText" priority="2" aboveAverage="0" equalAverage="0" bottom="0" percent="0" rank="0" text="ERROR" dxfId="1"/>
  </conditionalFormatting>
  <conditionalFormatting sqref="N9">
    <cfRule type="notContainsText" priority="3" aboveAverage="0" equalAverage="0" bottom="0" percent="0" rank="0" text="OUT" dxfId="0"/>
  </conditionalFormatting>
  <conditionalFormatting sqref="N9">
    <cfRule type="containsText" priority="4" aboveAverage="0" equalAverage="0" bottom="0" percent="0" rank="0" text="OUT" dxfId="1"/>
  </conditionalFormatting>
  <conditionalFormatting sqref="N8">
    <cfRule type="containsText" priority="5" aboveAverage="0" equalAverage="0" bottom="0" percent="0" rank="0" text="Win" dxfId="3"/>
  </conditionalFormatting>
  <conditionalFormatting sqref="N8">
    <cfRule type="containsText" priority="6" aboveAverage="0" equalAverage="0" bottom="0" percent="0" rank="0" text="Lose" dxfId="4"/>
  </conditionalFormatting>
  <conditionalFormatting sqref="M27">
    <cfRule type="cellIs" priority="7" operator="lessThanOrEqual" aboveAverage="0" equalAverage="0" bottom="0" percent="0" rank="0" text="" dxfId="4">
      <formula>0</formula>
    </cfRule>
  </conditionalFormatting>
  <conditionalFormatting sqref="M27">
    <cfRule type="cellIs" priority="8" operator="greaterThan" aboveAverage="0" equalAverage="0" bottom="0" percent="0" rank="0" text="" dxfId="3">
      <formula>0</formula>
    </cfRule>
  </conditionalFormatting>
  <conditionalFormatting sqref="A12:I22,A44:N54,A59:I69">
    <cfRule type="expression" priority="9" aboveAverage="0" equalAverage="0" bottom="0" percent="0" rank="0" text="" dxfId="0">
      <formula>AND(NOT(ISBLANK($A:$A)),$A:$A=$J$11)</formula>
    </cfRule>
  </conditionalFormatting>
  <conditionalFormatting sqref="A12:I22,A44:N54,A59:I69">
    <cfRule type="expression" priority="10" aboveAverage="0" equalAverage="0" bottom="0" percent="0" rank="0" text="" dxfId="1">
      <formula>AND(NOT(ISBLANK($A:$A)),$A:$A=$J$13)</formula>
    </cfRule>
  </conditionalFormatting>
  <conditionalFormatting sqref="A12:I22,A44:N54,A59:I69">
    <cfRule type="expression" priority="11" aboveAverage="0" equalAverage="0" bottom="0" percent="0" rank="0" text="" dxfId="1">
      <formula>AND(NOT(ISBLANK($A:$A)),$A:$A=$J$14)</formula>
    </cfRule>
  </conditionalFormatting>
  <printOptions headings="false" gridLines="false" gridLinesSet="true" horizontalCentered="false" verticalCentered="false"/>
  <pageMargins left="0.747916666666667" right="0.747916666666667" top="0.984027777777778" bottom="0.984027777777778" header="0.511805555555555" footer="0.511805555555555"/>
  <pageSetup paperSize="1" scale="100" firstPageNumber="0" fitToWidth="1" fitToHeight="1" pageOrder="downThenOver" orientation="portrait" usePrinterDefaults="false" blackAndWhite="false" draft="false" cellComments="none" useFirstPageNumber="false" horizontalDpi="300" verticalDpi="300" copies="1"/>
  <headerFooter differentFirst="false" differentOddEven="false">
    <oddHeader/>
    <oddFooter/>
  </headerFooter>
  <drawing r:id="rId1"/>
</worksheet>
</file>

<file path=xl/worksheets/sheet19.xml><?xml version="1.0" encoding="utf-8"?>
<worksheet xmlns="http://schemas.openxmlformats.org/spreadsheetml/2006/main" xmlns:r="http://schemas.openxmlformats.org/officeDocument/2006/relationships">
  <sheetPr filterMode="false">
    <tabColor rgb="FF6D9EEB"/>
    <pageSetUpPr fitToPage="false"/>
  </sheetPr>
  <dimension ref="A1:AE100"/>
  <sheetViews>
    <sheetView windowProtection="false"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A1" activeCellId="0" sqref="A1"/>
    </sheetView>
  </sheetViews>
  <sheetFormatPr defaultRowHeight="15.75"/>
  <cols>
    <col collapsed="false" hidden="false" max="2" min="1" style="0" width="10.6632653061225"/>
    <col collapsed="false" hidden="false" max="14" min="3" style="0" width="7.1530612244898"/>
    <col collapsed="false" hidden="false" max="15" min="15" style="0" width="1.48469387755102"/>
    <col collapsed="false" hidden="true" max="31" min="16" style="0" width="0"/>
    <col collapsed="false" hidden="false" max="1025" min="32" style="0" width="14.1734693877551"/>
  </cols>
  <sheetData>
    <row r="1" customFormat="false" ht="15.75" hidden="false" customHeight="false" outlineLevel="0" collapsed="false">
      <c r="A1" s="765" t="s">
        <v>466</v>
      </c>
      <c r="B1" s="765"/>
      <c r="C1" s="765"/>
      <c r="D1" s="765"/>
      <c r="E1" s="766" t="s">
        <v>2038</v>
      </c>
      <c r="F1" s="766"/>
      <c r="G1" s="767" t="s">
        <v>2117</v>
      </c>
      <c r="H1" s="767"/>
      <c r="I1" s="767"/>
      <c r="J1" s="767"/>
      <c r="K1" s="768" t="s">
        <v>2040</v>
      </c>
      <c r="L1" s="769" t="s">
        <v>725</v>
      </c>
      <c r="M1" s="769"/>
      <c r="N1" s="769"/>
      <c r="O1" s="44"/>
      <c r="P1" s="44"/>
      <c r="Q1" s="770" t="e">
        <f aca="false">flg!$l$1</f>
        <v>#NAME?</v>
      </c>
      <c r="R1" s="341" t="s">
        <v>1681</v>
      </c>
      <c r="S1" s="341"/>
      <c r="T1" s="771"/>
      <c r="U1" s="771"/>
      <c r="V1" s="771"/>
      <c r="W1" s="771"/>
      <c r="X1" s="771"/>
      <c r="Y1" s="771"/>
      <c r="Z1" s="771"/>
      <c r="AA1" s="771"/>
      <c r="AB1" s="771"/>
      <c r="AC1" s="771"/>
      <c r="AD1" s="771"/>
      <c r="AE1" s="771"/>
    </row>
    <row r="2" customFormat="false" ht="15.75" hidden="false" customHeight="false" outlineLevel="0" collapsed="false">
      <c r="A2" s="765"/>
      <c r="B2" s="765"/>
      <c r="C2" s="765"/>
      <c r="D2" s="765"/>
      <c r="E2" s="772" t="s">
        <v>2041</v>
      </c>
      <c r="F2" s="772"/>
      <c r="G2" s="773" t="s">
        <v>2118</v>
      </c>
      <c r="H2" s="773"/>
      <c r="I2" s="773"/>
      <c r="J2" s="773"/>
      <c r="K2" s="773"/>
      <c r="L2" s="773"/>
      <c r="M2" s="773"/>
      <c r="N2" s="773"/>
      <c r="O2" s="44"/>
      <c r="P2" s="44"/>
      <c r="Q2" s="774" t="e">
        <f aca="false">fst!$l$1</f>
        <v>#NAME?</v>
      </c>
      <c r="R2" s="386" t="str">
        <f aca="false">IFERROR(__xludf.dummyfunction("{ if(isna(FILTER(MoveDex!$T:$T,MoveDex!$S:$S=$L$1)),,FILTER(MoveDex!$T:$T,MoveDex!$S:$S=$L$1)) ; if(isna(FILTER(MoveDex!$X:$X,MoveDex!$W:$W=$L$1)),,FILTER(MoveDex!$X:$X,MoveDex!$W:$W=$L$1)) ; if(isna(FILTER(MoveDex!$AB:$AB,MoveDex!$AA:$AA=$L$1)),,FILTER(M"&amp;"oveDex!$AB:$AB,MoveDex!$AA:$AA=$L$1)) ; if(isna(FILTER(MoveDex!$AF:$AF,MoveDex!$AE:$AE=$L$1)),,FILTER(MoveDex!$AF:$AF,MoveDex!$AE:$AE=$L$1)) }"),"Aurorus")</f>
        <v>Aurorus</v>
      </c>
      <c r="S2" s="386" t="str">
        <f aca="false">IFERROR(__xludf.dummyfunction("{ if(isna(FILTER(MoveDex!$U:$U,MoveDex!$S:$S=$L$1)),,FILTER(MoveDex!$U:$U,MoveDex!$S:$S=$L$1)) ; if(isna(FILTER(MoveDex!$Y:$Y,MoveDex!$W:$W=$L$1)),,FILTER(MoveDex!$Y:$Y,MoveDex!$W:$W=$L$1)) ; if(isna(FILTER(MoveDex!$AC:$AC,MoveDex!$AA:$AA=$L$1)),,FILTER(M"&amp;"oveDex!$AC:$AC,MoveDex!$AA:$AA=$L$1)) ; if(isna(FILTER(MoveDex!$AG:$AG,MoveDex!$AE:$AE=$L$1)),,FILTER(MoveDex!$AG:$AG,MoveDex!$AE:$AE=$L$1)) }"),"Stealth Rock")</f>
        <v>Stealth Rock</v>
      </c>
      <c r="T2" s="777"/>
      <c r="U2" s="777"/>
      <c r="V2" s="777"/>
      <c r="W2" s="777"/>
      <c r="X2" s="777"/>
      <c r="Y2" s="777"/>
      <c r="Z2" s="777"/>
      <c r="AA2" s="777"/>
      <c r="AB2" s="777"/>
      <c r="AC2" s="777"/>
      <c r="AD2" s="777"/>
      <c r="AE2" s="777"/>
    </row>
    <row r="3" customFormat="false" ht="15.75" hidden="false" customHeight="false" outlineLevel="0" collapsed="false">
      <c r="A3" s="765"/>
      <c r="B3" s="765"/>
      <c r="C3" s="765"/>
      <c r="D3" s="765"/>
      <c r="E3" s="772" t="s">
        <v>2043</v>
      </c>
      <c r="F3" s="772"/>
      <c r="G3" s="773" t="s">
        <v>78</v>
      </c>
      <c r="H3" s="773"/>
      <c r="I3" s="773"/>
      <c r="J3" s="773"/>
      <c r="K3" s="773"/>
      <c r="L3" s="773"/>
      <c r="M3" s="773"/>
      <c r="N3" s="773"/>
      <c r="O3" s="44"/>
      <c r="P3" s="44"/>
      <c r="Q3" s="774" t="e">
        <f aca="false">phi!$l$1</f>
        <v>#NAME?</v>
      </c>
      <c r="R3" s="778" t="s">
        <v>110</v>
      </c>
      <c r="S3" s="511" t="s">
        <v>1106</v>
      </c>
      <c r="T3" s="638"/>
      <c r="U3" s="638"/>
      <c r="V3" s="638"/>
      <c r="W3" s="638"/>
      <c r="X3" s="638"/>
      <c r="Y3" s="638"/>
      <c r="Z3" s="638"/>
      <c r="AA3" s="638"/>
      <c r="AB3" s="638"/>
      <c r="AC3" s="638"/>
      <c r="AD3" s="638"/>
      <c r="AE3" s="638"/>
    </row>
    <row r="4" customFormat="false" ht="15.75" hidden="false" customHeight="false" outlineLevel="0" collapsed="false">
      <c r="A4" s="765"/>
      <c r="B4" s="765"/>
      <c r="C4" s="765"/>
      <c r="D4" s="765"/>
      <c r="E4" s="772" t="s">
        <v>2044</v>
      </c>
      <c r="F4" s="772"/>
      <c r="G4" s="773" t="s">
        <v>2103</v>
      </c>
      <c r="H4" s="773"/>
      <c r="I4" s="773"/>
      <c r="J4" s="773"/>
      <c r="K4" s="773"/>
      <c r="L4" s="773"/>
      <c r="M4" s="773"/>
      <c r="N4" s="773"/>
      <c r="O4" s="44"/>
      <c r="P4" s="44"/>
      <c r="Q4" s="774" t="e">
        <f aca="false">stl!$l$1</f>
        <v>#NAME?</v>
      </c>
      <c r="R4" s="778" t="s">
        <v>76</v>
      </c>
      <c r="S4" s="511" t="s">
        <v>1106</v>
      </c>
      <c r="T4" s="638"/>
      <c r="U4" s="638"/>
      <c r="V4" s="638"/>
      <c r="W4" s="638"/>
      <c r="X4" s="638"/>
      <c r="Y4" s="638"/>
      <c r="Z4" s="638"/>
      <c r="AA4" s="638"/>
      <c r="AB4" s="638"/>
      <c r="AC4" s="638"/>
      <c r="AD4" s="638"/>
      <c r="AE4" s="638"/>
    </row>
    <row r="5" customFormat="false" ht="15.75" hidden="false" customHeight="false" outlineLevel="0" collapsed="false">
      <c r="A5" s="765"/>
      <c r="B5" s="765"/>
      <c r="C5" s="765"/>
      <c r="D5" s="765"/>
      <c r="E5" s="772" t="s">
        <v>2046</v>
      </c>
      <c r="F5" s="772"/>
      <c r="G5" s="773" t="s">
        <v>2119</v>
      </c>
      <c r="H5" s="773"/>
      <c r="I5" s="773"/>
      <c r="J5" s="773"/>
      <c r="K5" s="773"/>
      <c r="L5" s="773"/>
      <c r="M5" s="773"/>
      <c r="N5" s="773"/>
      <c r="O5" s="44"/>
      <c r="P5" s="44"/>
      <c r="Q5" s="779" t="e">
        <f aca="false">bor!$l$1</f>
        <v>#NAME?</v>
      </c>
      <c r="R5" s="778" t="s">
        <v>82</v>
      </c>
      <c r="S5" s="511" t="s">
        <v>1106</v>
      </c>
      <c r="T5" s="638"/>
      <c r="U5" s="638"/>
      <c r="V5" s="638"/>
      <c r="W5" s="638"/>
      <c r="X5" s="638"/>
      <c r="Y5" s="638"/>
      <c r="Z5" s="638"/>
      <c r="AA5" s="638"/>
      <c r="AB5" s="638"/>
      <c r="AC5" s="638"/>
      <c r="AD5" s="638"/>
      <c r="AE5" s="638"/>
    </row>
    <row r="6" customFormat="false" ht="15.75" hidden="false" customHeight="false" outlineLevel="0" collapsed="false">
      <c r="A6" s="765"/>
      <c r="B6" s="765"/>
      <c r="C6" s="765"/>
      <c r="D6" s="765"/>
      <c r="E6" s="772" t="s">
        <v>2048</v>
      </c>
      <c r="F6" s="772"/>
      <c r="G6" s="773" t="s">
        <v>2049</v>
      </c>
      <c r="H6" s="773"/>
      <c r="I6" s="773"/>
      <c r="J6" s="773"/>
      <c r="K6" s="773"/>
      <c r="L6" s="773"/>
      <c r="M6" s="773"/>
      <c r="N6" s="773"/>
      <c r="O6" s="44"/>
      <c r="P6" s="44"/>
      <c r="Q6" s="779" t="e">
        <f aca="false">pit!$l$1</f>
        <v>#NAME?</v>
      </c>
      <c r="R6" s="778"/>
      <c r="S6" s="511"/>
      <c r="T6" s="638"/>
      <c r="U6" s="638"/>
      <c r="V6" s="638"/>
      <c r="W6" s="638"/>
      <c r="X6" s="638"/>
      <c r="Y6" s="638"/>
      <c r="Z6" s="638"/>
      <c r="AA6" s="638"/>
      <c r="AB6" s="638"/>
      <c r="AC6" s="638"/>
      <c r="AD6" s="638"/>
      <c r="AE6" s="638"/>
    </row>
    <row r="7" customFormat="false" ht="15.75" hidden="false" customHeight="false" outlineLevel="0" collapsed="false">
      <c r="A7" s="765"/>
      <c r="B7" s="765"/>
      <c r="C7" s="765"/>
      <c r="D7" s="765"/>
      <c r="E7" s="780" t="s">
        <v>2050</v>
      </c>
      <c r="F7" s="780"/>
      <c r="G7" s="781" t="s">
        <v>2120</v>
      </c>
      <c r="H7" s="781"/>
      <c r="I7" s="781"/>
      <c r="J7" s="781"/>
      <c r="K7" s="781"/>
      <c r="L7" s="781"/>
      <c r="M7" s="781"/>
      <c r="N7" s="781"/>
      <c r="O7" s="44"/>
      <c r="P7" s="44"/>
      <c r="Q7" s="779" t="e">
        <f aca="false">sfa!$l$1</f>
        <v>#NAME?</v>
      </c>
      <c r="R7" s="778" t="s">
        <v>82</v>
      </c>
      <c r="S7" s="511" t="s">
        <v>1108</v>
      </c>
      <c r="T7" s="638"/>
      <c r="U7" s="638"/>
      <c r="V7" s="638"/>
      <c r="W7" s="638"/>
      <c r="X7" s="638"/>
      <c r="Y7" s="638"/>
      <c r="Z7" s="638"/>
      <c r="AA7" s="638"/>
      <c r="AB7" s="638"/>
      <c r="AC7" s="638"/>
      <c r="AD7" s="638"/>
      <c r="AE7" s="638"/>
    </row>
    <row r="8" customFormat="false" ht="15.75" hidden="false" customHeight="false" outlineLevel="0" collapsed="false">
      <c r="A8" s="765"/>
      <c r="B8" s="765"/>
      <c r="C8" s="765"/>
      <c r="D8" s="765"/>
      <c r="E8" s="782" t="s">
        <v>2051</v>
      </c>
      <c r="F8" s="783" t="n">
        <f aca="false">COUNTIF(MatchSource!Y3:Y19, "WIN")</f>
        <v>7</v>
      </c>
      <c r="G8" s="784" t="s">
        <v>2052</v>
      </c>
      <c r="H8" s="785" t="n">
        <f aca="false">COUNTIF(MatchSource!Y3:Y19, "LOSE")</f>
        <v>5</v>
      </c>
      <c r="I8" s="786" t="s">
        <v>2053</v>
      </c>
      <c r="J8" s="787" t="n">
        <f aca="false">MatchSource!Y44</f>
        <v>-19</v>
      </c>
      <c r="K8" s="88" t="s">
        <v>2054</v>
      </c>
      <c r="L8" s="788" t="n">
        <f aca="false">COUNTIF(MatchSource!Y3:Y19, "DNP")</f>
        <v>5</v>
      </c>
      <c r="M8" s="562" t="s">
        <v>2055</v>
      </c>
      <c r="N8" s="789" t="str">
        <f aca="false">MatchSource!Y23</f>
        <v>Win-1</v>
      </c>
      <c r="O8" s="44"/>
      <c r="P8" s="44"/>
      <c r="Q8" s="779" t="e">
        <f aca="false">tbl!$l$1</f>
        <v>#NAME?</v>
      </c>
      <c r="R8" s="790"/>
      <c r="S8" s="791"/>
      <c r="T8" s="792"/>
      <c r="U8" s="792"/>
      <c r="V8" s="792"/>
      <c r="W8" s="792"/>
      <c r="X8" s="792"/>
      <c r="Y8" s="792"/>
      <c r="Z8" s="792"/>
      <c r="AA8" s="792"/>
      <c r="AB8" s="792"/>
      <c r="AC8" s="792"/>
      <c r="AD8" s="792"/>
      <c r="AE8" s="792"/>
    </row>
    <row r="9" customFormat="false" ht="15.75" hidden="false" customHeight="false" outlineLevel="0" collapsed="false">
      <c r="A9" s="793" t="str">
        <f aca="false">$G$1</f>
        <v>Fortree Trevenants</v>
      </c>
      <c r="B9" s="793"/>
      <c r="C9" s="793"/>
      <c r="D9" s="793"/>
      <c r="E9" s="794" t="s">
        <v>171</v>
      </c>
      <c r="F9" s="795" t="n">
        <v>6</v>
      </c>
      <c r="G9" s="794" t="s">
        <v>172</v>
      </c>
      <c r="H9" s="795" t="n">
        <v>1</v>
      </c>
      <c r="I9" s="938" t="e">
        <f aca="false">CONCATENATE("Currently #",MATCH($G$1,Main!$A$8:$A$11,0)," in Showdown Conference")</f>
        <v>#N/A</v>
      </c>
      <c r="J9" s="938"/>
      <c r="K9" s="938"/>
      <c r="L9" s="938"/>
      <c r="M9" s="797" t="s">
        <v>2056</v>
      </c>
      <c r="N9" s="798" t="e">
        <f aca="false" t="array" ref="N9:N9">INDEX(Main!$L$3:$O$11,MATCH($G$1,Main!$M$3:$M$11,0),1)</f>
        <v>#N/A</v>
      </c>
      <c r="O9" s="44"/>
      <c r="P9" s="44"/>
      <c r="Q9" s="799" t="str">
        <f aca="false">BBG!$L$1</f>
        <v>BBG</v>
      </c>
      <c r="R9" s="790"/>
      <c r="S9" s="791"/>
      <c r="T9" s="792"/>
      <c r="U9" s="792"/>
      <c r="V9" s="792"/>
      <c r="W9" s="792"/>
      <c r="X9" s="792"/>
      <c r="Y9" s="792"/>
      <c r="Z9" s="792"/>
      <c r="AA9" s="792"/>
      <c r="AB9" s="792"/>
      <c r="AC9" s="792"/>
      <c r="AD9" s="792"/>
      <c r="AE9" s="792"/>
    </row>
    <row r="10" customFormat="false" ht="15.75" hidden="false" customHeight="false" outlineLevel="0" collapsed="false">
      <c r="A10" s="800" t="s">
        <v>2057</v>
      </c>
      <c r="B10" s="800"/>
      <c r="C10" s="801" t="s">
        <v>2058</v>
      </c>
      <c r="D10" s="801"/>
      <c r="E10" s="801"/>
      <c r="F10" s="801"/>
      <c r="G10" s="801"/>
      <c r="H10" s="801"/>
      <c r="I10" s="801"/>
      <c r="J10" s="802" t="s">
        <v>264</v>
      </c>
      <c r="K10" s="802"/>
      <c r="L10" s="802"/>
      <c r="M10" s="802"/>
      <c r="N10" s="44"/>
      <c r="O10" s="44"/>
      <c r="P10" s="44"/>
      <c r="Q10" s="799" t="str">
        <f aca="false">SEA!$L$1</f>
        <v>SEA</v>
      </c>
      <c r="R10" s="790"/>
      <c r="S10" s="791"/>
      <c r="T10" s="792"/>
      <c r="U10" s="792"/>
      <c r="V10" s="792"/>
      <c r="W10" s="792"/>
      <c r="X10" s="792"/>
      <c r="Y10" s="792"/>
      <c r="Z10" s="792"/>
      <c r="AA10" s="792"/>
      <c r="AB10" s="792"/>
      <c r="AC10" s="792"/>
      <c r="AD10" s="792"/>
    </row>
    <row r="11" customFormat="false" ht="15.75" hidden="false" customHeight="false" outlineLevel="0" collapsed="false">
      <c r="A11" s="800"/>
      <c r="B11" s="800"/>
      <c r="C11" s="803" t="s">
        <v>2059</v>
      </c>
      <c r="D11" s="804" t="s">
        <v>5</v>
      </c>
      <c r="E11" s="805" t="s">
        <v>6</v>
      </c>
      <c r="F11" s="806" t="s">
        <v>170</v>
      </c>
      <c r="G11" s="807" t="s">
        <v>191</v>
      </c>
      <c r="H11" s="808" t="s">
        <v>7</v>
      </c>
      <c r="I11" s="809" t="s">
        <v>2060</v>
      </c>
      <c r="J11" s="810" t="str">
        <f aca="false">DraftRosters!$X$16</f>
        <v>Manaphy</v>
      </c>
      <c r="K11" s="810"/>
      <c r="L11" s="810"/>
      <c r="M11" s="810"/>
      <c r="N11" s="44"/>
      <c r="O11" s="44"/>
      <c r="P11" s="44"/>
      <c r="Q11" s="799" t="str">
        <f aca="false">JVJ!$L$1</f>
        <v>JVJ</v>
      </c>
      <c r="R11" s="790"/>
      <c r="S11" s="791"/>
      <c r="T11" s="792"/>
      <c r="U11" s="792"/>
      <c r="V11" s="792"/>
      <c r="W11" s="792"/>
      <c r="X11" s="792"/>
      <c r="Y11" s="792"/>
      <c r="Z11" s="792"/>
      <c r="AA11" s="792"/>
      <c r="AB11" s="792"/>
      <c r="AC11" s="792"/>
      <c r="AD11" s="792"/>
    </row>
    <row r="12" customFormat="false" ht="15.75" hidden="false" customHeight="false" outlineLevel="0" collapsed="false">
      <c r="A12" s="811" t="str">
        <f aca="false">IFERROR(__xludf.dummyfunction("if(isna(filter(DraftRosters!$X$4:$X$14,not(isblank(DraftRosters!$X$4:$X$14)))), ""NONE DRAFTED"", filter(DraftRosters!$X$4:$X$14,not(isblank(DraftRosters!$X$4:$X$14))))"),"Manaphy")</f>
        <v>Manaphy</v>
      </c>
      <c r="B12" s="811"/>
      <c r="C12" s="812" t="str">
        <f aca="false" t="array" ref="C12:C12">IF(ISNA(INDEX(Pokedex!J$2:J$610,MATCH($A12,Pokedex!$B$2:$B$610,0))),"-",INDEX(Pokedex!J$2:J$610,MATCH($A12,Pokedex!$B$2:$B$610,0)))</f>
        <v>Tier 1</v>
      </c>
      <c r="D12" s="813" t="n">
        <f aca="false" t="array" ref="D12:D12">IF(ISNA(INDEX(Pokedex!E$2:E$610,MATCH($A12,Pokedex!$B$2:$B$610,0))),"-",INDEX(Pokedex!E$2:E$610,MATCH($A12,Pokedex!$B$2:$B$610,0)))</f>
        <v>0</v>
      </c>
      <c r="E12" s="813" t="n">
        <f aca="false" t="array" ref="E12:E12">IF(ISNA(INDEX(Pokedex!F$2:F$610,MATCH($A12,Pokedex!$B$2:$B$610,0))),"-",INDEX(Pokedex!F$2:F$610,MATCH($A12,Pokedex!$B$2:$B$610,0)))</f>
        <v>0</v>
      </c>
      <c r="F12" s="814" t="e">
        <f aca="false" t="array" ref="F12:F12">IF(ISNA(INDEX(Pokedex!G$2:G$610,MATCH($A12,Pokedex!$B$2:$B$610,0))),"-",INDEX(Pokedex!G$2:G$610,MATCH($A12,Pokedex!$B$2:$B$610,0)))</f>
        <v>#NAME?</v>
      </c>
      <c r="G12" s="814" t="n">
        <f aca="false" t="array" ref="G12:G12">IF(ISNA(INDEX(Pokedex!H$2:H$610,MATCH($A12,Pokedex!$B$2:$B$610,0))),"-",INDEX(Pokedex!H$2:H$610,MATCH($A12,Pokedex!$B$2:$B$610,0)))</f>
        <v>2</v>
      </c>
      <c r="H12" s="813" t="n">
        <f aca="false" t="array" ref="H12:H12">IF(ISNA(INDEX(Pokedex!I$2:I$610,MATCH($A12,Pokedex!$B$2:$B$610,0))),"-",INDEX(Pokedex!I$2:I$610,MATCH($A12,Pokedex!$B$2:$B$610,0)))</f>
        <v>0</v>
      </c>
      <c r="I12" s="815" t="n">
        <f aca="false" t="array" ref="I12:I12">IF(ISNA(INDEX(ExpandedStats!$A$3:$A$240,MATCH($A12,ExpandedStats!$C$3:$C$240,0))),"-",INDEX(ExpandedStats!$A$3:$A$240,MATCH($A12,ExpandedStats!$C$3:$C$240,0)))</f>
        <v>73</v>
      </c>
      <c r="J12" s="816" t="s">
        <v>2061</v>
      </c>
      <c r="K12" s="816"/>
      <c r="L12" s="816"/>
      <c r="M12" s="816"/>
      <c r="N12" s="44"/>
      <c r="O12" s="44"/>
      <c r="P12" s="44"/>
      <c r="Q12" s="799" t="str">
        <f aca="false">KKS!$L$1</f>
        <v>KKS</v>
      </c>
      <c r="R12" s="790"/>
      <c r="S12" s="791"/>
      <c r="T12" s="792"/>
      <c r="U12" s="792"/>
      <c r="V12" s="792"/>
      <c r="W12" s="792"/>
      <c r="X12" s="792"/>
      <c r="Y12" s="792"/>
      <c r="Z12" s="792"/>
      <c r="AA12" s="792"/>
      <c r="AB12" s="792"/>
      <c r="AC12" s="792"/>
      <c r="AD12" s="792"/>
    </row>
    <row r="13" customFormat="false" ht="15.75" hidden="false" customHeight="false" outlineLevel="0" collapsed="false">
      <c r="A13" s="817" t="s">
        <v>110</v>
      </c>
      <c r="B13" s="817"/>
      <c r="C13" s="818" t="str">
        <f aca="false" t="array" ref="C13:C13">IF(ISNA(INDEX(Pokedex!J$2:J$610,MATCH($A13,Pokedex!$B$2:$B$610,0))),"-",INDEX(Pokedex!J$2:J$610,MATCH($A13,Pokedex!$B$2:$B$610,0)))</f>
        <v>Tier 2</v>
      </c>
      <c r="D13" s="50" t="n">
        <f aca="false" t="array" ref="D13:D13">IF(ISNA(INDEX(Pokedex!E$2:E$610,MATCH($A13,Pokedex!$B$2:$B$610,0))),"-",INDEX(Pokedex!E$2:E$610,MATCH($A13,Pokedex!$B$2:$B$610,0)))</f>
        <v>0</v>
      </c>
      <c r="E13" s="50" t="n">
        <f aca="false" t="array" ref="E13:E13">IF(ISNA(INDEX(Pokedex!F$2:F$610,MATCH($A13,Pokedex!$B$2:$B$610,0))),"-",INDEX(Pokedex!F$2:F$610,MATCH($A13,Pokedex!$B$2:$B$610,0)))</f>
        <v>0</v>
      </c>
      <c r="F13" s="469" t="e">
        <f aca="false" t="array" ref="F13:F13">IF(ISNA(INDEX(Pokedex!G$2:G$610,MATCH($A13,Pokedex!$B$2:$B$610,0))),"-",INDEX(Pokedex!G$2:G$610,MATCH($A13,Pokedex!$B$2:$B$610,0)))</f>
        <v>#NAME?</v>
      </c>
      <c r="G13" s="50" t="n">
        <f aca="false" t="array" ref="G13:G13">IF(ISNA(INDEX(Pokedex!H$2:H$610,MATCH($A13,Pokedex!$B$2:$B$610,0))),"-",INDEX(Pokedex!H$2:H$610,MATCH($A13,Pokedex!$B$2:$B$610,0)))</f>
        <v>3</v>
      </c>
      <c r="H13" s="477" t="n">
        <f aca="false" t="array" ref="H13:H13">IF(ISNA(INDEX(Pokedex!I$2:I$610,MATCH($A13,Pokedex!$B$2:$B$610,0))),"-",INDEX(Pokedex!I$2:I$610,MATCH($A13,Pokedex!$B$2:$B$610,0)))</f>
        <v>0</v>
      </c>
      <c r="I13" s="477" t="n">
        <f aca="false" t="array" ref="I13:I13">IF(ISNA(INDEX(ExpandedStats!$A$3:$A$240,MATCH($A13,ExpandedStats!$C$3:$C$240,0))),"-",INDEX(ExpandedStats!$A$3:$A$240,MATCH($A13,ExpandedStats!$C$3:$C$240,0)))</f>
        <v>56</v>
      </c>
      <c r="J13" s="819" t="str">
        <f aca="false">DraftRosters!$X$18</f>
        <v>Infernape</v>
      </c>
      <c r="K13" s="819"/>
      <c r="L13" s="819"/>
      <c r="M13" s="819"/>
      <c r="N13" s="44"/>
      <c r="O13" s="44"/>
      <c r="P13" s="44"/>
      <c r="Q13" s="83" t="str">
        <f aca="false">LVC!$L$1</f>
        <v>LVC</v>
      </c>
      <c r="R13" s="820"/>
      <c r="S13" s="821"/>
      <c r="T13" s="792"/>
      <c r="U13" s="792"/>
      <c r="V13" s="792"/>
      <c r="W13" s="792"/>
      <c r="X13" s="792"/>
      <c r="Y13" s="792"/>
      <c r="Z13" s="792"/>
      <c r="AA13" s="792"/>
      <c r="AB13" s="792"/>
      <c r="AC13" s="792"/>
      <c r="AD13" s="792"/>
    </row>
    <row r="14" customFormat="false" ht="15.75" hidden="false" customHeight="false" outlineLevel="0" collapsed="false">
      <c r="A14" s="817" t="s">
        <v>108</v>
      </c>
      <c r="B14" s="817"/>
      <c r="C14" s="818" t="str">
        <f aca="false" t="array" ref="C14:C14">IF(ISNA(INDEX(Pokedex!J$2:J$610,MATCH($A14,Pokedex!$B$2:$B$610,0))),"-",INDEX(Pokedex!J$2:J$610,MATCH($A14,Pokedex!$B$2:$B$610,0)))</f>
        <v>Tier 3</v>
      </c>
      <c r="D14" s="51" t="n">
        <f aca="false" t="array" ref="D14:D14">IF(ISNA(INDEX(Pokedex!E$2:E$610,MATCH($A14,Pokedex!$B$2:$B$610,0))),"-",INDEX(Pokedex!E$2:E$610,MATCH($A14,Pokedex!$B$2:$B$610,0)))</f>
        <v>0</v>
      </c>
      <c r="E14" s="50" t="n">
        <f aca="false" t="array" ref="E14:E14">IF(ISNA(INDEX(Pokedex!F$2:F$610,MATCH($A14,Pokedex!$B$2:$B$610,0))),"-",INDEX(Pokedex!F$2:F$610,MATCH($A14,Pokedex!$B$2:$B$610,0)))</f>
        <v>0</v>
      </c>
      <c r="F14" s="469" t="e">
        <f aca="false" t="array" ref="F14:F14">IF(ISNA(INDEX(Pokedex!G$2:G$610,MATCH($A14,Pokedex!$B$2:$B$610,0))),"-",INDEX(Pokedex!G$2:G$610,MATCH($A14,Pokedex!$B$2:$B$610,0)))</f>
        <v>#NAME?</v>
      </c>
      <c r="G14" s="50" t="n">
        <f aca="false" t="array" ref="G14:G14">IF(ISNA(INDEX(Pokedex!H$2:H$610,MATCH($A14,Pokedex!$B$2:$B$610,0))),"-",INDEX(Pokedex!H$2:H$610,MATCH($A14,Pokedex!$B$2:$B$610,0)))</f>
        <v>3</v>
      </c>
      <c r="H14" s="477" t="n">
        <f aca="false" t="array" ref="H14:H14">IF(ISNA(INDEX(Pokedex!I$2:I$610,MATCH($A14,Pokedex!$B$2:$B$610,0))),"-",INDEX(Pokedex!I$2:I$610,MATCH($A14,Pokedex!$B$2:$B$610,0)))</f>
        <v>0</v>
      </c>
      <c r="I14" s="727" t="n">
        <f aca="false" t="array" ref="I14:I14">IF(ISNA(INDEX(ExpandedStats!$A$3:$A$240,MATCH($A14,ExpandedStats!$C$3:$C$240,0))),"-",INDEX(ExpandedStats!$A$3:$A$240,MATCH($A14,ExpandedStats!$C$3:$C$240,0)))</f>
        <v>77</v>
      </c>
      <c r="J14" s="810" t="str">
        <f aca="false">DraftRosters!$X$19</f>
        <v>Zygarde-10%</v>
      </c>
      <c r="K14" s="810"/>
      <c r="L14" s="810"/>
      <c r="M14" s="810"/>
      <c r="N14" s="44"/>
      <c r="O14" s="44"/>
      <c r="P14" s="44"/>
      <c r="Q14" s="331" t="str">
        <f aca="false">BTB!$L$1</f>
        <v>BTB</v>
      </c>
      <c r="R14" s="822"/>
      <c r="S14" s="792"/>
      <c r="T14" s="792"/>
      <c r="U14" s="792"/>
      <c r="V14" s="792"/>
      <c r="W14" s="792"/>
      <c r="X14" s="792"/>
      <c r="Y14" s="792"/>
      <c r="Z14" s="792"/>
      <c r="AA14" s="792"/>
      <c r="AB14" s="792"/>
      <c r="AC14" s="792"/>
      <c r="AD14" s="792"/>
    </row>
    <row r="15" customFormat="false" ht="15.75" hidden="false" customHeight="false" outlineLevel="0" collapsed="false">
      <c r="A15" s="817" t="s">
        <v>249</v>
      </c>
      <c r="B15" s="817"/>
      <c r="C15" s="818" t="str">
        <f aca="false" t="array" ref="C15:C15">IF(ISNA(INDEX(Pokedex!J$2:J$610,MATCH($A15,Pokedex!$B$2:$B$610,0))),"-",INDEX(Pokedex!J$2:J$610,MATCH($A15,Pokedex!$B$2:$B$610,0)))</f>
        <v>Tier 3</v>
      </c>
      <c r="D15" s="50" t="str">
        <f aca="false" t="array" ref="D15:D15">IF(ISNA(INDEX(Pokedex!E$2:E$610,MATCH($A15,Pokedex!$B$2:$B$610,0))),"-",INDEX(Pokedex!E$2:E$610,MATCH($A15,Pokedex!$B$2:$B$610,0)))</f>
        <v>-</v>
      </c>
      <c r="E15" s="50" t="str">
        <f aca="false" t="array" ref="E15:E15">IF(ISNA(INDEX(Pokedex!F$2:F$610,MATCH($A15,Pokedex!$B$2:$B$610,0))),"-",INDEX(Pokedex!F$2:F$610,MATCH($A15,Pokedex!$B$2:$B$610,0)))</f>
        <v>-</v>
      </c>
      <c r="F15" s="469" t="str">
        <f aca="false" t="array" ref="F15:F15">IF(ISNA(INDEX(Pokedex!G$2:G$610,MATCH($A15,Pokedex!$B$2:$B$610,0))),"-",INDEX(Pokedex!G$2:G$610,MATCH($A15,Pokedex!$B$2:$B$610,0)))</f>
        <v>-</v>
      </c>
      <c r="G15" s="50" t="n">
        <f aca="false" t="array" ref="G15:G15">IF(ISNA(INDEX(Pokedex!H$2:H$610,MATCH($A15,Pokedex!$B$2:$B$610,0))),"-",INDEX(Pokedex!H$2:H$610,MATCH($A15,Pokedex!$B$2:$B$610,0)))</f>
        <v>0</v>
      </c>
      <c r="H15" s="477" t="n">
        <f aca="false" t="array" ref="H15:H15">IF(ISNA(INDEX(Pokedex!I$2:I$610,MATCH($A15,Pokedex!$B$2:$B$610,0))),"-",INDEX(Pokedex!I$2:I$610,MATCH($A15,Pokedex!$B$2:$B$610,0)))</f>
        <v>0</v>
      </c>
      <c r="I15" s="50" t="str">
        <f aca="false" t="array" ref="I15:I15">IF(ISNA(INDEX(ExpandedStats!$A$3:$A$240,MATCH($A15,ExpandedStats!$C$3:$C$240,0))),"-",INDEX(ExpandedStats!$A$3:$A$240,MATCH($A15,ExpandedStats!$C$3:$C$240,0)))</f>
        <v>-</v>
      </c>
      <c r="J15" s="823"/>
      <c r="K15" s="111"/>
      <c r="L15" s="111"/>
      <c r="M15" s="111"/>
      <c r="N15" s="44"/>
      <c r="O15" s="44"/>
      <c r="P15" s="44"/>
      <c r="Q15" s="331" t="str">
        <f aca="false">SGP!$L$1</f>
        <v>SGP</v>
      </c>
      <c r="R15" s="822"/>
      <c r="S15" s="792"/>
      <c r="T15" s="792"/>
      <c r="U15" s="792"/>
      <c r="V15" s="792"/>
      <c r="W15" s="792"/>
      <c r="X15" s="792"/>
      <c r="Y15" s="792"/>
      <c r="Z15" s="792"/>
      <c r="AA15" s="792"/>
      <c r="AB15" s="792"/>
      <c r="AC15" s="792"/>
      <c r="AD15" s="792"/>
    </row>
    <row r="16" customFormat="false" ht="15.75" hidden="false" customHeight="false" outlineLevel="0" collapsed="false">
      <c r="A16" s="817" t="s">
        <v>78</v>
      </c>
      <c r="B16" s="817"/>
      <c r="C16" s="818" t="str">
        <f aca="false" t="array" ref="C16:C16">IF(ISNA(INDEX(Pokedex!J$2:J$610,MATCH($A16,Pokedex!$B$2:$B$610,0))),"-",INDEX(Pokedex!J$2:J$610,MATCH($A16,Pokedex!$B$2:$B$610,0)))</f>
        <v>Tier 4</v>
      </c>
      <c r="D16" s="51" t="n">
        <f aca="false" t="array" ref="D16:D16">IF(ISNA(INDEX(Pokedex!E$2:E$610,MATCH($A16,Pokedex!$B$2:$B$610,0))),"-",INDEX(Pokedex!E$2:E$610,MATCH($A16,Pokedex!$B$2:$B$610,0)))</f>
        <v>0</v>
      </c>
      <c r="E16" s="50" t="n">
        <f aca="false" t="array" ref="E16:E16">IF(ISNA(INDEX(Pokedex!F$2:F$610,MATCH($A16,Pokedex!$B$2:$B$610,0))),"-",INDEX(Pokedex!F$2:F$610,MATCH($A16,Pokedex!$B$2:$B$610,0)))</f>
        <v>0</v>
      </c>
      <c r="F16" s="469" t="e">
        <f aca="false" t="array" ref="F16:F16">IF(ISNA(INDEX(Pokedex!G$2:G$610,MATCH($A16,Pokedex!$B$2:$B$610,0))),"-",INDEX(Pokedex!G$2:G$610,MATCH($A16,Pokedex!$B$2:$B$610,0)))</f>
        <v>#NAME?</v>
      </c>
      <c r="G16" s="50" t="n">
        <f aca="false" t="array" ref="G16:G16">IF(ISNA(INDEX(Pokedex!H$2:H$610,MATCH($A16,Pokedex!$B$2:$B$610,0))),"-",INDEX(Pokedex!H$2:H$610,MATCH($A16,Pokedex!$B$2:$B$610,0)))</f>
        <v>6</v>
      </c>
      <c r="H16" s="477" t="n">
        <f aca="false" t="array" ref="H16:H16">IF(ISNA(INDEX(Pokedex!I$2:I$610,MATCH($A16,Pokedex!$B$2:$B$610,0))),"-",INDEX(Pokedex!I$2:I$610,MATCH($A16,Pokedex!$B$2:$B$610,0)))</f>
        <v>0</v>
      </c>
      <c r="I16" s="51" t="n">
        <f aca="false" t="array" ref="I16:I16">IF(ISNA(INDEX(ExpandedStats!$A$3:$A$240,MATCH($A16,ExpandedStats!$C$3:$C$240,0))),"-",INDEX(ExpandedStats!$A$3:$A$240,MATCH($A16,ExpandedStats!$C$3:$C$240,0)))</f>
        <v>80</v>
      </c>
      <c r="J16" s="823"/>
      <c r="K16" s="111"/>
      <c r="L16" s="111"/>
      <c r="M16" s="111"/>
      <c r="N16" s="44"/>
      <c r="O16" s="44"/>
      <c r="P16" s="44"/>
      <c r="Q16" s="340" t="str">
        <f aca="false">FTT!$L$1</f>
        <v>FTT</v>
      </c>
      <c r="R16" s="822"/>
      <c r="S16" s="792"/>
      <c r="T16" s="792"/>
      <c r="U16" s="792"/>
      <c r="V16" s="792"/>
      <c r="W16" s="792"/>
      <c r="X16" s="792"/>
      <c r="Y16" s="792"/>
      <c r="Z16" s="792"/>
      <c r="AA16" s="792"/>
      <c r="AB16" s="792"/>
      <c r="AC16" s="792"/>
      <c r="AD16" s="792"/>
    </row>
    <row r="17" customFormat="false" ht="15.75" hidden="false" customHeight="false" outlineLevel="0" collapsed="false">
      <c r="A17" s="817" t="s">
        <v>253</v>
      </c>
      <c r="B17" s="817"/>
      <c r="C17" s="818" t="str">
        <f aca="false" t="array" ref="C17:C17">IF(ISNA(INDEX(Pokedex!J$2:J$610,MATCH($A17,Pokedex!$B$2:$B$610,0))),"-",INDEX(Pokedex!J$2:J$610,MATCH($A17,Pokedex!$B$2:$B$610,0)))</f>
        <v>Tier 5</v>
      </c>
      <c r="D17" s="50" t="str">
        <f aca="false" t="array" ref="D17:D17">IF(ISNA(INDEX(Pokedex!E$2:E$610,MATCH($A17,Pokedex!$B$2:$B$610,0))),"-",INDEX(Pokedex!E$2:E$610,MATCH($A17,Pokedex!$B$2:$B$610,0)))</f>
        <v>-</v>
      </c>
      <c r="E17" s="50" t="str">
        <f aca="false" t="array" ref="E17:E17">IF(ISNA(INDEX(Pokedex!F$2:F$610,MATCH($A17,Pokedex!$B$2:$B$610,0))),"-",INDEX(Pokedex!F$2:F$610,MATCH($A17,Pokedex!$B$2:$B$610,0)))</f>
        <v>-</v>
      </c>
      <c r="F17" s="469" t="str">
        <f aca="false" t="array" ref="F17:F17">IF(ISNA(INDEX(Pokedex!G$2:G$610,MATCH($A17,Pokedex!$B$2:$B$610,0))),"-",INDEX(Pokedex!G$2:G$610,MATCH($A17,Pokedex!$B$2:$B$610,0)))</f>
        <v>-</v>
      </c>
      <c r="G17" s="50" t="n">
        <f aca="false" t="array" ref="G17:G17">IF(ISNA(INDEX(Pokedex!H$2:H$610,MATCH($A17,Pokedex!$B$2:$B$610,0))),"-",INDEX(Pokedex!H$2:H$610,MATCH($A17,Pokedex!$B$2:$B$610,0)))</f>
        <v>0</v>
      </c>
      <c r="H17" s="477" t="n">
        <f aca="false" t="array" ref="H17:H17">IF(ISNA(INDEX(Pokedex!I$2:I$610,MATCH($A17,Pokedex!$B$2:$B$610,0))),"-",INDEX(Pokedex!I$2:I$610,MATCH($A17,Pokedex!$B$2:$B$610,0)))</f>
        <v>0</v>
      </c>
      <c r="I17" s="50" t="str">
        <f aca="false" t="array" ref="I17:I17">IF(ISNA(INDEX(ExpandedStats!$A$3:$A$240,MATCH($A17,ExpandedStats!$C$3:$C$240,0))),"-",INDEX(ExpandedStats!$A$3:$A$240,MATCH($A17,ExpandedStats!$C$3:$C$240,0)))</f>
        <v>-</v>
      </c>
      <c r="J17" s="823"/>
      <c r="K17" s="111"/>
      <c r="L17" s="111"/>
      <c r="M17" s="111"/>
      <c r="N17" s="44"/>
      <c r="O17" s="44"/>
      <c r="P17" s="44"/>
      <c r="Q17" s="93"/>
      <c r="R17" s="824"/>
      <c r="S17" s="638"/>
      <c r="T17" s="638"/>
      <c r="U17" s="638"/>
      <c r="V17" s="638"/>
      <c r="W17" s="638"/>
      <c r="X17" s="638"/>
      <c r="Y17" s="638"/>
      <c r="Z17" s="638"/>
      <c r="AA17" s="638"/>
      <c r="AB17" s="638"/>
      <c r="AC17" s="638"/>
      <c r="AD17" s="638"/>
    </row>
    <row r="18" customFormat="false" ht="15.75" hidden="false" customHeight="false" outlineLevel="0" collapsed="false">
      <c r="A18" s="817" t="s">
        <v>80</v>
      </c>
      <c r="B18" s="817"/>
      <c r="C18" s="818" t="str">
        <f aca="false" t="array" ref="C18:C18">IF(ISNA(INDEX(Pokedex!J$2:J$610,MATCH($A18,Pokedex!$B$2:$B$610,0))),"-",INDEX(Pokedex!J$2:J$610,MATCH($A18,Pokedex!$B$2:$B$610,0)))</f>
        <v>M2</v>
      </c>
      <c r="D18" s="51" t="n">
        <f aca="false" t="array" ref="D18:D18">IF(ISNA(INDEX(Pokedex!E$2:E$610,MATCH($A18,Pokedex!$B$2:$B$610,0))),"-",INDEX(Pokedex!E$2:E$610,MATCH($A18,Pokedex!$B$2:$B$610,0)))</f>
        <v>0</v>
      </c>
      <c r="E18" s="50" t="n">
        <f aca="false" t="array" ref="E18:E18">IF(ISNA(INDEX(Pokedex!F$2:F$610,MATCH($A18,Pokedex!$B$2:$B$610,0))),"-",INDEX(Pokedex!F$2:F$610,MATCH($A18,Pokedex!$B$2:$B$610,0)))</f>
        <v>0</v>
      </c>
      <c r="F18" s="469" t="e">
        <f aca="false" t="array" ref="F18:F18">IF(ISNA(INDEX(Pokedex!G$2:G$610,MATCH($A18,Pokedex!$B$2:$B$610,0))),"-",INDEX(Pokedex!G$2:G$610,MATCH($A18,Pokedex!$B$2:$B$610,0)))</f>
        <v>#NAME?</v>
      </c>
      <c r="G18" s="50" t="n">
        <f aca="false" t="array" ref="G18:G18">IF(ISNA(INDEX(Pokedex!H$2:H$610,MATCH($A18,Pokedex!$B$2:$B$610,0))),"-",INDEX(Pokedex!H$2:H$610,MATCH($A18,Pokedex!$B$2:$B$610,0)))</f>
        <v>5</v>
      </c>
      <c r="H18" s="477" t="n">
        <f aca="false" t="array" ref="H18:H18">IF(ISNA(INDEX(Pokedex!I$2:I$610,MATCH($A18,Pokedex!$B$2:$B$610,0))),"-",INDEX(Pokedex!I$2:I$610,MATCH($A18,Pokedex!$B$2:$B$610,0)))</f>
        <v>0</v>
      </c>
      <c r="I18" s="51" t="n">
        <f aca="false" t="array" ref="I18:I18">IF(ISNA(INDEX(ExpandedStats!$A$3:$A$240,MATCH($A18,ExpandedStats!$C$3:$C$240,0))),"-",INDEX(ExpandedStats!$A$3:$A$240,MATCH($A18,ExpandedStats!$C$3:$C$240,0)))</f>
        <v>40</v>
      </c>
      <c r="J18" s="823"/>
      <c r="K18" s="111"/>
      <c r="L18" s="111"/>
      <c r="M18" s="111"/>
      <c r="N18" s="44"/>
      <c r="O18" s="44"/>
      <c r="P18" s="44"/>
      <c r="Q18" s="93"/>
      <c r="T18" s="825"/>
      <c r="U18" s="825"/>
      <c r="V18" s="825"/>
      <c r="W18" s="825"/>
      <c r="X18" s="825"/>
      <c r="Y18" s="825"/>
      <c r="Z18" s="825"/>
      <c r="AA18" s="825"/>
      <c r="AB18" s="825"/>
      <c r="AC18" s="825"/>
      <c r="AD18" s="825"/>
    </row>
    <row r="19" customFormat="false" ht="15.75" hidden="false" customHeight="false" outlineLevel="0" collapsed="false">
      <c r="A19" s="817" t="s">
        <v>76</v>
      </c>
      <c r="B19" s="817"/>
      <c r="C19" s="818" t="str">
        <f aca="false" t="array" ref="C19:C19">IF(ISNA(INDEX(Pokedex!J$2:J$610,MATCH($A19,Pokedex!$B$2:$B$610,0))),"-",INDEX(Pokedex!J$2:J$610,MATCH($A19,Pokedex!$B$2:$B$610,0)))</f>
        <v>Tier 2</v>
      </c>
      <c r="D19" s="50" t="n">
        <f aca="false" t="array" ref="D19:D19">IF(ISNA(INDEX(Pokedex!E$2:E$610,MATCH($A19,Pokedex!$B$2:$B$610,0))),"-",INDEX(Pokedex!E$2:E$610,MATCH($A19,Pokedex!$B$2:$B$610,0)))</f>
        <v>0</v>
      </c>
      <c r="E19" s="50" t="n">
        <f aca="false" t="array" ref="E19:E19">IF(ISNA(INDEX(Pokedex!F$2:F$610,MATCH($A19,Pokedex!$B$2:$B$610,0))),"-",INDEX(Pokedex!F$2:F$610,MATCH($A19,Pokedex!$B$2:$B$610,0)))</f>
        <v>0</v>
      </c>
      <c r="F19" s="469" t="e">
        <f aca="false" t="array" ref="F19:F19">IF(ISNA(INDEX(Pokedex!G$2:G$610,MATCH($A19,Pokedex!$B$2:$B$610,0))),"-",INDEX(Pokedex!G$2:G$610,MATCH($A19,Pokedex!$B$2:$B$610,0)))</f>
        <v>#NAME?</v>
      </c>
      <c r="G19" s="50" t="n">
        <f aca="false" t="array" ref="G19:G19">IF(ISNA(INDEX(Pokedex!H$2:H$610,MATCH($A19,Pokedex!$B$2:$B$610,0))),"-",INDEX(Pokedex!H$2:H$610,MATCH($A19,Pokedex!$B$2:$B$610,0)))</f>
        <v>6</v>
      </c>
      <c r="H19" s="477" t="n">
        <f aca="false" t="array" ref="H19:H19">IF(ISNA(INDEX(Pokedex!I$2:I$610,MATCH($A19,Pokedex!$B$2:$B$610,0))),"-",INDEX(Pokedex!I$2:I$610,MATCH($A19,Pokedex!$B$2:$B$610,0)))</f>
        <v>0</v>
      </c>
      <c r="I19" s="50" t="n">
        <f aca="false" t="array" ref="I19:I19">IF(ISNA(INDEX(ExpandedStats!$A$3:$A$240,MATCH($A19,ExpandedStats!$C$3:$C$240,0))),"-",INDEX(ExpandedStats!$A$3:$A$240,MATCH($A19,ExpandedStats!$C$3:$C$240,0)))</f>
        <v>60</v>
      </c>
      <c r="J19" s="823"/>
      <c r="K19" s="111"/>
      <c r="L19" s="111"/>
      <c r="M19" s="111"/>
      <c r="N19" s="44"/>
      <c r="O19" s="44"/>
      <c r="P19" s="44"/>
      <c r="Q19" s="93"/>
      <c r="R19" s="341" t="s">
        <v>2062</v>
      </c>
      <c r="S19" s="341"/>
      <c r="T19" s="771"/>
      <c r="U19" s="771"/>
      <c r="V19" s="771"/>
      <c r="W19" s="771"/>
      <c r="X19" s="771"/>
      <c r="Y19" s="771"/>
      <c r="Z19" s="771"/>
      <c r="AA19" s="771"/>
      <c r="AB19" s="771"/>
      <c r="AC19" s="771"/>
      <c r="AD19" s="771"/>
    </row>
    <row r="20" customFormat="false" ht="15.75" hidden="false" customHeight="false" outlineLevel="0" collapsed="false">
      <c r="A20" s="817" t="s">
        <v>74</v>
      </c>
      <c r="B20" s="817"/>
      <c r="C20" s="818" t="str">
        <f aca="false" t="array" ref="C20:C20">IF(ISNA(INDEX(Pokedex!J$2:J$610,MATCH($A20,Pokedex!$B$2:$B$610,0))),"-",INDEX(Pokedex!J$2:J$610,MATCH($A20,Pokedex!$B$2:$B$610,0)))</f>
        <v>Tier 2</v>
      </c>
      <c r="D20" s="51" t="n">
        <f aca="false" t="array" ref="D20:D20">IF(ISNA(INDEX(Pokedex!E$2:E$610,MATCH($A20,Pokedex!$B$2:$B$610,0))),"-",INDEX(Pokedex!E$2:E$610,MATCH($A20,Pokedex!$B$2:$B$610,0)))</f>
        <v>0</v>
      </c>
      <c r="E20" s="50" t="n">
        <f aca="false" t="array" ref="E20:E20">IF(ISNA(INDEX(Pokedex!F$2:F$610,MATCH($A20,Pokedex!$B$2:$B$610,0))),"-",INDEX(Pokedex!F$2:F$610,MATCH($A20,Pokedex!$B$2:$B$610,0)))</f>
        <v>0</v>
      </c>
      <c r="F20" s="469" t="e">
        <f aca="false" t="array" ref="F20:F20">IF(ISNA(INDEX(Pokedex!G$2:G$610,MATCH($A20,Pokedex!$B$2:$B$610,0))),"-",INDEX(Pokedex!G$2:G$610,MATCH($A20,Pokedex!$B$2:$B$610,0)))</f>
        <v>#NAME?</v>
      </c>
      <c r="G20" s="50" t="n">
        <f aca="false" t="array" ref="G20:G20">IF(ISNA(INDEX(Pokedex!H$2:H$610,MATCH($A20,Pokedex!$B$2:$B$610,0))),"-",INDEX(Pokedex!H$2:H$610,MATCH($A20,Pokedex!$B$2:$B$610,0)))</f>
        <v>6</v>
      </c>
      <c r="H20" s="477" t="n">
        <f aca="false" t="array" ref="H20:H20">IF(ISNA(INDEX(Pokedex!I$2:I$610,MATCH($A20,Pokedex!$B$2:$B$610,0))),"-",INDEX(Pokedex!I$2:I$610,MATCH($A20,Pokedex!$B$2:$B$610,0)))</f>
        <v>0</v>
      </c>
      <c r="I20" s="727" t="n">
        <f aca="false" t="array" ref="I20:I20">IF(ISNA(INDEX(ExpandedStats!$A$3:$A$240,MATCH($A20,ExpandedStats!$C$3:$C$240,0))),"-",INDEX(ExpandedStats!$A$3:$A$240,MATCH($A20,ExpandedStats!$C$3:$C$240,0)))</f>
        <v>9</v>
      </c>
      <c r="K20" s="44"/>
      <c r="L20" s="44"/>
      <c r="M20" s="44"/>
      <c r="N20" s="44"/>
      <c r="O20" s="44"/>
      <c r="P20" s="44"/>
      <c r="Q20" s="93"/>
      <c r="R20" s="386" t="str">
        <f aca="false">IFERROR(__xludf.dummyfunction("{ if(isna(FILTER(MoveDex!$AJ:$AJ,MoveDex!$AI:$AI=$L$1)),,FILTER(MoveDex!$AJ:$AJ,MoveDex!$AI:$AI=$L$1)) ; if(isna(FILTER(MoveDex!$AN:$AN,MoveDex!$AM:$AM=$L$1)),,FILTER(MoveDex!$AN:$AN,MoveDex!$AM:$AM=$L$1)) }"),"")</f>
        <v/>
      </c>
      <c r="S20" s="386" t="str">
        <f aca="false">IFERROR(__xludf.dummyfunction("{ if(isna(FILTER(MoveDex!$AK:$AK,MoveDex!$AI:$AI=$L$1)),,FILTER(MoveDex!$AK:$AK,MoveDex!$AI:$AI=$L$1)) ; if(isna(FILTER(MoveDex!$AO:$AO,MoveDex!$AM:$AM=$L$1)),,FILTER(MoveDex!$AO:$AO,MoveDex!$AM:$AM=$L$1)) }"),"")</f>
        <v/>
      </c>
      <c r="T20" s="825"/>
      <c r="U20" s="825"/>
      <c r="V20" s="825"/>
      <c r="W20" s="825"/>
      <c r="X20" s="825"/>
      <c r="Y20" s="825"/>
      <c r="Z20" s="825"/>
      <c r="AA20" s="825"/>
      <c r="AB20" s="825"/>
      <c r="AC20" s="825"/>
      <c r="AD20" s="825"/>
    </row>
    <row r="21" customFormat="false" ht="15.75" hidden="false" customHeight="false" outlineLevel="0" collapsed="false">
      <c r="A21" s="817" t="s">
        <v>82</v>
      </c>
      <c r="B21" s="817"/>
      <c r="C21" s="818" t="str">
        <f aca="false" t="array" ref="C21:C21">IF(ISNA(INDEX(Pokedex!J$2:J$610,MATCH($A21,Pokedex!$B$2:$B$610,0))),"-",INDEX(Pokedex!J$2:J$610,MATCH($A21,Pokedex!$B$2:$B$610,0)))</f>
        <v>Tier 2</v>
      </c>
      <c r="D21" s="50" t="n">
        <f aca="false" t="array" ref="D21:D21">IF(ISNA(INDEX(Pokedex!E$2:E$610,MATCH($A21,Pokedex!$B$2:$B$610,0))),"-",INDEX(Pokedex!E$2:E$610,MATCH($A21,Pokedex!$B$2:$B$610,0)))</f>
        <v>0</v>
      </c>
      <c r="E21" s="50" t="n">
        <f aca="false" t="array" ref="E21:E21">IF(ISNA(INDEX(Pokedex!F$2:F$610,MATCH($A21,Pokedex!$B$2:$B$610,0))),"-",INDEX(Pokedex!F$2:F$610,MATCH($A21,Pokedex!$B$2:$B$610,0)))</f>
        <v>0</v>
      </c>
      <c r="F21" s="469" t="e">
        <f aca="false" t="array" ref="F21:F21">IF(ISNA(INDEX(Pokedex!G$2:G$610,MATCH($A21,Pokedex!$B$2:$B$610,0))),"-",INDEX(Pokedex!G$2:G$610,MATCH($A21,Pokedex!$B$2:$B$610,0)))</f>
        <v>#NAME?</v>
      </c>
      <c r="G21" s="50" t="n">
        <f aca="false" t="array" ref="G21:G21">IF(ISNA(INDEX(Pokedex!H$2:H$610,MATCH($A21,Pokedex!$B$2:$B$610,0))),"-",INDEX(Pokedex!H$2:H$610,MATCH($A21,Pokedex!$B$2:$B$610,0)))</f>
        <v>5</v>
      </c>
      <c r="H21" s="477" t="n">
        <f aca="false" t="array" ref="H21:H21">IF(ISNA(INDEX(Pokedex!I$2:I$610,MATCH($A21,Pokedex!$B$2:$B$610,0))),"-",INDEX(Pokedex!I$2:I$610,MATCH($A21,Pokedex!$B$2:$B$610,0)))</f>
        <v>0</v>
      </c>
      <c r="I21" s="50" t="n">
        <f aca="false" t="array" ref="I21:I21">IF(ISNA(INDEX(ExpandedStats!$A$3:$A$240,MATCH($A21,ExpandedStats!$C$3:$C$240,0))),"-",INDEX(ExpandedStats!$A$3:$A$240,MATCH($A21,ExpandedStats!$C$3:$C$240,0)))</f>
        <v>79</v>
      </c>
      <c r="J21" s="823"/>
      <c r="K21" s="111"/>
      <c r="L21" s="111"/>
      <c r="M21" s="111"/>
      <c r="N21" s="44"/>
      <c r="O21" s="44"/>
      <c r="P21" s="44"/>
      <c r="Q21" s="93"/>
      <c r="R21" s="778" t="s">
        <v>108</v>
      </c>
      <c r="S21" s="511" t="s">
        <v>1112</v>
      </c>
      <c r="T21" s="638"/>
      <c r="U21" s="638"/>
      <c r="V21" s="638"/>
      <c r="W21" s="638"/>
      <c r="X21" s="638"/>
      <c r="Y21" s="638"/>
      <c r="Z21" s="638"/>
      <c r="AA21" s="638"/>
      <c r="AB21" s="638"/>
      <c r="AC21" s="638"/>
      <c r="AD21" s="638"/>
    </row>
    <row r="22" customFormat="false" ht="15.75" hidden="false" customHeight="false" outlineLevel="0" collapsed="false">
      <c r="A22" s="826" t="s">
        <v>263</v>
      </c>
      <c r="B22" s="826"/>
      <c r="C22" s="827" t="str">
        <f aca="false" t="array" ref="C22:C22">IF(ISNA(INDEX(Pokedex!J$2:J$610,MATCH($A22,Pokedex!$B$2:$B$610,0))),"-",INDEX(Pokedex!J$2:J$610,MATCH($A22,Pokedex!$B$2:$B$610,0)))</f>
        <v>Tier 5</v>
      </c>
      <c r="D22" s="828" t="str">
        <f aca="false" t="array" ref="D22:D22">IF(ISNA(INDEX(Pokedex!E$2:E$610,MATCH($A22,Pokedex!$B$2:$B$610,0))),"-",INDEX(Pokedex!E$2:E$610,MATCH($A22,Pokedex!$B$2:$B$610,0)))</f>
        <v>-</v>
      </c>
      <c r="E22" s="50" t="str">
        <f aca="false" t="array" ref="E22:E22">IF(ISNA(INDEX(Pokedex!F$2:F$610,MATCH($A22,Pokedex!$B$2:$B$610,0))),"-",INDEX(Pokedex!F$2:F$610,MATCH($A22,Pokedex!$B$2:$B$610,0)))</f>
        <v>-</v>
      </c>
      <c r="F22" s="829" t="str">
        <f aca="false" t="array" ref="F22:F22">IF(ISNA(INDEX(Pokedex!G$2:G$610,MATCH($A22,Pokedex!$B$2:$B$610,0))),"-",INDEX(Pokedex!G$2:G$610,MATCH($A22,Pokedex!$B$2:$B$610,0)))</f>
        <v>-</v>
      </c>
      <c r="G22" s="830" t="n">
        <f aca="false" t="array" ref="G22:G22">IF(ISNA(INDEX(Pokedex!H$2:H$610,MATCH($A22,Pokedex!$B$2:$B$610,0))),"-",INDEX(Pokedex!H$2:H$610,MATCH($A22,Pokedex!$B$2:$B$610,0)))</f>
        <v>0</v>
      </c>
      <c r="H22" s="831" t="n">
        <f aca="false" t="array" ref="H22:H22">IF(ISNA(INDEX(Pokedex!I$2:I$610,MATCH($A22,Pokedex!$B$2:$B$610,0))),"-",INDEX(Pokedex!I$2:I$610,MATCH($A22,Pokedex!$B$2:$B$610,0)))</f>
        <v>0</v>
      </c>
      <c r="I22" s="828" t="str">
        <f aca="false" t="array" ref="I22:I22">IF(ISNA(INDEX(ExpandedStats!$A$3:$A$240,MATCH($A22,ExpandedStats!$C$3:$C$240,0))),"-",INDEX(ExpandedStats!$A$3:$A$240,MATCH($A22,ExpandedStats!$C$3:$C$240,0)))</f>
        <v>-</v>
      </c>
      <c r="J22" s="823"/>
      <c r="K22" s="111"/>
      <c r="L22" s="111"/>
      <c r="M22" s="111"/>
      <c r="N22" s="44"/>
      <c r="O22" s="44"/>
      <c r="P22" s="44"/>
      <c r="Q22" s="93"/>
      <c r="R22" s="778"/>
      <c r="S22" s="511"/>
      <c r="T22" s="638"/>
      <c r="U22" s="638"/>
      <c r="V22" s="638"/>
      <c r="W22" s="638"/>
      <c r="X22" s="638"/>
      <c r="Y22" s="638"/>
      <c r="Z22" s="638"/>
      <c r="AA22" s="638"/>
      <c r="AB22" s="638"/>
      <c r="AC22" s="638"/>
      <c r="AD22" s="638"/>
    </row>
    <row r="23" customFormat="false" ht="15.75" hidden="false" customHeight="false" outlineLevel="0" collapsed="false">
      <c r="A23" s="832" t="s">
        <v>2063</v>
      </c>
      <c r="B23" s="832"/>
      <c r="C23" s="832"/>
      <c r="D23" s="833" t="n">
        <f aca="false">SUM(D12:D22)</f>
        <v>0</v>
      </c>
      <c r="E23" s="834" t="n">
        <f aca="false">SUM(E12:E22)</f>
        <v>0</v>
      </c>
      <c r="F23" s="111"/>
      <c r="G23" s="111"/>
      <c r="H23" s="111"/>
      <c r="I23" s="111"/>
      <c r="J23" s="111"/>
      <c r="K23" s="111"/>
      <c r="L23" s="111"/>
      <c r="M23" s="111"/>
      <c r="N23" s="44"/>
      <c r="O23" s="44"/>
      <c r="P23" s="44"/>
      <c r="Q23" s="44"/>
      <c r="R23" s="778"/>
      <c r="S23" s="511"/>
      <c r="T23" s="638"/>
      <c r="U23" s="638"/>
      <c r="V23" s="638"/>
      <c r="W23" s="638"/>
      <c r="X23" s="638"/>
      <c r="Y23" s="638"/>
      <c r="Z23" s="638"/>
      <c r="AA23" s="638"/>
      <c r="AB23" s="638"/>
      <c r="AC23" s="638"/>
      <c r="AD23" s="638"/>
    </row>
    <row r="24" customFormat="false" ht="15.75" hidden="false" customHeight="false" outlineLevel="0" collapsed="false">
      <c r="A24" s="400"/>
      <c r="B24" s="400"/>
      <c r="C24" s="400"/>
      <c r="D24" s="835"/>
      <c r="E24" s="835"/>
      <c r="F24" s="111"/>
      <c r="G24" s="111"/>
      <c r="H24" s="111"/>
      <c r="I24" s="111"/>
      <c r="J24" s="111"/>
      <c r="K24" s="111"/>
      <c r="L24" s="111"/>
      <c r="M24" s="111"/>
      <c r="N24" s="44"/>
      <c r="O24" s="44"/>
      <c r="P24" s="44"/>
      <c r="Q24" s="44"/>
      <c r="R24" s="778"/>
      <c r="S24" s="511"/>
      <c r="T24" s="638"/>
      <c r="U24" s="638"/>
      <c r="V24" s="638"/>
      <c r="W24" s="638"/>
      <c r="X24" s="638"/>
      <c r="Y24" s="638"/>
      <c r="Z24" s="638"/>
      <c r="AA24" s="638"/>
      <c r="AB24" s="638"/>
      <c r="AC24" s="638"/>
      <c r="AD24" s="638"/>
    </row>
    <row r="25" customFormat="false" ht="15.75" hidden="false" customHeight="false" outlineLevel="0" collapsed="false">
      <c r="A25" s="400"/>
      <c r="B25" s="400"/>
      <c r="C25" s="400"/>
      <c r="D25" s="44"/>
      <c r="E25" s="44"/>
      <c r="F25" s="44"/>
      <c r="G25" s="44"/>
      <c r="H25" s="44"/>
      <c r="I25" s="44"/>
      <c r="J25" s="111"/>
      <c r="K25" s="111"/>
      <c r="L25" s="111"/>
      <c r="M25" s="111"/>
      <c r="N25" s="44"/>
      <c r="O25" s="44"/>
      <c r="P25" s="44"/>
      <c r="Q25" s="44"/>
      <c r="R25" s="778"/>
      <c r="S25" s="511"/>
      <c r="T25" s="638"/>
      <c r="U25" s="638"/>
      <c r="V25" s="638"/>
      <c r="W25" s="638"/>
      <c r="X25" s="638"/>
      <c r="Y25" s="638"/>
      <c r="Z25" s="638"/>
      <c r="AA25" s="638"/>
      <c r="AB25" s="638"/>
      <c r="AC25" s="638"/>
      <c r="AD25" s="638"/>
      <c r="AE25" s="638"/>
    </row>
    <row r="26" customFormat="false" ht="15.75" hidden="false" customHeight="false" outlineLevel="0" collapsed="false">
      <c r="A26" s="400"/>
      <c r="B26" s="400"/>
      <c r="C26" s="400"/>
      <c r="D26" s="44"/>
      <c r="E26" s="44"/>
      <c r="F26" s="44"/>
      <c r="G26" s="44"/>
      <c r="H26" s="44"/>
      <c r="I26" s="44"/>
      <c r="J26" s="400"/>
      <c r="K26" s="400"/>
      <c r="L26" s="400"/>
      <c r="M26" s="400"/>
      <c r="N26" s="44"/>
      <c r="O26" s="44"/>
      <c r="P26" s="44"/>
      <c r="Q26" s="44"/>
      <c r="R26" s="790"/>
      <c r="S26" s="791"/>
      <c r="T26" s="792"/>
      <c r="U26" s="792"/>
      <c r="V26" s="792"/>
      <c r="W26" s="792"/>
      <c r="X26" s="792"/>
      <c r="Y26" s="792"/>
      <c r="Z26" s="792"/>
      <c r="AA26" s="792"/>
      <c r="AB26" s="792"/>
      <c r="AC26" s="792"/>
      <c r="AD26" s="792"/>
      <c r="AE26" s="792"/>
    </row>
    <row r="27" customFormat="false" ht="15.75" hidden="false" customHeight="false" outlineLevel="0" collapsed="false">
      <c r="A27" s="118" t="s">
        <v>208</v>
      </c>
      <c r="B27" s="118"/>
      <c r="C27" s="118"/>
      <c r="D27" s="836" t="s">
        <v>207</v>
      </c>
      <c r="E27" s="836"/>
      <c r="F27" s="836"/>
      <c r="G27" s="837" t="s">
        <v>209</v>
      </c>
      <c r="H27" s="837"/>
      <c r="I27" s="44"/>
      <c r="J27" s="838" t="s">
        <v>2064</v>
      </c>
      <c r="K27" s="838"/>
      <c r="L27" s="838"/>
      <c r="M27" s="839" t="n">
        <f aca="false">IF($A$28="CHECK ERROR BLOCK",0,IF(NOT($A$28="NONE"),minus(3,COUNTIF(A28:A30,"*")), 3))</f>
        <v>3</v>
      </c>
      <c r="N27" s="44"/>
      <c r="O27" s="44"/>
      <c r="P27" s="44"/>
      <c r="Q27" s="44"/>
      <c r="R27" s="790"/>
      <c r="S27" s="791"/>
      <c r="T27" s="792"/>
      <c r="U27" s="792"/>
      <c r="V27" s="792"/>
      <c r="W27" s="792"/>
      <c r="X27" s="792"/>
      <c r="Y27" s="792"/>
      <c r="Z27" s="792"/>
      <c r="AA27" s="792"/>
      <c r="AB27" s="792"/>
      <c r="AC27" s="792"/>
      <c r="AD27" s="792"/>
      <c r="AE27" s="792"/>
    </row>
    <row r="28" customFormat="false" ht="15.75" hidden="false" customHeight="false" outlineLevel="0" collapsed="false">
      <c r="A28" s="840" t="str">
        <f aca="false">IFERROR(__xludf.dummyfunction("if(ISNA(filter(Transactions!$O$3:$V$100,Transactions!$M$3:$M$100=$L$1)),""NONE"",if(countif(Transactions!$M$3:$M$100,$L$1)&gt;3,""CHECK ERROR BLOCK"",(filter(Transactions!$O$3:$V$100,Transactions!$M$3:$M$100=$L$1))))"),"NONE")</f>
        <v>NONE</v>
      </c>
      <c r="B28" s="840"/>
      <c r="C28" s="840"/>
      <c r="D28" s="841"/>
      <c r="E28" s="841"/>
      <c r="F28" s="841"/>
      <c r="G28" s="842"/>
      <c r="H28" s="842"/>
      <c r="I28" s="44"/>
      <c r="J28" s="843" t="s">
        <v>2065</v>
      </c>
      <c r="K28" s="843"/>
      <c r="L28" s="843"/>
      <c r="M28" s="844" t="s">
        <v>2066</v>
      </c>
      <c r="N28" s="44"/>
      <c r="O28" s="44"/>
      <c r="P28" s="44"/>
      <c r="Q28" s="44"/>
      <c r="R28" s="790"/>
      <c r="S28" s="791"/>
      <c r="T28" s="792"/>
      <c r="U28" s="792"/>
      <c r="V28" s="792"/>
      <c r="W28" s="792"/>
      <c r="X28" s="792"/>
      <c r="Y28" s="792"/>
      <c r="Z28" s="792"/>
      <c r="AA28" s="792"/>
      <c r="AB28" s="792"/>
      <c r="AC28" s="792"/>
      <c r="AD28" s="792"/>
      <c r="AE28" s="792"/>
    </row>
    <row r="29" customFormat="false" ht="15.75" hidden="false" customHeight="true" outlineLevel="0" collapsed="false">
      <c r="A29" s="840"/>
      <c r="B29" s="840"/>
      <c r="C29" s="840"/>
      <c r="D29" s="841"/>
      <c r="E29" s="841"/>
      <c r="F29" s="841"/>
      <c r="G29" s="845"/>
      <c r="H29" s="845"/>
      <c r="I29" s="44"/>
      <c r="J29" s="846" t="s">
        <v>2067</v>
      </c>
      <c r="K29" s="846"/>
      <c r="L29" s="846"/>
      <c r="M29" s="847" t="n">
        <v>2</v>
      </c>
      <c r="N29" s="44"/>
      <c r="O29" s="44"/>
      <c r="P29" s="44"/>
      <c r="Q29" s="44"/>
      <c r="R29" s="790"/>
      <c r="S29" s="791"/>
      <c r="T29" s="792"/>
      <c r="U29" s="792"/>
      <c r="V29" s="792"/>
      <c r="W29" s="792"/>
      <c r="X29" s="792"/>
      <c r="Y29" s="792"/>
      <c r="Z29" s="792"/>
      <c r="AA29" s="792"/>
      <c r="AB29" s="792"/>
      <c r="AC29" s="792"/>
      <c r="AD29" s="792"/>
      <c r="AE29" s="792"/>
    </row>
    <row r="30" customFormat="false" ht="15.75" hidden="false" customHeight="false" outlineLevel="0" collapsed="false">
      <c r="A30" s="848"/>
      <c r="B30" s="848"/>
      <c r="C30" s="848"/>
      <c r="D30" s="849"/>
      <c r="E30" s="849"/>
      <c r="F30" s="849"/>
      <c r="G30" s="850"/>
      <c r="H30" s="850"/>
      <c r="I30" s="44"/>
      <c r="J30" s="851" t="str">
        <f aca="false">IF($A$28="CHECK ERROR BLOCK","ERROR - MAXIMUM NUMBER OF FREE AGENCY TRANSACTIONS LOGGED IN TRANSACTIONS TAB","")</f>
        <v/>
      </c>
      <c r="K30" s="851"/>
      <c r="L30" s="851"/>
      <c r="M30" s="851"/>
      <c r="N30" s="44"/>
      <c r="O30" s="44"/>
      <c r="P30" s="44"/>
      <c r="Q30" s="44"/>
      <c r="R30" s="790"/>
      <c r="S30" s="791"/>
      <c r="T30" s="792"/>
      <c r="U30" s="792"/>
      <c r="V30" s="792"/>
      <c r="W30" s="792"/>
      <c r="X30" s="792"/>
      <c r="Y30" s="792"/>
      <c r="Z30" s="792"/>
      <c r="AA30" s="792"/>
      <c r="AB30" s="792"/>
      <c r="AC30" s="792"/>
      <c r="AD30" s="792"/>
      <c r="AE30" s="792"/>
    </row>
    <row r="31" customFormat="false" ht="15.75" hidden="false" customHeight="false" outlineLevel="0" collapsed="false">
      <c r="A31" s="44"/>
      <c r="B31" s="44"/>
      <c r="C31" s="44"/>
      <c r="D31" s="44"/>
      <c r="E31" s="44"/>
      <c r="F31" s="44"/>
      <c r="G31" s="44"/>
      <c r="H31" s="44"/>
      <c r="I31" s="44"/>
      <c r="J31" s="44"/>
      <c r="K31" s="44"/>
      <c r="L31" s="44"/>
      <c r="M31" s="44"/>
      <c r="N31" s="44"/>
      <c r="O31" s="44"/>
      <c r="P31" s="44"/>
      <c r="Q31" s="44"/>
      <c r="R31" s="820"/>
      <c r="S31" s="821"/>
      <c r="T31" s="792"/>
      <c r="U31" s="792"/>
      <c r="V31" s="792"/>
      <c r="W31" s="792"/>
      <c r="X31" s="792"/>
      <c r="Y31" s="792"/>
      <c r="Z31" s="792"/>
      <c r="AA31" s="792"/>
      <c r="AB31" s="792"/>
      <c r="AC31" s="792"/>
      <c r="AD31" s="792"/>
      <c r="AE31" s="792"/>
    </row>
    <row r="32" customFormat="false" ht="15.75" hidden="false" customHeight="false" outlineLevel="0" collapsed="false">
      <c r="A32" s="118" t="s">
        <v>2068</v>
      </c>
      <c r="B32" s="118"/>
      <c r="C32" s="118"/>
      <c r="D32" s="118" t="s">
        <v>2069</v>
      </c>
      <c r="E32" s="118"/>
      <c r="F32" s="118"/>
      <c r="G32" s="837" t="s">
        <v>209</v>
      </c>
      <c r="H32" s="837"/>
      <c r="I32" s="272" t="s">
        <v>2070</v>
      </c>
      <c r="J32" s="272"/>
      <c r="K32" s="363" t="s">
        <v>213</v>
      </c>
      <c r="L32" s="363"/>
      <c r="M32" s="363"/>
      <c r="N32" s="363"/>
      <c r="O32" s="44"/>
      <c r="P32" s="44"/>
      <c r="Q32" s="44"/>
      <c r="R32" s="824"/>
      <c r="S32" s="638"/>
      <c r="T32" s="638"/>
      <c r="U32" s="638"/>
      <c r="V32" s="638"/>
      <c r="W32" s="638"/>
      <c r="X32" s="638"/>
      <c r="Y32" s="638"/>
      <c r="Z32" s="638"/>
      <c r="AA32" s="638"/>
      <c r="AB32" s="638"/>
      <c r="AC32" s="638"/>
      <c r="AD32" s="638"/>
      <c r="AE32" s="638"/>
    </row>
    <row r="33" customFormat="false" ht="15.75" hidden="false" customHeight="false" outlineLevel="0" collapsed="false">
      <c r="A33" s="840" t="str">
        <f aca="false">IFERROR(__xludf.dummyfunction("if(isna(filter($Q$55:$AD$70,not(isblank($Q$55:$Q$70)))),""NONE"",filter($Q$55:$AD$70,not(isblank($Q$55:$Q$70))))"),"NONE")</f>
        <v>NONE</v>
      </c>
      <c r="B33" s="840"/>
      <c r="C33" s="840"/>
      <c r="D33" s="853"/>
      <c r="E33" s="853"/>
      <c r="F33" s="853"/>
      <c r="G33" s="855"/>
      <c r="H33" s="855"/>
      <c r="I33" s="855"/>
      <c r="J33" s="855"/>
      <c r="K33" s="856"/>
      <c r="L33" s="856"/>
      <c r="M33" s="856"/>
      <c r="N33" s="856"/>
      <c r="O33" s="44"/>
      <c r="P33" s="44"/>
      <c r="Q33" s="44"/>
      <c r="R33" s="824"/>
      <c r="S33" s="638"/>
      <c r="T33" s="638"/>
      <c r="U33" s="638"/>
      <c r="V33" s="638"/>
      <c r="W33" s="638"/>
      <c r="X33" s="638"/>
      <c r="Y33" s="638"/>
      <c r="Z33" s="638"/>
      <c r="AA33" s="638"/>
      <c r="AB33" s="638"/>
      <c r="AC33" s="638"/>
      <c r="AD33" s="638"/>
      <c r="AE33" s="638"/>
    </row>
    <row r="34" customFormat="false" ht="15.75" hidden="false" customHeight="false" outlineLevel="0" collapsed="false">
      <c r="A34" s="840"/>
      <c r="B34" s="840"/>
      <c r="C34" s="840"/>
      <c r="D34" s="857"/>
      <c r="E34" s="857"/>
      <c r="F34" s="857"/>
      <c r="G34" s="855"/>
      <c r="H34" s="855"/>
      <c r="I34" s="855"/>
      <c r="J34" s="855"/>
      <c r="K34" s="479"/>
      <c r="L34" s="479"/>
      <c r="M34" s="479"/>
      <c r="N34" s="479"/>
      <c r="O34" s="44"/>
      <c r="P34" s="44"/>
      <c r="Q34" s="44"/>
      <c r="R34" s="824"/>
      <c r="S34" s="638"/>
      <c r="T34" s="638"/>
      <c r="U34" s="638"/>
      <c r="V34" s="638"/>
      <c r="W34" s="638"/>
      <c r="X34" s="638"/>
      <c r="Y34" s="638"/>
      <c r="Z34" s="638"/>
      <c r="AA34" s="638"/>
      <c r="AB34" s="638"/>
      <c r="AC34" s="638"/>
      <c r="AD34" s="638"/>
      <c r="AE34" s="638"/>
    </row>
    <row r="35" customFormat="false" ht="15.75" hidden="false" customHeight="false" outlineLevel="0" collapsed="false">
      <c r="A35" s="817"/>
      <c r="B35" s="817"/>
      <c r="C35" s="817"/>
      <c r="D35" s="858"/>
      <c r="E35" s="858"/>
      <c r="F35" s="858"/>
      <c r="G35" s="860"/>
      <c r="H35" s="860"/>
      <c r="I35" s="860"/>
      <c r="J35" s="860"/>
      <c r="K35" s="856"/>
      <c r="L35" s="856"/>
      <c r="M35" s="856"/>
      <c r="N35" s="856"/>
      <c r="O35" s="44"/>
      <c r="P35" s="44"/>
      <c r="Q35" s="44"/>
      <c r="R35" s="824"/>
      <c r="S35" s="638"/>
      <c r="T35" s="638"/>
      <c r="U35" s="638"/>
      <c r="V35" s="638"/>
      <c r="W35" s="638"/>
      <c r="X35" s="638"/>
      <c r="Y35" s="638"/>
      <c r="Z35" s="638"/>
      <c r="AA35" s="638"/>
      <c r="AB35" s="638"/>
      <c r="AC35" s="638"/>
      <c r="AD35" s="638"/>
      <c r="AE35" s="638"/>
    </row>
    <row r="36" customFormat="false" ht="15.75" hidden="false" customHeight="false" outlineLevel="0" collapsed="false">
      <c r="A36" s="840"/>
      <c r="B36" s="840"/>
      <c r="C36" s="840"/>
      <c r="D36" s="857"/>
      <c r="E36" s="857"/>
      <c r="F36" s="857"/>
      <c r="G36" s="855"/>
      <c r="H36" s="855"/>
      <c r="I36" s="855"/>
      <c r="J36" s="855"/>
      <c r="K36" s="479"/>
      <c r="L36" s="479"/>
      <c r="M36" s="479"/>
      <c r="N36" s="479"/>
      <c r="O36" s="44"/>
      <c r="P36" s="44"/>
      <c r="Q36" s="44"/>
      <c r="R36" s="824"/>
      <c r="S36" s="638"/>
      <c r="T36" s="638"/>
      <c r="U36" s="638"/>
      <c r="V36" s="638"/>
      <c r="W36" s="638"/>
      <c r="X36" s="638"/>
      <c r="Y36" s="638"/>
      <c r="Z36" s="638"/>
      <c r="AA36" s="638"/>
      <c r="AB36" s="638"/>
      <c r="AC36" s="638"/>
      <c r="AD36" s="638"/>
      <c r="AE36" s="638"/>
    </row>
    <row r="37" customFormat="false" ht="15.75" hidden="false" customHeight="false" outlineLevel="0" collapsed="false">
      <c r="A37" s="817"/>
      <c r="B37" s="817"/>
      <c r="C37" s="817"/>
      <c r="D37" s="858"/>
      <c r="E37" s="858"/>
      <c r="F37" s="858"/>
      <c r="G37" s="860"/>
      <c r="H37" s="860"/>
      <c r="I37" s="860"/>
      <c r="J37" s="860"/>
      <c r="K37" s="856"/>
      <c r="L37" s="856"/>
      <c r="M37" s="856"/>
      <c r="N37" s="856"/>
      <c r="O37" s="44"/>
      <c r="P37" s="44"/>
      <c r="Q37" s="44"/>
      <c r="R37" s="824"/>
      <c r="S37" s="638"/>
      <c r="T37" s="638"/>
      <c r="U37" s="638"/>
      <c r="V37" s="638"/>
      <c r="W37" s="638"/>
      <c r="X37" s="638"/>
      <c r="Y37" s="638"/>
      <c r="Z37" s="638"/>
      <c r="AA37" s="638"/>
      <c r="AB37" s="638"/>
      <c r="AC37" s="638"/>
      <c r="AD37" s="638"/>
      <c r="AE37" s="638"/>
    </row>
    <row r="38" customFormat="false" ht="15.75" hidden="false" customHeight="false" outlineLevel="0" collapsed="false">
      <c r="A38" s="840"/>
      <c r="B38" s="840"/>
      <c r="C38" s="840"/>
      <c r="D38" s="857"/>
      <c r="E38" s="857"/>
      <c r="F38" s="857"/>
      <c r="G38" s="855"/>
      <c r="H38" s="855"/>
      <c r="I38" s="855"/>
      <c r="J38" s="855"/>
      <c r="K38" s="479"/>
      <c r="L38" s="479"/>
      <c r="M38" s="479"/>
      <c r="N38" s="479"/>
      <c r="O38" s="44"/>
      <c r="P38" s="44"/>
      <c r="Q38" s="44"/>
      <c r="R38" s="824"/>
      <c r="S38" s="638"/>
      <c r="T38" s="638"/>
      <c r="U38" s="638"/>
      <c r="V38" s="638"/>
      <c r="W38" s="638"/>
      <c r="X38" s="638"/>
      <c r="Y38" s="638"/>
      <c r="Z38" s="638"/>
      <c r="AA38" s="638"/>
      <c r="AB38" s="638"/>
      <c r="AC38" s="638"/>
      <c r="AD38" s="638"/>
      <c r="AE38" s="638"/>
    </row>
    <row r="39" customFormat="false" ht="15.75" hidden="false" customHeight="false" outlineLevel="0" collapsed="false">
      <c r="A39" s="817"/>
      <c r="B39" s="817"/>
      <c r="C39" s="817"/>
      <c r="D39" s="858"/>
      <c r="E39" s="858"/>
      <c r="F39" s="858"/>
      <c r="G39" s="860"/>
      <c r="H39" s="860"/>
      <c r="I39" s="860"/>
      <c r="J39" s="860"/>
      <c r="K39" s="856"/>
      <c r="L39" s="856"/>
      <c r="M39" s="856"/>
      <c r="N39" s="856"/>
      <c r="O39" s="44"/>
      <c r="P39" s="44"/>
      <c r="Q39" s="44"/>
      <c r="R39" s="341" t="s">
        <v>2071</v>
      </c>
      <c r="S39" s="341"/>
      <c r="T39" s="771"/>
      <c r="U39" s="771"/>
      <c r="V39" s="771"/>
      <c r="W39" s="771"/>
      <c r="X39" s="771"/>
      <c r="Y39" s="771"/>
      <c r="Z39" s="771"/>
      <c r="AA39" s="771"/>
      <c r="AB39" s="771"/>
      <c r="AC39" s="771"/>
      <c r="AD39" s="771"/>
      <c r="AE39" s="771"/>
    </row>
    <row r="40" customFormat="false" ht="15.75" hidden="false" customHeight="false" outlineLevel="0" collapsed="false">
      <c r="A40" s="840"/>
      <c r="B40" s="840"/>
      <c r="C40" s="840"/>
      <c r="D40" s="857"/>
      <c r="E40" s="857"/>
      <c r="F40" s="857"/>
      <c r="G40" s="855"/>
      <c r="H40" s="855"/>
      <c r="I40" s="855"/>
      <c r="J40" s="855"/>
      <c r="K40" s="479"/>
      <c r="L40" s="479"/>
      <c r="M40" s="479"/>
      <c r="N40" s="479"/>
      <c r="O40" s="44"/>
      <c r="P40" s="44"/>
      <c r="Q40" s="44"/>
      <c r="R40" s="386" t="str">
        <f aca="false">IFERROR(__xludf.dummyfunction("{ if(isna(FILTER(MoveDex!$AR:$AR,MoveDex!$AQ:$AQ=$L$1)),,FILTER(MoveDex!$AR:$AR,MoveDex!$AQ:$AQ=$L$1)) ; if(isna(FILTER(MoveDex!$AV:$AV,MoveDex!$AU:$AU=$L$1)),,FILTER(MoveDex!$AV:$AV,MoveDex!$AU:$AU=$L$1)) ; if(isna(FILTER(MoveDex!$AZ:$AZ,MoveDex!$AY:$AY="&amp;"$L$1)),,FILTER(MoveDex!$AZ:$AZ,MoveDex!$AY:$AY=$L$1)) }"),"Tsareena")</f>
        <v>Tsareena</v>
      </c>
      <c r="S40" s="386" t="str">
        <f aca="false">IFERROR(__xludf.dummyfunction("{ if(isna(FILTER(MoveDex!$AS:$AS,MoveDex!$AQ:$AQ=$L$1)),,FILTER(MoveDex!$AS:$AS,MoveDex!$AQ:$AQ=$L$1)) ; if(isna(FILTER(MoveDex!$AW:$AW,MoveDex!$AU:$AU=$L$1)),,FILTER(MoveDex!$AW:$AW,MoveDex!$AU:$AU=$L$1)) ; if(isna(FILTER(MoveDex!$BA:$BA,MoveDex!$AY:$AY="&amp;"$L$1)),,FILTER(MoveDex!$BA:$BA,MoveDex!$AY:$AY=$L$1)) }"),"Aromatherapy")</f>
        <v>Aromatherapy</v>
      </c>
      <c r="T40" s="777"/>
      <c r="U40" s="777"/>
      <c r="V40" s="777"/>
      <c r="W40" s="777"/>
      <c r="X40" s="777"/>
      <c r="Y40" s="777"/>
      <c r="Z40" s="777"/>
      <c r="AA40" s="777"/>
      <c r="AB40" s="777"/>
      <c r="AC40" s="777"/>
      <c r="AD40" s="777"/>
      <c r="AE40" s="777"/>
    </row>
    <row r="41" customFormat="false" ht="15.75" hidden="false" customHeight="false" outlineLevel="0" collapsed="false">
      <c r="A41" s="826"/>
      <c r="B41" s="826"/>
      <c r="C41" s="826"/>
      <c r="D41" s="861"/>
      <c r="E41" s="861"/>
      <c r="F41" s="861"/>
      <c r="G41" s="862"/>
      <c r="H41" s="862"/>
      <c r="I41" s="862"/>
      <c r="J41" s="862"/>
      <c r="K41" s="863"/>
      <c r="L41" s="863"/>
      <c r="M41" s="863"/>
      <c r="N41" s="863"/>
      <c r="O41" s="44"/>
      <c r="P41" s="44"/>
      <c r="Q41" s="44"/>
      <c r="R41" s="778" t="s">
        <v>72</v>
      </c>
      <c r="S41" s="511" t="s">
        <v>1114</v>
      </c>
      <c r="T41" s="638"/>
      <c r="U41" s="638"/>
      <c r="V41" s="638"/>
      <c r="W41" s="638"/>
      <c r="X41" s="638"/>
      <c r="Y41" s="638"/>
      <c r="Z41" s="638"/>
      <c r="AA41" s="638"/>
      <c r="AB41" s="638"/>
      <c r="AC41" s="638"/>
      <c r="AD41" s="638"/>
      <c r="AE41" s="638"/>
    </row>
    <row r="42" customFormat="false" ht="15.75" hidden="false" customHeight="false" outlineLevel="0" collapsed="false">
      <c r="A42" s="44"/>
      <c r="B42" s="44"/>
      <c r="C42" s="44"/>
      <c r="D42" s="44"/>
      <c r="E42" s="44"/>
      <c r="F42" s="44"/>
      <c r="G42" s="44"/>
      <c r="H42" s="44"/>
      <c r="I42" s="44"/>
      <c r="J42" s="44"/>
      <c r="K42" s="44"/>
      <c r="L42" s="44"/>
      <c r="M42" s="44"/>
      <c r="N42" s="44"/>
      <c r="O42" s="44"/>
      <c r="P42" s="44"/>
      <c r="Q42" s="44"/>
      <c r="R42" s="778" t="s">
        <v>80</v>
      </c>
      <c r="S42" s="511" t="s">
        <v>1115</v>
      </c>
      <c r="T42" s="638"/>
      <c r="U42" s="638"/>
      <c r="V42" s="638"/>
      <c r="W42" s="638"/>
      <c r="X42" s="638"/>
      <c r="Y42" s="638"/>
      <c r="Z42" s="638"/>
      <c r="AA42" s="638"/>
      <c r="AB42" s="638"/>
      <c r="AC42" s="638"/>
      <c r="AD42" s="638"/>
      <c r="AE42" s="638"/>
    </row>
    <row r="43" customFormat="false" ht="15.75" hidden="false" customHeight="false" outlineLevel="0" collapsed="false">
      <c r="A43" s="864" t="s">
        <v>2072</v>
      </c>
      <c r="B43" s="864"/>
      <c r="C43" s="864"/>
      <c r="D43" s="562" t="s">
        <v>777</v>
      </c>
      <c r="E43" s="865" t="s">
        <v>778</v>
      </c>
      <c r="F43" s="865" t="s">
        <v>779</v>
      </c>
      <c r="G43" s="865" t="s">
        <v>780</v>
      </c>
      <c r="H43" s="865" t="s">
        <v>781</v>
      </c>
      <c r="I43" s="865" t="s">
        <v>782</v>
      </c>
      <c r="J43" s="363" t="s">
        <v>2063</v>
      </c>
      <c r="K43" s="562" t="s">
        <v>2073</v>
      </c>
      <c r="L43" s="562"/>
      <c r="M43" s="866" t="s">
        <v>2074</v>
      </c>
      <c r="N43" s="866"/>
      <c r="O43" s="44"/>
      <c r="P43" s="44"/>
      <c r="Q43" s="44"/>
      <c r="R43" s="778"/>
      <c r="S43" s="511"/>
      <c r="T43" s="638"/>
      <c r="U43" s="638"/>
      <c r="V43" s="638"/>
      <c r="W43" s="638"/>
      <c r="X43" s="638"/>
      <c r="Y43" s="638"/>
      <c r="Z43" s="638"/>
      <c r="AA43" s="638"/>
      <c r="AB43" s="638"/>
      <c r="AC43" s="638"/>
      <c r="AD43" s="638"/>
      <c r="AE43" s="638"/>
    </row>
    <row r="44" customFormat="false" ht="15.75" hidden="false" customHeight="false" outlineLevel="0" collapsed="false">
      <c r="A44" s="811" t="str">
        <f aca="false">$A$12</f>
        <v>Manaphy</v>
      </c>
      <c r="B44" s="811"/>
      <c r="C44" s="811"/>
      <c r="D44" s="867" t="n">
        <f aca="false" t="array" ref="D44:D44">IF(ISNA(INDEX(Pokedex!L$2:L$610,MATCH($A44,Pokedex!$B$2:$B$610,0))),"-",INDEX(Pokedex!L$2:L$610,MATCH($A44,Pokedex!$B$2:$B$610,0)))</f>
        <v>100</v>
      </c>
      <c r="E44" s="868" t="n">
        <f aca="false" t="array" ref="E44:E44">IF(ISNA(INDEX(Pokedex!M$2:M$610,MATCH($A44,Pokedex!$B$2:$B$610,0))),"-",INDEX(Pokedex!M$2:M$610,MATCH($A44,Pokedex!$B$2:$B$610,0)))</f>
        <v>100</v>
      </c>
      <c r="F44" s="868" t="n">
        <f aca="false" t="array" ref="F44:F44">IF(ISNA(INDEX(Pokedex!N$2:N$610,MATCH($A44,Pokedex!$B$2:$B$610,0))),"-",INDEX(Pokedex!N$2:N$610,MATCH($A44,Pokedex!$B$2:$B$610,0)))</f>
        <v>100</v>
      </c>
      <c r="G44" s="868" t="n">
        <f aca="false" t="array" ref="G44:G44">IF(ISNA(INDEX(Pokedex!O$2:O$610,MATCH($A44,Pokedex!$B$2:$B$610,0))),"-",INDEX(Pokedex!O$2:O$610,MATCH($A44,Pokedex!$B$2:$B$610,0)))</f>
        <v>100</v>
      </c>
      <c r="H44" s="868" t="n">
        <f aca="false" t="array" ref="H44:H44">IF(ISNA(INDEX(Pokedex!P$2:P$610,MATCH($A44,Pokedex!$B$2:$B$610,0))),"-",INDEX(Pokedex!P$2:P$610,MATCH($A44,Pokedex!$B$2:$B$610,0)))</f>
        <v>100</v>
      </c>
      <c r="I44" s="869" t="n">
        <f aca="false" t="array" ref="I44:I44">IF(ISNA(INDEX(Pokedex!Q$2:Q$610,MATCH($A44,Pokedex!$B$2:$B$610,0))),"-",INDEX(Pokedex!Q$2:Q$610,MATCH($A44,Pokedex!$B$2:$B$610,0)))</f>
        <v>100</v>
      </c>
      <c r="J44" s="868" t="n">
        <f aca="false">SUM(D44:I44)</f>
        <v>600</v>
      </c>
      <c r="K44" s="867" t="str">
        <f aca="false" t="array" ref="K44:K44">IF(ISNA(INDEX(Pokedex!R$2:R$610,MATCH($A44,Pokedex!$B$2:$B$610,0))),"-",INDEX(Pokedex!R$2:R$610,MATCH($A44,Pokedex!$B$2:$B$610,0)))</f>
        <v>Water</v>
      </c>
      <c r="L44" s="867"/>
      <c r="M44" s="869" t="n">
        <f aca="false">IF(ISNA(INDEX(Pokedex!S$2:S$610,MATCH($A44,Pokedex!$B$2:$B$610,0))),"-",INDEX(Pokedex!S$2:S$610,MATCH($A44,Pokedex!$B$2:$B$610,0)))</f>
        <v>0</v>
      </c>
      <c r="N44" s="869"/>
      <c r="O44" s="44"/>
      <c r="P44" s="44"/>
      <c r="Q44" s="44"/>
      <c r="R44" s="778"/>
      <c r="S44" s="511"/>
      <c r="T44" s="638"/>
      <c r="U44" s="638"/>
      <c r="V44" s="638"/>
      <c r="W44" s="638"/>
      <c r="X44" s="638"/>
      <c r="Y44" s="638"/>
      <c r="Z44" s="638"/>
      <c r="AA44" s="638"/>
      <c r="AB44" s="638"/>
      <c r="AC44" s="638"/>
      <c r="AD44" s="638"/>
      <c r="AE44" s="638"/>
    </row>
    <row r="45" customFormat="false" ht="15.75" hidden="false" customHeight="false" outlineLevel="0" collapsed="false">
      <c r="A45" s="817" t="str">
        <f aca="false">$A$13</f>
        <v>Infernape</v>
      </c>
      <c r="B45" s="817"/>
      <c r="C45" s="817"/>
      <c r="D45" s="855" t="n">
        <f aca="false" t="array" ref="D45:D45">IF(ISNA(INDEX(Pokedex!L$2:L$610,MATCH($A45,Pokedex!$B$2:$B$610,0))),"-",INDEX(Pokedex!L$2:L$610,MATCH($A45,Pokedex!$B$2:$B$610,0)))</f>
        <v>76</v>
      </c>
      <c r="E45" s="51" t="n">
        <f aca="false" t="array" ref="E45:E45">IF(ISNA(INDEX(Pokedex!M$2:M$610,MATCH($A45,Pokedex!$B$2:$B$610,0))),"-",INDEX(Pokedex!M$2:M$610,MATCH($A45,Pokedex!$B$2:$B$610,0)))</f>
        <v>104</v>
      </c>
      <c r="F45" s="51" t="n">
        <f aca="false" t="array" ref="F45:F45">IF(ISNA(INDEX(Pokedex!N$2:N$610,MATCH($A45,Pokedex!$B$2:$B$610,0))),"-",INDEX(Pokedex!N$2:N$610,MATCH($A45,Pokedex!$B$2:$B$610,0)))</f>
        <v>71</v>
      </c>
      <c r="G45" s="51" t="n">
        <f aca="false" t="array" ref="G45:G45">IF(ISNA(INDEX(Pokedex!O$2:O$610,MATCH($A45,Pokedex!$B$2:$B$610,0))),"-",INDEX(Pokedex!O$2:O$610,MATCH($A45,Pokedex!$B$2:$B$610,0)))</f>
        <v>104</v>
      </c>
      <c r="H45" s="51" t="n">
        <f aca="false" t="array" ref="H45:H45">IF(ISNA(INDEX(Pokedex!P$2:P$610,MATCH($A45,Pokedex!$B$2:$B$610,0))),"-",INDEX(Pokedex!P$2:P$610,MATCH($A45,Pokedex!$B$2:$B$610,0)))</f>
        <v>71</v>
      </c>
      <c r="I45" s="727" t="n">
        <f aca="false" t="array" ref="I45:I45">IF(ISNA(INDEX(Pokedex!Q$2:Q$610,MATCH($A45,Pokedex!$B$2:$B$610,0))),"-",INDEX(Pokedex!Q$2:Q$610,MATCH($A45,Pokedex!$B$2:$B$610,0)))</f>
        <v>108</v>
      </c>
      <c r="J45" s="51" t="n">
        <f aca="false">SUM(D45:I45)</f>
        <v>534</v>
      </c>
      <c r="K45" s="855" t="str">
        <f aca="false" t="array" ref="K45:K45">IF(ISNA(INDEX(Pokedex!R$2:R$610,MATCH($A45,Pokedex!$B$2:$B$610,0))),"-",INDEX(Pokedex!R$2:R$610,MATCH($A45,Pokedex!$B$2:$B$610,0)))</f>
        <v>Fighting</v>
      </c>
      <c r="L45" s="855"/>
      <c r="M45" s="727" t="str">
        <f aca="false" t="array" ref="M45:M45">IF(ISNA(INDEX(Pokedex!S$2:S$610,MATCH($A45,Pokedex!$B$2:$B$610,0))),"-",INDEX(Pokedex!S$2:S$610,MATCH($A45,Pokedex!$B$2:$B$610,0)))</f>
        <v>Fire</v>
      </c>
      <c r="N45" s="727"/>
      <c r="O45" s="44"/>
      <c r="P45" s="44"/>
      <c r="Q45" s="44"/>
      <c r="R45" s="778"/>
      <c r="S45" s="511"/>
      <c r="T45" s="638"/>
      <c r="U45" s="638"/>
      <c r="V45" s="638"/>
      <c r="W45" s="638"/>
      <c r="X45" s="638"/>
      <c r="Y45" s="638"/>
      <c r="Z45" s="638"/>
      <c r="AA45" s="638"/>
      <c r="AB45" s="638"/>
      <c r="AC45" s="638"/>
      <c r="AD45" s="638"/>
      <c r="AE45" s="638"/>
    </row>
    <row r="46" customFormat="false" ht="15.75" hidden="false" customHeight="false" outlineLevel="0" collapsed="false">
      <c r="A46" s="817" t="str">
        <f aca="false">$A$14</f>
        <v>Tsareena</v>
      </c>
      <c r="B46" s="817"/>
      <c r="C46" s="817"/>
      <c r="D46" s="855" t="n">
        <f aca="false" t="array" ref="D46:D46">IF(ISNA(INDEX(Pokedex!L$2:L$610,MATCH($A46,Pokedex!$B$2:$B$610,0))),"-",INDEX(Pokedex!L$2:L$610,MATCH($A46,Pokedex!$B$2:$B$610,0)))</f>
        <v>72</v>
      </c>
      <c r="E46" s="51" t="n">
        <f aca="false" t="array" ref="E46:E46">IF(ISNA(INDEX(Pokedex!M$2:M$610,MATCH($A46,Pokedex!$B$2:$B$610,0))),"-",INDEX(Pokedex!M$2:M$610,MATCH($A46,Pokedex!$B$2:$B$610,0)))</f>
        <v>120</v>
      </c>
      <c r="F46" s="51" t="n">
        <f aca="false" t="array" ref="F46:F46">IF(ISNA(INDEX(Pokedex!N$2:N$610,MATCH($A46,Pokedex!$B$2:$B$610,0))),"-",INDEX(Pokedex!N$2:N$610,MATCH($A46,Pokedex!$B$2:$B$610,0)))</f>
        <v>98</v>
      </c>
      <c r="G46" s="51" t="n">
        <f aca="false" t="array" ref="G46:G46">IF(ISNA(INDEX(Pokedex!O$2:O$610,MATCH($A46,Pokedex!$B$2:$B$610,0))),"-",INDEX(Pokedex!O$2:O$610,MATCH($A46,Pokedex!$B$2:$B$610,0)))</f>
        <v>50</v>
      </c>
      <c r="H46" s="51" t="n">
        <f aca="false" t="array" ref="H46:H46">IF(ISNA(INDEX(Pokedex!P$2:P$610,MATCH($A46,Pokedex!$B$2:$B$610,0))),"-",INDEX(Pokedex!P$2:P$610,MATCH($A46,Pokedex!$B$2:$B$610,0)))</f>
        <v>98</v>
      </c>
      <c r="I46" s="727" t="n">
        <f aca="false" t="array" ref="I46:I46">IF(ISNA(INDEX(Pokedex!Q$2:Q$610,MATCH($A46,Pokedex!$B$2:$B$610,0))),"-",INDEX(Pokedex!Q$2:Q$610,MATCH($A46,Pokedex!$B$2:$B$610,0)))</f>
        <v>72</v>
      </c>
      <c r="J46" s="51" t="n">
        <f aca="false">SUM(D46:I46)</f>
        <v>510</v>
      </c>
      <c r="K46" s="855" t="str">
        <f aca="false" t="array" ref="K46:K46">IF(ISNA(INDEX(Pokedex!R$2:R$610,MATCH($A46,Pokedex!$B$2:$B$610,0))),"-",INDEX(Pokedex!R$2:R$610,MATCH($A46,Pokedex!$B$2:$B$610,0)))</f>
        <v>Grass</v>
      </c>
      <c r="L46" s="855"/>
      <c r="M46" s="727" t="n">
        <f aca="false">IF(ISNA(INDEX(Pokedex!S$2:S$610,MATCH($A46,Pokedex!$B$2:$B$610,0))),"-",INDEX(Pokedex!S$2:S$610,MATCH($A46,Pokedex!$B$2:$B$610,0)))</f>
        <v>0</v>
      </c>
      <c r="N46" s="727"/>
      <c r="O46" s="44"/>
      <c r="P46" s="44"/>
      <c r="Q46" s="44"/>
      <c r="R46" s="790"/>
      <c r="S46" s="791"/>
      <c r="T46" s="792"/>
      <c r="U46" s="792"/>
      <c r="V46" s="792"/>
      <c r="W46" s="792"/>
      <c r="X46" s="792"/>
      <c r="Y46" s="792"/>
      <c r="Z46" s="792"/>
      <c r="AA46" s="792"/>
      <c r="AB46" s="792"/>
      <c r="AC46" s="792"/>
      <c r="AD46" s="792"/>
      <c r="AE46" s="792"/>
    </row>
    <row r="47" customFormat="false" ht="15.75" hidden="false" customHeight="false" outlineLevel="0" collapsed="false">
      <c r="A47" s="817" t="str">
        <f aca="false">$A$15</f>
        <v>Zygarde-10%</v>
      </c>
      <c r="B47" s="817"/>
      <c r="C47" s="817"/>
      <c r="D47" s="855" t="n">
        <f aca="false" t="array" ref="D47:D47">IF(ISNA(INDEX(Pokedex!L$2:L$610,MATCH($A47,Pokedex!$B$2:$B$610,0))),"-",INDEX(Pokedex!L$2:L$610,MATCH($A47,Pokedex!$B$2:$B$610,0)))</f>
        <v>54</v>
      </c>
      <c r="E47" s="51" t="n">
        <f aca="false" t="array" ref="E47:E47">IF(ISNA(INDEX(Pokedex!M$2:M$610,MATCH($A47,Pokedex!$B$2:$B$610,0))),"-",INDEX(Pokedex!M$2:M$610,MATCH($A47,Pokedex!$B$2:$B$610,0)))</f>
        <v>100</v>
      </c>
      <c r="F47" s="51" t="n">
        <f aca="false" t="array" ref="F47:F47">IF(ISNA(INDEX(Pokedex!N$2:N$610,MATCH($A47,Pokedex!$B$2:$B$610,0))),"-",INDEX(Pokedex!N$2:N$610,MATCH($A47,Pokedex!$B$2:$B$610,0)))</f>
        <v>71</v>
      </c>
      <c r="G47" s="51" t="n">
        <f aca="false" t="array" ref="G47:G47">IF(ISNA(INDEX(Pokedex!O$2:O$610,MATCH($A47,Pokedex!$B$2:$B$610,0))),"-",INDEX(Pokedex!O$2:O$610,MATCH($A47,Pokedex!$B$2:$B$610,0)))</f>
        <v>61</v>
      </c>
      <c r="H47" s="51" t="n">
        <f aca="false" t="array" ref="H47:H47">IF(ISNA(INDEX(Pokedex!P$2:P$610,MATCH($A47,Pokedex!$B$2:$B$610,0))),"-",INDEX(Pokedex!P$2:P$610,MATCH($A47,Pokedex!$B$2:$B$610,0)))</f>
        <v>85</v>
      </c>
      <c r="I47" s="727" t="n">
        <f aca="false" t="array" ref="I47:I47">IF(ISNA(INDEX(Pokedex!Q$2:Q$610,MATCH($A47,Pokedex!$B$2:$B$610,0))),"-",INDEX(Pokedex!Q$2:Q$610,MATCH($A47,Pokedex!$B$2:$B$610,0)))</f>
        <v>115</v>
      </c>
      <c r="J47" s="51" t="n">
        <f aca="false">SUM(D47:I47)</f>
        <v>486</v>
      </c>
      <c r="K47" s="855" t="str">
        <f aca="false" t="array" ref="K47:K47">IF(ISNA(INDEX(Pokedex!R$2:R$610,MATCH($A47,Pokedex!$B$2:$B$610,0))),"-",INDEX(Pokedex!R$2:R$610,MATCH($A47,Pokedex!$B$2:$B$610,0)))</f>
        <v>Dragon</v>
      </c>
      <c r="L47" s="855"/>
      <c r="M47" s="727" t="str">
        <f aca="false" t="array" ref="M47:M47">IF(ISNA(INDEX(Pokedex!S$2:S$610,MATCH($A47,Pokedex!$B$2:$B$610,0))),"-",INDEX(Pokedex!S$2:S$610,MATCH($A47,Pokedex!$B$2:$B$610,0)))</f>
        <v>Ground</v>
      </c>
      <c r="N47" s="727"/>
      <c r="O47" s="44"/>
      <c r="P47" s="44"/>
      <c r="Q47" s="44"/>
      <c r="R47" s="790"/>
      <c r="S47" s="791"/>
      <c r="T47" s="792"/>
      <c r="U47" s="792"/>
      <c r="V47" s="792"/>
      <c r="W47" s="792"/>
      <c r="X47" s="792"/>
      <c r="Y47" s="792"/>
      <c r="Z47" s="792"/>
      <c r="AA47" s="792"/>
      <c r="AB47" s="792"/>
      <c r="AC47" s="792"/>
      <c r="AD47" s="792"/>
      <c r="AE47" s="792"/>
    </row>
    <row r="48" customFormat="false" ht="15.75" hidden="false" customHeight="false" outlineLevel="0" collapsed="false">
      <c r="A48" s="817" t="str">
        <f aca="false">$A$16</f>
        <v>Trevenant</v>
      </c>
      <c r="B48" s="817"/>
      <c r="C48" s="817"/>
      <c r="D48" s="855" t="n">
        <f aca="false" t="array" ref="D48:D48">IF(ISNA(INDEX(Pokedex!L$2:L$610,MATCH($A48,Pokedex!$B$2:$B$610,0))),"-",INDEX(Pokedex!L$2:L$610,MATCH($A48,Pokedex!$B$2:$B$610,0)))</f>
        <v>85</v>
      </c>
      <c r="E48" s="51" t="n">
        <f aca="false" t="array" ref="E48:E48">IF(ISNA(INDEX(Pokedex!M$2:M$610,MATCH($A48,Pokedex!$B$2:$B$610,0))),"-",INDEX(Pokedex!M$2:M$610,MATCH($A48,Pokedex!$B$2:$B$610,0)))</f>
        <v>110</v>
      </c>
      <c r="F48" s="51" t="n">
        <f aca="false" t="array" ref="F48:F48">IF(ISNA(INDEX(Pokedex!N$2:N$610,MATCH($A48,Pokedex!$B$2:$B$610,0))),"-",INDEX(Pokedex!N$2:N$610,MATCH($A48,Pokedex!$B$2:$B$610,0)))</f>
        <v>76</v>
      </c>
      <c r="G48" s="51" t="n">
        <f aca="false" t="array" ref="G48:G48">IF(ISNA(INDEX(Pokedex!O$2:O$610,MATCH($A48,Pokedex!$B$2:$B$610,0))),"-",INDEX(Pokedex!O$2:O$610,MATCH($A48,Pokedex!$B$2:$B$610,0)))</f>
        <v>65</v>
      </c>
      <c r="H48" s="51" t="n">
        <f aca="false" t="array" ref="H48:H48">IF(ISNA(INDEX(Pokedex!P$2:P$610,MATCH($A48,Pokedex!$B$2:$B$610,0))),"-",INDEX(Pokedex!P$2:P$610,MATCH($A48,Pokedex!$B$2:$B$610,0)))</f>
        <v>82</v>
      </c>
      <c r="I48" s="727" t="n">
        <f aca="false" t="array" ref="I48:I48">IF(ISNA(INDEX(Pokedex!Q$2:Q$610,MATCH($A48,Pokedex!$B$2:$B$610,0))),"-",INDEX(Pokedex!Q$2:Q$610,MATCH($A48,Pokedex!$B$2:$B$610,0)))</f>
        <v>56</v>
      </c>
      <c r="J48" s="51" t="n">
        <f aca="false">SUM(D48:I48)</f>
        <v>474</v>
      </c>
      <c r="K48" s="855" t="str">
        <f aca="false" t="array" ref="K48:K48">IF(ISNA(INDEX(Pokedex!R$2:R$610,MATCH($A48,Pokedex!$B$2:$B$610,0))),"-",INDEX(Pokedex!R$2:R$610,MATCH($A48,Pokedex!$B$2:$B$610,0)))</f>
        <v>Ghost</v>
      </c>
      <c r="L48" s="855"/>
      <c r="M48" s="727" t="str">
        <f aca="false" t="array" ref="M48:M48">IF(ISNA(INDEX(Pokedex!S$2:S$610,MATCH($A48,Pokedex!$B$2:$B$610,0))),"-",INDEX(Pokedex!S$2:S$610,MATCH($A48,Pokedex!$B$2:$B$610,0)))</f>
        <v>Grass</v>
      </c>
      <c r="N48" s="727"/>
      <c r="O48" s="44"/>
      <c r="P48" s="44"/>
      <c r="Q48" s="44"/>
      <c r="R48" s="790"/>
      <c r="S48" s="791"/>
      <c r="T48" s="792"/>
      <c r="U48" s="792"/>
      <c r="V48" s="792"/>
      <c r="W48" s="792"/>
      <c r="X48" s="792"/>
      <c r="Y48" s="792"/>
      <c r="Z48" s="792"/>
      <c r="AA48" s="792"/>
      <c r="AB48" s="792"/>
      <c r="AC48" s="792"/>
      <c r="AD48" s="792"/>
      <c r="AE48" s="792"/>
    </row>
    <row r="49" customFormat="false" ht="15.75" hidden="false" customHeight="false" outlineLevel="0" collapsed="false">
      <c r="A49" s="817" t="str">
        <f aca="false">$A$17</f>
        <v>Aurorus</v>
      </c>
      <c r="B49" s="817"/>
      <c r="C49" s="817"/>
      <c r="D49" s="855" t="n">
        <f aca="false" t="array" ref="D49:D49">IF(ISNA(INDEX(Pokedex!L$2:L$610,MATCH($A49,Pokedex!$B$2:$B$610,0))),"-",INDEX(Pokedex!L$2:L$610,MATCH($A49,Pokedex!$B$2:$B$610,0)))</f>
        <v>123</v>
      </c>
      <c r="E49" s="51" t="n">
        <f aca="false" t="array" ref="E49:E49">IF(ISNA(INDEX(Pokedex!M$2:M$610,MATCH($A49,Pokedex!$B$2:$B$610,0))),"-",INDEX(Pokedex!M$2:M$610,MATCH($A49,Pokedex!$B$2:$B$610,0)))</f>
        <v>77</v>
      </c>
      <c r="F49" s="51" t="n">
        <f aca="false" t="array" ref="F49:F49">IF(ISNA(INDEX(Pokedex!N$2:N$610,MATCH($A49,Pokedex!$B$2:$B$610,0))),"-",INDEX(Pokedex!N$2:N$610,MATCH($A49,Pokedex!$B$2:$B$610,0)))</f>
        <v>72</v>
      </c>
      <c r="G49" s="51" t="n">
        <f aca="false" t="array" ref="G49:G49">IF(ISNA(INDEX(Pokedex!O$2:O$610,MATCH($A49,Pokedex!$B$2:$B$610,0))),"-",INDEX(Pokedex!O$2:O$610,MATCH($A49,Pokedex!$B$2:$B$610,0)))</f>
        <v>99</v>
      </c>
      <c r="H49" s="51" t="n">
        <f aca="false" t="array" ref="H49:H49">IF(ISNA(INDEX(Pokedex!P$2:P$610,MATCH($A49,Pokedex!$B$2:$B$610,0))),"-",INDEX(Pokedex!P$2:P$610,MATCH($A49,Pokedex!$B$2:$B$610,0)))</f>
        <v>92</v>
      </c>
      <c r="I49" s="727" t="n">
        <f aca="false" t="array" ref="I49:I49">IF(ISNA(INDEX(Pokedex!Q$2:Q$610,MATCH($A49,Pokedex!$B$2:$B$610,0))),"-",INDEX(Pokedex!Q$2:Q$610,MATCH($A49,Pokedex!$B$2:$B$610,0)))</f>
        <v>58</v>
      </c>
      <c r="J49" s="51" t="n">
        <f aca="false">SUM(D49:I49)</f>
        <v>521</v>
      </c>
      <c r="K49" s="855" t="str">
        <f aca="false" t="array" ref="K49:K49">IF(ISNA(INDEX(Pokedex!R$2:R$610,MATCH($A49,Pokedex!$B$2:$B$610,0))),"-",INDEX(Pokedex!R$2:R$610,MATCH($A49,Pokedex!$B$2:$B$610,0)))</f>
        <v>Ice</v>
      </c>
      <c r="L49" s="855"/>
      <c r="M49" s="727" t="str">
        <f aca="false" t="array" ref="M49:M49">IF(ISNA(INDEX(Pokedex!S$2:S$610,MATCH($A49,Pokedex!$B$2:$B$610,0))),"-",INDEX(Pokedex!S$2:S$610,MATCH($A49,Pokedex!$B$2:$B$610,0)))</f>
        <v>Rock</v>
      </c>
      <c r="N49" s="727"/>
      <c r="O49" s="44"/>
      <c r="P49" s="44"/>
      <c r="Q49" s="44"/>
      <c r="R49" s="790"/>
      <c r="S49" s="791"/>
      <c r="T49" s="792"/>
      <c r="U49" s="792"/>
      <c r="V49" s="792"/>
      <c r="W49" s="792"/>
      <c r="X49" s="792"/>
      <c r="Y49" s="792"/>
      <c r="Z49" s="792"/>
      <c r="AA49" s="792"/>
      <c r="AB49" s="792"/>
      <c r="AC49" s="792"/>
      <c r="AD49" s="792"/>
      <c r="AE49" s="792"/>
    </row>
    <row r="50" customFormat="false" ht="15.75" hidden="false" customHeight="false" outlineLevel="0" collapsed="false">
      <c r="A50" s="817" t="str">
        <f aca="false">$A$18</f>
        <v>Absol-Mega</v>
      </c>
      <c r="B50" s="817"/>
      <c r="C50" s="817"/>
      <c r="D50" s="855" t="n">
        <f aca="false" t="array" ref="D50:D50">IF(ISNA(INDEX(Pokedex!L$2:L$610,MATCH($A50,Pokedex!$B$2:$B$610,0))),"-",INDEX(Pokedex!L$2:L$610,MATCH($A50,Pokedex!$B$2:$B$610,0)))</f>
        <v>65</v>
      </c>
      <c r="E50" s="51" t="n">
        <f aca="false" t="array" ref="E50:E50">IF(ISNA(INDEX(Pokedex!M$2:M$610,MATCH($A50,Pokedex!$B$2:$B$610,0))),"-",INDEX(Pokedex!M$2:M$610,MATCH($A50,Pokedex!$B$2:$B$610,0)))</f>
        <v>165</v>
      </c>
      <c r="F50" s="51" t="n">
        <f aca="false" t="array" ref="F50:F50">IF(ISNA(INDEX(Pokedex!N$2:N$610,MATCH($A50,Pokedex!$B$2:$B$610,0))),"-",INDEX(Pokedex!N$2:N$610,MATCH($A50,Pokedex!$B$2:$B$610,0)))</f>
        <v>60</v>
      </c>
      <c r="G50" s="51" t="n">
        <f aca="false" t="array" ref="G50:G50">IF(ISNA(INDEX(Pokedex!O$2:O$610,MATCH($A50,Pokedex!$B$2:$B$610,0))),"-",INDEX(Pokedex!O$2:O$610,MATCH($A50,Pokedex!$B$2:$B$610,0)))</f>
        <v>115</v>
      </c>
      <c r="H50" s="51" t="n">
        <f aca="false" t="array" ref="H50:H50">IF(ISNA(INDEX(Pokedex!P$2:P$610,MATCH($A50,Pokedex!$B$2:$B$610,0))),"-",INDEX(Pokedex!P$2:P$610,MATCH($A50,Pokedex!$B$2:$B$610,0)))</f>
        <v>60</v>
      </c>
      <c r="I50" s="727" t="n">
        <f aca="false" t="array" ref="I50:I50">IF(ISNA(INDEX(Pokedex!Q$2:Q$610,MATCH($A50,Pokedex!$B$2:$B$610,0))),"-",INDEX(Pokedex!Q$2:Q$610,MATCH($A50,Pokedex!$B$2:$B$610,0)))</f>
        <v>115</v>
      </c>
      <c r="J50" s="51" t="n">
        <f aca="false">SUM(D50:I50)</f>
        <v>580</v>
      </c>
      <c r="K50" s="855" t="str">
        <f aca="false" t="array" ref="K50:K50">IF(ISNA(INDEX(Pokedex!R$2:R$610,MATCH($A50,Pokedex!$B$2:$B$610,0))),"-",INDEX(Pokedex!R$2:R$610,MATCH($A50,Pokedex!$B$2:$B$610,0)))</f>
        <v>Dark</v>
      </c>
      <c r="L50" s="855"/>
      <c r="M50" s="727" t="n">
        <f aca="false">IF(ISNA(INDEX(Pokedex!S$2:S$610,MATCH($A50,Pokedex!$B$2:$B$610,0))),"-",INDEX(Pokedex!S$2:S$610,MATCH($A50,Pokedex!$B$2:$B$610,0)))</f>
        <v>0</v>
      </c>
      <c r="N50" s="727"/>
      <c r="O50" s="44"/>
      <c r="P50" s="44"/>
      <c r="Q50" s="44"/>
      <c r="R50" s="790"/>
      <c r="S50" s="791"/>
      <c r="T50" s="792"/>
      <c r="U50" s="792"/>
      <c r="V50" s="792"/>
      <c r="W50" s="792"/>
      <c r="X50" s="792"/>
      <c r="Y50" s="792"/>
      <c r="Z50" s="792"/>
      <c r="AA50" s="792"/>
      <c r="AB50" s="792"/>
      <c r="AC50" s="792"/>
      <c r="AD50" s="792"/>
      <c r="AE50" s="792"/>
    </row>
    <row r="51" customFormat="false" ht="15.75" hidden="false" customHeight="false" outlineLevel="0" collapsed="false">
      <c r="A51" s="817" t="str">
        <f aca="false">$A$19</f>
        <v>Necrozma</v>
      </c>
      <c r="B51" s="817"/>
      <c r="C51" s="817"/>
      <c r="D51" s="855" t="n">
        <f aca="false" t="array" ref="D51:D51">IF(ISNA(INDEX(Pokedex!L$2:L$610,MATCH($A51,Pokedex!$B$2:$B$610,0))),"-",INDEX(Pokedex!L$2:L$610,MATCH($A51,Pokedex!$B$2:$B$610,0)))</f>
        <v>97</v>
      </c>
      <c r="E51" s="51" t="n">
        <f aca="false" t="array" ref="E51:E51">IF(ISNA(INDEX(Pokedex!M$2:M$610,MATCH($A51,Pokedex!$B$2:$B$610,0))),"-",INDEX(Pokedex!M$2:M$610,MATCH($A51,Pokedex!$B$2:$B$610,0)))</f>
        <v>107</v>
      </c>
      <c r="F51" s="51" t="n">
        <f aca="false" t="array" ref="F51:F51">IF(ISNA(INDEX(Pokedex!N$2:N$610,MATCH($A51,Pokedex!$B$2:$B$610,0))),"-",INDEX(Pokedex!N$2:N$610,MATCH($A51,Pokedex!$B$2:$B$610,0)))</f>
        <v>101</v>
      </c>
      <c r="G51" s="51" t="n">
        <f aca="false" t="array" ref="G51:G51">IF(ISNA(INDEX(Pokedex!O$2:O$610,MATCH($A51,Pokedex!$B$2:$B$610,0))),"-",INDEX(Pokedex!O$2:O$610,MATCH($A51,Pokedex!$B$2:$B$610,0)))</f>
        <v>127</v>
      </c>
      <c r="H51" s="51" t="n">
        <f aca="false" t="array" ref="H51:H51">IF(ISNA(INDEX(Pokedex!P$2:P$610,MATCH($A51,Pokedex!$B$2:$B$610,0))),"-",INDEX(Pokedex!P$2:P$610,MATCH($A51,Pokedex!$B$2:$B$610,0)))</f>
        <v>89</v>
      </c>
      <c r="I51" s="727" t="n">
        <f aca="false" t="array" ref="I51:I51">IF(ISNA(INDEX(Pokedex!Q$2:Q$610,MATCH($A51,Pokedex!$B$2:$B$610,0))),"-",INDEX(Pokedex!Q$2:Q$610,MATCH($A51,Pokedex!$B$2:$B$610,0)))</f>
        <v>79</v>
      </c>
      <c r="J51" s="51" t="n">
        <f aca="false">SUM(D51:I51)</f>
        <v>600</v>
      </c>
      <c r="K51" s="855" t="str">
        <f aca="false" t="array" ref="K51:K51">IF(ISNA(INDEX(Pokedex!R$2:R$610,MATCH($A51,Pokedex!$B$2:$B$610,0))),"-",INDEX(Pokedex!R$2:R$610,MATCH($A51,Pokedex!$B$2:$B$610,0)))</f>
        <v>Psychic</v>
      </c>
      <c r="L51" s="855"/>
      <c r="M51" s="727" t="n">
        <f aca="false">IF(ISNA(INDEX(Pokedex!S$2:S$610,MATCH($A51,Pokedex!$B$2:$B$610,0))),"-",INDEX(Pokedex!S$2:S$610,MATCH($A51,Pokedex!$B$2:$B$610,0)))</f>
        <v>0</v>
      </c>
      <c r="N51" s="727"/>
      <c r="O51" s="44"/>
      <c r="P51" s="44"/>
      <c r="Q51" s="44"/>
      <c r="R51" s="820"/>
      <c r="S51" s="821"/>
      <c r="T51" s="792"/>
      <c r="U51" s="792"/>
      <c r="V51" s="792"/>
      <c r="W51" s="792"/>
      <c r="X51" s="792"/>
      <c r="Y51" s="792"/>
      <c r="Z51" s="792"/>
      <c r="AA51" s="792"/>
      <c r="AB51" s="792"/>
      <c r="AC51" s="792"/>
      <c r="AD51" s="792"/>
      <c r="AE51" s="792"/>
    </row>
    <row r="52" customFormat="false" ht="15.75" hidden="false" customHeight="false" outlineLevel="0" collapsed="false">
      <c r="A52" s="817" t="str">
        <f aca="false">$A$20</f>
        <v>Mimikyu</v>
      </c>
      <c r="B52" s="817"/>
      <c r="C52" s="817"/>
      <c r="D52" s="855" t="n">
        <f aca="false" t="array" ref="D52:D52">IF(ISNA(INDEX(Pokedex!L$2:L$610,MATCH($A52,Pokedex!$B$2:$B$610,0))),"-",INDEX(Pokedex!L$2:L$610,MATCH($A52,Pokedex!$B$2:$B$610,0)))</f>
        <v>55</v>
      </c>
      <c r="E52" s="51" t="n">
        <f aca="false" t="array" ref="E52:E52">IF(ISNA(INDEX(Pokedex!M$2:M$610,MATCH($A52,Pokedex!$B$2:$B$610,0))),"-",INDEX(Pokedex!M$2:M$610,MATCH($A52,Pokedex!$B$2:$B$610,0)))</f>
        <v>90</v>
      </c>
      <c r="F52" s="51" t="n">
        <f aca="false" t="array" ref="F52:F52">IF(ISNA(INDEX(Pokedex!N$2:N$610,MATCH($A52,Pokedex!$B$2:$B$610,0))),"-",INDEX(Pokedex!N$2:N$610,MATCH($A52,Pokedex!$B$2:$B$610,0)))</f>
        <v>80</v>
      </c>
      <c r="G52" s="51" t="n">
        <f aca="false" t="array" ref="G52:G52">IF(ISNA(INDEX(Pokedex!O$2:O$610,MATCH($A52,Pokedex!$B$2:$B$610,0))),"-",INDEX(Pokedex!O$2:O$610,MATCH($A52,Pokedex!$B$2:$B$610,0)))</f>
        <v>50</v>
      </c>
      <c r="H52" s="51" t="n">
        <f aca="false" t="array" ref="H52:H52">IF(ISNA(INDEX(Pokedex!P$2:P$610,MATCH($A52,Pokedex!$B$2:$B$610,0))),"-",INDEX(Pokedex!P$2:P$610,MATCH($A52,Pokedex!$B$2:$B$610,0)))</f>
        <v>105</v>
      </c>
      <c r="I52" s="727" t="n">
        <f aca="false" t="array" ref="I52:I52">IF(ISNA(INDEX(Pokedex!Q$2:Q$610,MATCH($A52,Pokedex!$B$2:$B$610,0))),"-",INDEX(Pokedex!Q$2:Q$610,MATCH($A52,Pokedex!$B$2:$B$610,0)))</f>
        <v>96</v>
      </c>
      <c r="J52" s="51" t="n">
        <f aca="false">SUM(D52:I52)</f>
        <v>476</v>
      </c>
      <c r="K52" s="855" t="str">
        <f aca="false" t="array" ref="K52:K52">IF(ISNA(INDEX(Pokedex!R$2:R$610,MATCH($A52,Pokedex!$B$2:$B$610,0))),"-",INDEX(Pokedex!R$2:R$610,MATCH($A52,Pokedex!$B$2:$B$610,0)))</f>
        <v>Fairy</v>
      </c>
      <c r="L52" s="855"/>
      <c r="M52" s="727" t="str">
        <f aca="false" t="array" ref="M52:M52">IF(ISNA(INDEX(Pokedex!S$2:S$610,MATCH($A52,Pokedex!$B$2:$B$610,0))),"-",INDEX(Pokedex!S$2:S$610,MATCH($A52,Pokedex!$B$2:$B$610,0)))</f>
        <v>Ghost</v>
      </c>
      <c r="N52" s="727"/>
      <c r="O52" s="44"/>
      <c r="P52" s="44"/>
      <c r="Q52" s="44"/>
      <c r="R52" s="824"/>
      <c r="S52" s="638"/>
      <c r="T52" s="638"/>
      <c r="U52" s="638"/>
      <c r="V52" s="638"/>
      <c r="W52" s="638"/>
      <c r="X52" s="638"/>
      <c r="Y52" s="638"/>
      <c r="Z52" s="638"/>
      <c r="AA52" s="638"/>
      <c r="AB52" s="638"/>
      <c r="AC52" s="638"/>
      <c r="AD52" s="638"/>
      <c r="AE52" s="638"/>
    </row>
    <row r="53" customFormat="false" ht="15.75" hidden="false" customHeight="false" outlineLevel="0" collapsed="false">
      <c r="A53" s="817" t="str">
        <f aca="false">$A$21</f>
        <v>Nidoqueen</v>
      </c>
      <c r="B53" s="817"/>
      <c r="C53" s="817"/>
      <c r="D53" s="855" t="n">
        <f aca="false" t="array" ref="D53:D53">IF(ISNA(INDEX(Pokedex!L$2:L$610,MATCH($A53,Pokedex!$B$2:$B$610,0))),"-",INDEX(Pokedex!L$2:L$610,MATCH($A53,Pokedex!$B$2:$B$610,0)))</f>
        <v>90</v>
      </c>
      <c r="E53" s="51" t="n">
        <f aca="false" t="array" ref="E53:E53">IF(ISNA(INDEX(Pokedex!M$2:M$610,MATCH($A53,Pokedex!$B$2:$B$610,0))),"-",INDEX(Pokedex!M$2:M$610,MATCH($A53,Pokedex!$B$2:$B$610,0)))</f>
        <v>92</v>
      </c>
      <c r="F53" s="51" t="n">
        <f aca="false" t="array" ref="F53:F53">IF(ISNA(INDEX(Pokedex!N$2:N$610,MATCH($A53,Pokedex!$B$2:$B$610,0))),"-",INDEX(Pokedex!N$2:N$610,MATCH($A53,Pokedex!$B$2:$B$610,0)))</f>
        <v>87</v>
      </c>
      <c r="G53" s="51" t="n">
        <f aca="false" t="array" ref="G53:G53">IF(ISNA(INDEX(Pokedex!O$2:O$610,MATCH($A53,Pokedex!$B$2:$B$610,0))),"-",INDEX(Pokedex!O$2:O$610,MATCH($A53,Pokedex!$B$2:$B$610,0)))</f>
        <v>75</v>
      </c>
      <c r="H53" s="51" t="n">
        <f aca="false" t="array" ref="H53:H53">IF(ISNA(INDEX(Pokedex!P$2:P$610,MATCH($A53,Pokedex!$B$2:$B$610,0))),"-",INDEX(Pokedex!P$2:P$610,MATCH($A53,Pokedex!$B$2:$B$610,0)))</f>
        <v>85</v>
      </c>
      <c r="I53" s="727" t="n">
        <f aca="false" t="array" ref="I53:I53">IF(ISNA(INDEX(Pokedex!Q$2:Q$610,MATCH($A53,Pokedex!$B$2:$B$610,0))),"-",INDEX(Pokedex!Q$2:Q$610,MATCH($A53,Pokedex!$B$2:$B$610,0)))</f>
        <v>76</v>
      </c>
      <c r="J53" s="51" t="n">
        <f aca="false">SUM(D53:I53)</f>
        <v>505</v>
      </c>
      <c r="K53" s="855" t="str">
        <f aca="false" t="array" ref="K53:K53">IF(ISNA(INDEX(Pokedex!R$2:R$610,MATCH($A53,Pokedex!$B$2:$B$610,0))),"-",INDEX(Pokedex!R$2:R$610,MATCH($A53,Pokedex!$B$2:$B$610,0)))</f>
        <v>Ground</v>
      </c>
      <c r="L53" s="855"/>
      <c r="M53" s="727" t="str">
        <f aca="false" t="array" ref="M53:M53">IF(ISNA(INDEX(Pokedex!S$2:S$610,MATCH($A53,Pokedex!$B$2:$B$610,0))),"-",INDEX(Pokedex!S$2:S$610,MATCH($A53,Pokedex!$B$2:$B$610,0)))</f>
        <v>Poison</v>
      </c>
      <c r="N53" s="727"/>
      <c r="O53" s="44"/>
      <c r="P53" s="44"/>
      <c r="Q53" s="44"/>
      <c r="R53" s="824"/>
      <c r="S53" s="638"/>
      <c r="T53" s="638"/>
      <c r="U53" s="638"/>
      <c r="V53" s="638"/>
      <c r="W53" s="638"/>
      <c r="X53" s="638"/>
      <c r="Y53" s="638"/>
      <c r="Z53" s="638"/>
      <c r="AA53" s="638"/>
      <c r="AB53" s="638"/>
      <c r="AC53" s="638"/>
      <c r="AD53" s="638"/>
      <c r="AE53" s="638"/>
    </row>
    <row r="54" customFormat="false" ht="15.75" hidden="false" customHeight="false" outlineLevel="0" collapsed="false">
      <c r="A54" s="826" t="str">
        <f aca="false">$A$22</f>
        <v>Beartic</v>
      </c>
      <c r="B54" s="826"/>
      <c r="C54" s="826"/>
      <c r="D54" s="870" t="n">
        <f aca="false" t="array" ref="D54:D54">IF(ISNA(INDEX(Pokedex!L$2:L$610,MATCH($A54,Pokedex!$B$2:$B$610,0))),"-",INDEX(Pokedex!L$2:L$610,MATCH($A54,Pokedex!$B$2:$B$610,0)))</f>
        <v>95</v>
      </c>
      <c r="E54" s="828" t="n">
        <f aca="false" t="array" ref="E54:E54">IF(ISNA(INDEX(Pokedex!M$2:M$610,MATCH($A54,Pokedex!$B$2:$B$610,0))),"-",INDEX(Pokedex!M$2:M$610,MATCH($A54,Pokedex!$B$2:$B$610,0)))</f>
        <v>130</v>
      </c>
      <c r="F54" s="828" t="n">
        <f aca="false" t="array" ref="F54:F54">IF(ISNA(INDEX(Pokedex!N$2:N$610,MATCH($A54,Pokedex!$B$2:$B$610,0))),"-",INDEX(Pokedex!N$2:N$610,MATCH($A54,Pokedex!$B$2:$B$610,0)))</f>
        <v>80</v>
      </c>
      <c r="G54" s="828" t="n">
        <f aca="false" t="array" ref="G54:G54">IF(ISNA(INDEX(Pokedex!O$2:O$610,MATCH($A54,Pokedex!$B$2:$B$610,0))),"-",INDEX(Pokedex!O$2:O$610,MATCH($A54,Pokedex!$B$2:$B$610,0)))</f>
        <v>70</v>
      </c>
      <c r="H54" s="828" t="n">
        <f aca="false" t="array" ref="H54:H54">IF(ISNA(INDEX(Pokedex!P$2:P$610,MATCH($A54,Pokedex!$B$2:$B$610,0))),"-",INDEX(Pokedex!P$2:P$610,MATCH($A54,Pokedex!$B$2:$B$610,0)))</f>
        <v>80</v>
      </c>
      <c r="I54" s="744" t="n">
        <f aca="false" t="array" ref="I54:I54">IF(ISNA(INDEX(Pokedex!Q$2:Q$610,MATCH($A54,Pokedex!$B$2:$B$610,0))),"-",INDEX(Pokedex!Q$2:Q$610,MATCH($A54,Pokedex!$B$2:$B$610,0)))</f>
        <v>50</v>
      </c>
      <c r="J54" s="828" t="n">
        <f aca="false">SUM(D54:I54)</f>
        <v>505</v>
      </c>
      <c r="K54" s="870" t="str">
        <f aca="false" t="array" ref="K54:K54">IF(ISNA(INDEX(Pokedex!R$2:R$610,MATCH($A54,Pokedex!$B$2:$B$610,0))),"-",INDEX(Pokedex!R$2:R$610,MATCH($A54,Pokedex!$B$2:$B$610,0)))</f>
        <v>Ice</v>
      </c>
      <c r="L54" s="870"/>
      <c r="M54" s="744" t="n">
        <f aca="false">IF(ISNA(INDEX(Pokedex!S$2:S$610,MATCH($A54,Pokedex!$B$2:$B$610,0))),"-",INDEX(Pokedex!S$2:S$610,MATCH($A54,Pokedex!$B$2:$B$610,0)))</f>
        <v>0</v>
      </c>
      <c r="N54" s="744"/>
      <c r="O54" s="44"/>
      <c r="P54" s="44"/>
      <c r="Q54" s="871" t="s">
        <v>2068</v>
      </c>
      <c r="R54" s="871"/>
      <c r="S54" s="871"/>
      <c r="T54" s="871" t="s">
        <v>2069</v>
      </c>
      <c r="U54" s="871"/>
      <c r="V54" s="871"/>
      <c r="W54" s="872" t="s">
        <v>209</v>
      </c>
      <c r="X54" s="872"/>
      <c r="Y54" s="332" t="s">
        <v>2070</v>
      </c>
      <c r="Z54" s="332"/>
      <c r="AA54" s="172" t="s">
        <v>213</v>
      </c>
      <c r="AB54" s="172"/>
      <c r="AC54" s="172"/>
      <c r="AD54" s="172"/>
      <c r="AE54" s="873"/>
    </row>
    <row r="55" customFormat="false" ht="15.75" hidden="false" customHeight="false" outlineLevel="0" collapsed="false">
      <c r="A55" s="874" t="s">
        <v>2075</v>
      </c>
      <c r="B55" s="874"/>
      <c r="C55" s="874"/>
      <c r="D55" s="875" t="n">
        <f aca="false">IF(ISERROR(AVERAGE(D44:D54)),"-",AVERAGE(D44:D54))</f>
        <v>82.9090909090909</v>
      </c>
      <c r="E55" s="876" t="n">
        <f aca="false">IF(ISERROR(AVERAGE(E44:E54)),"-",AVERAGE(E44:E54))</f>
        <v>108.636363636364</v>
      </c>
      <c r="F55" s="876" t="n">
        <f aca="false">IF(ISERROR(AVERAGE(F44:F54)),"-",AVERAGE(F44:F54))</f>
        <v>81.4545454545454</v>
      </c>
      <c r="G55" s="876" t="n">
        <f aca="false">IF(ISERROR(AVERAGE(G44:G54)),"-",AVERAGE(G44:G54))</f>
        <v>83.2727272727273</v>
      </c>
      <c r="H55" s="876" t="n">
        <f aca="false">IF(ISERROR(AVERAGE(H44:H54)),"-",AVERAGE(H44:H54))</f>
        <v>86.0909090909091</v>
      </c>
      <c r="I55" s="877" t="n">
        <f aca="false">IF(ISERROR(AVERAGE(I44:I54)),"-",AVERAGE(I44:I54))</f>
        <v>84.0909090909091</v>
      </c>
      <c r="J55" s="877" t="n">
        <f aca="false">IF(ISERROR(AVERAGE(J44:J54)),"-",AVERAGE(J44:J54))</f>
        <v>526.454545454545</v>
      </c>
      <c r="K55" s="44"/>
      <c r="L55" s="44"/>
      <c r="M55" s="44"/>
      <c r="N55" s="44"/>
      <c r="O55" s="44"/>
      <c r="P55" s="44"/>
      <c r="Q55" s="878" t="str">
        <f aca="false">IFERROR(__xludf.dummyfunction("{if(isna(filter(Transactions!$AR$3:$AR$100,Transactions!$AU$3:$AU$100=$L$1)),,filter(Transactions!$AR$3:$AR$100,Transactions!$AU$3:$AU$100=$L$1));if(isna(filter(Transactions!$AW$3:$AW$100,Transactions!$AP$3:$AP$100=$L$1)),,filter(Transactions!$AW$3:$AW$10"&amp;"0,Transactions!$AP$3:$AP$100=$L$1))}"),"")</f>
        <v/>
      </c>
      <c r="R55" s="878"/>
      <c r="S55" s="878"/>
      <c r="T55" s="878" t="str">
        <f aca="false">IFERROR(__xludf.dummyfunction("{if(isna(filter(Transactions!$AW$3:$AW$100,Transactions!$AU$3:$AU$100=$L$1)),,filter(Transactions!$AW$3:$AW$100,Transactions!$AU$3:$AU$100=$L$1));if(isna(filter(Transactions!$AR$3:$AR$100,Transactions!$AP$3:$AP$100=$L$1)),,filter(Transactions!$AR$3:$AR$10"&amp;"0,Transactions!$AP$3:$AP$100=$L$1))}"),"")</f>
        <v/>
      </c>
      <c r="U55" s="878"/>
      <c r="V55" s="878"/>
      <c r="W55" s="879" t="str">
        <f aca="false">IFERROR(__xludf.dummyfunction("{if(isna(filter(Transactions!$AZ$3:$AZ$100,Transactions!$AU$3:$AU$100=$L$1)),,filter(Transactions!$AZ$3:$AZ$100,Transactions!$AU$3:$AU$100=$L$1));if(isna(filter(Transactions!$AZ$3:$AZ$100,Transactions!$AP$3:$AP$100=$L$1)),,filter(Transactions!$AZ$3:$AZ$10"&amp;"0,Transactions!$AP$3:$AP$100=$L$1))}"),"")</f>
        <v/>
      </c>
      <c r="X55" s="879"/>
      <c r="Y55" s="879" t="str">
        <f aca="false">IFERROR(__xludf.dummyfunction("{if(isna(filter(Transactions!$AP$3:$AP$100,Transactions!$AU$3:$AU$100=$L$1)),,filter(Transactions!$AP$3:$AP$100,Transactions!$AU$3:$AU$100=$L$1));if(isna(filter(Transactions!$AU$3:$AU$100,Transactions!$AP$3:$AP$100=$L$1)),,filter(Transactions!$AU$3:$AU$10"&amp;"0,Transactions!$AP$3:$AP$100=$L$1))}"),"")</f>
        <v/>
      </c>
      <c r="Z55" s="879"/>
      <c r="AA55" s="880" t="str">
        <f aca="false">IFERROR(__xludf.dummyfunction("{if(isna(filter(Transactions!$BB$3:$BB$100,Transactions!$AU$3:$AU$100=$L$1)),,filter(Transactions!$BB$3:$BB$100,Transactions!$AU$3:$AU$100=$L$1));if(isna(filter(Transactions!$BB$3:$BB$100,Transactions!$AP$3:$AP$100=$L$1)),,filter(Transactions!$BB$3:$BB$10"&amp;"0,Transactions!$AP$3:$AP$100=$L$1))}"),"")</f>
        <v/>
      </c>
      <c r="AB55" s="880"/>
      <c r="AC55" s="880"/>
      <c r="AD55" s="880"/>
      <c r="AE55" s="881"/>
    </row>
    <row r="56" customFormat="false" ht="15.75" hidden="false" customHeight="false" outlineLevel="0" collapsed="false">
      <c r="A56" s="832" t="s">
        <v>2063</v>
      </c>
      <c r="B56" s="832"/>
      <c r="C56" s="832"/>
      <c r="D56" s="882" t="n">
        <f aca="false">SUM(D44:D54)</f>
        <v>912</v>
      </c>
      <c r="E56" s="883" t="n">
        <f aca="false">SUM(E44:E54)</f>
        <v>1195</v>
      </c>
      <c r="F56" s="883" t="n">
        <f aca="false">SUM(F44:F54)</f>
        <v>896</v>
      </c>
      <c r="G56" s="883" t="n">
        <f aca="false">SUM(G44:G54)</f>
        <v>916</v>
      </c>
      <c r="H56" s="883" t="n">
        <f aca="false">SUM(H44:H54)</f>
        <v>947</v>
      </c>
      <c r="I56" s="783" t="n">
        <f aca="false">SUM(I44:I54)</f>
        <v>925</v>
      </c>
      <c r="J56" s="783" t="n">
        <f aca="false">SUM(J44:J54)</f>
        <v>5791</v>
      </c>
      <c r="K56" s="44"/>
      <c r="L56" s="44"/>
      <c r="M56" s="44"/>
      <c r="N56" s="44"/>
      <c r="O56" s="44"/>
      <c r="P56" s="44"/>
      <c r="Q56" s="884"/>
      <c r="R56" s="884"/>
      <c r="S56" s="884"/>
      <c r="T56" s="884"/>
      <c r="U56" s="884"/>
      <c r="V56" s="884"/>
      <c r="W56" s="885"/>
      <c r="X56" s="885"/>
      <c r="Y56" s="885"/>
      <c r="Z56" s="885"/>
      <c r="AA56" s="757"/>
      <c r="AB56" s="757"/>
      <c r="AC56" s="757"/>
      <c r="AD56" s="757"/>
      <c r="AE56" s="886"/>
    </row>
    <row r="57" customFormat="false" ht="15.75" hidden="false" customHeight="false" outlineLevel="0" collapsed="false">
      <c r="A57" s="44"/>
      <c r="B57" s="44"/>
      <c r="C57" s="44"/>
      <c r="D57" s="44"/>
      <c r="E57" s="44"/>
      <c r="F57" s="44"/>
      <c r="G57" s="44"/>
      <c r="H57" s="44"/>
      <c r="I57" s="44"/>
      <c r="J57" s="44"/>
      <c r="K57" s="44"/>
      <c r="L57" s="44"/>
      <c r="M57" s="44"/>
      <c r="N57" s="44"/>
      <c r="O57" s="44"/>
      <c r="P57" s="44"/>
      <c r="Q57" s="887"/>
      <c r="R57" s="887"/>
      <c r="S57" s="887"/>
      <c r="T57" s="887"/>
      <c r="U57" s="887"/>
      <c r="V57" s="887"/>
      <c r="W57" s="888"/>
      <c r="X57" s="888"/>
      <c r="Y57" s="888"/>
      <c r="Z57" s="888"/>
      <c r="AA57" s="889"/>
      <c r="AB57" s="889"/>
      <c r="AC57" s="889"/>
      <c r="AD57" s="889"/>
      <c r="AE57" s="881"/>
    </row>
    <row r="58" customFormat="false" ht="15.75" hidden="false" customHeight="false" outlineLevel="0" collapsed="false">
      <c r="A58" s="852" t="s">
        <v>773</v>
      </c>
      <c r="B58" s="852"/>
      <c r="C58" s="852"/>
      <c r="D58" s="342" t="s">
        <v>2076</v>
      </c>
      <c r="E58" s="342"/>
      <c r="F58" s="342"/>
      <c r="G58" s="342"/>
      <c r="H58" s="342"/>
      <c r="I58" s="342"/>
      <c r="J58" s="50"/>
      <c r="K58" s="341" t="s">
        <v>2077</v>
      </c>
      <c r="L58" s="341"/>
      <c r="M58" s="341"/>
      <c r="N58" s="341"/>
      <c r="O58" s="44"/>
      <c r="P58" s="44"/>
      <c r="Q58" s="884"/>
      <c r="R58" s="884"/>
      <c r="S58" s="884"/>
      <c r="T58" s="884"/>
      <c r="U58" s="884"/>
      <c r="V58" s="884"/>
      <c r="W58" s="885"/>
      <c r="X58" s="885"/>
      <c r="Y58" s="885"/>
      <c r="Z58" s="885"/>
      <c r="AA58" s="757"/>
      <c r="AB58" s="757"/>
      <c r="AC58" s="757"/>
      <c r="AD58" s="757"/>
      <c r="AE58" s="886"/>
    </row>
    <row r="59" customFormat="false" ht="15.75" hidden="false" customHeight="false" outlineLevel="0" collapsed="false">
      <c r="A59" s="890" t="str">
        <f aca="false">$A$12</f>
        <v>Manaphy</v>
      </c>
      <c r="B59" s="890"/>
      <c r="C59" s="890"/>
      <c r="D59" s="867" t="str">
        <f aca="false" t="array" ref="D59:D59">IF(ISNA(INDEX(Pokedex!T$2:T$610,MATCH($A59,Pokedex!$B$2:$B$610,0))),"-",INDEX(Pokedex!T$2:T$610,MATCH($A59,Pokedex!$B$2:$B$610,0)))</f>
        <v>Hydration</v>
      </c>
      <c r="E59" s="867"/>
      <c r="F59" s="868" t="n">
        <f aca="false">IF(ISNA(INDEX(Pokedex!U$2:U$610,MATCH($A59,Pokedex!$B$2:$B$610,0))),"-",INDEX(Pokedex!U$2:U$610,MATCH($A59,Pokedex!$B$2:$B$610,0)))</f>
        <v>0</v>
      </c>
      <c r="G59" s="868"/>
      <c r="H59" s="869" t="n">
        <f aca="false">IF(ISNA(INDEX(Pokedex!V$2:V$610,MATCH($A59,Pokedex!$B$2:$B$610,0))),"-",INDEX(Pokedex!V$2:V$610,MATCH($A59,Pokedex!$B$2:$B$610,0)))</f>
        <v>0</v>
      </c>
      <c r="I59" s="869"/>
      <c r="J59" s="44"/>
      <c r="K59" s="891" t="str">
        <f aca="false">IFERROR(__xludf.dummyfunction("if(isna(filter($R$2:$R$13,isblank($R$2:$R$13)=FALSE)),""NONE"",filter($R$2:$R$13,isblank($R$2:$R$13)=FALSE))"),"Aurorus")</f>
        <v>Aurorus</v>
      </c>
      <c r="L59" s="891"/>
      <c r="M59" s="892" t="str">
        <f aca="false">IFERROR(__xludf.dummyfunction("if(isna(filter($S$2:$S$13,isblank($S$2:$S$13)=FALSE)),""N/A"",filter($S$2:$S$13,isblank($S$2:$S$13)=FALSE))"),"Stealth Rock")</f>
        <v>Stealth Rock</v>
      </c>
      <c r="N59" s="892"/>
      <c r="O59" s="44"/>
      <c r="P59" s="44"/>
      <c r="Q59" s="887"/>
      <c r="R59" s="887"/>
      <c r="S59" s="887"/>
      <c r="T59" s="887"/>
      <c r="U59" s="887"/>
      <c r="V59" s="887"/>
      <c r="W59" s="888"/>
      <c r="X59" s="888"/>
      <c r="Y59" s="888"/>
      <c r="Z59" s="888"/>
      <c r="AA59" s="889"/>
      <c r="AB59" s="889"/>
      <c r="AC59" s="889"/>
      <c r="AD59" s="889"/>
      <c r="AE59" s="881"/>
    </row>
    <row r="60" customFormat="false" ht="15.75" hidden="false" customHeight="false" outlineLevel="0" collapsed="false">
      <c r="A60" s="840" t="str">
        <f aca="false">$A$13</f>
        <v>Infernape</v>
      </c>
      <c r="B60" s="840"/>
      <c r="C60" s="840"/>
      <c r="D60" s="855" t="str">
        <f aca="false" t="array" ref="D60:D60">IF(ISNA(INDEX(Pokedex!T$2:T$610,MATCH($A60,Pokedex!$B$2:$B$610,0))),"-",INDEX(Pokedex!T$2:T$610,MATCH($A60,Pokedex!$B$2:$B$610,0)))</f>
        <v>Blaze</v>
      </c>
      <c r="E60" s="855"/>
      <c r="F60" s="854" t="str">
        <f aca="false" t="array" ref="F60:F60">IF(ISNA(INDEX(Pokedex!U$2:U$610,MATCH($A60,Pokedex!$B$2:$B$610,0))),"-",INDEX(Pokedex!U$2:U$610,MATCH($A60,Pokedex!$B$2:$B$610,0)))</f>
        <v>Iron Fist</v>
      </c>
      <c r="G60" s="854"/>
      <c r="H60" s="727" t="n">
        <f aca="false">IF(ISNA(INDEX(Pokedex!V$2:V$610,MATCH($A60,Pokedex!$B$2:$B$610,0))),"-",INDEX(Pokedex!V$2:V$610,MATCH($A60,Pokedex!$B$2:$B$610,0)))</f>
        <v>0</v>
      </c>
      <c r="I60" s="727"/>
      <c r="J60" s="44"/>
      <c r="K60" s="823" t="s">
        <v>110</v>
      </c>
      <c r="L60" s="823"/>
      <c r="M60" s="477" t="s">
        <v>1106</v>
      </c>
      <c r="N60" s="477"/>
      <c r="O60" s="44"/>
      <c r="P60" s="44"/>
      <c r="Q60" s="884"/>
      <c r="R60" s="884"/>
      <c r="S60" s="884"/>
      <c r="T60" s="884"/>
      <c r="U60" s="884"/>
      <c r="V60" s="884"/>
      <c r="W60" s="885"/>
      <c r="X60" s="885"/>
      <c r="Y60" s="885"/>
      <c r="Z60" s="885"/>
      <c r="AA60" s="757"/>
      <c r="AB60" s="757"/>
      <c r="AC60" s="757"/>
      <c r="AD60" s="757"/>
      <c r="AE60" s="886"/>
    </row>
    <row r="61" customFormat="false" ht="15.75" hidden="false" customHeight="false" outlineLevel="0" collapsed="false">
      <c r="A61" s="840" t="str">
        <f aca="false">$A$14</f>
        <v>Tsareena</v>
      </c>
      <c r="B61" s="840"/>
      <c r="C61" s="840"/>
      <c r="D61" s="855" t="str">
        <f aca="false" t="array" ref="D61:D61">IF(ISNA(INDEX(Pokedex!T$2:T$610,MATCH($A61,Pokedex!$B$2:$B$610,0))),"-",INDEX(Pokedex!T$2:T$610,MATCH($A61,Pokedex!$B$2:$B$610,0)))</f>
        <v>Queenly Majesty</v>
      </c>
      <c r="E61" s="855"/>
      <c r="F61" s="854" t="str">
        <f aca="false" t="array" ref="F61:F61">IF(ISNA(INDEX(Pokedex!U$2:U$610,MATCH($A61,Pokedex!$B$2:$B$610,0))),"-",INDEX(Pokedex!U$2:U$610,MATCH($A61,Pokedex!$B$2:$B$610,0)))</f>
        <v>Leaf Guard</v>
      </c>
      <c r="G61" s="854"/>
      <c r="H61" s="727" t="str">
        <f aca="false" t="array" ref="H61:H61">IF(ISNA(INDEX(Pokedex!V$2:V$610,MATCH($A61,Pokedex!$B$2:$B$610,0))),"-",INDEX(Pokedex!V$2:V$610,MATCH($A61,Pokedex!$B$2:$B$610,0)))</f>
        <v>Sweet Veil</v>
      </c>
      <c r="I61" s="727"/>
      <c r="J61" s="44"/>
      <c r="K61" s="823" t="s">
        <v>76</v>
      </c>
      <c r="L61" s="823"/>
      <c r="M61" s="477" t="s">
        <v>1106</v>
      </c>
      <c r="N61" s="477"/>
      <c r="O61" s="44"/>
      <c r="P61" s="44"/>
      <c r="Q61" s="887"/>
      <c r="R61" s="887"/>
      <c r="S61" s="887"/>
      <c r="T61" s="887"/>
      <c r="U61" s="887"/>
      <c r="V61" s="887"/>
      <c r="W61" s="888"/>
      <c r="X61" s="888"/>
      <c r="Y61" s="888"/>
      <c r="Z61" s="888"/>
      <c r="AA61" s="889"/>
      <c r="AB61" s="889"/>
      <c r="AC61" s="889"/>
      <c r="AD61" s="889"/>
      <c r="AE61" s="881"/>
    </row>
    <row r="62" customFormat="false" ht="15.75" hidden="false" customHeight="false" outlineLevel="0" collapsed="false">
      <c r="A62" s="840" t="str">
        <f aca="false">$A$15</f>
        <v>Zygarde-10%</v>
      </c>
      <c r="B62" s="840"/>
      <c r="C62" s="840"/>
      <c r="D62" s="855" t="str">
        <f aca="false" t="array" ref="D62:D62">IF(ISNA(INDEX(Pokedex!T$2:T$610,MATCH($A62,Pokedex!$B$2:$B$610,0))),"-",INDEX(Pokedex!T$2:T$610,MATCH($A62,Pokedex!$B$2:$B$610,0)))</f>
        <v>Aura Break</v>
      </c>
      <c r="E62" s="855"/>
      <c r="F62" s="854" t="str">
        <f aca="false" t="array" ref="F62:F62">IF(ISNA(INDEX(Pokedex!U$2:U$610,MATCH($A62,Pokedex!$B$2:$B$610,0))),"-",INDEX(Pokedex!U$2:U$610,MATCH($A62,Pokedex!$B$2:$B$610,0)))</f>
        <v>PwrConstrct(BAN)</v>
      </c>
      <c r="G62" s="854"/>
      <c r="H62" s="727" t="n">
        <f aca="false">IF(ISNA(INDEX(Pokedex!V$2:V$610,MATCH($A62,Pokedex!$B$2:$B$610,0))),"-",INDEX(Pokedex!V$2:V$610,MATCH($A62,Pokedex!$B$2:$B$610,0)))</f>
        <v>0</v>
      </c>
      <c r="I62" s="727"/>
      <c r="J62" s="44"/>
      <c r="K62" s="823" t="s">
        <v>82</v>
      </c>
      <c r="L62" s="823"/>
      <c r="M62" s="477" t="s">
        <v>1106</v>
      </c>
      <c r="N62" s="477"/>
      <c r="O62" s="44"/>
      <c r="P62" s="44"/>
      <c r="Q62" s="884"/>
      <c r="R62" s="884"/>
      <c r="S62" s="884"/>
      <c r="T62" s="884"/>
      <c r="U62" s="884"/>
      <c r="V62" s="884"/>
      <c r="W62" s="885"/>
      <c r="X62" s="885"/>
      <c r="Y62" s="885"/>
      <c r="Z62" s="885"/>
      <c r="AA62" s="757"/>
      <c r="AB62" s="757"/>
      <c r="AC62" s="757"/>
      <c r="AD62" s="757"/>
      <c r="AE62" s="886"/>
    </row>
    <row r="63" customFormat="false" ht="15.75" hidden="false" customHeight="false" outlineLevel="0" collapsed="false">
      <c r="A63" s="840" t="str">
        <f aca="false">$A$16</f>
        <v>Trevenant</v>
      </c>
      <c r="B63" s="840"/>
      <c r="C63" s="840"/>
      <c r="D63" s="855" t="str">
        <f aca="false" t="array" ref="D63:D63">IF(ISNA(INDEX(Pokedex!T$2:T$610,MATCH($A63,Pokedex!$B$2:$B$610,0))),"-",INDEX(Pokedex!T$2:T$610,MATCH($A63,Pokedex!$B$2:$B$610,0)))</f>
        <v>Frisk</v>
      </c>
      <c r="E63" s="855"/>
      <c r="F63" s="854" t="str">
        <f aca="false" t="array" ref="F63:F63">IF(ISNA(INDEX(Pokedex!U$2:U$610,MATCH($A63,Pokedex!$B$2:$B$610,0))),"-",INDEX(Pokedex!U$2:U$610,MATCH($A63,Pokedex!$B$2:$B$610,0)))</f>
        <v>Natural Cure</v>
      </c>
      <c r="G63" s="854"/>
      <c r="H63" s="727" t="str">
        <f aca="false" t="array" ref="H63:H63">IF(ISNA(INDEX(Pokedex!V$2:V$610,MATCH($A63,Pokedex!$B$2:$B$610,0))),"-",INDEX(Pokedex!V$2:V$610,MATCH($A63,Pokedex!$B$2:$B$610,0)))</f>
        <v>Harvest</v>
      </c>
      <c r="I63" s="727"/>
      <c r="J63" s="44"/>
      <c r="K63" s="823" t="s">
        <v>82</v>
      </c>
      <c r="L63" s="823"/>
      <c r="M63" s="477" t="s">
        <v>1108</v>
      </c>
      <c r="N63" s="477"/>
      <c r="O63" s="44"/>
      <c r="P63" s="44"/>
      <c r="Q63" s="887"/>
      <c r="R63" s="887"/>
      <c r="S63" s="887"/>
      <c r="T63" s="887"/>
      <c r="U63" s="887"/>
      <c r="V63" s="887"/>
      <c r="W63" s="888"/>
      <c r="X63" s="888"/>
      <c r="Y63" s="888"/>
      <c r="Z63" s="888"/>
      <c r="AA63" s="889"/>
      <c r="AB63" s="889"/>
      <c r="AC63" s="889"/>
      <c r="AD63" s="889"/>
      <c r="AE63" s="881"/>
    </row>
    <row r="64" customFormat="false" ht="15.75" hidden="false" customHeight="false" outlineLevel="0" collapsed="false">
      <c r="A64" s="840" t="str">
        <f aca="false">$A$17</f>
        <v>Aurorus</v>
      </c>
      <c r="B64" s="840"/>
      <c r="C64" s="840"/>
      <c r="D64" s="855" t="str">
        <f aca="false" t="array" ref="D64:D64">IF(ISNA(INDEX(Pokedex!T$2:T$610,MATCH($A64,Pokedex!$B$2:$B$610,0))),"-",INDEX(Pokedex!T$2:T$610,MATCH($A64,Pokedex!$B$2:$B$610,0)))</f>
        <v>Refrigerate</v>
      </c>
      <c r="E64" s="855"/>
      <c r="F64" s="854" t="str">
        <f aca="false" t="array" ref="F64:F64">IF(ISNA(INDEX(Pokedex!U$2:U$610,MATCH($A64,Pokedex!$B$2:$B$610,0))),"-",INDEX(Pokedex!U$2:U$610,MATCH($A64,Pokedex!$B$2:$B$610,0)))</f>
        <v>Snow Warning</v>
      </c>
      <c r="G64" s="854"/>
      <c r="H64" s="727" t="n">
        <f aca="false">IF(ISNA(INDEX(Pokedex!V$2:V$610,MATCH($A64,Pokedex!$B$2:$B$610,0))),"-",INDEX(Pokedex!V$2:V$610,MATCH($A64,Pokedex!$B$2:$B$610,0)))</f>
        <v>0</v>
      </c>
      <c r="I64" s="727"/>
      <c r="J64" s="44"/>
      <c r="K64" s="823"/>
      <c r="L64" s="823"/>
      <c r="M64" s="477"/>
      <c r="N64" s="477"/>
      <c r="O64" s="44"/>
      <c r="P64" s="44"/>
      <c r="Q64" s="884"/>
      <c r="R64" s="884"/>
      <c r="S64" s="884"/>
      <c r="T64" s="884"/>
      <c r="U64" s="884"/>
      <c r="V64" s="884"/>
      <c r="W64" s="885"/>
      <c r="X64" s="885"/>
      <c r="Y64" s="885"/>
      <c r="Z64" s="885"/>
      <c r="AA64" s="757"/>
      <c r="AB64" s="757"/>
      <c r="AC64" s="757"/>
      <c r="AD64" s="757"/>
      <c r="AE64" s="886"/>
    </row>
    <row r="65" customFormat="false" ht="15.75" hidden="false" customHeight="false" outlineLevel="0" collapsed="false">
      <c r="A65" s="840" t="str">
        <f aca="false">$A$18</f>
        <v>Absol-Mega</v>
      </c>
      <c r="B65" s="840"/>
      <c r="C65" s="840"/>
      <c r="D65" s="855" t="str">
        <f aca="false" t="array" ref="D65:D65">IF(ISNA(INDEX(Pokedex!T$2:T$610,MATCH($A65,Pokedex!$B$2:$B$610,0))),"-",INDEX(Pokedex!T$2:T$610,MATCH($A65,Pokedex!$B$2:$B$610,0)))</f>
        <v>Magic Bounce</v>
      </c>
      <c r="E65" s="855"/>
      <c r="F65" s="854" t="n">
        <f aca="false">IF(ISNA(INDEX(Pokedex!U$2:U$610,MATCH($A65,Pokedex!$B$2:$B$610,0))),"-",INDEX(Pokedex!U$2:U$610,MATCH($A65,Pokedex!$B$2:$B$610,0)))</f>
        <v>0</v>
      </c>
      <c r="G65" s="854"/>
      <c r="H65" s="727" t="n">
        <f aca="false">IF(ISNA(INDEX(Pokedex!V$2:V$610,MATCH($A65,Pokedex!$B$2:$B$610,0))),"-",INDEX(Pokedex!V$2:V$610,MATCH($A65,Pokedex!$B$2:$B$610,0)))</f>
        <v>0</v>
      </c>
      <c r="I65" s="727"/>
      <c r="J65" s="44"/>
      <c r="K65" s="823"/>
      <c r="L65" s="823"/>
      <c r="M65" s="477"/>
      <c r="N65" s="477"/>
      <c r="O65" s="44"/>
      <c r="P65" s="44"/>
      <c r="Q65" s="887"/>
      <c r="R65" s="887"/>
      <c r="S65" s="887"/>
      <c r="T65" s="887"/>
      <c r="U65" s="887"/>
      <c r="V65" s="887"/>
      <c r="W65" s="888"/>
      <c r="X65" s="888"/>
      <c r="Y65" s="888"/>
      <c r="Z65" s="888"/>
      <c r="AA65" s="889"/>
      <c r="AB65" s="889"/>
      <c r="AC65" s="889"/>
      <c r="AD65" s="889"/>
      <c r="AE65" s="881"/>
    </row>
    <row r="66" customFormat="false" ht="15.75" hidden="false" customHeight="false" outlineLevel="0" collapsed="false">
      <c r="A66" s="840" t="str">
        <f aca="false">$A$19</f>
        <v>Necrozma</v>
      </c>
      <c r="B66" s="840"/>
      <c r="C66" s="840"/>
      <c r="D66" s="855" t="str">
        <f aca="false" t="array" ref="D66:D66">IF(ISNA(INDEX(Pokedex!T$2:T$610,MATCH($A66,Pokedex!$B$2:$B$610,0))),"-",INDEX(Pokedex!T$2:T$610,MATCH($A66,Pokedex!$B$2:$B$610,0)))</f>
        <v>Prism Armor</v>
      </c>
      <c r="E66" s="855"/>
      <c r="F66" s="854" t="n">
        <f aca="false">IF(ISNA(INDEX(Pokedex!U$2:U$610,MATCH($A66,Pokedex!$B$2:$B$610,0))),"-",INDEX(Pokedex!U$2:U$610,MATCH($A66,Pokedex!$B$2:$B$610,0)))</f>
        <v>0</v>
      </c>
      <c r="G66" s="854"/>
      <c r="H66" s="727" t="n">
        <f aca="false">IF(ISNA(INDEX(Pokedex!V$2:V$610,MATCH($A66,Pokedex!$B$2:$B$610,0))),"-",INDEX(Pokedex!V$2:V$610,MATCH($A66,Pokedex!$B$2:$B$610,0)))</f>
        <v>0</v>
      </c>
      <c r="I66" s="727"/>
      <c r="J66" s="44"/>
      <c r="K66" s="823"/>
      <c r="L66" s="823"/>
      <c r="M66" s="477"/>
      <c r="N66" s="477"/>
      <c r="O66" s="44"/>
      <c r="P66" s="44"/>
      <c r="Q66" s="884"/>
      <c r="R66" s="884"/>
      <c r="S66" s="884"/>
      <c r="T66" s="884"/>
      <c r="U66" s="884"/>
      <c r="V66" s="884"/>
      <c r="W66" s="885"/>
      <c r="X66" s="885"/>
      <c r="Y66" s="885"/>
      <c r="Z66" s="885"/>
      <c r="AA66" s="757"/>
      <c r="AB66" s="757"/>
      <c r="AC66" s="757"/>
      <c r="AD66" s="757"/>
      <c r="AE66" s="886"/>
    </row>
    <row r="67" customFormat="false" ht="15.75" hidden="false" customHeight="false" outlineLevel="0" collapsed="false">
      <c r="A67" s="840" t="str">
        <f aca="false">$A$20</f>
        <v>Mimikyu</v>
      </c>
      <c r="B67" s="840"/>
      <c r="C67" s="840"/>
      <c r="D67" s="855" t="str">
        <f aca="false" t="array" ref="D67:D67">IF(ISNA(INDEX(Pokedex!T$2:T$610,MATCH($A67,Pokedex!$B$2:$B$610,0))),"-",INDEX(Pokedex!T$2:T$610,MATCH($A67,Pokedex!$B$2:$B$610,0)))</f>
        <v>Disguise</v>
      </c>
      <c r="E67" s="855"/>
      <c r="F67" s="854" t="n">
        <f aca="false">IF(ISNA(INDEX(Pokedex!U$2:U$610,MATCH($A67,Pokedex!$B$2:$B$610,0))),"-",INDEX(Pokedex!U$2:U$610,MATCH($A67,Pokedex!$B$2:$B$610,0)))</f>
        <v>0</v>
      </c>
      <c r="G67" s="854"/>
      <c r="H67" s="727" t="n">
        <f aca="false">IF(ISNA(INDEX(Pokedex!V$2:V$610,MATCH($A67,Pokedex!$B$2:$B$610,0))),"-",INDEX(Pokedex!V$2:V$610,MATCH($A67,Pokedex!$B$2:$B$610,0)))</f>
        <v>0</v>
      </c>
      <c r="I67" s="727"/>
      <c r="J67" s="44"/>
      <c r="K67" s="823"/>
      <c r="L67" s="823"/>
      <c r="M67" s="477"/>
      <c r="N67" s="477"/>
      <c r="O67" s="44"/>
      <c r="P67" s="44"/>
      <c r="Q67" s="887"/>
      <c r="R67" s="887"/>
      <c r="S67" s="887"/>
      <c r="T67" s="887"/>
      <c r="U67" s="887"/>
      <c r="V67" s="887"/>
      <c r="W67" s="888"/>
      <c r="X67" s="888"/>
      <c r="Y67" s="888"/>
      <c r="Z67" s="888"/>
      <c r="AA67" s="889"/>
      <c r="AB67" s="889"/>
      <c r="AC67" s="889"/>
      <c r="AD67" s="889"/>
      <c r="AE67" s="881"/>
    </row>
    <row r="68" customFormat="false" ht="15.75" hidden="false" customHeight="false" outlineLevel="0" collapsed="false">
      <c r="A68" s="840" t="str">
        <f aca="false">$A$21</f>
        <v>Nidoqueen</v>
      </c>
      <c r="B68" s="840"/>
      <c r="C68" s="840"/>
      <c r="D68" s="855" t="str">
        <f aca="false" t="array" ref="D68:D68">IF(ISNA(INDEX(Pokedex!T$2:T$610,MATCH($A68,Pokedex!$B$2:$B$610,0))),"-",INDEX(Pokedex!T$2:T$610,MATCH($A68,Pokedex!$B$2:$B$610,0)))</f>
        <v>Poison Point</v>
      </c>
      <c r="E68" s="855"/>
      <c r="F68" s="854" t="str">
        <f aca="false" t="array" ref="F68:F68">IF(ISNA(INDEX(Pokedex!U$2:U$610,MATCH($A68,Pokedex!$B$2:$B$610,0))),"-",INDEX(Pokedex!U$2:U$610,MATCH($A68,Pokedex!$B$2:$B$610,0)))</f>
        <v>Sheer Force</v>
      </c>
      <c r="G68" s="854"/>
      <c r="H68" s="727" t="str">
        <f aca="false" t="array" ref="H68:H68">IF(ISNA(INDEX(Pokedex!V$2:V$610,MATCH($A68,Pokedex!$B$2:$B$610,0))),"-",INDEX(Pokedex!V$2:V$610,MATCH($A68,Pokedex!$B$2:$B$610,0)))</f>
        <v>Rivalry</v>
      </c>
      <c r="I68" s="727"/>
      <c r="J68" s="44"/>
      <c r="K68" s="823"/>
      <c r="L68" s="823"/>
      <c r="M68" s="477"/>
      <c r="N68" s="477"/>
      <c r="O68" s="44"/>
      <c r="P68" s="44"/>
      <c r="Q68" s="884"/>
      <c r="R68" s="884"/>
      <c r="S68" s="884"/>
      <c r="T68" s="884"/>
      <c r="U68" s="884"/>
      <c r="V68" s="884"/>
      <c r="W68" s="885"/>
      <c r="X68" s="885"/>
      <c r="Y68" s="885"/>
      <c r="Z68" s="885"/>
      <c r="AA68" s="757"/>
      <c r="AB68" s="757"/>
      <c r="AC68" s="757"/>
      <c r="AD68" s="757"/>
      <c r="AE68" s="886"/>
    </row>
    <row r="69" customFormat="false" ht="15.75" hidden="false" customHeight="false" outlineLevel="0" collapsed="false">
      <c r="A69" s="848" t="str">
        <f aca="false">$A$22</f>
        <v>Beartic</v>
      </c>
      <c r="B69" s="848"/>
      <c r="C69" s="848"/>
      <c r="D69" s="870" t="str">
        <f aca="false" t="array" ref="D69:D69">IF(ISNA(INDEX(Pokedex!T$2:T$610,MATCH($A69,Pokedex!$B$2:$B$610,0))),"-",INDEX(Pokedex!T$2:T$610,MATCH($A69,Pokedex!$B$2:$B$610,0)))</f>
        <v>Snow Cloak</v>
      </c>
      <c r="E69" s="870"/>
      <c r="F69" s="828" t="str">
        <f aca="false" t="array" ref="F69:F69">IF(ISNA(INDEX(Pokedex!U$2:U$610,MATCH($A69,Pokedex!$B$2:$B$610,0))),"-",INDEX(Pokedex!U$2:U$610,MATCH($A69,Pokedex!$B$2:$B$610,0)))</f>
        <v>Swift Swim</v>
      </c>
      <c r="G69" s="828"/>
      <c r="H69" s="744" t="str">
        <f aca="false" t="array" ref="H69:H69">IF(ISNA(INDEX(Pokedex!V$2:V$610,MATCH($A69,Pokedex!$B$2:$B$610,0))),"-",INDEX(Pokedex!V$2:V$610,MATCH($A69,Pokedex!$B$2:$B$610,0)))</f>
        <v>Slush Rush</v>
      </c>
      <c r="I69" s="744"/>
      <c r="J69" s="44"/>
      <c r="K69" s="893"/>
      <c r="L69" s="893"/>
      <c r="M69" s="831"/>
      <c r="N69" s="831"/>
      <c r="O69" s="44"/>
      <c r="P69" s="44"/>
      <c r="Q69" s="887"/>
      <c r="R69" s="887"/>
      <c r="S69" s="887"/>
      <c r="T69" s="887"/>
      <c r="U69" s="887"/>
      <c r="V69" s="887"/>
      <c r="W69" s="888"/>
      <c r="X69" s="888"/>
      <c r="Y69" s="888"/>
      <c r="Z69" s="888"/>
      <c r="AA69" s="889"/>
      <c r="AB69" s="889"/>
      <c r="AC69" s="889"/>
      <c r="AD69" s="889"/>
      <c r="AE69" s="881"/>
    </row>
    <row r="70" customFormat="false" ht="15.75" hidden="false" customHeight="false" outlineLevel="0" collapsed="false">
      <c r="A70" s="44"/>
      <c r="B70" s="44"/>
      <c r="C70" s="44"/>
      <c r="D70" s="44"/>
      <c r="E70" s="44"/>
      <c r="F70" s="44"/>
      <c r="G70" s="44"/>
      <c r="H70" s="44"/>
      <c r="I70" s="44"/>
      <c r="J70" s="44"/>
      <c r="K70" s="7"/>
      <c r="L70" s="7"/>
      <c r="M70" s="7"/>
      <c r="N70" s="7"/>
      <c r="O70" s="44"/>
      <c r="P70" s="44"/>
      <c r="Q70" s="884"/>
      <c r="R70" s="884"/>
      <c r="S70" s="884"/>
      <c r="T70" s="884"/>
      <c r="U70" s="884"/>
      <c r="V70" s="884"/>
      <c r="W70" s="885"/>
      <c r="X70" s="885"/>
      <c r="Y70" s="885"/>
      <c r="Z70" s="885"/>
      <c r="AA70" s="757"/>
      <c r="AB70" s="757"/>
      <c r="AC70" s="757"/>
      <c r="AD70" s="757"/>
      <c r="AE70" s="886"/>
    </row>
    <row r="71" customFormat="false" ht="15.75" hidden="false" customHeight="true" outlineLevel="0" collapsed="false">
      <c r="A71" s="894" t="s">
        <v>2078</v>
      </c>
      <c r="B71" s="894"/>
      <c r="C71" s="929" t="s">
        <v>2079</v>
      </c>
      <c r="D71" s="929"/>
      <c r="E71" s="929"/>
      <c r="F71" s="896" t="s">
        <v>2080</v>
      </c>
      <c r="G71" s="896"/>
      <c r="H71" s="896"/>
      <c r="I71" s="896"/>
      <c r="J71" s="44"/>
      <c r="K71" s="341" t="s">
        <v>2081</v>
      </c>
      <c r="L71" s="341"/>
      <c r="M71" s="341"/>
      <c r="N71" s="341"/>
      <c r="O71" s="44"/>
      <c r="P71" s="44"/>
      <c r="Q71" s="897"/>
      <c r="R71" s="897"/>
      <c r="S71" s="897"/>
      <c r="T71" s="897"/>
      <c r="U71" s="897"/>
      <c r="V71" s="897"/>
      <c r="W71" s="898"/>
      <c r="X71" s="898"/>
      <c r="Y71" s="898"/>
      <c r="Z71" s="898"/>
      <c r="AA71" s="899"/>
      <c r="AB71" s="899"/>
      <c r="AC71" s="899"/>
      <c r="AD71" s="899"/>
      <c r="AE71" s="881"/>
    </row>
    <row r="72" customFormat="false" ht="15.75" hidden="false" customHeight="false" outlineLevel="0" collapsed="false">
      <c r="A72" s="894"/>
      <c r="B72" s="894"/>
      <c r="C72" s="900" t="s">
        <v>2082</v>
      </c>
      <c r="D72" s="901" t="s">
        <v>2083</v>
      </c>
      <c r="E72" s="901" t="s">
        <v>2063</v>
      </c>
      <c r="F72" s="902" t="s">
        <v>2084</v>
      </c>
      <c r="G72" s="903" t="s">
        <v>2085</v>
      </c>
      <c r="H72" s="904" t="s">
        <v>2086</v>
      </c>
      <c r="I72" s="904" t="s">
        <v>2063</v>
      </c>
      <c r="J72" s="44"/>
      <c r="K72" s="891" t="str">
        <f aca="false">IFERROR(__xludf.dummyfunction("if(isna(filter($R$20:$R$31,isblank($R$20:$R$31)=FALSE)),""NONE"",filter($R$20:$R$31,isblank($R$20:$R$31)=FALSE))"),"Tsareena")</f>
        <v>Tsareena</v>
      </c>
      <c r="L72" s="891"/>
      <c r="M72" s="892" t="str">
        <f aca="false">IFERROR(__xludf.dummyfunction("if(isna(filter($S$20:$S$31,isblank($S$20:$S$31)=FALSE)),""N/A"",filter($S$20:$S$31,isblank($S$20:$S$31)=FALSE))"),"Rapid Spin")</f>
        <v>Rapid Spin</v>
      </c>
      <c r="N72" s="892"/>
      <c r="O72" s="44"/>
      <c r="P72" s="44"/>
      <c r="Q72" s="44"/>
      <c r="R72" s="824"/>
      <c r="S72" s="638"/>
      <c r="T72" s="638"/>
      <c r="U72" s="638"/>
      <c r="V72" s="638"/>
      <c r="W72" s="638"/>
      <c r="X72" s="638"/>
      <c r="Y72" s="638"/>
      <c r="Z72" s="638"/>
      <c r="AA72" s="638"/>
      <c r="AB72" s="638"/>
      <c r="AC72" s="638"/>
      <c r="AD72" s="638"/>
      <c r="AE72" s="638"/>
    </row>
    <row r="73" customFormat="false" ht="15.75" hidden="false" customHeight="false" outlineLevel="0" collapsed="false">
      <c r="A73" s="905" t="s">
        <v>794</v>
      </c>
      <c r="B73" s="905"/>
      <c r="C73" s="906" t="str">
        <f aca="false">IFERROR(__xludf.dummyfunction("countif(FILTER(Pokedex!$AC:$AC,Pokedex!$A:$A=$L$1,Pokedex!$AC:$AC=0-2),0-2)"),"0")</f>
        <v>0</v>
      </c>
      <c r="D73" s="907" t="str">
        <f aca="false">IFERROR(__xludf.dummyfunction("countif(FILTER(Pokedex!$AC:$AC,Pokedex!$A:$A=$L$1,Pokedex!$AC:$AC=0-1),0-1)"),"3")</f>
        <v>3</v>
      </c>
      <c r="E73" s="907" t="n">
        <f aca="false">SUM(C73:D73)</f>
        <v>0</v>
      </c>
      <c r="F73" s="908" t="str">
        <f aca="false">IFERROR(__xludf.dummyfunction("countif(FILTER(Pokedex!$AC:$AC,Pokedex!$A:$A=$L$1,Pokedex!$AC:$AC=4),4)"),"0")</f>
        <v>0</v>
      </c>
      <c r="G73" s="909" t="str">
        <f aca="false">IFERROR(__xludf.dummyfunction("countif(FILTER(Pokedex!$AC:$AC,Pokedex!$A:$A=$L$1,Pokedex!$AC:$AC=1),1)"),"1")</f>
        <v>1</v>
      </c>
      <c r="H73" s="908" t="str">
        <f aca="false">IFERROR(__xludf.dummyfunction("countif(FILTER(Pokedex!$AC:$AC,Pokedex!$A:$A=$L$1,Pokedex!$AC:$AC=2),2)"),"2")</f>
        <v>2</v>
      </c>
      <c r="I73" s="908" t="n">
        <f aca="false">SUM(F73:H73)</f>
        <v>0</v>
      </c>
      <c r="J73" s="44"/>
      <c r="K73" s="823"/>
      <c r="L73" s="823"/>
      <c r="M73" s="477"/>
      <c r="N73" s="477"/>
      <c r="O73" s="44"/>
      <c r="P73" s="44"/>
      <c r="Q73" s="44"/>
      <c r="R73" s="824"/>
      <c r="S73" s="638"/>
      <c r="T73" s="638"/>
      <c r="U73" s="638"/>
      <c r="V73" s="638"/>
      <c r="W73" s="638"/>
      <c r="X73" s="638"/>
      <c r="Y73" s="638"/>
      <c r="Z73" s="638"/>
      <c r="AA73" s="638"/>
      <c r="AB73" s="638"/>
      <c r="AC73" s="638"/>
      <c r="AD73" s="638"/>
      <c r="AE73" s="638"/>
    </row>
    <row r="74" customFormat="false" ht="15.75" hidden="false" customHeight="false" outlineLevel="0" collapsed="false">
      <c r="A74" s="910" t="s">
        <v>795</v>
      </c>
      <c r="B74" s="910"/>
      <c r="C74" s="911" t="str">
        <f aca="false">IFERROR(__xludf.dummyfunction("countif(FILTER(Pokedex!$AD:$AD,Pokedex!$A:$A=$L$1,Pokedex!$AD:$AD=0-2),0-2)"),"0")</f>
        <v>0</v>
      </c>
      <c r="D74" s="912" t="str">
        <f aca="false">IFERROR(__xludf.dummyfunction("countif(FILTER(Pokedex!$AD:$AD,Pokedex!$A:$A=$L$1,Pokedex!$AD:$AD=0-1),0-1)"),"2")</f>
        <v>2</v>
      </c>
      <c r="E74" s="912" t="n">
        <f aca="false">SUM(C74:D74)</f>
        <v>0</v>
      </c>
      <c r="F74" s="913" t="str">
        <f aca="false">IFERROR(__xludf.dummyfunction("countif(FILTER(Pokedex!$AD:$AD,Pokedex!$A:$A=$L$1,Pokedex!$AD:$AD=4),4)"),"0")</f>
        <v>0</v>
      </c>
      <c r="G74" s="914" t="str">
        <f aca="false">IFERROR(__xludf.dummyfunction("countif(FILTER(Pokedex!$AD:$AD,Pokedex!$A:$A=$L$1,Pokedex!$AD:$AD=1),1)"),"2")</f>
        <v>2</v>
      </c>
      <c r="H74" s="913" t="str">
        <f aca="false">IFERROR(__xludf.dummyfunction("countif(FILTER(Pokedex!$AD:$AD,Pokedex!$A:$A=$L$1,Pokedex!$AD:$AD=2),2)"),"0")</f>
        <v>0</v>
      </c>
      <c r="I74" s="913" t="n">
        <f aca="false">SUM(F74:H74)</f>
        <v>0</v>
      </c>
      <c r="J74" s="44"/>
      <c r="K74" s="823"/>
      <c r="L74" s="823"/>
      <c r="M74" s="477"/>
      <c r="N74" s="477"/>
      <c r="O74" s="44"/>
      <c r="P74" s="44"/>
      <c r="Q74" s="44"/>
      <c r="R74" s="824"/>
      <c r="S74" s="638"/>
      <c r="T74" s="638"/>
      <c r="U74" s="638"/>
      <c r="V74" s="638"/>
      <c r="W74" s="638"/>
      <c r="X74" s="638"/>
      <c r="Y74" s="638"/>
      <c r="Z74" s="638"/>
      <c r="AA74" s="638"/>
      <c r="AB74" s="638"/>
      <c r="AC74" s="638"/>
      <c r="AD74" s="638"/>
      <c r="AE74" s="638"/>
    </row>
    <row r="75" customFormat="false" ht="15.75" hidden="false" customHeight="false" outlineLevel="0" collapsed="false">
      <c r="A75" s="915" t="s">
        <v>835</v>
      </c>
      <c r="B75" s="915"/>
      <c r="C75" s="906" t="str">
        <f aca="false">IFERROR(__xludf.dummyfunction("countif(FILTER(Pokedex!$AE:$AE,Pokedex!$A:$A=$L$1,Pokedex!$AE:$AE=0-2),0-2)"),"0")</f>
        <v>0</v>
      </c>
      <c r="D75" s="907" t="str">
        <f aca="false">IFERROR(__xludf.dummyfunction("countif(FILTER(Pokedex!$AE:$AE,Pokedex!$A:$A=$L$1,Pokedex!$AE:$AE=0-1),0-1)"),"1")</f>
        <v>1</v>
      </c>
      <c r="E75" s="907" t="n">
        <f aca="false">SUM(C75:D75)</f>
        <v>0</v>
      </c>
      <c r="F75" s="908" t="str">
        <f aca="false">IFERROR(__xludf.dummyfunction("countif(FILTER(Pokedex!$AE:$AE,Pokedex!$A:$A=$L$1,Pokedex!$AE:$AE=4),4)"),"1")</f>
        <v>1</v>
      </c>
      <c r="G75" s="909" t="str">
        <f aca="false">IFERROR(__xludf.dummyfunction("countif(FILTER(Pokedex!$AE:$AE,Pokedex!$A:$A=$L$1,Pokedex!$AE:$AE=1),1)"),"0")</f>
        <v>0</v>
      </c>
      <c r="H75" s="908" t="str">
        <f aca="false">IFERROR(__xludf.dummyfunction("countif(FILTER(Pokedex!$AE:$AE,Pokedex!$A:$A=$L$1,Pokedex!$AE:$AE=2),2)"),"0")</f>
        <v>0</v>
      </c>
      <c r="I75" s="908" t="n">
        <f aca="false">SUM(F75:H75)</f>
        <v>0</v>
      </c>
      <c r="J75" s="44"/>
      <c r="K75" s="823"/>
      <c r="L75" s="823"/>
      <c r="M75" s="477"/>
      <c r="N75" s="477"/>
      <c r="O75" s="44"/>
      <c r="P75" s="44"/>
      <c r="Q75" s="44"/>
      <c r="R75" s="824"/>
      <c r="S75" s="638"/>
      <c r="T75" s="638"/>
      <c r="U75" s="638"/>
      <c r="V75" s="638"/>
      <c r="W75" s="638"/>
      <c r="X75" s="638"/>
      <c r="Y75" s="638"/>
      <c r="Z75" s="638"/>
      <c r="AA75" s="638"/>
      <c r="AB75" s="638"/>
      <c r="AC75" s="638"/>
      <c r="AD75" s="638"/>
      <c r="AE75" s="638"/>
    </row>
    <row r="76" customFormat="false" ht="15.75" hidden="false" customHeight="false" outlineLevel="0" collapsed="false">
      <c r="A76" s="916" t="s">
        <v>845</v>
      </c>
      <c r="B76" s="916"/>
      <c r="C76" s="911" t="str">
        <f aca="false">IFERROR(__xludf.dummyfunction("countif(FILTER(Pokedex!$AF:$AF,Pokedex!$A:$A=$L$1,Pokedex!$AF:$AF=0-2),0-2)"),"0")</f>
        <v>0</v>
      </c>
      <c r="D76" s="912" t="str">
        <f aca="false">IFERROR(__xludf.dummyfunction("countif(FILTER(Pokedex!$AF:$AF,Pokedex!$A:$A=$L$1,Pokedex!$AF:$AF=0-1),0-1)"),"1")</f>
        <v>1</v>
      </c>
      <c r="E76" s="912" t="n">
        <f aca="false">SUM(C76:D76)</f>
        <v>0</v>
      </c>
      <c r="F76" s="913" t="str">
        <f aca="false">IFERROR(__xludf.dummyfunction("countif(FILTER(Pokedex!$AF:$AF,Pokedex!$A:$A=$L$1,Pokedex!$AF:$AF=4),4)"),"2")</f>
        <v>2</v>
      </c>
      <c r="G76" s="914" t="str">
        <f aca="false">IFERROR(__xludf.dummyfunction("countif(FILTER(Pokedex!$AF:$AF,Pokedex!$A:$A=$L$1,Pokedex!$AF:$AF=1),1)"),"2")</f>
        <v>2</v>
      </c>
      <c r="H76" s="913" t="str">
        <f aca="false">IFERROR(__xludf.dummyfunction("countif(FILTER(Pokedex!$AF:$AF,Pokedex!$A:$A=$L$1,Pokedex!$AF:$AF=2),2)"),"0")</f>
        <v>0</v>
      </c>
      <c r="I76" s="913" t="n">
        <f aca="false">SUM(F76:H76)</f>
        <v>0</v>
      </c>
      <c r="J76" s="44"/>
      <c r="K76" s="823"/>
      <c r="L76" s="823"/>
      <c r="M76" s="477"/>
      <c r="N76" s="477"/>
      <c r="O76" s="44"/>
      <c r="P76" s="44"/>
      <c r="Q76" s="44"/>
      <c r="R76" s="824"/>
      <c r="S76" s="638"/>
      <c r="T76" s="638"/>
      <c r="U76" s="638"/>
      <c r="V76" s="638"/>
      <c r="W76" s="638"/>
      <c r="X76" s="638"/>
      <c r="Y76" s="638"/>
      <c r="Z76" s="638"/>
      <c r="AA76" s="638"/>
      <c r="AB76" s="638"/>
      <c r="AC76" s="638"/>
      <c r="AD76" s="638"/>
      <c r="AE76" s="638"/>
    </row>
    <row r="77" customFormat="false" ht="15.75" hidden="false" customHeight="false" outlineLevel="0" collapsed="false">
      <c r="A77" s="915" t="s">
        <v>798</v>
      </c>
      <c r="B77" s="915"/>
      <c r="C77" s="906" t="str">
        <f aca="false">IFERROR(__xludf.dummyfunction("countif(FILTER(Pokedex!$AG:$AG,Pokedex!$A:$A=$L$1,Pokedex!$AG:$AG=0-2),0-2)"),"0")</f>
        <v>0</v>
      </c>
      <c r="D77" s="907" t="str">
        <f aca="false">IFERROR(__xludf.dummyfunction("countif(FILTER(Pokedex!$AG:$AG,Pokedex!$A:$A=$L$1,Pokedex!$AG:$AG=0-1),0-1)"),"2")</f>
        <v>2</v>
      </c>
      <c r="E77" s="907" t="n">
        <f aca="false">SUM(C77:D77)</f>
        <v>0</v>
      </c>
      <c r="F77" s="908" t="str">
        <f aca="false">IFERROR(__xludf.dummyfunction("countif(FILTER(Pokedex!$AG:$AG,Pokedex!$A:$A=$L$1,Pokedex!$AG:$AG=4),4)"),"0")</f>
        <v>0</v>
      </c>
      <c r="G77" s="909" t="str">
        <f aca="false">IFERROR(__xludf.dummyfunction("countif(FILTER(Pokedex!$AG:$AG,Pokedex!$A:$A=$L$1,Pokedex!$AG:$AG=1),1)"),"1")</f>
        <v>1</v>
      </c>
      <c r="H77" s="908" t="str">
        <f aca="false">IFERROR(__xludf.dummyfunction("countif(FILTER(Pokedex!$AG:$AG,Pokedex!$A:$A=$L$1,Pokedex!$AG:$AG=2),2)"),"0")</f>
        <v>0</v>
      </c>
      <c r="I77" s="908" t="n">
        <f aca="false">SUM(F77:H77)</f>
        <v>0</v>
      </c>
      <c r="J77" s="44"/>
      <c r="K77" s="823"/>
      <c r="L77" s="823"/>
      <c r="M77" s="477"/>
      <c r="N77" s="477"/>
      <c r="O77" s="44"/>
      <c r="P77" s="44"/>
      <c r="Q77" s="44"/>
      <c r="R77" s="824"/>
      <c r="S77" s="638"/>
      <c r="T77" s="638"/>
      <c r="U77" s="638"/>
      <c r="V77" s="638"/>
      <c r="W77" s="638"/>
      <c r="X77" s="638"/>
      <c r="Y77" s="638"/>
      <c r="Z77" s="638"/>
      <c r="AA77" s="638"/>
      <c r="AB77" s="638"/>
      <c r="AC77" s="638"/>
      <c r="AD77" s="638"/>
      <c r="AE77" s="638"/>
    </row>
    <row r="78" customFormat="false" ht="15.75" hidden="false" customHeight="false" outlineLevel="0" collapsed="false">
      <c r="A78" s="916" t="s">
        <v>881</v>
      </c>
      <c r="B78" s="916"/>
      <c r="C78" s="911" t="str">
        <f aca="false">IFERROR(__xludf.dummyfunction("countif(FILTER(Pokedex!$AH:$AH,Pokedex!$A:$A=$L$1,Pokedex!$AH:$AH=0-2),0-2)"),"1")</f>
        <v>1</v>
      </c>
      <c r="D78" s="912" t="str">
        <f aca="false">IFERROR(__xludf.dummyfunction("countif(FILTER(Pokedex!$AH:$AH,Pokedex!$A:$A=$L$1,Pokedex!$AH:$AH=0-1),0-1)"),"2")</f>
        <v>2</v>
      </c>
      <c r="E78" s="912" t="n">
        <f aca="false">SUM(C78:D78)</f>
        <v>0</v>
      </c>
      <c r="F78" s="913" t="str">
        <f aca="false">IFERROR(__xludf.dummyfunction("countif(FILTER(Pokedex!$AH:$AH,Pokedex!$A:$A=$L$1,Pokedex!$AH:$AH=4),4)"),"2")</f>
        <v>2</v>
      </c>
      <c r="G78" s="914" t="str">
        <f aca="false">IFERROR(__xludf.dummyfunction("countif(FILTER(Pokedex!$AH:$AH,Pokedex!$A:$A=$L$1,Pokedex!$AH:$AH=1),1)"),"2")</f>
        <v>2</v>
      </c>
      <c r="H78" s="913" t="str">
        <f aca="false">IFERROR(__xludf.dummyfunction("countif(FILTER(Pokedex!$AH:$AH,Pokedex!$A:$A=$L$1,Pokedex!$AH:$AH=2),2)"),"0")</f>
        <v>0</v>
      </c>
      <c r="I78" s="913" t="n">
        <f aca="false">SUM(F78:H78)</f>
        <v>0</v>
      </c>
      <c r="J78" s="44"/>
      <c r="K78" s="823"/>
      <c r="L78" s="823"/>
      <c r="M78" s="477"/>
      <c r="N78" s="477"/>
      <c r="O78" s="44"/>
      <c r="P78" s="44"/>
      <c r="Q78" s="44"/>
      <c r="R78" s="824"/>
      <c r="S78" s="638"/>
      <c r="T78" s="638"/>
      <c r="U78" s="638"/>
      <c r="V78" s="638"/>
      <c r="W78" s="638"/>
      <c r="X78" s="638"/>
      <c r="Y78" s="638"/>
      <c r="Z78" s="638"/>
      <c r="AA78" s="638"/>
      <c r="AB78" s="638"/>
      <c r="AC78" s="638"/>
      <c r="AD78" s="638"/>
      <c r="AE78" s="638"/>
    </row>
    <row r="79" customFormat="false" ht="15.75" hidden="false" customHeight="false" outlineLevel="0" collapsed="false">
      <c r="A79" s="915" t="s">
        <v>800</v>
      </c>
      <c r="B79" s="915"/>
      <c r="C79" s="906" t="str">
        <f aca="false">IFERROR(__xludf.dummyfunction("countif(FILTER(Pokedex!$AI:$AI,Pokedex!$A:$A=$L$1,Pokedex!$AI:$AI=0-2),0-2)"),"0")</f>
        <v>0</v>
      </c>
      <c r="D79" s="907" t="str">
        <f aca="false">IFERROR(__xludf.dummyfunction("countif(FILTER(Pokedex!$AI:$AI,Pokedex!$A:$A=$L$1,Pokedex!$AI:$AI=0-1),0-1)"),"3")</f>
        <v>3</v>
      </c>
      <c r="E79" s="907" t="n">
        <f aca="false">SUM(C79:D79)</f>
        <v>0</v>
      </c>
      <c r="F79" s="908" t="str">
        <f aca="false">IFERROR(__xludf.dummyfunction("countif(FILTER(Pokedex!$AI:$AI,Pokedex!$A:$A=$L$1,Pokedex!$AI:$AI=4),4)"),"0")</f>
        <v>0</v>
      </c>
      <c r="G79" s="909" t="str">
        <f aca="false">IFERROR(__xludf.dummyfunction("countif(FILTER(Pokedex!$AI:$AI,Pokedex!$A:$A=$L$1,Pokedex!$AI:$AI=1),1)"),"3")</f>
        <v>3</v>
      </c>
      <c r="H79" s="908" t="str">
        <f aca="false">IFERROR(__xludf.dummyfunction("countif(FILTER(Pokedex!$AI:$AI,Pokedex!$A:$A=$L$1,Pokedex!$AI:$AI=2),2)"),"0")</f>
        <v>0</v>
      </c>
      <c r="I79" s="908" t="n">
        <f aca="false">SUM(F79:H79)</f>
        <v>0</v>
      </c>
      <c r="J79" s="44"/>
      <c r="K79" s="823"/>
      <c r="L79" s="823"/>
      <c r="M79" s="477"/>
      <c r="N79" s="477"/>
      <c r="O79" s="44"/>
      <c r="P79" s="44"/>
      <c r="Q79" s="44"/>
      <c r="R79" s="824"/>
      <c r="S79" s="638"/>
      <c r="T79" s="638"/>
      <c r="U79" s="638"/>
      <c r="V79" s="638"/>
      <c r="W79" s="638"/>
      <c r="X79" s="638"/>
      <c r="Y79" s="638"/>
      <c r="Z79" s="638"/>
      <c r="AA79" s="638"/>
      <c r="AB79" s="638"/>
      <c r="AC79" s="638"/>
      <c r="AD79" s="638"/>
      <c r="AE79" s="638"/>
    </row>
    <row r="80" customFormat="false" ht="15.75" hidden="false" customHeight="false" outlineLevel="0" collapsed="false">
      <c r="A80" s="916" t="s">
        <v>801</v>
      </c>
      <c r="B80" s="916"/>
      <c r="C80" s="911" t="str">
        <f aca="false">IFERROR(__xludf.dummyfunction("countif(FILTER(Pokedex!$AJ:$AJ,Pokedex!$A:$A=$L$1,Pokedex!$AJ:$AJ=0-2),0-2)"),"0")</f>
        <v>0</v>
      </c>
      <c r="D80" s="912" t="str">
        <f aca="false">IFERROR(__xludf.dummyfunction("countif(FILTER(Pokedex!$AJ:$AJ,Pokedex!$A:$A=$L$1,Pokedex!$AJ:$AJ=0-1),0-1)"),"3")</f>
        <v>3</v>
      </c>
      <c r="E80" s="912" t="n">
        <f aca="false">SUM(C80:D80)</f>
        <v>0</v>
      </c>
      <c r="F80" s="913" t="str">
        <f aca="false">IFERROR(__xludf.dummyfunction("countif(FILTER(Pokedex!$AJ:$AJ,Pokedex!$A:$A=$L$1,Pokedex!$AJ:$AJ=4),4)"),"0")</f>
        <v>0</v>
      </c>
      <c r="G80" s="914" t="str">
        <f aca="false">IFERROR(__xludf.dummyfunction("countif(FILTER(Pokedex!$AJ:$AJ,Pokedex!$A:$A=$L$1,Pokedex!$AJ:$AJ=1),1)"),"1")</f>
        <v>1</v>
      </c>
      <c r="H80" s="913" t="str">
        <f aca="false">IFERROR(__xludf.dummyfunction("countif(FILTER(Pokedex!$AJ:$AJ,Pokedex!$A:$A=$L$1,Pokedex!$AJ:$AJ=2),2)"),"0")</f>
        <v>0</v>
      </c>
      <c r="I80" s="913" t="n">
        <f aca="false">SUM(F80:H80)</f>
        <v>0</v>
      </c>
      <c r="J80" s="44"/>
      <c r="K80" s="823"/>
      <c r="L80" s="823"/>
      <c r="M80" s="477"/>
      <c r="N80" s="477"/>
      <c r="O80" s="44"/>
      <c r="P80" s="44"/>
      <c r="Q80" s="44"/>
      <c r="R80" s="824"/>
      <c r="S80" s="638"/>
      <c r="T80" s="638"/>
      <c r="U80" s="638"/>
      <c r="V80" s="638"/>
      <c r="W80" s="638"/>
      <c r="X80" s="638"/>
      <c r="Y80" s="638"/>
      <c r="Z80" s="638"/>
      <c r="AA80" s="638"/>
      <c r="AB80" s="638"/>
      <c r="AC80" s="638"/>
      <c r="AD80" s="638"/>
      <c r="AE80" s="638"/>
    </row>
    <row r="81" customFormat="false" ht="15.75" hidden="false" customHeight="false" outlineLevel="0" collapsed="false">
      <c r="A81" s="915" t="s">
        <v>802</v>
      </c>
      <c r="B81" s="915"/>
      <c r="C81" s="906" t="str">
        <f aca="false">IFERROR(__xludf.dummyfunction("countif(FILTER(Pokedex!$AK:$AK,Pokedex!$A:$A=$L$1,Pokedex!$AK:$AK=0-2),0-2)"),"0")</f>
        <v>0</v>
      </c>
      <c r="D81" s="907" t="str">
        <f aca="false">IFERROR(__xludf.dummyfunction("countif(FILTER(Pokedex!$AK:$AK,Pokedex!$A:$A=$L$1,Pokedex!$AK:$AK=0-1),0-1)"),"3")</f>
        <v>3</v>
      </c>
      <c r="E81" s="907" t="n">
        <f aca="false">SUM(C81:D81)</f>
        <v>0</v>
      </c>
      <c r="F81" s="908" t="str">
        <f aca="false">IFERROR(__xludf.dummyfunction("countif(FILTER(Pokedex!$AK:$AK,Pokedex!$A:$A=$L$1,Pokedex!$AK:$AK=4),4)"),"0")</f>
        <v>0</v>
      </c>
      <c r="G81" s="909" t="str">
        <f aca="false">IFERROR(__xludf.dummyfunction("countif(FILTER(Pokedex!$AK:$AK,Pokedex!$A:$A=$L$1,Pokedex!$AK:$AK=1),1)"),"1")</f>
        <v>1</v>
      </c>
      <c r="H81" s="908" t="str">
        <f aca="false">IFERROR(__xludf.dummyfunction("countif(FILTER(Pokedex!$AK:$AK,Pokedex!$A:$A=$L$1,Pokedex!$AK:$AK=2),2)"),"0")</f>
        <v>0</v>
      </c>
      <c r="I81" s="908" t="n">
        <f aca="false">SUM(F81:H81)</f>
        <v>0</v>
      </c>
      <c r="J81" s="44"/>
      <c r="K81" s="823"/>
      <c r="L81" s="823"/>
      <c r="M81" s="477"/>
      <c r="N81" s="477"/>
      <c r="O81" s="44"/>
      <c r="P81" s="44"/>
      <c r="Q81" s="44"/>
      <c r="R81" s="824"/>
      <c r="S81" s="638"/>
      <c r="T81" s="638"/>
      <c r="U81" s="638"/>
      <c r="V81" s="638"/>
      <c r="W81" s="638"/>
      <c r="X81" s="638"/>
      <c r="Y81" s="638"/>
      <c r="Z81" s="638"/>
      <c r="AA81" s="638"/>
      <c r="AB81" s="638"/>
      <c r="AC81" s="638"/>
      <c r="AD81" s="638"/>
      <c r="AE81" s="638"/>
    </row>
    <row r="82" customFormat="false" ht="15.75" hidden="false" customHeight="false" outlineLevel="0" collapsed="false">
      <c r="A82" s="916" t="s">
        <v>803</v>
      </c>
      <c r="B82" s="916"/>
      <c r="C82" s="911" t="str">
        <f aca="false">IFERROR(__xludf.dummyfunction("countif(FILTER(Pokedex!$AL:$AL,Pokedex!$A:$A=$L$1,Pokedex!$AL:$AL=0-2),0-2)"),"0")</f>
        <v>0</v>
      </c>
      <c r="D82" s="912" t="str">
        <f aca="false">IFERROR(__xludf.dummyfunction("countif(FILTER(Pokedex!$AL:$AL,Pokedex!$A:$A=$L$1,Pokedex!$AL:$AL=0-1),0-1)"),"2")</f>
        <v>2</v>
      </c>
      <c r="E82" s="912" t="n">
        <f aca="false">SUM(C82:D82)</f>
        <v>0</v>
      </c>
      <c r="F82" s="913" t="str">
        <f aca="false">IFERROR(__xludf.dummyfunction("countif(FILTER(Pokedex!$AL:$AL,Pokedex!$A:$A=$L$1,Pokedex!$AL:$AL=4),4)"),"0")</f>
        <v>0</v>
      </c>
      <c r="G82" s="914" t="str">
        <f aca="false">IFERROR(__xludf.dummyfunction("countif(FILTER(Pokedex!$AL:$AL,Pokedex!$A:$A=$L$1,Pokedex!$AL:$AL=1),1)"),"3")</f>
        <v>3</v>
      </c>
      <c r="H82" s="913" t="str">
        <f aca="false">IFERROR(__xludf.dummyfunction("countif(FILTER(Pokedex!$AL:$AL,Pokedex!$A:$A=$L$1,Pokedex!$AL:$AL=2),2)"),"0")</f>
        <v>0</v>
      </c>
      <c r="I82" s="913" t="n">
        <f aca="false">SUM(F82:H82)</f>
        <v>0</v>
      </c>
      <c r="J82" s="44"/>
      <c r="K82" s="893"/>
      <c r="L82" s="893"/>
      <c r="M82" s="831"/>
      <c r="N82" s="831"/>
      <c r="O82" s="44"/>
      <c r="P82" s="44"/>
      <c r="Q82" s="44"/>
      <c r="R82" s="824"/>
      <c r="S82" s="638"/>
      <c r="T82" s="638"/>
      <c r="U82" s="638"/>
      <c r="V82" s="638"/>
      <c r="W82" s="638"/>
      <c r="X82" s="638"/>
      <c r="Y82" s="638"/>
      <c r="Z82" s="638"/>
      <c r="AA82" s="638"/>
      <c r="AB82" s="638"/>
      <c r="AC82" s="638"/>
      <c r="AD82" s="638"/>
      <c r="AE82" s="638"/>
    </row>
    <row r="83" customFormat="false" ht="15.75" hidden="false" customHeight="false" outlineLevel="0" collapsed="false">
      <c r="A83" s="915" t="s">
        <v>907</v>
      </c>
      <c r="B83" s="915"/>
      <c r="C83" s="906" t="str">
        <f aca="false">IFERROR(__xludf.dummyfunction("countif(FILTER(Pokedex!$AM:$AM,Pokedex!$A:$A=$L$1,Pokedex!$AM:$AM=0-2),0-2)"),"0")</f>
        <v>0</v>
      </c>
      <c r="D83" s="907" t="str">
        <f aca="false">IFERROR(__xludf.dummyfunction("countif(FILTER(Pokedex!$AM:$AM,Pokedex!$A:$A=$L$1,Pokedex!$AM:$AM=0-1),0-1)"),"3")</f>
        <v>3</v>
      </c>
      <c r="E83" s="907" t="n">
        <f aca="false">SUM(C83:D83)</f>
        <v>0</v>
      </c>
      <c r="F83" s="908" t="str">
        <f aca="false">IFERROR(__xludf.dummyfunction("countif(FILTER(Pokedex!$AM:$AM,Pokedex!$A:$A=$L$1,Pokedex!$AM:$AM=4),4)"),"0")</f>
        <v>0</v>
      </c>
      <c r="G83" s="909" t="str">
        <f aca="false">IFERROR(__xludf.dummyfunction("countif(FILTER(Pokedex!$AM:$AM,Pokedex!$A:$A=$L$1,Pokedex!$AM:$AM=1),1)"),"2")</f>
        <v>2</v>
      </c>
      <c r="H83" s="908" t="str">
        <f aca="false">IFERROR(__xludf.dummyfunction("countif(FILTER(Pokedex!$AM:$AM,Pokedex!$A:$A=$L$1,Pokedex!$AM:$AM=2),2)"),"0")</f>
        <v>0</v>
      </c>
      <c r="I83" s="908" t="n">
        <f aca="false">SUM(F83:H83)</f>
        <v>0</v>
      </c>
      <c r="J83" s="44"/>
      <c r="K83" s="7"/>
      <c r="L83" s="7"/>
      <c r="M83" s="7"/>
      <c r="N83" s="7"/>
      <c r="O83" s="44"/>
      <c r="P83" s="44"/>
      <c r="Q83" s="44"/>
      <c r="R83" s="824"/>
      <c r="S83" s="638"/>
      <c r="T83" s="638"/>
      <c r="U83" s="638"/>
      <c r="V83" s="638"/>
      <c r="W83" s="638"/>
      <c r="X83" s="638"/>
      <c r="Y83" s="638"/>
      <c r="Z83" s="638"/>
      <c r="AA83" s="638"/>
      <c r="AB83" s="638"/>
      <c r="AC83" s="638"/>
      <c r="AD83" s="638"/>
      <c r="AE83" s="638"/>
    </row>
    <row r="84" customFormat="false" ht="15.75" hidden="false" customHeight="false" outlineLevel="0" collapsed="false">
      <c r="A84" s="916" t="s">
        <v>805</v>
      </c>
      <c r="B84" s="916"/>
      <c r="C84" s="911" t="str">
        <f aca="false">IFERROR(__xludf.dummyfunction("countif(FILTER(Pokedex!$AN:$AN,Pokedex!$A:$A=$L$1,Pokedex!$AN:$AN=0-2),0-2)"),"1")</f>
        <v>1</v>
      </c>
      <c r="D84" s="912" t="str">
        <f aca="false">IFERROR(__xludf.dummyfunction("countif(FILTER(Pokedex!$AN:$AN,Pokedex!$A:$A=$L$1,Pokedex!$AN:$AN=0-1),0-1)"),"3")</f>
        <v>3</v>
      </c>
      <c r="E84" s="912" t="n">
        <f aca="false">SUM(C84:D84)</f>
        <v>0</v>
      </c>
      <c r="F84" s="913" t="str">
        <f aca="false">IFERROR(__xludf.dummyfunction("countif(FILTER(Pokedex!$AN:$AN,Pokedex!$A:$A=$L$1,Pokedex!$AN:$AN=4),4)"),"0")</f>
        <v>0</v>
      </c>
      <c r="G84" s="914" t="str">
        <f aca="false">IFERROR(__xludf.dummyfunction("countif(FILTER(Pokedex!$AN:$AN,Pokedex!$A:$A=$L$1,Pokedex!$AN:$AN=1),1)"),"4")</f>
        <v>4</v>
      </c>
      <c r="H84" s="913" t="str">
        <f aca="false">IFERROR(__xludf.dummyfunction("countif(FILTER(Pokedex!$AN:$AN,Pokedex!$A:$A=$L$1,Pokedex!$AN:$AN=2),2)"),"0")</f>
        <v>0</v>
      </c>
      <c r="I84" s="913" t="n">
        <f aca="false">SUM(F84:H84)</f>
        <v>0</v>
      </c>
      <c r="J84" s="44"/>
      <c r="K84" s="341" t="s">
        <v>2087</v>
      </c>
      <c r="L84" s="341"/>
      <c r="M84" s="341"/>
      <c r="N84" s="341"/>
      <c r="O84" s="44"/>
      <c r="P84" s="44"/>
      <c r="Q84" s="44"/>
      <c r="R84" s="824"/>
      <c r="S84" s="638"/>
      <c r="T84" s="638"/>
      <c r="U84" s="638"/>
      <c r="V84" s="638"/>
      <c r="W84" s="638"/>
      <c r="X84" s="638"/>
      <c r="Y84" s="638"/>
      <c r="Z84" s="638"/>
      <c r="AA84" s="638"/>
      <c r="AB84" s="638"/>
      <c r="AC84" s="638"/>
      <c r="AD84" s="638"/>
      <c r="AE84" s="638"/>
    </row>
    <row r="85" customFormat="false" ht="15.75" hidden="false" customHeight="false" outlineLevel="0" collapsed="false">
      <c r="A85" s="915" t="s">
        <v>839</v>
      </c>
      <c r="B85" s="915"/>
      <c r="C85" s="906" t="str">
        <f aca="false">IFERROR(__xludf.dummyfunction("countif(FILTER(Pokedex!$AO:$AO,Pokedex!$A:$A=$L$1,Pokedex!$AO:$AO=0-2),0-2)"),"0")</f>
        <v>0</v>
      </c>
      <c r="D85" s="907" t="str">
        <f aca="false">IFERROR(__xludf.dummyfunction("countif(FILTER(Pokedex!$AO:$AO,Pokedex!$A:$A=$L$1,Pokedex!$AO:$AO=0-1),0-1)"),"0")</f>
        <v>0</v>
      </c>
      <c r="E85" s="907" t="n">
        <f aca="false">SUM(C85:D85)</f>
        <v>0</v>
      </c>
      <c r="F85" s="908" t="str">
        <f aca="false">IFERROR(__xludf.dummyfunction("countif(FILTER(Pokedex!$AO:$AO,Pokedex!$A:$A=$L$1,Pokedex!$AO:$AO=4),4)"),"2")</f>
        <v>2</v>
      </c>
      <c r="G85" s="909" t="str">
        <f aca="false">IFERROR(__xludf.dummyfunction("countif(FILTER(Pokedex!$AO:$AO,Pokedex!$A:$A=$L$1,Pokedex!$AO:$AO=1),1)"),"1")</f>
        <v>1</v>
      </c>
      <c r="H85" s="908" t="str">
        <f aca="false">IFERROR(__xludf.dummyfunction("countif(FILTER(Pokedex!$AO:$AO,Pokedex!$A:$A=$L$1,Pokedex!$AO:$AO=2),2)"),"0")</f>
        <v>0</v>
      </c>
      <c r="I85" s="908" t="n">
        <f aca="false">SUM(F85:H85)</f>
        <v>0</v>
      </c>
      <c r="J85" s="44"/>
      <c r="K85" s="891" t="str">
        <f aca="false">IFERROR(__xludf.dummyfunction("if(isna(filter($R$40:$R$51,isblank($R$40:$R$51)=FALSE)),""NONE"",filter($R$40:$R$51,isblank($R$40:$R$51)=FALSE))"),"Tsareena")</f>
        <v>Tsareena</v>
      </c>
      <c r="L85" s="891"/>
      <c r="M85" s="892" t="str">
        <f aca="false">IFERROR(__xludf.dummyfunction("if(isna(filter($S$40:$S$51,isblank($S$40:$S$51)=FALSE)),""N/A"",filter($S$40:$S$51,isblank($S$40:$S$51)=FALSE))"),"Aromatherapy")</f>
        <v>Aromatherapy</v>
      </c>
      <c r="N85" s="892"/>
      <c r="O85" s="44"/>
      <c r="P85" s="44"/>
      <c r="Q85" s="44"/>
      <c r="R85" s="824"/>
      <c r="S85" s="638"/>
      <c r="T85" s="638"/>
      <c r="U85" s="638"/>
      <c r="V85" s="638"/>
      <c r="W85" s="638"/>
      <c r="X85" s="638"/>
      <c r="Y85" s="638"/>
      <c r="Z85" s="638"/>
      <c r="AA85" s="638"/>
      <c r="AB85" s="638"/>
      <c r="AC85" s="638"/>
      <c r="AD85" s="638"/>
      <c r="AE85" s="638"/>
    </row>
    <row r="86" customFormat="false" ht="15.75" hidden="false" customHeight="false" outlineLevel="0" collapsed="false">
      <c r="A86" s="916" t="s">
        <v>843</v>
      </c>
      <c r="B86" s="916"/>
      <c r="C86" s="911" t="str">
        <f aca="false">IFERROR(__xludf.dummyfunction("countif(FILTER(Pokedex!$AP:$AP,Pokedex!$A:$A=$L$1,Pokedex!$AP:$AP=0-2),0-2)"),"0")</f>
        <v>0</v>
      </c>
      <c r="D86" s="912" t="str">
        <f aca="false">IFERROR(__xludf.dummyfunction("countif(FILTER(Pokedex!$AP:$AP,Pokedex!$A:$A=$L$1,Pokedex!$AP:$AP=0-1),0-1)"),"1")</f>
        <v>1</v>
      </c>
      <c r="E86" s="912" t="n">
        <f aca="false">SUM(C86:D86)</f>
        <v>0</v>
      </c>
      <c r="F86" s="913" t="str">
        <f aca="false">IFERROR(__xludf.dummyfunction("countif(FILTER(Pokedex!$AP:$AP,Pokedex!$A:$A=$L$1,Pokedex!$AP:$AP=4),4)"),"0")</f>
        <v>0</v>
      </c>
      <c r="G86" s="914" t="str">
        <f aca="false">IFERROR(__xludf.dummyfunction("countif(FILTER(Pokedex!$AP:$AP,Pokedex!$A:$A=$L$1,Pokedex!$AP:$AP=1),1)"),"2")</f>
        <v>2</v>
      </c>
      <c r="H86" s="913" t="str">
        <f aca="false">IFERROR(__xludf.dummyfunction("countif(FILTER(Pokedex!$AP:$AP,Pokedex!$A:$A=$L$1,Pokedex!$AP:$AP=2),2)"),"1")</f>
        <v>1</v>
      </c>
      <c r="I86" s="913" t="n">
        <f aca="false">SUM(F86:H86)</f>
        <v>0</v>
      </c>
      <c r="J86" s="44"/>
      <c r="K86" s="823" t="s">
        <v>72</v>
      </c>
      <c r="L86" s="823"/>
      <c r="M86" s="477" t="s">
        <v>1114</v>
      </c>
      <c r="N86" s="477"/>
      <c r="O86" s="44"/>
      <c r="P86" s="44"/>
      <c r="Q86" s="44"/>
      <c r="R86" s="824"/>
      <c r="S86" s="638"/>
      <c r="T86" s="638"/>
      <c r="U86" s="638"/>
      <c r="V86" s="638"/>
      <c r="W86" s="638"/>
      <c r="X86" s="638"/>
      <c r="Y86" s="638"/>
      <c r="Z86" s="638"/>
      <c r="AA86" s="638"/>
      <c r="AB86" s="638"/>
      <c r="AC86" s="638"/>
      <c r="AD86" s="638"/>
      <c r="AE86" s="638"/>
    </row>
    <row r="87" customFormat="false" ht="15.75" hidden="false" customHeight="false" outlineLevel="0" collapsed="false">
      <c r="A87" s="915" t="s">
        <v>828</v>
      </c>
      <c r="B87" s="915"/>
      <c r="C87" s="906" t="str">
        <f aca="false">IFERROR(__xludf.dummyfunction("countif(FILTER(Pokedex!$AQ:$AQ,Pokedex!$A:$A=$L$1,Pokedex!$AQ:$AQ=0-2),0-2)"),"0")</f>
        <v>0</v>
      </c>
      <c r="D87" s="907" t="str">
        <f aca="false">IFERROR(__xludf.dummyfunction("countif(FILTER(Pokedex!$AQ:$AQ,Pokedex!$A:$A=$L$1,Pokedex!$AQ:$AQ=0-1),0-1)"),"2")</f>
        <v>2</v>
      </c>
      <c r="E87" s="907" t="n">
        <f aca="false">SUM(C87:D87)</f>
        <v>0</v>
      </c>
      <c r="F87" s="908" t="str">
        <f aca="false">IFERROR(__xludf.dummyfunction("countif(FILTER(Pokedex!$AQ:$AQ,Pokedex!$A:$A=$L$1,Pokedex!$AQ:$AQ=4),4)"),"1")</f>
        <v>1</v>
      </c>
      <c r="G87" s="909" t="str">
        <f aca="false">IFERROR(__xludf.dummyfunction("countif(FILTER(Pokedex!$AQ:$AQ,Pokedex!$A:$A=$L$1,Pokedex!$AQ:$AQ=1),1)"),"1")</f>
        <v>1</v>
      </c>
      <c r="H87" s="908" t="str">
        <f aca="false">IFERROR(__xludf.dummyfunction("countif(FILTER(Pokedex!$AQ:$AQ,Pokedex!$A:$A=$L$1,Pokedex!$AQ:$AQ=2),2)"),"0")</f>
        <v>0</v>
      </c>
      <c r="I87" s="908" t="n">
        <f aca="false">SUM(F87:H87)</f>
        <v>0</v>
      </c>
      <c r="J87" s="44"/>
      <c r="K87" s="823" t="s">
        <v>80</v>
      </c>
      <c r="L87" s="823"/>
      <c r="M87" s="477" t="s">
        <v>1115</v>
      </c>
      <c r="N87" s="477"/>
      <c r="O87" s="44"/>
      <c r="P87" s="44"/>
      <c r="Q87" s="44"/>
      <c r="R87" s="824"/>
      <c r="S87" s="638"/>
      <c r="T87" s="638"/>
      <c r="U87" s="638"/>
      <c r="V87" s="638"/>
      <c r="W87" s="638"/>
      <c r="X87" s="638"/>
      <c r="Y87" s="638"/>
      <c r="Z87" s="638"/>
      <c r="AA87" s="638"/>
      <c r="AB87" s="638"/>
      <c r="AC87" s="638"/>
      <c r="AD87" s="638"/>
      <c r="AE87" s="638"/>
    </row>
    <row r="88" customFormat="false" ht="15.75" hidden="false" customHeight="false" outlineLevel="0" collapsed="false">
      <c r="A88" s="916" t="s">
        <v>809</v>
      </c>
      <c r="B88" s="916"/>
      <c r="C88" s="911" t="str">
        <f aca="false">IFERROR(__xludf.dummyfunction("countif(FILTER(Pokedex!$AR:$AR,Pokedex!$A:$A=$L$1,Pokedex!$AR:$AR=0-2),0-2)"),"0")</f>
        <v>0</v>
      </c>
      <c r="D88" s="912" t="str">
        <f aca="false">IFERROR(__xludf.dummyfunction("countif(FILTER(Pokedex!$AR:$AR,Pokedex!$A:$A=$L$1,Pokedex!$AR:$AR=0-1),0-1)"),"2")</f>
        <v>2</v>
      </c>
      <c r="E88" s="912" t="n">
        <f aca="false">SUM(C88:D88)</f>
        <v>0</v>
      </c>
      <c r="F88" s="913" t="str">
        <f aca="false">IFERROR(__xludf.dummyfunction("countif(FILTER(Pokedex!$AR:$AR,Pokedex!$A:$A=$L$1,Pokedex!$AR:$AR=4),4)"),"0")</f>
        <v>0</v>
      </c>
      <c r="G88" s="914" t="str">
        <f aca="false">IFERROR(__xludf.dummyfunction("countif(FILTER(Pokedex!$AR:$AR,Pokedex!$A:$A=$L$1,Pokedex!$AR:$AR=1),1)"),"2")</f>
        <v>2</v>
      </c>
      <c r="H88" s="913" t="str">
        <f aca="false">IFERROR(__xludf.dummyfunction("countif(FILTER(Pokedex!$AR:$AR,Pokedex!$A:$A=$L$1,Pokedex!$AR:$AR=2),2)"),"0")</f>
        <v>0</v>
      </c>
      <c r="I88" s="913" t="n">
        <f aca="false">SUM(F88:H88)</f>
        <v>0</v>
      </c>
      <c r="J88" s="44"/>
      <c r="K88" s="823"/>
      <c r="L88" s="823"/>
      <c r="M88" s="477"/>
      <c r="N88" s="477"/>
      <c r="O88" s="44"/>
      <c r="P88" s="44"/>
      <c r="Q88" s="44"/>
      <c r="R88" s="824"/>
      <c r="S88" s="638"/>
      <c r="T88" s="638"/>
      <c r="U88" s="638"/>
      <c r="V88" s="638"/>
      <c r="W88" s="638"/>
      <c r="X88" s="638"/>
      <c r="Y88" s="638"/>
      <c r="Z88" s="638"/>
      <c r="AA88" s="638"/>
      <c r="AB88" s="638"/>
      <c r="AC88" s="638"/>
      <c r="AD88" s="638"/>
      <c r="AE88" s="638"/>
    </row>
    <row r="89" customFormat="false" ht="15.75" hidden="false" customHeight="false" outlineLevel="0" collapsed="false">
      <c r="A89" s="915" t="s">
        <v>810</v>
      </c>
      <c r="B89" s="915"/>
      <c r="C89" s="906" t="str">
        <f aca="false">IFERROR(__xludf.dummyfunction("countif(FILTER(Pokedex!$AS:$AS,Pokedex!$A:$A=$L$1,Pokedex!$AS:$AS=0-2),0-2)"),"1")</f>
        <v>1</v>
      </c>
      <c r="D89" s="907" t="str">
        <f aca="false">IFERROR(__xludf.dummyfunction("countif(FILTER(Pokedex!$AS:$AS,Pokedex!$A:$A=$L$1,Pokedex!$AS:$AS=0-1),0-1)"),"2")</f>
        <v>2</v>
      </c>
      <c r="E89" s="907" t="n">
        <f aca="false">SUM(C89:D89)</f>
        <v>0</v>
      </c>
      <c r="F89" s="908" t="str">
        <f aca="false">IFERROR(__xludf.dummyfunction("countif(FILTER(Pokedex!$AS:$AS,Pokedex!$A:$A=$L$1,Pokedex!$AS:$AS=4),4)"),"0")</f>
        <v>0</v>
      </c>
      <c r="G89" s="909" t="str">
        <f aca="false">IFERROR(__xludf.dummyfunction("countif(FILTER(Pokedex!$AS:$AS,Pokedex!$A:$A=$L$1,Pokedex!$AS:$AS=1),1)"),"2")</f>
        <v>2</v>
      </c>
      <c r="H89" s="908" t="str">
        <f aca="false">IFERROR(__xludf.dummyfunction("countif(FILTER(Pokedex!$AS:$AS,Pokedex!$A:$A=$L$1,Pokedex!$AS:$AS=2),2)"),"0")</f>
        <v>0</v>
      </c>
      <c r="I89" s="908" t="n">
        <f aca="false">SUM(F89:H89)</f>
        <v>0</v>
      </c>
      <c r="J89" s="44"/>
      <c r="K89" s="823"/>
      <c r="L89" s="823"/>
      <c r="M89" s="477"/>
      <c r="N89" s="477"/>
      <c r="O89" s="44"/>
      <c r="P89" s="44"/>
      <c r="Q89" s="44"/>
      <c r="R89" s="824"/>
      <c r="S89" s="638"/>
      <c r="T89" s="638"/>
      <c r="U89" s="638"/>
      <c r="V89" s="638"/>
      <c r="W89" s="638"/>
      <c r="X89" s="638"/>
      <c r="Y89" s="638"/>
      <c r="Z89" s="638"/>
      <c r="AA89" s="638"/>
      <c r="AB89" s="638"/>
      <c r="AC89" s="638"/>
      <c r="AD89" s="638"/>
      <c r="AE89" s="638"/>
    </row>
    <row r="90" customFormat="false" ht="15.75" hidden="false" customHeight="false" outlineLevel="0" collapsed="false">
      <c r="A90" s="917" t="s">
        <v>811</v>
      </c>
      <c r="B90" s="917"/>
      <c r="C90" s="918" t="str">
        <f aca="false">IFERROR(__xludf.dummyfunction("countif(FILTER(Pokedex!$AT:$AT,Pokedex!$A:$A=$L$1,Pokedex!$AT:$AT=0-2),0-2)"),"0")</f>
        <v>0</v>
      </c>
      <c r="D90" s="919" t="str">
        <f aca="false">IFERROR(__xludf.dummyfunction("countif(FILTER(Pokedex!$AT:$AT,Pokedex!$A:$A=$L$1,Pokedex!$AT:$AT=0-1),0-1)"),"3")</f>
        <v>3</v>
      </c>
      <c r="E90" s="919" t="n">
        <f aca="false">SUM(C90:D90)</f>
        <v>0</v>
      </c>
      <c r="F90" s="920" t="str">
        <f aca="false">IFERROR(__xludf.dummyfunction("countif(FILTER(Pokedex!$AT:$AT,Pokedex!$A:$A=$L$1,Pokedex!$AT:$AT=4),4)"),"0")</f>
        <v>0</v>
      </c>
      <c r="G90" s="921" t="str">
        <f aca="false">IFERROR(__xludf.dummyfunction("countif(FILTER(Pokedex!$AT:$AT,Pokedex!$A:$A=$L$1,Pokedex!$AT:$AT=1),1)"),"3")</f>
        <v>3</v>
      </c>
      <c r="H90" s="920" t="str">
        <f aca="false">IFERROR(__xludf.dummyfunction("countif(FILTER(Pokedex!$AT:$AT,Pokedex!$A:$A=$L$1,Pokedex!$AT:$AT=2),2)"),"0")</f>
        <v>0</v>
      </c>
      <c r="I90" s="920" t="n">
        <f aca="false">SUM(F90:H90)</f>
        <v>0</v>
      </c>
      <c r="J90" s="44"/>
      <c r="K90" s="823"/>
      <c r="L90" s="823"/>
      <c r="M90" s="477"/>
      <c r="N90" s="477"/>
      <c r="O90" s="44"/>
      <c r="P90" s="44"/>
      <c r="Q90" s="44"/>
      <c r="R90" s="824"/>
      <c r="S90" s="638"/>
      <c r="T90" s="638"/>
      <c r="U90" s="638"/>
      <c r="V90" s="638"/>
      <c r="W90" s="638"/>
      <c r="X90" s="638"/>
      <c r="Y90" s="638"/>
      <c r="Z90" s="638"/>
      <c r="AA90" s="638"/>
      <c r="AB90" s="638"/>
      <c r="AC90" s="638"/>
      <c r="AD90" s="638"/>
      <c r="AE90" s="638"/>
    </row>
    <row r="91" customFormat="false" ht="15.75" hidden="false" customHeight="false" outlineLevel="0" collapsed="false">
      <c r="A91" s="922" t="s">
        <v>2088</v>
      </c>
      <c r="B91" s="922"/>
      <c r="C91" s="923" t="n">
        <f aca="false">SUM(C73:C90)</f>
        <v>0</v>
      </c>
      <c r="D91" s="924" t="n">
        <f aca="false">SUM(D73:D90)</f>
        <v>0</v>
      </c>
      <c r="E91" s="924" t="n">
        <f aca="false">SUM(E73:E90)</f>
        <v>0</v>
      </c>
      <c r="F91" s="925" t="n">
        <f aca="false">SUM(F73:F90)</f>
        <v>0</v>
      </c>
      <c r="G91" s="926" t="n">
        <f aca="false">SUM(G73:G90)</f>
        <v>0</v>
      </c>
      <c r="H91" s="925" t="n">
        <f aca="false">SUM(H73:H90)</f>
        <v>0</v>
      </c>
      <c r="I91" s="925" t="n">
        <f aca="false">SUM(I73:I90)</f>
        <v>0</v>
      </c>
      <c r="J91" s="44"/>
      <c r="K91" s="823"/>
      <c r="L91" s="823"/>
      <c r="M91" s="477"/>
      <c r="N91" s="477"/>
      <c r="O91" s="44"/>
      <c r="P91" s="44"/>
      <c r="Q91" s="44"/>
      <c r="R91" s="824"/>
      <c r="S91" s="638"/>
      <c r="T91" s="638"/>
      <c r="U91" s="638"/>
      <c r="V91" s="638"/>
      <c r="W91" s="638"/>
      <c r="X91" s="638"/>
      <c r="Y91" s="638"/>
      <c r="Z91" s="638"/>
      <c r="AA91" s="638"/>
      <c r="AB91" s="638"/>
      <c r="AC91" s="638"/>
      <c r="AD91" s="638"/>
      <c r="AE91" s="638"/>
    </row>
    <row r="92" customFormat="false" ht="15.75" hidden="false" customHeight="false" outlineLevel="0" collapsed="false">
      <c r="A92" s="245"/>
      <c r="B92" s="738"/>
      <c r="C92" s="900" t="s">
        <v>2082</v>
      </c>
      <c r="D92" s="901" t="s">
        <v>2083</v>
      </c>
      <c r="E92" s="901" t="s">
        <v>2063</v>
      </c>
      <c r="F92" s="902" t="s">
        <v>2084</v>
      </c>
      <c r="G92" s="903" t="s">
        <v>2085</v>
      </c>
      <c r="H92" s="904" t="s">
        <v>2086</v>
      </c>
      <c r="I92" s="904" t="s">
        <v>2063</v>
      </c>
      <c r="J92" s="44"/>
      <c r="K92" s="823"/>
      <c r="L92" s="823"/>
      <c r="M92" s="477"/>
      <c r="N92" s="477"/>
      <c r="O92" s="44"/>
      <c r="P92" s="44"/>
      <c r="Q92" s="44"/>
      <c r="R92" s="824"/>
      <c r="S92" s="638"/>
      <c r="T92" s="638"/>
      <c r="U92" s="638"/>
      <c r="V92" s="638"/>
      <c r="W92" s="638"/>
      <c r="X92" s="638"/>
      <c r="Y92" s="638"/>
      <c r="Z92" s="638"/>
      <c r="AA92" s="638"/>
      <c r="AB92" s="638"/>
      <c r="AC92" s="638"/>
      <c r="AD92" s="638"/>
      <c r="AE92" s="638"/>
    </row>
    <row r="93" customFormat="false" ht="15.75" hidden="false" customHeight="false" outlineLevel="0" collapsed="false">
      <c r="A93" s="245"/>
      <c r="B93" s="738"/>
      <c r="C93" s="929" t="s">
        <v>2079</v>
      </c>
      <c r="D93" s="929"/>
      <c r="E93" s="929"/>
      <c r="F93" s="939" t="s">
        <v>2080</v>
      </c>
      <c r="G93" s="939"/>
      <c r="H93" s="939"/>
      <c r="I93" s="939"/>
      <c r="J93" s="44"/>
      <c r="K93" s="823"/>
      <c r="L93" s="823"/>
      <c r="M93" s="477"/>
      <c r="N93" s="477"/>
      <c r="O93" s="44"/>
      <c r="P93" s="44"/>
      <c r="Q93" s="44"/>
      <c r="R93" s="824"/>
      <c r="S93" s="638"/>
      <c r="T93" s="638"/>
      <c r="U93" s="638"/>
      <c r="V93" s="638"/>
      <c r="W93" s="638"/>
      <c r="X93" s="638"/>
      <c r="Y93" s="638"/>
      <c r="Z93" s="638"/>
      <c r="AA93" s="638"/>
      <c r="AB93" s="638"/>
      <c r="AC93" s="638"/>
      <c r="AD93" s="638"/>
      <c r="AE93" s="638"/>
    </row>
    <row r="94" customFormat="false" ht="15.75" hidden="false" customHeight="false" outlineLevel="0" collapsed="false">
      <c r="A94" s="44"/>
      <c r="B94" s="44"/>
      <c r="C94" s="44"/>
      <c r="D94" s="44"/>
      <c r="E94" s="44"/>
      <c r="F94" s="44"/>
      <c r="G94" s="44"/>
      <c r="H94" s="44"/>
      <c r="I94" s="44"/>
      <c r="J94" s="44"/>
      <c r="K94" s="823"/>
      <c r="L94" s="823"/>
      <c r="M94" s="477"/>
      <c r="N94" s="477"/>
      <c r="O94" s="44"/>
      <c r="P94" s="44"/>
      <c r="Q94" s="44"/>
      <c r="R94" s="824"/>
      <c r="S94" s="638"/>
      <c r="T94" s="638"/>
      <c r="U94" s="638"/>
      <c r="V94" s="638"/>
      <c r="W94" s="638"/>
      <c r="X94" s="638"/>
      <c r="Y94" s="638"/>
      <c r="Z94" s="638"/>
      <c r="AA94" s="638"/>
      <c r="AB94" s="638"/>
      <c r="AC94" s="638"/>
      <c r="AD94" s="638"/>
      <c r="AE94" s="638"/>
    </row>
    <row r="95" customFormat="false" ht="15.75" hidden="false" customHeight="false" outlineLevel="0" collapsed="false">
      <c r="A95" s="44"/>
      <c r="B95" s="44"/>
      <c r="C95" s="44"/>
      <c r="D95" s="44"/>
      <c r="E95" s="44"/>
      <c r="F95" s="44"/>
      <c r="G95" s="44"/>
      <c r="H95" s="44"/>
      <c r="I95" s="44"/>
      <c r="J95" s="93"/>
      <c r="K95" s="893"/>
      <c r="L95" s="893"/>
      <c r="M95" s="831"/>
      <c r="N95" s="831"/>
      <c r="O95" s="44"/>
      <c r="P95" s="44"/>
      <c r="Q95" s="44"/>
      <c r="R95" s="824"/>
      <c r="S95" s="638"/>
      <c r="T95" s="638"/>
      <c r="U95" s="638"/>
      <c r="V95" s="638"/>
      <c r="W95" s="638"/>
      <c r="X95" s="638"/>
      <c r="Y95" s="638"/>
      <c r="Z95" s="638"/>
      <c r="AA95" s="638"/>
      <c r="AB95" s="638"/>
      <c r="AC95" s="638"/>
      <c r="AD95" s="638"/>
      <c r="AE95" s="638"/>
    </row>
    <row r="96" customFormat="false" ht="15.75" hidden="false" customHeight="false" outlineLevel="0" collapsed="false">
      <c r="O96" s="44"/>
      <c r="P96" s="44"/>
      <c r="Q96" s="44"/>
      <c r="R96" s="824"/>
      <c r="S96" s="638"/>
      <c r="T96" s="638"/>
      <c r="U96" s="638"/>
      <c r="V96" s="638"/>
      <c r="W96" s="638"/>
      <c r="X96" s="638"/>
      <c r="Y96" s="638"/>
      <c r="Z96" s="638"/>
      <c r="AA96" s="638"/>
      <c r="AB96" s="638"/>
      <c r="AC96" s="638"/>
      <c r="AD96" s="638"/>
      <c r="AE96" s="638"/>
    </row>
    <row r="97" customFormat="false" ht="15.75" hidden="false" customHeight="false" outlineLevel="0" collapsed="false">
      <c r="A97" s="44"/>
      <c r="B97" s="44"/>
      <c r="C97" s="44"/>
      <c r="D97" s="44"/>
      <c r="E97" s="44"/>
      <c r="F97" s="44"/>
      <c r="G97" s="44"/>
      <c r="H97" s="44"/>
      <c r="I97" s="44"/>
      <c r="J97" s="44"/>
      <c r="K97" s="44"/>
      <c r="L97" s="44"/>
      <c r="M97" s="44"/>
      <c r="N97" s="44"/>
      <c r="O97" s="44"/>
      <c r="P97" s="44"/>
      <c r="Q97" s="44"/>
      <c r="R97" s="824"/>
      <c r="S97" s="638"/>
      <c r="T97" s="638"/>
      <c r="U97" s="638"/>
      <c r="V97" s="638"/>
      <c r="W97" s="638"/>
      <c r="X97" s="638"/>
      <c r="Y97" s="638"/>
      <c r="Z97" s="638"/>
      <c r="AA97" s="638"/>
      <c r="AB97" s="638"/>
      <c r="AC97" s="638"/>
      <c r="AD97" s="638"/>
      <c r="AE97" s="638"/>
    </row>
    <row r="98" customFormat="false" ht="15.75" hidden="false" customHeight="false" outlineLevel="0" collapsed="false">
      <c r="A98" s="44"/>
      <c r="B98" s="44"/>
      <c r="C98" s="44"/>
      <c r="D98" s="44"/>
      <c r="E98" s="44"/>
      <c r="F98" s="44"/>
      <c r="G98" s="44"/>
      <c r="H98" s="44"/>
      <c r="I98" s="44"/>
      <c r="J98" s="44"/>
      <c r="K98" s="44"/>
      <c r="L98" s="44"/>
      <c r="M98" s="44"/>
      <c r="N98" s="44"/>
      <c r="O98" s="44"/>
      <c r="P98" s="44"/>
      <c r="Q98" s="44"/>
      <c r="R98" s="824"/>
      <c r="S98" s="638"/>
      <c r="T98" s="638"/>
      <c r="U98" s="638"/>
      <c r="V98" s="638"/>
      <c r="W98" s="638"/>
      <c r="X98" s="638"/>
      <c r="Y98" s="638"/>
      <c r="Z98" s="638"/>
      <c r="AA98" s="638"/>
      <c r="AB98" s="638"/>
      <c r="AC98" s="638"/>
      <c r="AD98" s="638"/>
      <c r="AE98" s="638"/>
    </row>
    <row r="99" customFormat="false" ht="15.75" hidden="false" customHeight="false" outlineLevel="0" collapsed="false">
      <c r="A99" s="245"/>
      <c r="B99" s="245"/>
      <c r="C99" s="2"/>
      <c r="D99" s="2"/>
      <c r="E99" s="2"/>
      <c r="F99" s="2"/>
      <c r="G99" s="2"/>
      <c r="H99" s="2"/>
      <c r="I99" s="2"/>
      <c r="J99" s="93"/>
      <c r="K99" s="931"/>
      <c r="L99" s="931"/>
      <c r="M99" s="93"/>
      <c r="N99" s="931"/>
      <c r="O99" s="44"/>
      <c r="P99" s="44"/>
      <c r="Q99" s="44"/>
      <c r="R99" s="824"/>
      <c r="S99" s="638"/>
      <c r="T99" s="638"/>
      <c r="U99" s="638"/>
      <c r="V99" s="638"/>
      <c r="W99" s="638"/>
      <c r="X99" s="638"/>
      <c r="Y99" s="638"/>
      <c r="Z99" s="638"/>
      <c r="AA99" s="638"/>
      <c r="AB99" s="638"/>
      <c r="AC99" s="638"/>
      <c r="AD99" s="638"/>
      <c r="AE99" s="638"/>
    </row>
    <row r="100" customFormat="false" ht="15.75" hidden="false" customHeight="false" outlineLevel="0" collapsed="false">
      <c r="A100" s="245"/>
      <c r="B100" s="245"/>
      <c r="C100" s="931"/>
      <c r="D100" s="93"/>
      <c r="E100" s="931"/>
      <c r="F100" s="931"/>
      <c r="G100" s="93"/>
      <c r="H100" s="931"/>
      <c r="I100" s="931"/>
      <c r="J100" s="93"/>
      <c r="K100" s="931"/>
      <c r="L100" s="931"/>
      <c r="M100" s="93"/>
      <c r="N100" s="931"/>
      <c r="O100" s="44"/>
      <c r="P100" s="44"/>
      <c r="Q100" s="44"/>
      <c r="R100" s="824"/>
      <c r="S100" s="638"/>
      <c r="T100" s="638"/>
      <c r="U100" s="638"/>
      <c r="V100" s="638"/>
      <c r="W100" s="638"/>
      <c r="X100" s="638"/>
      <c r="Y100" s="638"/>
      <c r="Z100" s="638"/>
      <c r="AA100" s="638"/>
      <c r="AB100" s="638"/>
      <c r="AC100" s="638"/>
      <c r="AD100" s="638"/>
      <c r="AE100" s="638"/>
    </row>
  </sheetData>
  <mergeCells count="373">
    <mergeCell ref="A1:D8"/>
    <mergeCell ref="E1:F1"/>
    <mergeCell ref="G1:J1"/>
    <mergeCell ref="L1:N1"/>
    <mergeCell ref="R1:S1"/>
    <mergeCell ref="E2:F2"/>
    <mergeCell ref="G2:N2"/>
    <mergeCell ref="E3:F3"/>
    <mergeCell ref="G3:N3"/>
    <mergeCell ref="E4:F4"/>
    <mergeCell ref="G4:N4"/>
    <mergeCell ref="E5:F5"/>
    <mergeCell ref="G5:N5"/>
    <mergeCell ref="E6:F6"/>
    <mergeCell ref="G6:N6"/>
    <mergeCell ref="E7:F7"/>
    <mergeCell ref="G7:N7"/>
    <mergeCell ref="A9:D9"/>
    <mergeCell ref="I9:L9"/>
    <mergeCell ref="A10:B11"/>
    <mergeCell ref="C10:I10"/>
    <mergeCell ref="J10:M10"/>
    <mergeCell ref="J11:M11"/>
    <mergeCell ref="A12:B12"/>
    <mergeCell ref="J12:M12"/>
    <mergeCell ref="A13:B13"/>
    <mergeCell ref="J13:M13"/>
    <mergeCell ref="A14:B14"/>
    <mergeCell ref="J14:M14"/>
    <mergeCell ref="A15:B15"/>
    <mergeCell ref="A16:B16"/>
    <mergeCell ref="A17:B17"/>
    <mergeCell ref="A18:B18"/>
    <mergeCell ref="A19:B19"/>
    <mergeCell ref="R19:S19"/>
    <mergeCell ref="A20:B20"/>
    <mergeCell ref="A21:B21"/>
    <mergeCell ref="A22:B22"/>
    <mergeCell ref="A23:C23"/>
    <mergeCell ref="A27:C27"/>
    <mergeCell ref="D27:F27"/>
    <mergeCell ref="G27:H27"/>
    <mergeCell ref="J27:L27"/>
    <mergeCell ref="A28:C28"/>
    <mergeCell ref="D28:F28"/>
    <mergeCell ref="G28:H28"/>
    <mergeCell ref="J28:L28"/>
    <mergeCell ref="A29:C29"/>
    <mergeCell ref="D29:F29"/>
    <mergeCell ref="G29:H29"/>
    <mergeCell ref="J29:L29"/>
    <mergeCell ref="A30:C30"/>
    <mergeCell ref="D30:F30"/>
    <mergeCell ref="G30:H30"/>
    <mergeCell ref="J30:M30"/>
    <mergeCell ref="A32:C32"/>
    <mergeCell ref="D32:F32"/>
    <mergeCell ref="G32:H32"/>
    <mergeCell ref="I32:J32"/>
    <mergeCell ref="K32:N32"/>
    <mergeCell ref="A33:C33"/>
    <mergeCell ref="D33:F33"/>
    <mergeCell ref="G33:H33"/>
    <mergeCell ref="I33:J33"/>
    <mergeCell ref="K33:N33"/>
    <mergeCell ref="A34:C34"/>
    <mergeCell ref="D34:F34"/>
    <mergeCell ref="G34:H34"/>
    <mergeCell ref="I34:J34"/>
    <mergeCell ref="K34:N34"/>
    <mergeCell ref="A35:C35"/>
    <mergeCell ref="D35:F35"/>
    <mergeCell ref="G35:H35"/>
    <mergeCell ref="I35:J35"/>
    <mergeCell ref="K35:N35"/>
    <mergeCell ref="A36:C36"/>
    <mergeCell ref="D36:F36"/>
    <mergeCell ref="G36:H36"/>
    <mergeCell ref="I36:J36"/>
    <mergeCell ref="K36:N36"/>
    <mergeCell ref="A37:C37"/>
    <mergeCell ref="D37:F37"/>
    <mergeCell ref="G37:H37"/>
    <mergeCell ref="I37:J37"/>
    <mergeCell ref="K37:N37"/>
    <mergeCell ref="A38:C38"/>
    <mergeCell ref="D38:F38"/>
    <mergeCell ref="G38:H38"/>
    <mergeCell ref="I38:J38"/>
    <mergeCell ref="K38:N38"/>
    <mergeCell ref="A39:C39"/>
    <mergeCell ref="D39:F39"/>
    <mergeCell ref="G39:H39"/>
    <mergeCell ref="I39:J39"/>
    <mergeCell ref="K39:N39"/>
    <mergeCell ref="R39:S39"/>
    <mergeCell ref="A40:C40"/>
    <mergeCell ref="D40:F40"/>
    <mergeCell ref="G40:H40"/>
    <mergeCell ref="I40:J40"/>
    <mergeCell ref="K40:N40"/>
    <mergeCell ref="A41:C41"/>
    <mergeCell ref="D41:F41"/>
    <mergeCell ref="G41:H41"/>
    <mergeCell ref="I41:J41"/>
    <mergeCell ref="K41:N41"/>
    <mergeCell ref="A43:C43"/>
    <mergeCell ref="K43:L43"/>
    <mergeCell ref="M43:N43"/>
    <mergeCell ref="A44:C44"/>
    <mergeCell ref="K44:L44"/>
    <mergeCell ref="M44:N44"/>
    <mergeCell ref="A45:C45"/>
    <mergeCell ref="K45:L45"/>
    <mergeCell ref="M45:N45"/>
    <mergeCell ref="A46:C46"/>
    <mergeCell ref="K46:L46"/>
    <mergeCell ref="M46:N46"/>
    <mergeCell ref="A47:C47"/>
    <mergeCell ref="K47:L47"/>
    <mergeCell ref="M47:N47"/>
    <mergeCell ref="A48:C48"/>
    <mergeCell ref="K48:L48"/>
    <mergeCell ref="M48:N48"/>
    <mergeCell ref="A49:C49"/>
    <mergeCell ref="K49:L49"/>
    <mergeCell ref="M49:N49"/>
    <mergeCell ref="A50:C50"/>
    <mergeCell ref="K50:L50"/>
    <mergeCell ref="M50:N50"/>
    <mergeCell ref="A51:C51"/>
    <mergeCell ref="K51:L51"/>
    <mergeCell ref="M51:N51"/>
    <mergeCell ref="A52:C52"/>
    <mergeCell ref="K52:L52"/>
    <mergeCell ref="M52:N52"/>
    <mergeCell ref="A53:C53"/>
    <mergeCell ref="K53:L53"/>
    <mergeCell ref="M53:N53"/>
    <mergeCell ref="A54:C54"/>
    <mergeCell ref="K54:L54"/>
    <mergeCell ref="M54:N54"/>
    <mergeCell ref="Q54:S54"/>
    <mergeCell ref="T54:V54"/>
    <mergeCell ref="W54:X54"/>
    <mergeCell ref="Y54:Z54"/>
    <mergeCell ref="AA54:AD54"/>
    <mergeCell ref="A55:C55"/>
    <mergeCell ref="Q55:S55"/>
    <mergeCell ref="T55:V55"/>
    <mergeCell ref="W55:X55"/>
    <mergeCell ref="Y55:Z55"/>
    <mergeCell ref="AA55:AD55"/>
    <mergeCell ref="A56:C56"/>
    <mergeCell ref="Q56:S56"/>
    <mergeCell ref="T56:V56"/>
    <mergeCell ref="W56:X56"/>
    <mergeCell ref="Y56:Z56"/>
    <mergeCell ref="AA56:AD56"/>
    <mergeCell ref="Q57:S57"/>
    <mergeCell ref="T57:V57"/>
    <mergeCell ref="W57:X57"/>
    <mergeCell ref="Y57:Z57"/>
    <mergeCell ref="AA57:AD57"/>
    <mergeCell ref="A58:C58"/>
    <mergeCell ref="D58:I58"/>
    <mergeCell ref="K58:N58"/>
    <mergeCell ref="Q58:S58"/>
    <mergeCell ref="T58:V58"/>
    <mergeCell ref="W58:X58"/>
    <mergeCell ref="Y58:Z58"/>
    <mergeCell ref="AA58:AD58"/>
    <mergeCell ref="A59:C59"/>
    <mergeCell ref="D59:E59"/>
    <mergeCell ref="F59:G59"/>
    <mergeCell ref="H59:I59"/>
    <mergeCell ref="K59:L59"/>
    <mergeCell ref="M59:N59"/>
    <mergeCell ref="Q59:S59"/>
    <mergeCell ref="T59:V59"/>
    <mergeCell ref="W59:X59"/>
    <mergeCell ref="Y59:Z59"/>
    <mergeCell ref="AA59:AD59"/>
    <mergeCell ref="A60:C60"/>
    <mergeCell ref="D60:E60"/>
    <mergeCell ref="F60:G60"/>
    <mergeCell ref="H60:I60"/>
    <mergeCell ref="K60:L60"/>
    <mergeCell ref="M60:N60"/>
    <mergeCell ref="Q60:S60"/>
    <mergeCell ref="T60:V60"/>
    <mergeCell ref="W60:X60"/>
    <mergeCell ref="Y60:Z60"/>
    <mergeCell ref="AA60:AD60"/>
    <mergeCell ref="A61:C61"/>
    <mergeCell ref="D61:E61"/>
    <mergeCell ref="F61:G61"/>
    <mergeCell ref="H61:I61"/>
    <mergeCell ref="K61:L61"/>
    <mergeCell ref="M61:N61"/>
    <mergeCell ref="Q61:S61"/>
    <mergeCell ref="T61:V61"/>
    <mergeCell ref="W61:X61"/>
    <mergeCell ref="Y61:Z61"/>
    <mergeCell ref="AA61:AD61"/>
    <mergeCell ref="A62:C62"/>
    <mergeCell ref="D62:E62"/>
    <mergeCell ref="F62:G62"/>
    <mergeCell ref="H62:I62"/>
    <mergeCell ref="K62:L62"/>
    <mergeCell ref="M62:N62"/>
    <mergeCell ref="Q62:S62"/>
    <mergeCell ref="T62:V62"/>
    <mergeCell ref="W62:X62"/>
    <mergeCell ref="Y62:Z62"/>
    <mergeCell ref="AA62:AD62"/>
    <mergeCell ref="A63:C63"/>
    <mergeCell ref="D63:E63"/>
    <mergeCell ref="F63:G63"/>
    <mergeCell ref="H63:I63"/>
    <mergeCell ref="K63:L63"/>
    <mergeCell ref="M63:N63"/>
    <mergeCell ref="Q63:S63"/>
    <mergeCell ref="T63:V63"/>
    <mergeCell ref="W63:X63"/>
    <mergeCell ref="Y63:Z63"/>
    <mergeCell ref="AA63:AD63"/>
    <mergeCell ref="A64:C64"/>
    <mergeCell ref="D64:E64"/>
    <mergeCell ref="F64:G64"/>
    <mergeCell ref="H64:I64"/>
    <mergeCell ref="K64:L64"/>
    <mergeCell ref="M64:N64"/>
    <mergeCell ref="Q64:S64"/>
    <mergeCell ref="T64:V64"/>
    <mergeCell ref="W64:X64"/>
    <mergeCell ref="Y64:Z64"/>
    <mergeCell ref="AA64:AD64"/>
    <mergeCell ref="A65:C65"/>
    <mergeCell ref="D65:E65"/>
    <mergeCell ref="F65:G65"/>
    <mergeCell ref="H65:I65"/>
    <mergeCell ref="K65:L65"/>
    <mergeCell ref="M65:N65"/>
    <mergeCell ref="Q65:S65"/>
    <mergeCell ref="T65:V65"/>
    <mergeCell ref="W65:X65"/>
    <mergeCell ref="Y65:Z65"/>
    <mergeCell ref="AA65:AD65"/>
    <mergeCell ref="A66:C66"/>
    <mergeCell ref="D66:E66"/>
    <mergeCell ref="F66:G66"/>
    <mergeCell ref="H66:I66"/>
    <mergeCell ref="K66:L66"/>
    <mergeCell ref="M66:N66"/>
    <mergeCell ref="Q66:S66"/>
    <mergeCell ref="T66:V66"/>
    <mergeCell ref="W66:X66"/>
    <mergeCell ref="Y66:Z66"/>
    <mergeCell ref="AA66:AD66"/>
    <mergeCell ref="A67:C67"/>
    <mergeCell ref="D67:E67"/>
    <mergeCell ref="F67:G67"/>
    <mergeCell ref="H67:I67"/>
    <mergeCell ref="K67:L67"/>
    <mergeCell ref="M67:N67"/>
    <mergeCell ref="Q67:S67"/>
    <mergeCell ref="T67:V67"/>
    <mergeCell ref="W67:X67"/>
    <mergeCell ref="Y67:Z67"/>
    <mergeCell ref="AA67:AD67"/>
    <mergeCell ref="A68:C68"/>
    <mergeCell ref="D68:E68"/>
    <mergeCell ref="F68:G68"/>
    <mergeCell ref="H68:I68"/>
    <mergeCell ref="K68:L68"/>
    <mergeCell ref="M68:N68"/>
    <mergeCell ref="Q68:S68"/>
    <mergeCell ref="T68:V68"/>
    <mergeCell ref="W68:X68"/>
    <mergeCell ref="Y68:Z68"/>
    <mergeCell ref="AA68:AD68"/>
    <mergeCell ref="A69:C69"/>
    <mergeCell ref="D69:E69"/>
    <mergeCell ref="F69:G69"/>
    <mergeCell ref="H69:I69"/>
    <mergeCell ref="K69:L69"/>
    <mergeCell ref="M69:N69"/>
    <mergeCell ref="Q69:S69"/>
    <mergeCell ref="T69:V69"/>
    <mergeCell ref="W69:X69"/>
    <mergeCell ref="Y69:Z69"/>
    <mergeCell ref="AA69:AD69"/>
    <mergeCell ref="Q70:S70"/>
    <mergeCell ref="T70:V70"/>
    <mergeCell ref="W70:X70"/>
    <mergeCell ref="Y70:Z70"/>
    <mergeCell ref="AA70:AD70"/>
    <mergeCell ref="A71:B72"/>
    <mergeCell ref="C71:E71"/>
    <mergeCell ref="F71:I71"/>
    <mergeCell ref="K71:N71"/>
    <mergeCell ref="Q71:S71"/>
    <mergeCell ref="T71:V71"/>
    <mergeCell ref="W71:X71"/>
    <mergeCell ref="Y71:Z71"/>
    <mergeCell ref="AA71:AD71"/>
    <mergeCell ref="K72:L72"/>
    <mergeCell ref="M72:N72"/>
    <mergeCell ref="A73:B73"/>
    <mergeCell ref="K73:L73"/>
    <mergeCell ref="M73:N73"/>
    <mergeCell ref="A74:B74"/>
    <mergeCell ref="K74:L74"/>
    <mergeCell ref="M74:N74"/>
    <mergeCell ref="A75:B75"/>
    <mergeCell ref="K75:L75"/>
    <mergeCell ref="M75:N75"/>
    <mergeCell ref="A76:B76"/>
    <mergeCell ref="K76:L76"/>
    <mergeCell ref="M76:N76"/>
    <mergeCell ref="A77:B77"/>
    <mergeCell ref="K77:L77"/>
    <mergeCell ref="M77:N77"/>
    <mergeCell ref="A78:B78"/>
    <mergeCell ref="K78:L78"/>
    <mergeCell ref="M78:N78"/>
    <mergeCell ref="A79:B79"/>
    <mergeCell ref="K79:L79"/>
    <mergeCell ref="M79:N79"/>
    <mergeCell ref="A80:B80"/>
    <mergeCell ref="K80:L80"/>
    <mergeCell ref="M80:N80"/>
    <mergeCell ref="A81:B81"/>
    <mergeCell ref="K81:L81"/>
    <mergeCell ref="M81:N81"/>
    <mergeCell ref="A82:B82"/>
    <mergeCell ref="K82:L82"/>
    <mergeCell ref="M82:N82"/>
    <mergeCell ref="A83:B83"/>
    <mergeCell ref="A84:B84"/>
    <mergeCell ref="K84:N84"/>
    <mergeCell ref="A85:B85"/>
    <mergeCell ref="K85:L85"/>
    <mergeCell ref="M85:N85"/>
    <mergeCell ref="A86:B86"/>
    <mergeCell ref="K86:L86"/>
    <mergeCell ref="M86:N86"/>
    <mergeCell ref="A87:B87"/>
    <mergeCell ref="K87:L87"/>
    <mergeCell ref="M87:N87"/>
    <mergeCell ref="A88:B88"/>
    <mergeCell ref="K88:L88"/>
    <mergeCell ref="M88:N88"/>
    <mergeCell ref="A89:B89"/>
    <mergeCell ref="K89:L89"/>
    <mergeCell ref="M89:N89"/>
    <mergeCell ref="A90:B90"/>
    <mergeCell ref="K90:L90"/>
    <mergeCell ref="M90:N90"/>
    <mergeCell ref="A91:B91"/>
    <mergeCell ref="K91:L91"/>
    <mergeCell ref="M91:N91"/>
    <mergeCell ref="K92:L92"/>
    <mergeCell ref="M92:N92"/>
    <mergeCell ref="C93:E93"/>
    <mergeCell ref="F93:I93"/>
    <mergeCell ref="K93:L93"/>
    <mergeCell ref="M93:N93"/>
    <mergeCell ref="K94:L94"/>
    <mergeCell ref="M94:N94"/>
    <mergeCell ref="K95:L95"/>
    <mergeCell ref="M95:N95"/>
  </mergeCells>
  <conditionalFormatting sqref="J29:M30">
    <cfRule type="containsText" priority="2" aboveAverage="0" equalAverage="0" bottom="0" percent="0" rank="0" text="ERROR" dxfId="1"/>
  </conditionalFormatting>
  <conditionalFormatting sqref="N9">
    <cfRule type="notContainsText" priority="3" aboveAverage="0" equalAverage="0" bottom="0" percent="0" rank="0" text="OUT" dxfId="0"/>
  </conditionalFormatting>
  <conditionalFormatting sqref="N9">
    <cfRule type="containsText" priority="4" aboveAverage="0" equalAverage="0" bottom="0" percent="0" rank="0" text="OUT" dxfId="1"/>
  </conditionalFormatting>
  <conditionalFormatting sqref="N8">
    <cfRule type="containsText" priority="5" aboveAverage="0" equalAverage="0" bottom="0" percent="0" rank="0" text="Win" dxfId="3"/>
  </conditionalFormatting>
  <conditionalFormatting sqref="N8">
    <cfRule type="containsText" priority="6" aboveAverage="0" equalAverage="0" bottom="0" percent="0" rank="0" text="Lose" dxfId="4"/>
  </conditionalFormatting>
  <conditionalFormatting sqref="M27">
    <cfRule type="cellIs" priority="7" operator="lessThanOrEqual" aboveAverage="0" equalAverage="0" bottom="0" percent="0" rank="0" text="" dxfId="4">
      <formula>0</formula>
    </cfRule>
  </conditionalFormatting>
  <conditionalFormatting sqref="M27">
    <cfRule type="cellIs" priority="8" operator="greaterThan" aboveAverage="0" equalAverage="0" bottom="0" percent="0" rank="0" text="" dxfId="3">
      <formula>0</formula>
    </cfRule>
  </conditionalFormatting>
  <conditionalFormatting sqref="A12:I22,A44:N54,A59:I69">
    <cfRule type="expression" priority="9" aboveAverage="0" equalAverage="0" bottom="0" percent="0" rank="0" text="" dxfId="0">
      <formula>AND(NOT(ISBLANK($A:$A)),$A:$A=$J$11)</formula>
    </cfRule>
  </conditionalFormatting>
  <conditionalFormatting sqref="A12:I22,A44:N54,A59:I69">
    <cfRule type="expression" priority="10" aboveAverage="0" equalAverage="0" bottom="0" percent="0" rank="0" text="" dxfId="1">
      <formula>AND(NOT(ISBLANK($A:$A)),$A:$A=$J$13)</formula>
    </cfRule>
  </conditionalFormatting>
  <conditionalFormatting sqref="A12:I22,A44:N54,A59:I69">
    <cfRule type="expression" priority="11" aboveAverage="0" equalAverage="0" bottom="0" percent="0" rank="0" text="" dxfId="1">
      <formula>AND(NOT(ISBLANK($A:$A)),$A:$A=$J$14)</formula>
    </cfRule>
  </conditionalFormatting>
  <printOptions headings="false" gridLines="false" gridLinesSet="true" horizontalCentered="false" verticalCentered="false"/>
  <pageMargins left="0.747916666666667" right="0.747916666666667" top="0.984027777777778" bottom="0.984027777777778" header="0.511805555555555" footer="0.511805555555555"/>
  <pageSetup paperSize="1" scale="100" firstPageNumber="0" fitToWidth="1" fitToHeight="1" pageOrder="downThenOver" orientation="portrait" usePrinterDefaults="false" blackAndWhite="false" draft="false" cellComments="none" useFirstPageNumber="false" horizontalDpi="300" verticalDpi="300" copies="1"/>
  <headerFooter differentFirst="false" differentOddEven="false">
    <oddHeader/>
    <oddFooter/>
  </headerFooter>
  <drawing r:id="rId1"/>
</worksheet>
</file>

<file path=xl/worksheets/sheet2.xml><?xml version="1.0" encoding="utf-8"?>
<worksheet xmlns="http://schemas.openxmlformats.org/spreadsheetml/2006/main" xmlns:r="http://schemas.openxmlformats.org/officeDocument/2006/relationships">
  <sheetPr filterMode="false">
    <pageSetUpPr fitToPage="false"/>
  </sheetPr>
  <dimension ref="A1:AH59"/>
  <sheetViews>
    <sheetView windowProtection="false"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A1" activeCellId="0" sqref="A1"/>
    </sheetView>
  </sheetViews>
  <sheetFormatPr defaultRowHeight="15.75"/>
  <cols>
    <col collapsed="false" hidden="false" max="29" min="1" style="0" width="7.1530612244898"/>
    <col collapsed="false" hidden="true" max="34" min="30" style="0" width="0"/>
    <col collapsed="false" hidden="false" max="1025" min="35" style="0" width="14.1734693877551"/>
  </cols>
  <sheetData>
    <row r="1" customFormat="false" ht="15.75" hidden="false" customHeight="false" outlineLevel="0" collapsed="false">
      <c r="A1" s="59" t="s">
        <v>127</v>
      </c>
      <c r="B1" s="59"/>
      <c r="C1" s="59"/>
      <c r="D1" s="59"/>
      <c r="E1" s="59"/>
      <c r="F1" s="59"/>
      <c r="G1" s="59"/>
      <c r="H1" s="59"/>
      <c r="I1" s="59"/>
      <c r="J1" s="44"/>
      <c r="K1" s="59" t="s">
        <v>128</v>
      </c>
      <c r="L1" s="59"/>
      <c r="M1" s="59"/>
      <c r="N1" s="59"/>
      <c r="O1" s="59"/>
      <c r="P1" s="59"/>
      <c r="Q1" s="59"/>
      <c r="R1" s="59"/>
      <c r="S1" s="59"/>
      <c r="T1" s="44"/>
      <c r="U1" s="59" t="s">
        <v>129</v>
      </c>
      <c r="V1" s="59"/>
      <c r="W1" s="59"/>
      <c r="X1" s="59"/>
      <c r="Y1" s="59"/>
      <c r="Z1" s="59"/>
      <c r="AA1" s="59"/>
      <c r="AB1" s="59"/>
      <c r="AC1" s="59"/>
      <c r="AD1" s="44"/>
      <c r="AE1" s="60" t="str">
        <f aca="false">BBG!$L$1</f>
        <v>BBG</v>
      </c>
      <c r="AF1" s="61" t="str">
        <f aca="false">BBG!$G$1</f>
        <v>Berlin Bronzong</v>
      </c>
      <c r="AG1" s="61"/>
      <c r="AH1" s="61"/>
    </row>
    <row r="2" customFormat="false" ht="15.75" hidden="false" customHeight="false" outlineLevel="0" collapsed="false">
      <c r="A2" s="62"/>
      <c r="B2" s="63" t="s">
        <v>4</v>
      </c>
      <c r="C2" s="63"/>
      <c r="D2" s="63"/>
      <c r="E2" s="64"/>
      <c r="F2" s="65" t="s">
        <v>8</v>
      </c>
      <c r="G2" s="65"/>
      <c r="H2" s="65"/>
      <c r="I2" s="66"/>
      <c r="J2" s="44"/>
      <c r="K2" s="66"/>
      <c r="L2" s="63" t="s">
        <v>4</v>
      </c>
      <c r="M2" s="63"/>
      <c r="N2" s="63"/>
      <c r="O2" s="64"/>
      <c r="P2" s="65" t="s">
        <v>8</v>
      </c>
      <c r="Q2" s="65"/>
      <c r="R2" s="65"/>
      <c r="S2" s="66"/>
      <c r="T2" s="44"/>
      <c r="U2" s="67"/>
      <c r="V2" s="63" t="s">
        <v>4</v>
      </c>
      <c r="W2" s="63"/>
      <c r="X2" s="63"/>
      <c r="Y2" s="64"/>
      <c r="Z2" s="65" t="s">
        <v>8</v>
      </c>
      <c r="AA2" s="65"/>
      <c r="AB2" s="65"/>
      <c r="AC2" s="66"/>
      <c r="AD2" s="44"/>
      <c r="AE2" s="68" t="str">
        <f aca="false">SEA!$L$1</f>
        <v>SEA</v>
      </c>
      <c r="AF2" s="61" t="str">
        <f aca="false">SEA!$G$1</f>
        <v>Seattle Seadras</v>
      </c>
      <c r="AG2" s="61"/>
      <c r="AH2" s="61"/>
    </row>
    <row r="3" customFormat="false" ht="15.75" hidden="false" customHeight="false" outlineLevel="0" collapsed="false">
      <c r="A3" s="67" t="str">
        <f aca="false">KKS!$L$1</f>
        <v>KKS</v>
      </c>
      <c r="B3" s="69" t="str">
        <f aca="false">KKS!$G$1</f>
        <v>Kingston Kecleons</v>
      </c>
      <c r="C3" s="69"/>
      <c r="D3" s="69"/>
      <c r="E3" s="70" t="s">
        <v>130</v>
      </c>
      <c r="F3" s="71" t="str">
        <f aca="false">JVJ!$G$1</f>
        <v>Jacksonville Jumpluffs</v>
      </c>
      <c r="G3" s="71"/>
      <c r="H3" s="71"/>
      <c r="I3" s="67" t="str">
        <f aca="false">JVJ!$L$1</f>
        <v>JVJ</v>
      </c>
      <c r="J3" s="44"/>
      <c r="K3" s="67" t="str">
        <f aca="false">LVC!$L$1</f>
        <v>LVC</v>
      </c>
      <c r="L3" s="72" t="str">
        <f aca="false">LVC!$G$1</f>
        <v>Louisville Crobats</v>
      </c>
      <c r="M3" s="72"/>
      <c r="N3" s="72"/>
      <c r="O3" s="70" t="s">
        <v>130</v>
      </c>
      <c r="P3" s="71" t="str">
        <f aca="false">KKS!$G$1</f>
        <v>Kingston Kecleons</v>
      </c>
      <c r="Q3" s="71"/>
      <c r="R3" s="71"/>
      <c r="S3" s="67" t="str">
        <f aca="false">KKS!$L$1</f>
        <v>KKS</v>
      </c>
      <c r="T3" s="44"/>
      <c r="U3" s="73" t="str">
        <f aca="false">KKS!$L$1</f>
        <v>KKS</v>
      </c>
      <c r="V3" s="74" t="str">
        <f aca="false">KKS!$G$1</f>
        <v>Kingston Kecleons</v>
      </c>
      <c r="W3" s="74"/>
      <c r="X3" s="74"/>
      <c r="Y3" s="75" t="s">
        <v>130</v>
      </c>
      <c r="Z3" s="71" t="str">
        <f aca="false">SEA!$G$1</f>
        <v>Seattle Seadras</v>
      </c>
      <c r="AA3" s="71"/>
      <c r="AB3" s="71"/>
      <c r="AC3" s="67" t="str">
        <f aca="false">SEA!$L$1</f>
        <v>SEA</v>
      </c>
      <c r="AD3" s="44"/>
      <c r="AE3" s="68" t="str">
        <f aca="false">JVJ!$L$1</f>
        <v>JVJ</v>
      </c>
      <c r="AF3" s="61" t="str">
        <f aca="false">JVJ!$G$1</f>
        <v>Jacksonville Jumpluffs</v>
      </c>
      <c r="AG3" s="61"/>
      <c r="AH3" s="61"/>
    </row>
    <row r="4" customFormat="false" ht="15.75" hidden="false" customHeight="false" outlineLevel="0" collapsed="false">
      <c r="A4" s="67" t="str">
        <f aca="false">SEA!$L$1</f>
        <v>SEA</v>
      </c>
      <c r="B4" s="76" t="str">
        <f aca="false">SEA!$G$1</f>
        <v>Seattle Seadras</v>
      </c>
      <c r="C4" s="76"/>
      <c r="D4" s="76"/>
      <c r="E4" s="70" t="s">
        <v>130</v>
      </c>
      <c r="F4" s="77" t="str">
        <f aca="false">BBG!$G$1</f>
        <v>Berlin Bronzong</v>
      </c>
      <c r="G4" s="77"/>
      <c r="H4" s="77"/>
      <c r="I4" s="67" t="str">
        <f aca="false">BBG!$L$1</f>
        <v>BBG</v>
      </c>
      <c r="J4" s="44"/>
      <c r="K4" s="67" t="str">
        <f aca="false">BTB!$L$1</f>
        <v>BTB</v>
      </c>
      <c r="L4" s="78" t="str">
        <f aca="false">BTB!$G$1</f>
        <v>Battlin Brelooms</v>
      </c>
      <c r="M4" s="78"/>
      <c r="N4" s="78"/>
      <c r="O4" s="70" t="s">
        <v>130</v>
      </c>
      <c r="P4" s="77" t="str">
        <f aca="false">SEA!$G$1</f>
        <v>Seattle Seadras</v>
      </c>
      <c r="Q4" s="77"/>
      <c r="R4" s="77"/>
      <c r="S4" s="67" t="str">
        <f aca="false">SEA!$L$1</f>
        <v>SEA</v>
      </c>
      <c r="T4" s="44"/>
      <c r="U4" s="73" t="str">
        <f aca="false">JVJ!$L$1</f>
        <v>JVJ</v>
      </c>
      <c r="V4" s="79" t="str">
        <f aca="false">JVJ!$G$1</f>
        <v>Jacksonville Jumpluffs</v>
      </c>
      <c r="W4" s="79"/>
      <c r="X4" s="79"/>
      <c r="Y4" s="75" t="s">
        <v>130</v>
      </c>
      <c r="Z4" s="77" t="str">
        <f aca="false">BBG!$G$1</f>
        <v>Berlin Bronzong</v>
      </c>
      <c r="AA4" s="77"/>
      <c r="AB4" s="77"/>
      <c r="AC4" s="67" t="str">
        <f aca="false">BBG!$L$1</f>
        <v>BBG</v>
      </c>
      <c r="AD4" s="44"/>
      <c r="AE4" s="68" t="str">
        <f aca="false">KKS!$L$1</f>
        <v>KKS</v>
      </c>
      <c r="AF4" s="61" t="str">
        <f aca="false">KKS!$G$1</f>
        <v>Kingston Kecleons</v>
      </c>
      <c r="AG4" s="61"/>
      <c r="AH4" s="61"/>
    </row>
    <row r="5" customFormat="false" ht="15.75" hidden="false" customHeight="false" outlineLevel="0" collapsed="false">
      <c r="A5" s="67" t="str">
        <f aca="false">LVC!$L$1</f>
        <v>LVC</v>
      </c>
      <c r="B5" s="80" t="str">
        <f aca="false">LVC!$G$1</f>
        <v>Louisville Crobats</v>
      </c>
      <c r="C5" s="80"/>
      <c r="D5" s="80"/>
      <c r="E5" s="70" t="s">
        <v>130</v>
      </c>
      <c r="F5" s="77" t="str">
        <f aca="false">BTB!$G$1</f>
        <v>Battlin Brelooms</v>
      </c>
      <c r="G5" s="77"/>
      <c r="H5" s="77"/>
      <c r="I5" s="67" t="str">
        <f aca="false">BTB!$L$1</f>
        <v>BTB</v>
      </c>
      <c r="J5" s="44"/>
      <c r="K5" s="67" t="str">
        <f aca="false">SGP!$L$1</f>
        <v>SGP</v>
      </c>
      <c r="L5" s="78" t="str">
        <f aca="false">SGP!$G$1</f>
        <v>Slung Patrol</v>
      </c>
      <c r="M5" s="78"/>
      <c r="N5" s="78"/>
      <c r="O5" s="70" t="s">
        <v>130</v>
      </c>
      <c r="P5" s="77" t="str">
        <f aca="false">JVJ!$G$1</f>
        <v>Jacksonville Jumpluffs</v>
      </c>
      <c r="Q5" s="77"/>
      <c r="R5" s="77"/>
      <c r="S5" s="67" t="str">
        <f aca="false">JVJ!$L$1</f>
        <v>JVJ</v>
      </c>
      <c r="T5" s="44"/>
      <c r="U5" s="73" t="str">
        <f aca="false">SGP!$L$1</f>
        <v>SGP</v>
      </c>
      <c r="V5" s="81" t="str">
        <f aca="false">SGP!$G$1</f>
        <v>Slung Patrol</v>
      </c>
      <c r="W5" s="81"/>
      <c r="X5" s="81"/>
      <c r="Y5" s="75" t="s">
        <v>130</v>
      </c>
      <c r="Z5" s="82" t="str">
        <f aca="false">LVC!$G$1</f>
        <v>Louisville Crobats</v>
      </c>
      <c r="AA5" s="82"/>
      <c r="AB5" s="82"/>
      <c r="AC5" s="67" t="str">
        <f aca="false">LVC!$L$1</f>
        <v>LVC</v>
      </c>
      <c r="AD5" s="44"/>
      <c r="AE5" s="83" t="str">
        <f aca="false">LVC!$L$1</f>
        <v>LVC</v>
      </c>
      <c r="AF5" s="84" t="str">
        <f aca="false">LVC!$G$1</f>
        <v>Louisville Crobats</v>
      </c>
      <c r="AG5" s="84"/>
      <c r="AH5" s="84"/>
    </row>
    <row r="6" customFormat="false" ht="15.75" hidden="false" customHeight="false" outlineLevel="0" collapsed="false">
      <c r="A6" s="85" t="str">
        <f aca="false">SGP!$L$1</f>
        <v>SGP</v>
      </c>
      <c r="B6" s="86" t="str">
        <f aca="false">SGP!$G$1</f>
        <v>Slung Patrol</v>
      </c>
      <c r="C6" s="86"/>
      <c r="D6" s="86"/>
      <c r="E6" s="70" t="s">
        <v>130</v>
      </c>
      <c r="F6" s="87" t="str">
        <f aca="false">FTT!$G$1</f>
        <v>Fortree Trevenants</v>
      </c>
      <c r="G6" s="87"/>
      <c r="H6" s="87"/>
      <c r="I6" s="85" t="str">
        <f aca="false">FTT!$L$1</f>
        <v>FTT</v>
      </c>
      <c r="J6" s="44"/>
      <c r="K6" s="85" t="str">
        <f aca="false">FTT!$L$1</f>
        <v>FTT</v>
      </c>
      <c r="L6" s="86" t="str">
        <f aca="false">FTT!$G$1</f>
        <v>Fortree Trevenants</v>
      </c>
      <c r="M6" s="86"/>
      <c r="N6" s="86"/>
      <c r="O6" s="70" t="s">
        <v>130</v>
      </c>
      <c r="P6" s="87" t="str">
        <f aca="false">BBG!$G$1</f>
        <v>Berlin Bronzong</v>
      </c>
      <c r="Q6" s="87"/>
      <c r="R6" s="87"/>
      <c r="S6" s="85" t="str">
        <f aca="false">BBG!$L$1</f>
        <v>BBG</v>
      </c>
      <c r="T6" s="44"/>
      <c r="U6" s="88" t="str">
        <f aca="false">BTB!$L$1</f>
        <v>BTB</v>
      </c>
      <c r="V6" s="89" t="str">
        <f aca="false">BTB!$G$1</f>
        <v>Battlin Brelooms</v>
      </c>
      <c r="W6" s="89"/>
      <c r="X6" s="89"/>
      <c r="Y6" s="75" t="s">
        <v>130</v>
      </c>
      <c r="Z6" s="87" t="str">
        <f aca="false">FTT!$G$1</f>
        <v>Fortree Trevenants</v>
      </c>
      <c r="AA6" s="87"/>
      <c r="AB6" s="87"/>
      <c r="AC6" s="85" t="str">
        <f aca="false">FTT!$L$1</f>
        <v>FTT</v>
      </c>
      <c r="AD6" s="44"/>
      <c r="AE6" s="83" t="str">
        <f aca="false">BTB!$L$1</f>
        <v>BTB</v>
      </c>
      <c r="AF6" s="84" t="str">
        <f aca="false">BTB!$G$1</f>
        <v>Battlin Brelooms</v>
      </c>
      <c r="AG6" s="84"/>
      <c r="AH6" s="84"/>
    </row>
    <row r="7" customFormat="false" ht="15.75" hidden="false" customHeight="false" outlineLevel="0" collapsed="false">
      <c r="A7" s="44"/>
      <c r="B7" s="44"/>
      <c r="C7" s="44"/>
      <c r="D7" s="44"/>
      <c r="E7" s="44"/>
      <c r="F7" s="44"/>
      <c r="G7" s="44"/>
      <c r="H7" s="44"/>
      <c r="I7" s="44"/>
      <c r="J7" s="44"/>
      <c r="K7" s="44"/>
      <c r="L7" s="44"/>
      <c r="M7" s="44"/>
      <c r="N7" s="44"/>
      <c r="O7" s="44"/>
      <c r="P7" s="44"/>
      <c r="Q7" s="44"/>
      <c r="R7" s="44"/>
      <c r="S7" s="44"/>
      <c r="T7" s="44"/>
      <c r="U7" s="44"/>
      <c r="V7" s="44"/>
      <c r="W7" s="44"/>
      <c r="X7" s="44"/>
      <c r="Y7" s="44"/>
      <c r="Z7" s="44"/>
      <c r="AA7" s="44"/>
      <c r="AB7" s="44"/>
      <c r="AC7" s="44"/>
      <c r="AD7" s="44"/>
      <c r="AE7" s="83" t="str">
        <f aca="false">SGP!$L$1</f>
        <v>SGP</v>
      </c>
      <c r="AF7" s="84" t="str">
        <f aca="false">SGP!$G$1</f>
        <v>Slung Patrol</v>
      </c>
      <c r="AG7" s="84"/>
      <c r="AH7" s="84"/>
    </row>
    <row r="8" customFormat="false" ht="15.75" hidden="false" customHeight="false" outlineLevel="0" collapsed="false">
      <c r="A8" s="90" t="s">
        <v>131</v>
      </c>
      <c r="B8" s="90"/>
      <c r="C8" s="90"/>
      <c r="D8" s="90"/>
      <c r="E8" s="90"/>
      <c r="F8" s="90"/>
      <c r="G8" s="90"/>
      <c r="H8" s="90"/>
      <c r="I8" s="90"/>
      <c r="J8" s="44"/>
      <c r="K8" s="90" t="s">
        <v>132</v>
      </c>
      <c r="L8" s="90"/>
      <c r="M8" s="90"/>
      <c r="N8" s="90"/>
      <c r="O8" s="90"/>
      <c r="P8" s="90"/>
      <c r="Q8" s="90"/>
      <c r="R8" s="90"/>
      <c r="S8" s="90"/>
      <c r="T8" s="44"/>
      <c r="U8" s="90" t="s">
        <v>133</v>
      </c>
      <c r="V8" s="90"/>
      <c r="W8" s="90"/>
      <c r="X8" s="90"/>
      <c r="Y8" s="90"/>
      <c r="Z8" s="90"/>
      <c r="AA8" s="90"/>
      <c r="AB8" s="90"/>
      <c r="AC8" s="90"/>
      <c r="AD8" s="44"/>
      <c r="AE8" s="91" t="str">
        <f aca="false">FTT!$L$1</f>
        <v>FTT</v>
      </c>
      <c r="AF8" s="92" t="str">
        <f aca="false">FTT!$G$1</f>
        <v>Fortree Trevenants</v>
      </c>
      <c r="AG8" s="92"/>
      <c r="AH8" s="92"/>
    </row>
    <row r="9" customFormat="false" ht="15.75" hidden="false" customHeight="false" outlineLevel="0" collapsed="false">
      <c r="A9" s="66"/>
      <c r="B9" s="63" t="s">
        <v>4</v>
      </c>
      <c r="C9" s="63"/>
      <c r="D9" s="63"/>
      <c r="E9" s="64"/>
      <c r="F9" s="65" t="s">
        <v>8</v>
      </c>
      <c r="G9" s="65"/>
      <c r="H9" s="65"/>
      <c r="I9" s="66"/>
      <c r="J9" s="44"/>
      <c r="K9" s="66"/>
      <c r="L9" s="63" t="s">
        <v>4</v>
      </c>
      <c r="M9" s="63"/>
      <c r="N9" s="63"/>
      <c r="O9" s="64"/>
      <c r="P9" s="65" t="s">
        <v>8</v>
      </c>
      <c r="Q9" s="65"/>
      <c r="R9" s="65"/>
      <c r="S9" s="66"/>
      <c r="T9" s="44"/>
      <c r="U9" s="66"/>
      <c r="V9" s="63" t="s">
        <v>4</v>
      </c>
      <c r="W9" s="63"/>
      <c r="X9" s="63"/>
      <c r="Y9" s="64"/>
      <c r="Z9" s="65" t="s">
        <v>8</v>
      </c>
      <c r="AA9" s="65"/>
      <c r="AB9" s="65"/>
      <c r="AC9" s="66"/>
      <c r="AD9" s="44"/>
      <c r="AE9" s="93"/>
      <c r="AF9" s="44"/>
      <c r="AG9" s="44"/>
      <c r="AH9" s="44"/>
    </row>
    <row r="10" customFormat="false" ht="15.75" hidden="false" customHeight="false" outlineLevel="0" collapsed="false">
      <c r="A10" s="67" t="str">
        <f aca="false">KKS!$L$1</f>
        <v>KKS</v>
      </c>
      <c r="B10" s="94" t="str">
        <f aca="false">KKS!$G$1</f>
        <v>Kingston Kecleons</v>
      </c>
      <c r="C10" s="94"/>
      <c r="D10" s="94"/>
      <c r="E10" s="70" t="s">
        <v>130</v>
      </c>
      <c r="F10" s="71" t="str">
        <f aca="false">FTT!$G$1</f>
        <v>Fortree Trevenants</v>
      </c>
      <c r="G10" s="71"/>
      <c r="H10" s="71"/>
      <c r="I10" s="67" t="str">
        <f aca="false">FTT!$L$1</f>
        <v>FTT</v>
      </c>
      <c r="J10" s="44"/>
      <c r="K10" s="73" t="str">
        <f aca="false">BBG!$L$1</f>
        <v>BBG</v>
      </c>
      <c r="L10" s="74" t="str">
        <f aca="false">BBG!$G$1</f>
        <v>Berlin Bronzong</v>
      </c>
      <c r="M10" s="74"/>
      <c r="N10" s="74"/>
      <c r="O10" s="95" t="s">
        <v>130</v>
      </c>
      <c r="P10" s="96" t="str">
        <f aca="false">KKS!$G$1</f>
        <v>Kingston Kecleons</v>
      </c>
      <c r="Q10" s="96"/>
      <c r="R10" s="96"/>
      <c r="S10" s="67" t="str">
        <f aca="false">KKS!$L$1</f>
        <v>KKS</v>
      </c>
      <c r="T10" s="44"/>
      <c r="U10" s="67" t="str">
        <f aca="false">SGP!$L$1</f>
        <v>SGP</v>
      </c>
      <c r="V10" s="78" t="str">
        <f aca="false">SGP!$G$1</f>
        <v>Slung Patrol</v>
      </c>
      <c r="W10" s="78"/>
      <c r="X10" s="78"/>
      <c r="Y10" s="70" t="s">
        <v>130</v>
      </c>
      <c r="Z10" s="71" t="str">
        <f aca="false">KKS!$G$1</f>
        <v>Kingston Kecleons</v>
      </c>
      <c r="AA10" s="71"/>
      <c r="AB10" s="71"/>
      <c r="AC10" s="67" t="str">
        <f aca="false">KKS!$L$1</f>
        <v>KKS</v>
      </c>
      <c r="AD10" s="44"/>
      <c r="AE10" s="93"/>
      <c r="AF10" s="44"/>
      <c r="AG10" s="44"/>
      <c r="AH10" s="44"/>
    </row>
    <row r="11" customFormat="false" ht="15.75" hidden="false" customHeight="false" outlineLevel="0" collapsed="false">
      <c r="A11" s="67" t="str">
        <f aca="false">SEA!$L$1</f>
        <v>SEA</v>
      </c>
      <c r="B11" s="76" t="str">
        <f aca="false">SEA!$G$1</f>
        <v>Seattle Seadras</v>
      </c>
      <c r="C11" s="76"/>
      <c r="D11" s="76"/>
      <c r="E11" s="70" t="s">
        <v>130</v>
      </c>
      <c r="F11" s="82" t="str">
        <f aca="false">LVC!$G$1</f>
        <v>Louisville Crobats</v>
      </c>
      <c r="G11" s="82"/>
      <c r="H11" s="82"/>
      <c r="I11" s="67" t="str">
        <f aca="false">LVC!$L$1</f>
        <v>LVC</v>
      </c>
      <c r="J11" s="44"/>
      <c r="K11" s="73" t="str">
        <f aca="false">SEA!$L$1</f>
        <v>SEA</v>
      </c>
      <c r="L11" s="79" t="str">
        <f aca="false">SEA!$G$1</f>
        <v>Seattle Seadras</v>
      </c>
      <c r="M11" s="79"/>
      <c r="N11" s="79"/>
      <c r="O11" s="95" t="s">
        <v>130</v>
      </c>
      <c r="P11" s="97" t="str">
        <f aca="false">JVJ!$G$1</f>
        <v>Jacksonville Jumpluffs</v>
      </c>
      <c r="Q11" s="97"/>
      <c r="R11" s="97"/>
      <c r="S11" s="67" t="str">
        <f aca="false">JVJ!$L$1</f>
        <v>JVJ</v>
      </c>
      <c r="T11" s="44"/>
      <c r="U11" s="73" t="str">
        <f aca="false">FTT!$L$1</f>
        <v>FTT</v>
      </c>
      <c r="V11" s="81" t="str">
        <f aca="false">FTT!$G$1</f>
        <v>Fortree Trevenants</v>
      </c>
      <c r="W11" s="81"/>
      <c r="X11" s="81"/>
      <c r="Y11" s="75" t="s">
        <v>130</v>
      </c>
      <c r="Z11" s="77" t="str">
        <f aca="false">SEA!$G$1</f>
        <v>Seattle Seadras</v>
      </c>
      <c r="AA11" s="77"/>
      <c r="AB11" s="77"/>
      <c r="AC11" s="67" t="str">
        <f aca="false">SEA!$L$1</f>
        <v>SEA</v>
      </c>
      <c r="AD11" s="44"/>
      <c r="AE11" s="44"/>
      <c r="AF11" s="44"/>
      <c r="AG11" s="44"/>
      <c r="AH11" s="44"/>
    </row>
    <row r="12" customFormat="false" ht="15.75" hidden="false" customHeight="false" outlineLevel="0" collapsed="false">
      <c r="A12" s="67" t="str">
        <f aca="false">JVJ!$L$1</f>
        <v>JVJ</v>
      </c>
      <c r="B12" s="76" t="str">
        <f aca="false">JVJ!$G$1</f>
        <v>Jacksonville Jumpluffs</v>
      </c>
      <c r="C12" s="76"/>
      <c r="D12" s="76"/>
      <c r="E12" s="70" t="s">
        <v>130</v>
      </c>
      <c r="F12" s="77" t="str">
        <f aca="false">BTB!$G$1</f>
        <v>Battlin Brelooms</v>
      </c>
      <c r="G12" s="77"/>
      <c r="H12" s="77"/>
      <c r="I12" s="67" t="str">
        <f aca="false">BTB!$L$1</f>
        <v>BTB</v>
      </c>
      <c r="J12" s="44"/>
      <c r="K12" s="73" t="str">
        <f aca="false">FTT!$L$1</f>
        <v>FTT</v>
      </c>
      <c r="L12" s="81" t="str">
        <f aca="false">FTT!$G$1</f>
        <v>Fortree Trevenants</v>
      </c>
      <c r="M12" s="81"/>
      <c r="N12" s="81"/>
      <c r="O12" s="95" t="s">
        <v>130</v>
      </c>
      <c r="P12" s="98" t="str">
        <f aca="false">LVC!$G$1</f>
        <v>Louisville Crobats</v>
      </c>
      <c r="Q12" s="98"/>
      <c r="R12" s="98"/>
      <c r="S12" s="67" t="str">
        <f aca="false">LVC!$L$1</f>
        <v>LVC</v>
      </c>
      <c r="T12" s="44"/>
      <c r="U12" s="67" t="str">
        <f aca="false">LVC!$L$1</f>
        <v>LVC</v>
      </c>
      <c r="V12" s="78" t="str">
        <f aca="false">LVC!$G$1</f>
        <v>Louisville Crobats</v>
      </c>
      <c r="W12" s="78"/>
      <c r="X12" s="78"/>
      <c r="Y12" s="70" t="s">
        <v>130</v>
      </c>
      <c r="Z12" s="77" t="str">
        <f aca="false">JVJ!$G$1</f>
        <v>Jacksonville Jumpluffs</v>
      </c>
      <c r="AA12" s="77"/>
      <c r="AB12" s="77"/>
      <c r="AC12" s="67" t="str">
        <f aca="false">JVJ!$L$1</f>
        <v>JVJ</v>
      </c>
      <c r="AD12" s="44"/>
      <c r="AE12" s="44"/>
      <c r="AF12" s="44"/>
      <c r="AG12" s="44"/>
      <c r="AH12" s="44"/>
    </row>
    <row r="13" customFormat="false" ht="15.75" hidden="false" customHeight="false" outlineLevel="0" collapsed="false">
      <c r="A13" s="85" t="str">
        <f aca="false">BBG!$L$1</f>
        <v>BBG</v>
      </c>
      <c r="B13" s="99" t="str">
        <f aca="false">BBG!$G$1</f>
        <v>Berlin Bronzong</v>
      </c>
      <c r="C13" s="99"/>
      <c r="D13" s="99"/>
      <c r="E13" s="70" t="s">
        <v>130</v>
      </c>
      <c r="F13" s="87" t="str">
        <f aca="false">SGP!$G$1</f>
        <v>Slung Patrol</v>
      </c>
      <c r="G13" s="87"/>
      <c r="H13" s="87"/>
      <c r="I13" s="85" t="str">
        <f aca="false">SGP!$L$1</f>
        <v>SGP</v>
      </c>
      <c r="J13" s="44"/>
      <c r="K13" s="88" t="str">
        <f aca="false">SGP!$L$1</f>
        <v>SGP</v>
      </c>
      <c r="L13" s="89" t="str">
        <f aca="false">SGP!$G$1</f>
        <v>Slung Patrol</v>
      </c>
      <c r="M13" s="89"/>
      <c r="N13" s="89"/>
      <c r="O13" s="95" t="s">
        <v>130</v>
      </c>
      <c r="P13" s="100" t="str">
        <f aca="false">BTB!$G$1</f>
        <v>Battlin Brelooms</v>
      </c>
      <c r="Q13" s="100"/>
      <c r="R13" s="100"/>
      <c r="S13" s="85" t="str">
        <f aca="false">BTB!$L$1</f>
        <v>BTB</v>
      </c>
      <c r="T13" s="44"/>
      <c r="U13" s="85" t="str">
        <f aca="false">BTB!$L$1</f>
        <v>BTB</v>
      </c>
      <c r="V13" s="86" t="str">
        <f aca="false">BTB!$G$1</f>
        <v>Battlin Brelooms</v>
      </c>
      <c r="W13" s="86"/>
      <c r="X13" s="86"/>
      <c r="Y13" s="70" t="s">
        <v>130</v>
      </c>
      <c r="Z13" s="87" t="str">
        <f aca="false">BBG!$G$1</f>
        <v>Berlin Bronzong</v>
      </c>
      <c r="AA13" s="87"/>
      <c r="AB13" s="87"/>
      <c r="AC13" s="85" t="str">
        <f aca="false">BBG!$L$1</f>
        <v>BBG</v>
      </c>
      <c r="AD13" s="44"/>
      <c r="AE13" s="44"/>
      <c r="AF13" s="44"/>
      <c r="AG13" s="44"/>
      <c r="AH13" s="44"/>
    </row>
    <row r="14" customFormat="false" ht="15.75" hidden="false" customHeight="false" outlineLevel="0" collapsed="false">
      <c r="A14" s="44"/>
      <c r="B14" s="44"/>
      <c r="C14" s="44"/>
      <c r="D14" s="44"/>
      <c r="E14" s="44"/>
      <c r="F14" s="44"/>
      <c r="G14" s="44"/>
      <c r="H14" s="44"/>
      <c r="I14" s="44"/>
      <c r="J14" s="44"/>
      <c r="K14" s="44"/>
      <c r="L14" s="44"/>
      <c r="M14" s="44"/>
      <c r="N14" s="44"/>
      <c r="O14" s="44"/>
      <c r="P14" s="44"/>
      <c r="Q14" s="44"/>
      <c r="R14" s="44"/>
      <c r="S14" s="44"/>
      <c r="T14" s="44"/>
      <c r="U14" s="44"/>
      <c r="V14" s="44"/>
      <c r="W14" s="44"/>
      <c r="X14" s="44"/>
      <c r="Y14" s="44"/>
      <c r="Z14" s="44"/>
      <c r="AA14" s="44"/>
      <c r="AB14" s="44"/>
      <c r="AC14" s="44"/>
      <c r="AD14" s="44"/>
      <c r="AE14" s="44"/>
      <c r="AF14" s="44"/>
      <c r="AG14" s="44"/>
      <c r="AH14" s="44"/>
    </row>
    <row r="15" customFormat="false" ht="15.75" hidden="false" customHeight="false" outlineLevel="0" collapsed="false">
      <c r="A15" s="90" t="s">
        <v>134</v>
      </c>
      <c r="B15" s="90"/>
      <c r="C15" s="90"/>
      <c r="D15" s="90"/>
      <c r="E15" s="90"/>
      <c r="F15" s="90"/>
      <c r="G15" s="90"/>
      <c r="H15" s="90"/>
      <c r="I15" s="90"/>
      <c r="J15" s="44"/>
      <c r="K15" s="90" t="s">
        <v>135</v>
      </c>
      <c r="L15" s="90"/>
      <c r="M15" s="90"/>
      <c r="N15" s="90"/>
      <c r="O15" s="90"/>
      <c r="P15" s="90"/>
      <c r="Q15" s="90"/>
      <c r="R15" s="90"/>
      <c r="S15" s="90"/>
      <c r="T15" s="44"/>
      <c r="U15" s="90" t="s">
        <v>136</v>
      </c>
      <c r="V15" s="90"/>
      <c r="W15" s="90"/>
      <c r="X15" s="90"/>
      <c r="Y15" s="90"/>
      <c r="Z15" s="90"/>
      <c r="AA15" s="90"/>
      <c r="AB15" s="90"/>
      <c r="AC15" s="90"/>
      <c r="AD15" s="44"/>
      <c r="AE15" s="44"/>
      <c r="AF15" s="44"/>
      <c r="AG15" s="44"/>
      <c r="AH15" s="44"/>
    </row>
    <row r="16" customFormat="false" ht="15.75" hidden="false" customHeight="false" outlineLevel="0" collapsed="false">
      <c r="A16" s="101"/>
      <c r="B16" s="102" t="s">
        <v>4</v>
      </c>
      <c r="C16" s="102"/>
      <c r="D16" s="102"/>
      <c r="E16" s="64"/>
      <c r="F16" s="103" t="s">
        <v>8</v>
      </c>
      <c r="G16" s="103"/>
      <c r="H16" s="103"/>
      <c r="I16" s="66"/>
      <c r="J16" s="44"/>
      <c r="K16" s="66"/>
      <c r="L16" s="63" t="s">
        <v>4</v>
      </c>
      <c r="M16" s="63"/>
      <c r="N16" s="63"/>
      <c r="O16" s="64"/>
      <c r="P16" s="65" t="s">
        <v>8</v>
      </c>
      <c r="Q16" s="65"/>
      <c r="R16" s="65"/>
      <c r="S16" s="66"/>
      <c r="T16" s="44"/>
      <c r="U16" s="66"/>
      <c r="V16" s="104" t="s">
        <v>4</v>
      </c>
      <c r="W16" s="104"/>
      <c r="X16" s="104"/>
      <c r="Y16" s="64"/>
      <c r="Z16" s="65" t="s">
        <v>8</v>
      </c>
      <c r="AA16" s="65"/>
      <c r="AB16" s="65"/>
      <c r="AC16" s="66"/>
      <c r="AD16" s="44"/>
      <c r="AE16" s="44"/>
      <c r="AF16" s="44"/>
      <c r="AG16" s="44"/>
      <c r="AH16" s="44"/>
    </row>
    <row r="17" customFormat="false" ht="15.75" hidden="false" customHeight="false" outlineLevel="0" collapsed="false">
      <c r="A17" s="73" t="str">
        <f aca="false">JVJ!$L$1</f>
        <v>JVJ</v>
      </c>
      <c r="B17" s="74" t="str">
        <f aca="false">JVJ!$G$1</f>
        <v>Jacksonville Jumpluffs</v>
      </c>
      <c r="C17" s="74"/>
      <c r="D17" s="74"/>
      <c r="E17" s="75" t="s">
        <v>130</v>
      </c>
      <c r="F17" s="71" t="str">
        <f aca="false">KKS!$G$1</f>
        <v>Kingston Kecleons</v>
      </c>
      <c r="G17" s="71"/>
      <c r="H17" s="71"/>
      <c r="I17" s="67" t="str">
        <f aca="false">KKS!$L$1</f>
        <v>KKS</v>
      </c>
      <c r="J17" s="44"/>
      <c r="K17" s="67" t="str">
        <f aca="false">KKS!$L$1</f>
        <v>KKS</v>
      </c>
      <c r="L17" s="94" t="str">
        <f aca="false">KKS!$G$1</f>
        <v>Kingston Kecleons</v>
      </c>
      <c r="M17" s="94"/>
      <c r="N17" s="94"/>
      <c r="O17" s="70" t="s">
        <v>130</v>
      </c>
      <c r="P17" s="71" t="str">
        <f aca="false">BTB!$G$1</f>
        <v>Battlin Brelooms</v>
      </c>
      <c r="Q17" s="71"/>
      <c r="R17" s="71"/>
      <c r="S17" s="67" t="str">
        <f aca="false">BTB!$L$1</f>
        <v>BTB</v>
      </c>
      <c r="T17" s="44"/>
      <c r="U17" s="73" t="str">
        <f aca="false">SEA!$L$1</f>
        <v>SEA</v>
      </c>
      <c r="V17" s="79" t="str">
        <f aca="false">SEA!$G$1</f>
        <v>Seattle Seadras</v>
      </c>
      <c r="W17" s="79"/>
      <c r="X17" s="79"/>
      <c r="Y17" s="70" t="s">
        <v>130</v>
      </c>
      <c r="Z17" s="71" t="str">
        <f aca="false">KKS!$G$1</f>
        <v>Kingston Kecleons</v>
      </c>
      <c r="AA17" s="71"/>
      <c r="AB17" s="71"/>
      <c r="AC17" s="67" t="str">
        <f aca="false">KKS!$L$1</f>
        <v>KKS</v>
      </c>
      <c r="AD17" s="44"/>
      <c r="AE17" s="44"/>
      <c r="AF17" s="44"/>
      <c r="AG17" s="44"/>
      <c r="AH17" s="44"/>
    </row>
    <row r="18" customFormat="false" ht="15.75" hidden="false" customHeight="false" outlineLevel="0" collapsed="false">
      <c r="A18" s="73" t="str">
        <f aca="false">BBG!$L$1</f>
        <v>BBG</v>
      </c>
      <c r="B18" s="79" t="str">
        <f aca="false">BBG!$G$1</f>
        <v>Berlin Bronzong</v>
      </c>
      <c r="C18" s="79"/>
      <c r="D18" s="79"/>
      <c r="E18" s="70" t="s">
        <v>130</v>
      </c>
      <c r="F18" s="77" t="str">
        <f aca="false">SEA!$G$1</f>
        <v>Seattle Seadras</v>
      </c>
      <c r="G18" s="77"/>
      <c r="H18" s="77"/>
      <c r="I18" s="67" t="str">
        <f aca="false">SEA!$L$1</f>
        <v>SEA</v>
      </c>
      <c r="J18" s="44"/>
      <c r="K18" s="67" t="str">
        <f aca="false">SEA!$L$1</f>
        <v>SEA</v>
      </c>
      <c r="L18" s="76" t="str">
        <f aca="false">SEA!$G$1</f>
        <v>Seattle Seadras</v>
      </c>
      <c r="M18" s="76"/>
      <c r="N18" s="76"/>
      <c r="O18" s="70" t="s">
        <v>130</v>
      </c>
      <c r="P18" s="77" t="str">
        <f aca="false">SGP!$G$1</f>
        <v>Slung Patrol</v>
      </c>
      <c r="Q18" s="77"/>
      <c r="R18" s="77"/>
      <c r="S18" s="67" t="str">
        <f aca="false">SGP!$L$1</f>
        <v>SGP</v>
      </c>
      <c r="T18" s="44"/>
      <c r="U18" s="73" t="str">
        <f aca="false">BBG!$L$1</f>
        <v>BBG</v>
      </c>
      <c r="V18" s="79" t="str">
        <f aca="false">BBG!$G$1</f>
        <v>Berlin Bronzong</v>
      </c>
      <c r="W18" s="79"/>
      <c r="X18" s="79"/>
      <c r="Y18" s="70" t="s">
        <v>130</v>
      </c>
      <c r="Z18" s="97" t="str">
        <f aca="false">JVJ!$G$1</f>
        <v>Jacksonville Jumpluffs</v>
      </c>
      <c r="AA18" s="97"/>
      <c r="AB18" s="97"/>
      <c r="AC18" s="67" t="str">
        <f aca="false">JVJ!$L$1</f>
        <v>JVJ</v>
      </c>
      <c r="AD18" s="44"/>
      <c r="AE18" s="44"/>
      <c r="AF18" s="44"/>
      <c r="AG18" s="44"/>
      <c r="AH18" s="44"/>
    </row>
    <row r="19" customFormat="false" ht="15.75" hidden="false" customHeight="false" outlineLevel="0" collapsed="false">
      <c r="A19" s="67" t="str">
        <f aca="false">LVC!$L$1</f>
        <v>LVC</v>
      </c>
      <c r="B19" s="80" t="str">
        <f aca="false">LVC!$G$1</f>
        <v>Louisville Crobats</v>
      </c>
      <c r="C19" s="80"/>
      <c r="D19" s="80"/>
      <c r="E19" s="70" t="s">
        <v>130</v>
      </c>
      <c r="F19" s="77" t="str">
        <f aca="false">BTB!$G$1</f>
        <v>Battlin Brelooms</v>
      </c>
      <c r="G19" s="77"/>
      <c r="H19" s="77"/>
      <c r="I19" s="67" t="str">
        <f aca="false">BTB!$L$1</f>
        <v>BTB</v>
      </c>
      <c r="J19" s="44"/>
      <c r="K19" s="67" t="str">
        <f aca="false">JVJ!$L$1</f>
        <v>JVJ</v>
      </c>
      <c r="L19" s="76" t="str">
        <f aca="false">JVJ!$G$1</f>
        <v>Jacksonville Jumpluffs</v>
      </c>
      <c r="M19" s="76"/>
      <c r="N19" s="76"/>
      <c r="O19" s="70" t="s">
        <v>130</v>
      </c>
      <c r="P19" s="77" t="str">
        <f aca="false">FTT!$G$1</f>
        <v>Fortree Trevenants</v>
      </c>
      <c r="Q19" s="77"/>
      <c r="R19" s="77"/>
      <c r="S19" s="67" t="str">
        <f aca="false">FTT!$L$1</f>
        <v>FTT</v>
      </c>
      <c r="T19" s="44"/>
      <c r="U19" s="73" t="str">
        <f aca="false">LVC!$L$1</f>
        <v>LVC</v>
      </c>
      <c r="V19" s="105" t="str">
        <f aca="false">LVC!$G$1</f>
        <v>Louisville Crobats</v>
      </c>
      <c r="W19" s="105"/>
      <c r="X19" s="105"/>
      <c r="Y19" s="70" t="s">
        <v>130</v>
      </c>
      <c r="Z19" s="106" t="str">
        <f aca="false">SGP!$G$1</f>
        <v>Slung Patrol</v>
      </c>
      <c r="AA19" s="106"/>
      <c r="AB19" s="106"/>
      <c r="AC19" s="62" t="str">
        <f aca="false">SGP!$L$1</f>
        <v>SGP</v>
      </c>
      <c r="AD19" s="44"/>
      <c r="AE19" s="44"/>
      <c r="AF19" s="44"/>
      <c r="AG19" s="44"/>
      <c r="AH19" s="44"/>
    </row>
    <row r="20" customFormat="false" ht="15.75" hidden="false" customHeight="false" outlineLevel="0" collapsed="false">
      <c r="A20" s="85" t="str">
        <f aca="false">FTT!$L$1</f>
        <v>FTT</v>
      </c>
      <c r="B20" s="86" t="str">
        <f aca="false">FTT!$G$1</f>
        <v>Fortree Trevenants</v>
      </c>
      <c r="C20" s="86"/>
      <c r="D20" s="86"/>
      <c r="E20" s="70" t="s">
        <v>130</v>
      </c>
      <c r="F20" s="87" t="str">
        <f aca="false">SGP!$G$1</f>
        <v>Slung Patrol</v>
      </c>
      <c r="G20" s="87"/>
      <c r="H20" s="87"/>
      <c r="I20" s="85" t="str">
        <f aca="false">SGP!$L$1</f>
        <v>SGP</v>
      </c>
      <c r="J20" s="44"/>
      <c r="K20" s="85" t="str">
        <f aca="false">BBG!$L$1</f>
        <v>BBG</v>
      </c>
      <c r="L20" s="99" t="str">
        <f aca="false">BBG!$G$1</f>
        <v>Berlin Bronzong</v>
      </c>
      <c r="M20" s="99"/>
      <c r="N20" s="99"/>
      <c r="O20" s="70" t="s">
        <v>130</v>
      </c>
      <c r="P20" s="107" t="str">
        <f aca="false">LVC!$G$1</f>
        <v>Louisville Crobats</v>
      </c>
      <c r="Q20" s="107"/>
      <c r="R20" s="107"/>
      <c r="S20" s="85" t="str">
        <f aca="false">LVC!$L$1</f>
        <v>LVC</v>
      </c>
      <c r="T20" s="44"/>
      <c r="U20" s="88" t="str">
        <f aca="false">BTB!$L$1</f>
        <v>BTB</v>
      </c>
      <c r="V20" s="108" t="str">
        <f aca="false">BTB!$G$1</f>
        <v>Battlin Brelooms</v>
      </c>
      <c r="W20" s="108"/>
      <c r="X20" s="108"/>
      <c r="Y20" s="70" t="s">
        <v>130</v>
      </c>
      <c r="Z20" s="109" t="str">
        <f aca="false">FTT!$G$1</f>
        <v>Fortree Trevenants</v>
      </c>
      <c r="AA20" s="109"/>
      <c r="AB20" s="109"/>
      <c r="AC20" s="110" t="str">
        <f aca="false">FTT!$L$1</f>
        <v>FTT</v>
      </c>
      <c r="AD20" s="44"/>
      <c r="AE20" s="44"/>
      <c r="AF20" s="44"/>
      <c r="AG20" s="44"/>
      <c r="AH20" s="44"/>
    </row>
    <row r="21" customFormat="false" ht="15.75" hidden="false" customHeight="false" outlineLevel="0" collapsed="false">
      <c r="A21" s="44"/>
      <c r="B21" s="44"/>
      <c r="C21" s="44"/>
      <c r="D21" s="44"/>
      <c r="E21" s="44"/>
      <c r="F21" s="44"/>
      <c r="G21" s="44"/>
      <c r="H21" s="44"/>
      <c r="I21" s="44"/>
      <c r="J21" s="44"/>
      <c r="K21" s="44"/>
      <c r="L21" s="44"/>
      <c r="M21" s="44"/>
      <c r="N21" s="44"/>
      <c r="O21" s="44"/>
      <c r="P21" s="44"/>
      <c r="Q21" s="44"/>
      <c r="R21" s="44"/>
      <c r="S21" s="44"/>
      <c r="T21" s="44"/>
      <c r="U21" s="44"/>
      <c r="V21" s="44"/>
      <c r="W21" s="44"/>
      <c r="X21" s="44"/>
      <c r="Y21" s="44"/>
      <c r="Z21" s="44"/>
      <c r="AA21" s="44"/>
      <c r="AB21" s="44"/>
      <c r="AC21" s="44"/>
      <c r="AD21" s="44"/>
      <c r="AE21" s="44"/>
      <c r="AF21" s="44"/>
      <c r="AG21" s="44"/>
      <c r="AH21" s="44"/>
    </row>
    <row r="22" customFormat="false" ht="15.75" hidden="false" customHeight="false" outlineLevel="0" collapsed="false">
      <c r="A22" s="90" t="s">
        <v>137</v>
      </c>
      <c r="B22" s="90"/>
      <c r="C22" s="90"/>
      <c r="D22" s="90"/>
      <c r="E22" s="90"/>
      <c r="F22" s="90"/>
      <c r="G22" s="90"/>
      <c r="H22" s="90"/>
      <c r="I22" s="90"/>
      <c r="J22" s="44"/>
      <c r="K22" s="90" t="s">
        <v>138</v>
      </c>
      <c r="L22" s="90"/>
      <c r="M22" s="90"/>
      <c r="N22" s="90"/>
      <c r="O22" s="90"/>
      <c r="P22" s="90"/>
      <c r="Q22" s="90"/>
      <c r="R22" s="90"/>
      <c r="S22" s="90"/>
      <c r="T22" s="44"/>
      <c r="U22" s="90" t="s">
        <v>139</v>
      </c>
      <c r="V22" s="90"/>
      <c r="W22" s="90"/>
      <c r="X22" s="90"/>
      <c r="Y22" s="90"/>
      <c r="Z22" s="90"/>
      <c r="AA22" s="90"/>
      <c r="AB22" s="90"/>
      <c r="AC22" s="90"/>
      <c r="AD22" s="44"/>
      <c r="AE22" s="44"/>
      <c r="AF22" s="44"/>
      <c r="AG22" s="44"/>
      <c r="AH22" s="44"/>
    </row>
    <row r="23" customFormat="false" ht="15.75" hidden="false" customHeight="false" outlineLevel="0" collapsed="false">
      <c r="A23" s="66"/>
      <c r="B23" s="63" t="s">
        <v>4</v>
      </c>
      <c r="C23" s="63"/>
      <c r="D23" s="63"/>
      <c r="E23" s="64"/>
      <c r="F23" s="65" t="s">
        <v>8</v>
      </c>
      <c r="G23" s="65"/>
      <c r="H23" s="65"/>
      <c r="I23" s="66"/>
      <c r="J23" s="44"/>
      <c r="K23" s="66"/>
      <c r="L23" s="63" t="s">
        <v>4</v>
      </c>
      <c r="M23" s="63"/>
      <c r="N23" s="63"/>
      <c r="O23" s="64"/>
      <c r="P23" s="65" t="s">
        <v>8</v>
      </c>
      <c r="Q23" s="65"/>
      <c r="R23" s="65"/>
      <c r="S23" s="66"/>
      <c r="T23" s="44"/>
      <c r="U23" s="66"/>
      <c r="V23" s="63" t="s">
        <v>4</v>
      </c>
      <c r="W23" s="63"/>
      <c r="X23" s="63"/>
      <c r="Y23" s="64"/>
      <c r="Z23" s="65" t="s">
        <v>8</v>
      </c>
      <c r="AA23" s="65"/>
      <c r="AB23" s="65"/>
      <c r="AC23" s="66"/>
      <c r="AD23" s="44"/>
      <c r="AE23" s="44"/>
      <c r="AF23" s="44"/>
      <c r="AG23" s="44"/>
      <c r="AH23" s="44"/>
    </row>
    <row r="24" customFormat="false" ht="15.75" hidden="false" customHeight="false" outlineLevel="0" collapsed="false">
      <c r="A24" s="73" t="str">
        <f aca="false">KKS!$L$1</f>
        <v>KKS</v>
      </c>
      <c r="B24" s="94" t="str">
        <f aca="false">KKS!$G$1</f>
        <v>Kingston Kecleons</v>
      </c>
      <c r="C24" s="94"/>
      <c r="D24" s="94"/>
      <c r="E24" s="70" t="s">
        <v>130</v>
      </c>
      <c r="F24" s="71" t="str">
        <f aca="false">LVC!$G$1</f>
        <v>Louisville Crobats</v>
      </c>
      <c r="G24" s="71"/>
      <c r="H24" s="71"/>
      <c r="I24" s="62" t="str">
        <f aca="false">LVC!$L$1</f>
        <v>LVC</v>
      </c>
      <c r="J24" s="44"/>
      <c r="K24" s="73" t="str">
        <f aca="false">KKS!$L$1</f>
        <v>KKS</v>
      </c>
      <c r="L24" s="74" t="str">
        <f aca="false">KKS!$G$1</f>
        <v>Kingston Kecleons</v>
      </c>
      <c r="M24" s="74"/>
      <c r="N24" s="74"/>
      <c r="O24" s="70" t="s">
        <v>130</v>
      </c>
      <c r="P24" s="96" t="str">
        <f aca="false">BBG!$G$1</f>
        <v>Berlin Bronzong</v>
      </c>
      <c r="Q24" s="96"/>
      <c r="R24" s="96"/>
      <c r="S24" s="62" t="str">
        <f aca="false">BBG!$L$1</f>
        <v>BBG</v>
      </c>
      <c r="T24" s="44"/>
      <c r="U24" s="73" t="str">
        <f aca="false">FTT!$L$1</f>
        <v>FTT</v>
      </c>
      <c r="V24" s="81" t="str">
        <f aca="false">FTT!$G$1</f>
        <v>Fortree Trevenants</v>
      </c>
      <c r="W24" s="81"/>
      <c r="X24" s="81"/>
      <c r="Y24" s="70" t="s">
        <v>130</v>
      </c>
      <c r="Z24" s="71" t="str">
        <f aca="false">KKS!$G$1</f>
        <v>Kingston Kecleons</v>
      </c>
      <c r="AA24" s="71"/>
      <c r="AB24" s="71"/>
      <c r="AC24" s="67" t="str">
        <f aca="false">KKS!$L$1</f>
        <v>KKS</v>
      </c>
      <c r="AD24" s="44"/>
      <c r="AE24" s="44"/>
      <c r="AF24" s="44"/>
      <c r="AG24" s="44"/>
      <c r="AH24" s="44"/>
    </row>
    <row r="25" customFormat="false" ht="15.75" hidden="false" customHeight="false" outlineLevel="0" collapsed="false">
      <c r="A25" s="73" t="str">
        <f aca="false">SEA!$L$1</f>
        <v>SEA</v>
      </c>
      <c r="B25" s="76" t="str">
        <f aca="false">SEA!$G$1</f>
        <v>Seattle Seadras</v>
      </c>
      <c r="C25" s="76"/>
      <c r="D25" s="76"/>
      <c r="E25" s="70" t="s">
        <v>130</v>
      </c>
      <c r="F25" s="77" t="str">
        <f aca="false">BTB!$G$1</f>
        <v>Battlin Brelooms</v>
      </c>
      <c r="G25" s="77"/>
      <c r="H25" s="77"/>
      <c r="I25" s="62" t="str">
        <f aca="false">BTB!$L$1</f>
        <v>BTB</v>
      </c>
      <c r="J25" s="44"/>
      <c r="K25" s="73" t="str">
        <f aca="false">JVJ!$L$1</f>
        <v>JVJ</v>
      </c>
      <c r="L25" s="79" t="str">
        <f aca="false">JVJ!$G$1</f>
        <v>Jacksonville Jumpluffs</v>
      </c>
      <c r="M25" s="79"/>
      <c r="N25" s="79"/>
      <c r="O25" s="70" t="s">
        <v>130</v>
      </c>
      <c r="P25" s="97" t="str">
        <f aca="false">SEA!$G$1</f>
        <v>Seattle Seadras</v>
      </c>
      <c r="Q25" s="97"/>
      <c r="R25" s="97"/>
      <c r="S25" s="62" t="str">
        <f aca="false">SEA!$L$1</f>
        <v>SEA</v>
      </c>
      <c r="T25" s="44"/>
      <c r="U25" s="67" t="str">
        <f aca="false">LVC!$L$1</f>
        <v>LVC</v>
      </c>
      <c r="V25" s="80" t="str">
        <f aca="false">LVC!$G$1</f>
        <v>Louisville Crobats</v>
      </c>
      <c r="W25" s="80"/>
      <c r="X25" s="80"/>
      <c r="Y25" s="70" t="s">
        <v>130</v>
      </c>
      <c r="Z25" s="77" t="str">
        <f aca="false">SEA!$G$1</f>
        <v>Seattle Seadras</v>
      </c>
      <c r="AA25" s="77"/>
      <c r="AB25" s="77"/>
      <c r="AC25" s="67" t="str">
        <f aca="false">SEA!$L$1</f>
        <v>SEA</v>
      </c>
      <c r="AD25" s="44"/>
      <c r="AE25" s="44"/>
      <c r="AF25" s="44"/>
      <c r="AG25" s="44"/>
      <c r="AH25" s="44"/>
    </row>
    <row r="26" customFormat="false" ht="15.75" hidden="false" customHeight="false" outlineLevel="0" collapsed="false">
      <c r="A26" s="73" t="str">
        <f aca="false">JVJ!$L$1</f>
        <v>JVJ</v>
      </c>
      <c r="B26" s="76" t="str">
        <f aca="false">JVJ!$G$1</f>
        <v>Jacksonville Jumpluffs</v>
      </c>
      <c r="C26" s="76"/>
      <c r="D26" s="76"/>
      <c r="E26" s="70" t="s">
        <v>130</v>
      </c>
      <c r="F26" s="77" t="str">
        <f aca="false">SGP!$G$1</f>
        <v>Slung Patrol</v>
      </c>
      <c r="G26" s="77"/>
      <c r="H26" s="77"/>
      <c r="I26" s="62" t="str">
        <f aca="false">SGP!$L$1</f>
        <v>SGP</v>
      </c>
      <c r="J26" s="44"/>
      <c r="K26" s="73" t="str">
        <f aca="false">FTT!$L$1</f>
        <v>FTT</v>
      </c>
      <c r="L26" s="81" t="str">
        <f aca="false">FTT!$G$1</f>
        <v>Fortree Trevenants</v>
      </c>
      <c r="M26" s="81"/>
      <c r="N26" s="81"/>
      <c r="O26" s="70" t="s">
        <v>130</v>
      </c>
      <c r="P26" s="82" t="str">
        <f aca="false">LVC!$G$1</f>
        <v>Louisville Crobats</v>
      </c>
      <c r="Q26" s="82"/>
      <c r="R26" s="82"/>
      <c r="S26" s="67" t="str">
        <f aca="false">LVC!$L$1</f>
        <v>LVC</v>
      </c>
      <c r="T26" s="44"/>
      <c r="U26" s="67" t="str">
        <f aca="false">BTB!$L$1</f>
        <v>BTB</v>
      </c>
      <c r="V26" s="78" t="str">
        <f aca="false">BTB!$G$1</f>
        <v>Battlin Brelooms</v>
      </c>
      <c r="W26" s="78"/>
      <c r="X26" s="78"/>
      <c r="Y26" s="70" t="s">
        <v>130</v>
      </c>
      <c r="Z26" s="77" t="str">
        <f aca="false">JVJ!$G$1</f>
        <v>Jacksonville Jumpluffs</v>
      </c>
      <c r="AA26" s="77"/>
      <c r="AB26" s="77"/>
      <c r="AC26" s="67" t="str">
        <f aca="false">JVJ!$L$1</f>
        <v>JVJ</v>
      </c>
      <c r="AD26" s="44"/>
      <c r="AE26" s="44"/>
      <c r="AF26" s="44"/>
      <c r="AG26" s="44"/>
      <c r="AH26" s="44"/>
    </row>
    <row r="27" customFormat="false" ht="15.75" hidden="false" customHeight="false" outlineLevel="0" collapsed="false">
      <c r="A27" s="88" t="str">
        <f aca="false">BBG!$L$1</f>
        <v>BBG</v>
      </c>
      <c r="B27" s="99" t="str">
        <f aca="false">BBG!$G$1</f>
        <v>Berlin Bronzong</v>
      </c>
      <c r="C27" s="99"/>
      <c r="D27" s="99"/>
      <c r="E27" s="70" t="s">
        <v>130</v>
      </c>
      <c r="F27" s="87" t="str">
        <f aca="false">FTT!$G$1</f>
        <v>Fortree Trevenants</v>
      </c>
      <c r="G27" s="87"/>
      <c r="H27" s="87"/>
      <c r="I27" s="110" t="str">
        <f aca="false">FTT!$L$1</f>
        <v>FTT</v>
      </c>
      <c r="J27" s="44"/>
      <c r="K27" s="88" t="str">
        <f aca="false">BTB!$L$1</f>
        <v>BTB</v>
      </c>
      <c r="L27" s="89" t="str">
        <f aca="false">BTB!$G$1</f>
        <v>Battlin Brelooms</v>
      </c>
      <c r="M27" s="89"/>
      <c r="N27" s="89"/>
      <c r="O27" s="70" t="s">
        <v>130</v>
      </c>
      <c r="P27" s="87" t="str">
        <f aca="false">SGP!$G$1</f>
        <v>Slung Patrol</v>
      </c>
      <c r="Q27" s="87"/>
      <c r="R27" s="87"/>
      <c r="S27" s="85" t="str">
        <f aca="false">SGP!$L$1</f>
        <v>SGP</v>
      </c>
      <c r="T27" s="44"/>
      <c r="U27" s="88" t="str">
        <f aca="false">SGP!$L$1</f>
        <v>SGP</v>
      </c>
      <c r="V27" s="89" t="str">
        <f aca="false">SGP!$G$1</f>
        <v>Slung Patrol</v>
      </c>
      <c r="W27" s="89"/>
      <c r="X27" s="89"/>
      <c r="Y27" s="70" t="s">
        <v>130</v>
      </c>
      <c r="Z27" s="87" t="str">
        <f aca="false">BBG!$G$1</f>
        <v>Berlin Bronzong</v>
      </c>
      <c r="AA27" s="87"/>
      <c r="AB27" s="87"/>
      <c r="AC27" s="85" t="str">
        <f aca="false">BBG!$L$1</f>
        <v>BBG</v>
      </c>
      <c r="AD27" s="44"/>
      <c r="AE27" s="44"/>
      <c r="AF27" s="44"/>
      <c r="AG27" s="44"/>
      <c r="AH27" s="44"/>
    </row>
    <row r="28" customFormat="false" ht="15.75" hidden="false" customHeight="false" outlineLevel="0" collapsed="false">
      <c r="A28" s="111"/>
      <c r="B28" s="112"/>
      <c r="C28" s="112"/>
      <c r="D28" s="112"/>
      <c r="E28" s="113"/>
      <c r="F28" s="114"/>
      <c r="G28" s="114"/>
      <c r="H28" s="114"/>
      <c r="I28" s="111"/>
      <c r="J28" s="44"/>
      <c r="K28" s="111"/>
      <c r="L28" s="112"/>
      <c r="M28" s="112"/>
      <c r="N28" s="112"/>
      <c r="O28" s="113"/>
      <c r="P28" s="114"/>
      <c r="Q28" s="114"/>
      <c r="R28" s="114"/>
      <c r="S28" s="111"/>
      <c r="T28" s="44"/>
      <c r="U28" s="111"/>
      <c r="V28" s="112"/>
      <c r="W28" s="112"/>
      <c r="X28" s="112"/>
      <c r="Y28" s="113"/>
      <c r="Z28" s="114"/>
      <c r="AA28" s="114"/>
      <c r="AB28" s="114"/>
      <c r="AC28" s="111"/>
      <c r="AD28" s="44"/>
      <c r="AE28" s="44"/>
      <c r="AF28" s="44"/>
      <c r="AG28" s="44"/>
      <c r="AH28" s="44"/>
    </row>
    <row r="29" customFormat="false" ht="15.75" hidden="false" customHeight="false" outlineLevel="0" collapsed="false">
      <c r="A29" s="90" t="s">
        <v>140</v>
      </c>
      <c r="B29" s="90"/>
      <c r="C29" s="90"/>
      <c r="D29" s="90"/>
      <c r="E29" s="90"/>
      <c r="F29" s="90"/>
      <c r="G29" s="90"/>
      <c r="H29" s="90"/>
      <c r="I29" s="90"/>
      <c r="J29" s="44"/>
      <c r="K29" s="90" t="s">
        <v>141</v>
      </c>
      <c r="L29" s="90"/>
      <c r="M29" s="90"/>
      <c r="N29" s="90"/>
      <c r="O29" s="90"/>
      <c r="P29" s="90"/>
      <c r="Q29" s="90"/>
      <c r="R29" s="90"/>
      <c r="S29" s="90"/>
      <c r="T29" s="44"/>
      <c r="U29" s="90" t="s">
        <v>142</v>
      </c>
      <c r="V29" s="90"/>
      <c r="W29" s="90"/>
      <c r="X29" s="90"/>
      <c r="Y29" s="90"/>
      <c r="Z29" s="90"/>
      <c r="AA29" s="90"/>
      <c r="AB29" s="90"/>
      <c r="AC29" s="90"/>
      <c r="AD29" s="44"/>
      <c r="AE29" s="44"/>
      <c r="AF29" s="44"/>
      <c r="AG29" s="44"/>
      <c r="AH29" s="44"/>
    </row>
    <row r="30" customFormat="false" ht="15.75" hidden="false" customHeight="false" outlineLevel="0" collapsed="false">
      <c r="A30" s="66"/>
      <c r="B30" s="63" t="s">
        <v>4</v>
      </c>
      <c r="C30" s="63"/>
      <c r="D30" s="63"/>
      <c r="E30" s="64"/>
      <c r="F30" s="65" t="s">
        <v>8</v>
      </c>
      <c r="G30" s="65"/>
      <c r="H30" s="65"/>
      <c r="I30" s="66"/>
      <c r="J30" s="44"/>
      <c r="K30" s="66"/>
      <c r="L30" s="63" t="s">
        <v>4</v>
      </c>
      <c r="M30" s="63"/>
      <c r="N30" s="63"/>
      <c r="O30" s="64"/>
      <c r="P30" s="65" t="s">
        <v>8</v>
      </c>
      <c r="Q30" s="65"/>
      <c r="R30" s="65"/>
      <c r="S30" s="66"/>
      <c r="T30" s="44"/>
      <c r="U30" s="66"/>
      <c r="V30" s="63" t="s">
        <v>4</v>
      </c>
      <c r="W30" s="63"/>
      <c r="X30" s="63"/>
      <c r="Y30" s="64"/>
      <c r="Z30" s="65" t="s">
        <v>8</v>
      </c>
      <c r="AA30" s="65"/>
      <c r="AB30" s="65"/>
      <c r="AC30" s="66"/>
      <c r="AD30" s="44"/>
      <c r="AE30" s="44"/>
      <c r="AF30" s="44"/>
      <c r="AG30" s="44"/>
      <c r="AH30" s="44"/>
    </row>
    <row r="31" customFormat="false" ht="15.75" hidden="false" customHeight="false" outlineLevel="0" collapsed="false">
      <c r="A31" s="67" t="str">
        <f aca="false">KKS!$L$1</f>
        <v>KKS</v>
      </c>
      <c r="B31" s="94" t="str">
        <f aca="false">KKS!$G$1</f>
        <v>Kingston Kecleons</v>
      </c>
      <c r="C31" s="94"/>
      <c r="D31" s="94"/>
      <c r="E31" s="70" t="s">
        <v>130</v>
      </c>
      <c r="F31" s="71" t="str">
        <f aca="false">JVJ!$G$1</f>
        <v>Jacksonville Jumpluffs</v>
      </c>
      <c r="G31" s="71"/>
      <c r="H31" s="71"/>
      <c r="I31" s="67" t="str">
        <f aca="false">JVJ!$L$1</f>
        <v>JVJ</v>
      </c>
      <c r="J31" s="44"/>
      <c r="K31" s="67" t="str">
        <f aca="false">KKS!$L$1</f>
        <v>KKS</v>
      </c>
      <c r="L31" s="94" t="str">
        <f aca="false">KKS!$G$1</f>
        <v>Kingston Kecleons</v>
      </c>
      <c r="M31" s="94"/>
      <c r="N31" s="94"/>
      <c r="O31" s="70" t="s">
        <v>130</v>
      </c>
      <c r="P31" s="71" t="str">
        <f aca="false">SGP!$G$1</f>
        <v>Slung Patrol</v>
      </c>
      <c r="Q31" s="71"/>
      <c r="R31" s="71"/>
      <c r="S31" s="67" t="str">
        <f aca="false">SGP!$L$1</f>
        <v>SGP</v>
      </c>
      <c r="T31" s="44"/>
      <c r="U31" s="67" t="str">
        <f aca="false">KKS!$L$1</f>
        <v>KKS</v>
      </c>
      <c r="V31" s="94" t="str">
        <f aca="false">KKS!$G$1</f>
        <v>Kingston Kecleons</v>
      </c>
      <c r="W31" s="94"/>
      <c r="X31" s="94"/>
      <c r="Y31" s="70" t="s">
        <v>130</v>
      </c>
      <c r="Z31" s="71" t="str">
        <f aca="false">SEA!$G$1</f>
        <v>Seattle Seadras</v>
      </c>
      <c r="AA31" s="71"/>
      <c r="AB31" s="71"/>
      <c r="AC31" s="67" t="str">
        <f aca="false">SEA!$L$1</f>
        <v>SEA</v>
      </c>
      <c r="AD31" s="44"/>
      <c r="AE31" s="44"/>
      <c r="AF31" s="44"/>
      <c r="AG31" s="44"/>
      <c r="AH31" s="44"/>
    </row>
    <row r="32" customFormat="false" ht="15.75" hidden="false" customHeight="false" outlineLevel="0" collapsed="false">
      <c r="A32" s="67" t="str">
        <f aca="false">SEA!$L$1</f>
        <v>SEA</v>
      </c>
      <c r="B32" s="76" t="str">
        <f aca="false">SEA!$G$1</f>
        <v>Seattle Seadras</v>
      </c>
      <c r="C32" s="76"/>
      <c r="D32" s="76"/>
      <c r="E32" s="70" t="s">
        <v>130</v>
      </c>
      <c r="F32" s="77" t="str">
        <f aca="false">BBG!$G$1</f>
        <v>Berlin Bronzong</v>
      </c>
      <c r="G32" s="77"/>
      <c r="H32" s="77"/>
      <c r="I32" s="67" t="str">
        <f aca="false">BBG!$L$1</f>
        <v>BBG</v>
      </c>
      <c r="J32" s="44"/>
      <c r="K32" s="67" t="str">
        <f aca="false">SEA!$L$1</f>
        <v>SEA</v>
      </c>
      <c r="L32" s="76" t="str">
        <f aca="false">SEA!$G$1</f>
        <v>Seattle Seadras</v>
      </c>
      <c r="M32" s="76"/>
      <c r="N32" s="76"/>
      <c r="O32" s="70" t="s">
        <v>130</v>
      </c>
      <c r="P32" s="77" t="str">
        <f aca="false">FTT!$G$1</f>
        <v>Fortree Trevenants</v>
      </c>
      <c r="Q32" s="77"/>
      <c r="R32" s="77"/>
      <c r="S32" s="67" t="str">
        <f aca="false">FTT!$L$1</f>
        <v>FTT</v>
      </c>
      <c r="T32" s="44"/>
      <c r="U32" s="67" t="str">
        <f aca="false">JVJ!$L$1</f>
        <v>JVJ</v>
      </c>
      <c r="V32" s="76" t="str">
        <f aca="false">JVJ!$G$1</f>
        <v>Jacksonville Jumpluffs</v>
      </c>
      <c r="W32" s="76"/>
      <c r="X32" s="76"/>
      <c r="Y32" s="70" t="s">
        <v>130</v>
      </c>
      <c r="Z32" s="77" t="str">
        <f aca="false">BBG!$G$1</f>
        <v>Berlin Bronzong</v>
      </c>
      <c r="AA32" s="77"/>
      <c r="AB32" s="77"/>
      <c r="AC32" s="67" t="str">
        <f aca="false">BBG!$L$1</f>
        <v>BBG</v>
      </c>
      <c r="AD32" s="44"/>
      <c r="AE32" s="44"/>
      <c r="AF32" s="44"/>
      <c r="AG32" s="44"/>
      <c r="AH32" s="44"/>
    </row>
    <row r="33" customFormat="false" ht="15.75" hidden="false" customHeight="false" outlineLevel="0" collapsed="false">
      <c r="A33" s="67" t="str">
        <f aca="false">JVJ!$L$1</f>
        <v>JVJ</v>
      </c>
      <c r="B33" s="80" t="str">
        <f aca="false">LVC!$G$1</f>
        <v>Louisville Crobats</v>
      </c>
      <c r="C33" s="80"/>
      <c r="D33" s="80"/>
      <c r="E33" s="70" t="s">
        <v>130</v>
      </c>
      <c r="F33" s="77" t="str">
        <f aca="false">BTB!$G$1</f>
        <v>Battlin Brelooms</v>
      </c>
      <c r="G33" s="77"/>
      <c r="H33" s="77"/>
      <c r="I33" s="67" t="str">
        <f aca="false">BTB!$L$1</f>
        <v>BTB</v>
      </c>
      <c r="J33" s="44"/>
      <c r="K33" s="67" t="str">
        <f aca="false">JVJ!$L$1</f>
        <v>JVJ</v>
      </c>
      <c r="L33" s="76" t="str">
        <f aca="false">JVJ!$G$1</f>
        <v>Jacksonville Jumpluffs</v>
      </c>
      <c r="M33" s="76"/>
      <c r="N33" s="76"/>
      <c r="O33" s="70" t="s">
        <v>130</v>
      </c>
      <c r="P33" s="82" t="str">
        <f aca="false">LVC!$G$1</f>
        <v>Louisville Crobats</v>
      </c>
      <c r="Q33" s="82"/>
      <c r="R33" s="82"/>
      <c r="S33" s="67" t="str">
        <f aca="false">LVC!$L$1</f>
        <v>LVC</v>
      </c>
      <c r="T33" s="44"/>
      <c r="U33" s="67" t="str">
        <f aca="false">LVC!$L$1</f>
        <v>LVC</v>
      </c>
      <c r="V33" s="80" t="str">
        <f aca="false">LVC!$G$1</f>
        <v>Louisville Crobats</v>
      </c>
      <c r="W33" s="80"/>
      <c r="X33" s="80"/>
      <c r="Y33" s="70" t="s">
        <v>130</v>
      </c>
      <c r="Z33" s="77" t="str">
        <f aca="false">SGP!$G$1</f>
        <v>Slung Patrol</v>
      </c>
      <c r="AA33" s="77"/>
      <c r="AB33" s="77"/>
      <c r="AC33" s="67" t="str">
        <f aca="false">SGP!$L$1</f>
        <v>SGP</v>
      </c>
      <c r="AD33" s="44"/>
      <c r="AE33" s="44"/>
      <c r="AF33" s="44"/>
      <c r="AG33" s="44"/>
      <c r="AH33" s="44"/>
    </row>
    <row r="34" customFormat="false" ht="15.75" hidden="false" customHeight="false" outlineLevel="0" collapsed="false">
      <c r="A34" s="85" t="str">
        <f aca="false">SGP!$L$1</f>
        <v>SGP</v>
      </c>
      <c r="B34" s="86" t="str">
        <f aca="false">SGP!$G$1</f>
        <v>Slung Patrol</v>
      </c>
      <c r="C34" s="86"/>
      <c r="D34" s="86"/>
      <c r="E34" s="70" t="s">
        <v>130</v>
      </c>
      <c r="F34" s="87" t="str">
        <f aca="false">FTT!$G$1</f>
        <v>Fortree Trevenants</v>
      </c>
      <c r="G34" s="87"/>
      <c r="H34" s="87"/>
      <c r="I34" s="85" t="str">
        <f aca="false">FTT!$L$1</f>
        <v>FTT</v>
      </c>
      <c r="J34" s="44"/>
      <c r="K34" s="85" t="str">
        <f aca="false">BBG!$L$1</f>
        <v>BBG</v>
      </c>
      <c r="L34" s="99" t="str">
        <f aca="false">BBG!$G$1</f>
        <v>Berlin Bronzong</v>
      </c>
      <c r="M34" s="99"/>
      <c r="N34" s="99"/>
      <c r="O34" s="70" t="s">
        <v>130</v>
      </c>
      <c r="P34" s="87" t="str">
        <f aca="false">BTB!$G$1</f>
        <v>Battlin Brelooms</v>
      </c>
      <c r="Q34" s="87"/>
      <c r="R34" s="87"/>
      <c r="S34" s="85" t="str">
        <f aca="false">BTB!$L$1</f>
        <v>BTB</v>
      </c>
      <c r="T34" s="44"/>
      <c r="U34" s="85" t="str">
        <f aca="false">BTB!$L$1</f>
        <v>BTB</v>
      </c>
      <c r="V34" s="86" t="str">
        <f aca="false">BTB!$G$1</f>
        <v>Battlin Brelooms</v>
      </c>
      <c r="W34" s="86"/>
      <c r="X34" s="86"/>
      <c r="Y34" s="70" t="s">
        <v>130</v>
      </c>
      <c r="Z34" s="87" t="str">
        <f aca="false">FTT!$G$1</f>
        <v>Fortree Trevenants</v>
      </c>
      <c r="AA34" s="87"/>
      <c r="AB34" s="87"/>
      <c r="AC34" s="85" t="str">
        <f aca="false">FTT!$L$1</f>
        <v>FTT</v>
      </c>
      <c r="AD34" s="44"/>
      <c r="AE34" s="44"/>
      <c r="AF34" s="44"/>
      <c r="AG34" s="44"/>
      <c r="AH34" s="44"/>
    </row>
    <row r="35" customFormat="false" ht="15.75" hidden="false" customHeight="false" outlineLevel="0" collapsed="false">
      <c r="A35" s="111"/>
      <c r="B35" s="112"/>
      <c r="C35" s="112"/>
      <c r="D35" s="112"/>
      <c r="E35" s="113"/>
      <c r="F35" s="114"/>
      <c r="G35" s="114"/>
      <c r="H35" s="114"/>
      <c r="I35" s="111"/>
      <c r="J35" s="44"/>
      <c r="K35" s="111"/>
      <c r="L35" s="112"/>
      <c r="M35" s="112"/>
      <c r="N35" s="112"/>
      <c r="O35" s="113"/>
      <c r="P35" s="114"/>
      <c r="Q35" s="114"/>
      <c r="R35" s="114"/>
      <c r="S35" s="111"/>
      <c r="T35" s="44"/>
      <c r="U35" s="111"/>
      <c r="V35" s="112"/>
      <c r="W35" s="112"/>
      <c r="X35" s="112"/>
      <c r="Y35" s="113"/>
      <c r="Z35" s="114"/>
      <c r="AA35" s="114"/>
      <c r="AB35" s="114"/>
      <c r="AC35" s="111"/>
      <c r="AD35" s="44"/>
      <c r="AE35" s="44"/>
      <c r="AF35" s="44"/>
      <c r="AG35" s="44"/>
      <c r="AH35" s="44"/>
    </row>
    <row r="36" customFormat="false" ht="15.75" hidden="false" customHeight="false" outlineLevel="0" collapsed="false">
      <c r="A36" s="111"/>
      <c r="B36" s="112"/>
      <c r="C36" s="112"/>
      <c r="D36" s="112"/>
      <c r="E36" s="113"/>
      <c r="F36" s="90" t="s">
        <v>143</v>
      </c>
      <c r="G36" s="90"/>
      <c r="H36" s="90"/>
      <c r="I36" s="90"/>
      <c r="J36" s="90"/>
      <c r="K36" s="90"/>
      <c r="L36" s="90"/>
      <c r="M36" s="90"/>
      <c r="N36" s="90"/>
      <c r="O36" s="44"/>
      <c r="P36" s="90" t="s">
        <v>144</v>
      </c>
      <c r="Q36" s="90"/>
      <c r="R36" s="90"/>
      <c r="S36" s="90"/>
      <c r="T36" s="90"/>
      <c r="U36" s="90"/>
      <c r="V36" s="90"/>
      <c r="W36" s="90"/>
      <c r="X36" s="90"/>
      <c r="Y36" s="113"/>
      <c r="Z36" s="114"/>
      <c r="AA36" s="114"/>
      <c r="AB36" s="114"/>
      <c r="AC36" s="111"/>
      <c r="AD36" s="44"/>
      <c r="AE36" s="44"/>
      <c r="AF36" s="44"/>
      <c r="AG36" s="44"/>
      <c r="AH36" s="44"/>
    </row>
    <row r="37" customFormat="false" ht="15.75" hidden="false" customHeight="false" outlineLevel="0" collapsed="false">
      <c r="A37" s="111"/>
      <c r="B37" s="112"/>
      <c r="C37" s="112"/>
      <c r="D37" s="112"/>
      <c r="E37" s="113"/>
      <c r="F37" s="66"/>
      <c r="G37" s="63" t="s">
        <v>4</v>
      </c>
      <c r="H37" s="63"/>
      <c r="I37" s="63"/>
      <c r="J37" s="64"/>
      <c r="K37" s="65" t="s">
        <v>8</v>
      </c>
      <c r="L37" s="65"/>
      <c r="M37" s="65"/>
      <c r="N37" s="66"/>
      <c r="O37" s="44"/>
      <c r="P37" s="66"/>
      <c r="Q37" s="63" t="s">
        <v>4</v>
      </c>
      <c r="R37" s="63"/>
      <c r="S37" s="63"/>
      <c r="T37" s="64"/>
      <c r="U37" s="65" t="s">
        <v>8</v>
      </c>
      <c r="V37" s="65"/>
      <c r="W37" s="65"/>
      <c r="X37" s="66"/>
      <c r="Y37" s="44"/>
      <c r="Z37" s="44"/>
      <c r="AA37" s="44"/>
      <c r="AB37" s="44"/>
      <c r="AC37" s="44"/>
      <c r="AD37" s="44"/>
      <c r="AE37" s="44"/>
      <c r="AF37" s="44"/>
      <c r="AG37" s="44"/>
      <c r="AH37" s="44"/>
    </row>
    <row r="38" customFormat="false" ht="15.75" hidden="false" customHeight="false" outlineLevel="0" collapsed="false">
      <c r="A38" s="111"/>
      <c r="B38" s="112"/>
      <c r="C38" s="112"/>
      <c r="D38" s="112"/>
      <c r="E38" s="113"/>
      <c r="F38" s="67" t="str">
        <f aca="false">BTB!$L$1</f>
        <v>BTB</v>
      </c>
      <c r="G38" s="72" t="str">
        <f aca="false">BTB!$G$1</f>
        <v>Battlin Brelooms</v>
      </c>
      <c r="H38" s="72"/>
      <c r="I38" s="72"/>
      <c r="J38" s="70" t="s">
        <v>130</v>
      </c>
      <c r="K38" s="71" t="str">
        <f aca="false">KKS!$G$1</f>
        <v>Kingston Kecleons</v>
      </c>
      <c r="L38" s="71"/>
      <c r="M38" s="71"/>
      <c r="N38" s="67" t="str">
        <f aca="false">KKS!$L$1</f>
        <v>KKS</v>
      </c>
      <c r="O38" s="44"/>
      <c r="P38" s="73" t="str">
        <f aca="false">BBG!$L$1</f>
        <v>BBG</v>
      </c>
      <c r="Q38" s="74" t="str">
        <f aca="false">BBG!$G$1</f>
        <v>Berlin Bronzong</v>
      </c>
      <c r="R38" s="74"/>
      <c r="S38" s="74"/>
      <c r="T38" s="95" t="s">
        <v>130</v>
      </c>
      <c r="U38" s="96" t="str">
        <f aca="false">KKS!$G$1</f>
        <v>Kingston Kecleons</v>
      </c>
      <c r="V38" s="96"/>
      <c r="W38" s="96"/>
      <c r="X38" s="67" t="str">
        <f aca="false">KKS!$L$1</f>
        <v>KKS</v>
      </c>
      <c r="Y38" s="113"/>
      <c r="Z38" s="114"/>
      <c r="AA38" s="114"/>
      <c r="AB38" s="114"/>
      <c r="AC38" s="111"/>
      <c r="AD38" s="44"/>
      <c r="AE38" s="44"/>
      <c r="AF38" s="44"/>
      <c r="AG38" s="44"/>
      <c r="AH38" s="44"/>
    </row>
    <row r="39" customFormat="false" ht="15.75" hidden="false" customHeight="false" outlineLevel="0" collapsed="false">
      <c r="A39" s="111"/>
      <c r="B39" s="112"/>
      <c r="C39" s="112"/>
      <c r="D39" s="112"/>
      <c r="E39" s="113"/>
      <c r="F39" s="67" t="str">
        <f aca="false">SGP!$L$1</f>
        <v>SGP</v>
      </c>
      <c r="G39" s="78" t="str">
        <f aca="false">SGP!$G$1</f>
        <v>Slung Patrol</v>
      </c>
      <c r="H39" s="78"/>
      <c r="I39" s="78"/>
      <c r="J39" s="70" t="s">
        <v>130</v>
      </c>
      <c r="K39" s="77" t="str">
        <f aca="false">SEA!$G$1</f>
        <v>Seattle Seadras</v>
      </c>
      <c r="L39" s="77"/>
      <c r="M39" s="77"/>
      <c r="N39" s="67" t="str">
        <f aca="false">SEA!$L$1</f>
        <v>SEA</v>
      </c>
      <c r="O39" s="44"/>
      <c r="P39" s="73" t="str">
        <f aca="false">SEA!$L$1</f>
        <v>SEA</v>
      </c>
      <c r="Q39" s="79" t="str">
        <f aca="false">SEA!$G$1</f>
        <v>Seattle Seadras</v>
      </c>
      <c r="R39" s="79"/>
      <c r="S39" s="79"/>
      <c r="T39" s="95" t="s">
        <v>130</v>
      </c>
      <c r="U39" s="97" t="str">
        <f aca="false">JVJ!$G$1</f>
        <v>Jacksonville Jumpluffs</v>
      </c>
      <c r="V39" s="97"/>
      <c r="W39" s="97"/>
      <c r="X39" s="67" t="str">
        <f aca="false">JVJ!$L$1</f>
        <v>JVJ</v>
      </c>
      <c r="Y39" s="113"/>
      <c r="Z39" s="114"/>
      <c r="AA39" s="114"/>
      <c r="AB39" s="114"/>
      <c r="AC39" s="111"/>
      <c r="AD39" s="44"/>
      <c r="AE39" s="44"/>
      <c r="AF39" s="44"/>
      <c r="AG39" s="44"/>
      <c r="AH39" s="44"/>
    </row>
    <row r="40" customFormat="false" ht="15.75" hidden="false" customHeight="false" outlineLevel="0" collapsed="false">
      <c r="A40" s="111"/>
      <c r="B40" s="112"/>
      <c r="C40" s="112"/>
      <c r="D40" s="112"/>
      <c r="E40" s="113"/>
      <c r="F40" s="67" t="str">
        <f aca="false">FTT!$L$1</f>
        <v>FTT</v>
      </c>
      <c r="G40" s="78" t="str">
        <f aca="false">FTT!$G$1</f>
        <v>Fortree Trevenants</v>
      </c>
      <c r="H40" s="78"/>
      <c r="I40" s="78"/>
      <c r="J40" s="70" t="s">
        <v>130</v>
      </c>
      <c r="K40" s="77" t="str">
        <f aca="false">JVJ!$G$1</f>
        <v>Jacksonville Jumpluffs</v>
      </c>
      <c r="L40" s="77"/>
      <c r="M40" s="77"/>
      <c r="N40" s="67" t="str">
        <f aca="false">JVJ!$L$1</f>
        <v>JVJ</v>
      </c>
      <c r="O40" s="44"/>
      <c r="P40" s="67" t="str">
        <f aca="false">FTT!$L$1</f>
        <v>FTT</v>
      </c>
      <c r="Q40" s="115" t="str">
        <f aca="false">FTT!$G$1</f>
        <v>Fortree Trevenants</v>
      </c>
      <c r="R40" s="115"/>
      <c r="S40" s="115"/>
      <c r="T40" s="70" t="s">
        <v>130</v>
      </c>
      <c r="U40" s="82" t="str">
        <f aca="false">LVC!$G$1</f>
        <v>Louisville Crobats</v>
      </c>
      <c r="V40" s="82"/>
      <c r="W40" s="82"/>
      <c r="X40" s="67" t="str">
        <f aca="false">LVC!$L$1</f>
        <v>LVC</v>
      </c>
      <c r="Y40" s="113"/>
      <c r="Z40" s="114"/>
      <c r="AA40" s="114"/>
      <c r="AB40" s="114"/>
      <c r="AC40" s="111"/>
      <c r="AD40" s="44"/>
      <c r="AE40" s="44"/>
      <c r="AF40" s="44"/>
      <c r="AG40" s="44"/>
      <c r="AH40" s="44"/>
    </row>
    <row r="41" customFormat="false" ht="15.75" hidden="false" customHeight="false" outlineLevel="0" collapsed="false">
      <c r="A41" s="111"/>
      <c r="B41" s="112"/>
      <c r="C41" s="112"/>
      <c r="D41" s="112"/>
      <c r="E41" s="113"/>
      <c r="F41" s="85" t="str">
        <f aca="false">LVC!$L$1</f>
        <v>LVC</v>
      </c>
      <c r="G41" s="116" t="str">
        <f aca="false">LVC!$G$1</f>
        <v>Louisville Crobats</v>
      </c>
      <c r="H41" s="116"/>
      <c r="I41" s="116"/>
      <c r="J41" s="70" t="s">
        <v>130</v>
      </c>
      <c r="K41" s="87" t="str">
        <f aca="false">BBG!$G$1</f>
        <v>Berlin Bronzong</v>
      </c>
      <c r="L41" s="87"/>
      <c r="M41" s="87"/>
      <c r="N41" s="85" t="str">
        <f aca="false">BBG!$L$1</f>
        <v>BBG</v>
      </c>
      <c r="O41" s="44"/>
      <c r="P41" s="85" t="str">
        <f aca="false">SGP!$L$1</f>
        <v>SGP</v>
      </c>
      <c r="Q41" s="117" t="str">
        <f aca="false">SGP!$G$1</f>
        <v>Slung Patrol</v>
      </c>
      <c r="R41" s="117"/>
      <c r="S41" s="117"/>
      <c r="T41" s="70" t="s">
        <v>130</v>
      </c>
      <c r="U41" s="109" t="str">
        <f aca="false">BTB!$G$1</f>
        <v>Battlin Brelooms</v>
      </c>
      <c r="V41" s="109"/>
      <c r="W41" s="109"/>
      <c r="X41" s="85" t="str">
        <f aca="false">BTB!$L$1</f>
        <v>BTB</v>
      </c>
      <c r="Y41" s="113"/>
      <c r="Z41" s="114"/>
      <c r="AA41" s="114"/>
      <c r="AB41" s="114"/>
      <c r="AC41" s="111"/>
      <c r="AD41" s="44"/>
      <c r="AE41" s="44"/>
      <c r="AF41" s="44"/>
      <c r="AG41" s="44"/>
      <c r="AH41" s="44"/>
    </row>
    <row r="42" customFormat="false" ht="15.75" hidden="false" customHeight="false" outlineLevel="0" collapsed="false">
      <c r="A42" s="44"/>
      <c r="B42" s="44"/>
      <c r="C42" s="44"/>
      <c r="D42" s="44"/>
      <c r="E42" s="44"/>
      <c r="F42" s="44"/>
      <c r="G42" s="44"/>
      <c r="H42" s="44"/>
      <c r="I42" s="44"/>
      <c r="J42" s="44"/>
      <c r="K42" s="44"/>
      <c r="L42" s="44"/>
      <c r="M42" s="44"/>
      <c r="N42" s="44"/>
      <c r="O42" s="44"/>
      <c r="P42" s="44"/>
      <c r="Q42" s="44"/>
      <c r="R42" s="44"/>
      <c r="S42" s="44"/>
      <c r="T42" s="44"/>
      <c r="U42" s="44"/>
      <c r="V42" s="44"/>
      <c r="W42" s="44"/>
      <c r="X42" s="44"/>
      <c r="Y42" s="44"/>
      <c r="Z42" s="44"/>
      <c r="AA42" s="44"/>
      <c r="AB42" s="44"/>
      <c r="AC42" s="44"/>
      <c r="AD42" s="44"/>
      <c r="AE42" s="44"/>
      <c r="AF42" s="44"/>
      <c r="AG42" s="44"/>
      <c r="AH42" s="44"/>
    </row>
    <row r="43" customFormat="false" ht="15.75" hidden="false" customHeight="false" outlineLevel="0" collapsed="false">
      <c r="A43" s="118" t="s">
        <v>145</v>
      </c>
      <c r="B43" s="118"/>
      <c r="C43" s="118"/>
      <c r="D43" s="119" t="s">
        <v>146</v>
      </c>
      <c r="E43" s="119" t="s">
        <v>147</v>
      </c>
      <c r="F43" s="120" t="s">
        <v>148</v>
      </c>
      <c r="G43" s="119" t="s">
        <v>149</v>
      </c>
      <c r="H43" s="119" t="s">
        <v>150</v>
      </c>
      <c r="I43" s="121" t="s">
        <v>151</v>
      </c>
      <c r="J43" s="119" t="s">
        <v>152</v>
      </c>
      <c r="K43" s="119" t="s">
        <v>153</v>
      </c>
      <c r="L43" s="120" t="s">
        <v>154</v>
      </c>
      <c r="M43" s="119" t="s">
        <v>155</v>
      </c>
      <c r="N43" s="119" t="s">
        <v>156</v>
      </c>
      <c r="O43" s="119" t="s">
        <v>157</v>
      </c>
      <c r="P43" s="122" t="s">
        <v>158</v>
      </c>
      <c r="Q43" s="119" t="s">
        <v>159</v>
      </c>
      <c r="R43" s="120" t="s">
        <v>160</v>
      </c>
      <c r="S43" s="119" t="s">
        <v>161</v>
      </c>
      <c r="T43" s="121" t="s">
        <v>162</v>
      </c>
      <c r="U43" s="123" t="s">
        <v>163</v>
      </c>
      <c r="V43" s="44"/>
      <c r="W43" s="44"/>
      <c r="X43" s="44"/>
      <c r="Y43" s="44"/>
      <c r="Z43" s="44"/>
      <c r="AA43" s="44"/>
      <c r="AB43" s="44"/>
      <c r="AC43" s="44"/>
      <c r="AD43" s="44"/>
      <c r="AE43" s="44"/>
      <c r="AF43" s="44"/>
      <c r="AG43" s="44"/>
      <c r="AH43" s="44"/>
    </row>
    <row r="44" customFormat="false" ht="15.75" hidden="false" customHeight="false" outlineLevel="0" collapsed="false">
      <c r="A44" s="124" t="str">
        <f aca="false">KKS!$G$1</f>
        <v>Kingston Kecleons</v>
      </c>
      <c r="B44" s="124"/>
      <c r="C44" s="124"/>
      <c r="D44" s="125" t="str">
        <f aca="false">JVJ!$L$1</f>
        <v>JVJ</v>
      </c>
      <c r="E44" s="126" t="str">
        <f aca="false">LVC!$L$1</f>
        <v>LVC</v>
      </c>
      <c r="F44" s="127" t="str">
        <f aca="false">SEA!$L$1</f>
        <v>SEA</v>
      </c>
      <c r="G44" s="128" t="str">
        <f aca="false">FTT!$L$1</f>
        <v>FTT</v>
      </c>
      <c r="H44" s="128" t="str">
        <f aca="false">BBG!$L$1</f>
        <v>BBG</v>
      </c>
      <c r="I44" s="128" t="str">
        <f aca="false">SGP!$L$1</f>
        <v>SGP</v>
      </c>
      <c r="J44" s="125" t="str">
        <f aca="false">JVJ!$L$1</f>
        <v>JVJ</v>
      </c>
      <c r="K44" s="128" t="str">
        <f aca="false">BTB!$L$1</f>
        <v>BTB</v>
      </c>
      <c r="L44" s="127" t="str">
        <f aca="false">SEA!$L$1</f>
        <v>SEA</v>
      </c>
      <c r="M44" s="126" t="str">
        <f aca="false">LVC!$L$1</f>
        <v>LVC</v>
      </c>
      <c r="N44" s="128" t="str">
        <f aca="false">BBG!$L$1</f>
        <v>BBG</v>
      </c>
      <c r="O44" s="126" t="str">
        <f aca="false">FTT!$L$1</f>
        <v>FTT</v>
      </c>
      <c r="P44" s="129" t="str">
        <f aca="false">JVJ!$L$1</f>
        <v>JVJ</v>
      </c>
      <c r="Q44" s="128" t="str">
        <f aca="false">SGP!$L$1</f>
        <v>SGP</v>
      </c>
      <c r="R44" s="127" t="str">
        <f aca="false">SEA!$L$1</f>
        <v>SEA</v>
      </c>
      <c r="S44" s="126" t="str">
        <f aca="false">BTB!$L$1</f>
        <v>BTB</v>
      </c>
      <c r="T44" s="130" t="str">
        <f aca="false">BBG!$L$1</f>
        <v>BBG</v>
      </c>
      <c r="U44" s="131" t="str">
        <f aca="false">MatchSource!$R$23</f>
        <v>Win-5</v>
      </c>
      <c r="V44" s="44"/>
      <c r="W44" s="44"/>
      <c r="X44" s="44"/>
      <c r="Y44" s="44"/>
      <c r="Z44" s="44"/>
      <c r="AA44" s="44"/>
      <c r="AB44" s="44"/>
      <c r="AC44" s="44"/>
      <c r="AD44" s="44"/>
      <c r="AE44" s="44"/>
      <c r="AF44" s="44"/>
      <c r="AG44" s="44"/>
      <c r="AH44" s="44"/>
    </row>
    <row r="45" customFormat="false" ht="15.75" hidden="false" customHeight="false" outlineLevel="0" collapsed="false">
      <c r="A45" s="124"/>
      <c r="B45" s="124"/>
      <c r="C45" s="124"/>
      <c r="D45" s="132" t="str">
        <f aca="false" t="array" ref="D45:T45">TRANSPOSE(MatchSource!R3:R19)</f>
        <v>LOSE</v>
      </c>
      <c r="E45" s="133" t="str">
        <v>WIN</v>
      </c>
      <c r="F45" s="133" t="str">
        <v>LOSE</v>
      </c>
      <c r="G45" s="133" t="str">
        <v>WIN</v>
      </c>
      <c r="H45" s="133" t="str">
        <v>WIN</v>
      </c>
      <c r="I45" s="133" t="str">
        <v>WIN</v>
      </c>
      <c r="J45" s="132" t="str">
        <v>WIN</v>
      </c>
      <c r="K45" s="133" t="str">
        <v>WIN</v>
      </c>
      <c r="L45" s="133" t="str">
        <v>WIN</v>
      </c>
      <c r="M45" s="133" t="str">
        <v>WIN</v>
      </c>
      <c r="N45" s="133" t="str">
        <v>WIN</v>
      </c>
      <c r="O45" s="133" t="str">
        <v>DNP</v>
      </c>
      <c r="P45" s="134" t="str">
        <v>WIN</v>
      </c>
      <c r="Q45" s="133" t="str">
        <v>WIN</v>
      </c>
      <c r="R45" s="133" t="str">
        <v>WIN</v>
      </c>
      <c r="S45" s="133" t="str">
        <v>WIN</v>
      </c>
      <c r="T45" s="135" t="str">
        <v>WIN</v>
      </c>
      <c r="U45" s="131"/>
      <c r="V45" s="44"/>
      <c r="W45" s="44"/>
      <c r="X45" s="44"/>
      <c r="Y45" s="44"/>
      <c r="Z45" s="44"/>
      <c r="AA45" s="44"/>
      <c r="AB45" s="44"/>
      <c r="AC45" s="44"/>
      <c r="AD45" s="44"/>
      <c r="AE45" s="44"/>
      <c r="AF45" s="44"/>
      <c r="AG45" s="44"/>
      <c r="AH45" s="44"/>
    </row>
    <row r="46" customFormat="false" ht="15.75" hidden="false" customHeight="false" outlineLevel="0" collapsed="false">
      <c r="A46" s="124" t="str">
        <f aca="false">SEA!$G$1</f>
        <v>Seattle Seadras</v>
      </c>
      <c r="B46" s="124"/>
      <c r="C46" s="124"/>
      <c r="D46" s="136" t="str">
        <f aca="false">BBG!$L$1</f>
        <v>BBG</v>
      </c>
      <c r="E46" s="128" t="str">
        <f aca="false">BTB!$L$1</f>
        <v>BTB</v>
      </c>
      <c r="F46" s="126" t="str">
        <f aca="false">KKS!$L$1</f>
        <v>KKS</v>
      </c>
      <c r="G46" s="126" t="str">
        <f aca="false">LVC!$L$1</f>
        <v>LVC</v>
      </c>
      <c r="H46" s="126" t="str">
        <f aca="false">JVJ!$L$1</f>
        <v>JVJ</v>
      </c>
      <c r="I46" s="128" t="str">
        <f aca="false">FTT!$L$1</f>
        <v>FTT</v>
      </c>
      <c r="J46" s="136" t="str">
        <f aca="false">BBG!$L$1</f>
        <v>BBG</v>
      </c>
      <c r="K46" s="128" t="str">
        <f aca="false">SGP!$L$1</f>
        <v>SGP</v>
      </c>
      <c r="L46" s="128" t="str">
        <f aca="false">KKS!$L$1</f>
        <v>KKS</v>
      </c>
      <c r="M46" s="126" t="str">
        <f aca="false">BTB!$L$1</f>
        <v>BTB</v>
      </c>
      <c r="N46" s="126" t="str">
        <f aca="false">JVJ!$L$1</f>
        <v>JVJ</v>
      </c>
      <c r="O46" s="126" t="str">
        <f aca="false">LVC!$L$1</f>
        <v>LVC</v>
      </c>
      <c r="P46" s="137" t="str">
        <f aca="false">BBG!$L$1</f>
        <v>BBG</v>
      </c>
      <c r="Q46" s="126" t="str">
        <f aca="false">FTT!$L$1</f>
        <v>FTT</v>
      </c>
      <c r="R46" s="128" t="str">
        <f aca="false">KKS!$L$1</f>
        <v>KKS</v>
      </c>
      <c r="S46" s="126" t="str">
        <f aca="false">SGP!$L$1</f>
        <v>SGP</v>
      </c>
      <c r="T46" s="138" t="str">
        <f aca="false">JVJ!$L$1</f>
        <v>JVJ</v>
      </c>
      <c r="U46" s="131" t="str">
        <f aca="false">MatchSource!$S$23</f>
        <v>DNP-2</v>
      </c>
      <c r="V46" s="44"/>
      <c r="W46" s="44"/>
      <c r="X46" s="44"/>
      <c r="Y46" s="44"/>
      <c r="Z46" s="44"/>
      <c r="AA46" s="44"/>
      <c r="AB46" s="44"/>
      <c r="AC46" s="44"/>
      <c r="AD46" s="44"/>
      <c r="AE46" s="44"/>
      <c r="AF46" s="44"/>
      <c r="AG46" s="44"/>
      <c r="AH46" s="44"/>
    </row>
    <row r="47" customFormat="false" ht="15.75" hidden="false" customHeight="false" outlineLevel="0" collapsed="false">
      <c r="A47" s="124"/>
      <c r="B47" s="124"/>
      <c r="C47" s="124"/>
      <c r="D47" s="132" t="str">
        <f aca="false" t="array" ref="D47:T47">TRANSPOSE(MatchSource!S3:S19)</f>
        <v>WIN</v>
      </c>
      <c r="E47" s="133" t="str">
        <v>WIN</v>
      </c>
      <c r="F47" s="133" t="str">
        <v>WIN</v>
      </c>
      <c r="G47" s="133" t="str">
        <v>WIN</v>
      </c>
      <c r="H47" s="133" t="str">
        <v>LOSE</v>
      </c>
      <c r="I47" s="133" t="str">
        <v>WIN</v>
      </c>
      <c r="J47" s="132" t="str">
        <v>WIN</v>
      </c>
      <c r="K47" s="133" t="str">
        <v>WIN</v>
      </c>
      <c r="L47" s="133" t="str">
        <v>LOSE</v>
      </c>
      <c r="M47" s="133" t="str">
        <v>WIN</v>
      </c>
      <c r="N47" s="133" t="str">
        <v>DNP</v>
      </c>
      <c r="O47" s="133" t="str">
        <v>WIN</v>
      </c>
      <c r="P47" s="134" t="str">
        <v>WIN</v>
      </c>
      <c r="Q47" s="133" t="str">
        <v>DNP</v>
      </c>
      <c r="R47" s="133" t="str">
        <v>LOSE</v>
      </c>
      <c r="S47" s="133" t="str">
        <v>DNP</v>
      </c>
      <c r="T47" s="135" t="str">
        <v>DNP</v>
      </c>
      <c r="U47" s="131"/>
      <c r="V47" s="44"/>
      <c r="W47" s="44"/>
      <c r="X47" s="44"/>
      <c r="Y47" s="44"/>
      <c r="Z47" s="44"/>
      <c r="AA47" s="44"/>
      <c r="AB47" s="44"/>
      <c r="AC47" s="44"/>
      <c r="AD47" s="44"/>
      <c r="AE47" s="44"/>
      <c r="AF47" s="44"/>
      <c r="AG47" s="44"/>
      <c r="AH47" s="44"/>
    </row>
    <row r="48" customFormat="false" ht="15.75" hidden="false" customHeight="false" outlineLevel="0" collapsed="false">
      <c r="A48" s="124" t="str">
        <f aca="false">JVJ!$G$1</f>
        <v>Jacksonville Jumpluffs</v>
      </c>
      <c r="B48" s="124"/>
      <c r="C48" s="124"/>
      <c r="D48" s="136" t="str">
        <f aca="false">KKS!$L$1</f>
        <v>KKS</v>
      </c>
      <c r="E48" s="128" t="str">
        <f aca="false">SGP!$L$1</f>
        <v>SGP</v>
      </c>
      <c r="F48" s="126" t="str">
        <f aca="false">BBG!$L$1</f>
        <v>BBG</v>
      </c>
      <c r="G48" s="128" t="str">
        <f aca="false">BTB!$L$1</f>
        <v>BTB</v>
      </c>
      <c r="H48" s="126" t="str">
        <f aca="false">SEA!$L$1</f>
        <v>SEA</v>
      </c>
      <c r="I48" s="128" t="str">
        <f aca="false">LVC!$L$1</f>
        <v>LVC</v>
      </c>
      <c r="J48" s="136" t="str">
        <f aca="false">KKS!$L$1</f>
        <v>KKS</v>
      </c>
      <c r="K48" s="126" t="str">
        <f aca="false">FTT!$L$1</f>
        <v>FTT</v>
      </c>
      <c r="L48" s="126" t="str">
        <f aca="false">BBG!$L$1</f>
        <v>BBG</v>
      </c>
      <c r="M48" s="126" t="str">
        <f aca="false">SGP!$L$1</f>
        <v>SGP</v>
      </c>
      <c r="N48" s="126" t="str">
        <f aca="false">SEA!$L$1</f>
        <v>SEA</v>
      </c>
      <c r="O48" s="128" t="str">
        <f aca="false">BTB!$L$1</f>
        <v>BTB</v>
      </c>
      <c r="P48" s="137" t="str">
        <f aca="false">KKS!$L$1</f>
        <v>KKS</v>
      </c>
      <c r="Q48" s="126" t="str">
        <f aca="false">LVC!$L$1</f>
        <v>LVC</v>
      </c>
      <c r="R48" s="126" t="str">
        <f aca="false">BBG!$L$1</f>
        <v>BBG</v>
      </c>
      <c r="S48" s="128" t="str">
        <f aca="false">FTT!$L$1</f>
        <v>FTT</v>
      </c>
      <c r="T48" s="138" t="str">
        <f aca="false">SEA!$L$1</f>
        <v>SEA</v>
      </c>
      <c r="U48" s="131" t="str">
        <f aca="false">MatchSource!$T$23</f>
        <v>DNP-2</v>
      </c>
      <c r="V48" s="44"/>
      <c r="W48" s="44"/>
      <c r="X48" s="44"/>
      <c r="Y48" s="44"/>
      <c r="Z48" s="44"/>
      <c r="AA48" s="44"/>
      <c r="AB48" s="44"/>
      <c r="AC48" s="44"/>
      <c r="AD48" s="44"/>
      <c r="AE48" s="44"/>
      <c r="AF48" s="44"/>
      <c r="AG48" s="44"/>
      <c r="AH48" s="44"/>
    </row>
    <row r="49" customFormat="false" ht="15.75" hidden="false" customHeight="false" outlineLevel="0" collapsed="false">
      <c r="A49" s="124"/>
      <c r="B49" s="124"/>
      <c r="C49" s="124"/>
      <c r="D49" s="132" t="str">
        <f aca="false" t="array" ref="D49:T49">TRANSPOSE(MatchSource!T3:T19)</f>
        <v>WIN</v>
      </c>
      <c r="E49" s="133" t="str">
        <v>WIN</v>
      </c>
      <c r="F49" s="133" t="str">
        <v>WIN</v>
      </c>
      <c r="G49" s="133" t="str">
        <v>LOSE</v>
      </c>
      <c r="H49" s="133" t="str">
        <v>WIN</v>
      </c>
      <c r="I49" s="133" t="str">
        <v>WIN</v>
      </c>
      <c r="J49" s="132" t="str">
        <v>LOSE</v>
      </c>
      <c r="K49" s="133" t="str">
        <v>WIN</v>
      </c>
      <c r="L49" s="133" t="str">
        <v>WIN</v>
      </c>
      <c r="M49" s="133" t="str">
        <v>DNP</v>
      </c>
      <c r="N49" s="133" t="str">
        <v>DNP</v>
      </c>
      <c r="O49" s="133" t="str">
        <v>WIN</v>
      </c>
      <c r="P49" s="139" t="str">
        <v>LOSE</v>
      </c>
      <c r="Q49" s="140" t="str">
        <v>WIN</v>
      </c>
      <c r="R49" s="140" t="str">
        <v>WIN</v>
      </c>
      <c r="S49" s="140" t="str">
        <v>DNP</v>
      </c>
      <c r="T49" s="141" t="str">
        <v>DNP</v>
      </c>
      <c r="U49" s="131"/>
      <c r="V49" s="44"/>
      <c r="W49" s="44"/>
      <c r="X49" s="44"/>
      <c r="Y49" s="44"/>
      <c r="Z49" s="44"/>
      <c r="AA49" s="44"/>
      <c r="AB49" s="44"/>
      <c r="AC49" s="44"/>
      <c r="AD49" s="44"/>
      <c r="AE49" s="44"/>
      <c r="AF49" s="44"/>
      <c r="AG49" s="44"/>
      <c r="AH49" s="44"/>
    </row>
    <row r="50" customFormat="false" ht="15.75" hidden="false" customHeight="false" outlineLevel="0" collapsed="false">
      <c r="A50" s="124" t="str">
        <f aca="false">BBG!$G$1</f>
        <v>Berlin Bronzong</v>
      </c>
      <c r="B50" s="124"/>
      <c r="C50" s="124"/>
      <c r="D50" s="136" t="str">
        <f aca="false">SEA!$L$1</f>
        <v>SEA</v>
      </c>
      <c r="E50" s="128" t="str">
        <f aca="false">FTT!$L$1</f>
        <v>FTT</v>
      </c>
      <c r="F50" s="128" t="str">
        <f aca="false">JVJ!$L$1</f>
        <v>JVJ</v>
      </c>
      <c r="G50" s="128" t="str">
        <f aca="false">SGP!$L$1</f>
        <v>SGP</v>
      </c>
      <c r="H50" s="126" t="str">
        <f aca="false">KKS!$L$1</f>
        <v>KKS</v>
      </c>
      <c r="I50" s="128" t="str">
        <f aca="false">BTB!$L$1</f>
        <v>BTB</v>
      </c>
      <c r="J50" s="136" t="str">
        <f aca="false">SEA!$L$1</f>
        <v>SEA</v>
      </c>
      <c r="K50" s="126" t="str">
        <f aca="false">LVC!$L$1</f>
        <v>LVC</v>
      </c>
      <c r="L50" s="128" t="str">
        <f aca="false">JVJ!$L$1</f>
        <v>JVJ</v>
      </c>
      <c r="M50" s="128" t="str">
        <f aca="false">FTT!$L$1</f>
        <v>FTT</v>
      </c>
      <c r="N50" s="126" t="str">
        <f aca="false">KKS!$L$1</f>
        <v>KKS</v>
      </c>
      <c r="O50" s="126" t="str">
        <f aca="false">SGP!$L$1</f>
        <v>SGP</v>
      </c>
      <c r="P50" s="142" t="str">
        <f aca="false">SEA!$L$1</f>
        <v>SEA</v>
      </c>
      <c r="Q50" s="127" t="str">
        <f aca="false">BTB!$L$1</f>
        <v>BTB</v>
      </c>
      <c r="R50" s="127" t="str">
        <f aca="false">JVJ!$L$1</f>
        <v>JVJ</v>
      </c>
      <c r="S50" s="127" t="str">
        <f aca="false">LVC!$L$1</f>
        <v>LVC</v>
      </c>
      <c r="T50" s="143" t="str">
        <f aca="false">KKS!$L$1</f>
        <v>KKS</v>
      </c>
      <c r="U50" s="131" t="str">
        <f aca="false">MatchSource!$U$23</f>
        <v>Lose-1</v>
      </c>
      <c r="V50" s="44"/>
      <c r="W50" s="44"/>
      <c r="X50" s="44"/>
      <c r="Y50" s="44"/>
      <c r="Z50" s="44"/>
      <c r="AA50" s="44"/>
      <c r="AB50" s="44"/>
      <c r="AC50" s="44"/>
      <c r="AD50" s="44"/>
      <c r="AE50" s="44"/>
      <c r="AF50" s="44"/>
      <c r="AG50" s="44"/>
      <c r="AH50" s="44"/>
    </row>
    <row r="51" customFormat="false" ht="15.75" hidden="false" customHeight="false" outlineLevel="0" collapsed="false">
      <c r="A51" s="124"/>
      <c r="B51" s="124"/>
      <c r="C51" s="124"/>
      <c r="D51" s="132" t="str">
        <f aca="false" t="array" ref="D51:T51">TRANSPOSE(MatchSource!U3:U19)</f>
        <v>LOSE</v>
      </c>
      <c r="E51" s="133" t="str">
        <v>WIN</v>
      </c>
      <c r="F51" s="133" t="str">
        <v>LOSE</v>
      </c>
      <c r="G51" s="133" t="str">
        <v>WIN</v>
      </c>
      <c r="H51" s="133" t="str">
        <v>LOSE</v>
      </c>
      <c r="I51" s="133" t="str">
        <v>LOSE</v>
      </c>
      <c r="J51" s="144" t="str">
        <v>LOSE</v>
      </c>
      <c r="K51" s="140" t="str">
        <v>DNP</v>
      </c>
      <c r="L51" s="140" t="str">
        <v>LOSE</v>
      </c>
      <c r="M51" s="140" t="str">
        <v>LOSE</v>
      </c>
      <c r="N51" s="140" t="str">
        <v>LOSE</v>
      </c>
      <c r="O51" s="140" t="str">
        <v>LOSE</v>
      </c>
      <c r="P51" s="134" t="str">
        <v>LOSE</v>
      </c>
      <c r="Q51" s="133" t="str">
        <v>LOSE</v>
      </c>
      <c r="R51" s="133" t="str">
        <v>LOSE</v>
      </c>
      <c r="S51" s="133" t="str">
        <v>DNP</v>
      </c>
      <c r="T51" s="135" t="str">
        <v>LOSE</v>
      </c>
      <c r="U51" s="131"/>
      <c r="V51" s="44"/>
      <c r="W51" s="44"/>
      <c r="X51" s="44"/>
      <c r="Y51" s="44"/>
      <c r="Z51" s="44"/>
      <c r="AA51" s="44"/>
      <c r="AB51" s="44"/>
      <c r="AC51" s="44"/>
      <c r="AD51" s="44"/>
      <c r="AE51" s="44"/>
      <c r="AF51" s="44"/>
      <c r="AG51" s="44"/>
      <c r="AH51" s="44"/>
    </row>
    <row r="52" customFormat="false" ht="15.75" hidden="false" customHeight="false" outlineLevel="0" collapsed="false">
      <c r="A52" s="145" t="str">
        <f aca="false">LVC!$G$1</f>
        <v>Louisville Crobats</v>
      </c>
      <c r="B52" s="145"/>
      <c r="C52" s="145"/>
      <c r="D52" s="125" t="str">
        <f aca="false">BTB!$L$1</f>
        <v>BTB</v>
      </c>
      <c r="E52" s="128" t="str">
        <f aca="false">KKS!$L$1</f>
        <v>KKS</v>
      </c>
      <c r="F52" s="128" t="str">
        <f aca="false">SGP!$L$1</f>
        <v>SGP</v>
      </c>
      <c r="G52" s="126" t="str">
        <f aca="false">SEA!$L$1</f>
        <v>SEA</v>
      </c>
      <c r="H52" s="128" t="str">
        <f aca="false">FTT!$L$1</f>
        <v>FTT</v>
      </c>
      <c r="I52" s="130" t="str">
        <f aca="false">JVJ!$L$1</f>
        <v>JVJ</v>
      </c>
      <c r="J52" s="127" t="str">
        <f aca="false">BTB!$L$1</f>
        <v>BTB</v>
      </c>
      <c r="K52" s="127" t="str">
        <f aca="false">BBG!$L$1</f>
        <v>BBG</v>
      </c>
      <c r="L52" s="146" t="str">
        <f aca="false">SGP!$L$1</f>
        <v>SGP</v>
      </c>
      <c r="M52" s="146" t="str">
        <f aca="false">KKS!$L$1</f>
        <v>KKS</v>
      </c>
      <c r="N52" s="127" t="str">
        <f aca="false">FTT!$L$1</f>
        <v>FTT</v>
      </c>
      <c r="O52" s="146" t="str">
        <f aca="false">SEA!$L$1</f>
        <v>SEA</v>
      </c>
      <c r="P52" s="129" t="str">
        <f aca="false">BTB!$L$1</f>
        <v>BTB</v>
      </c>
      <c r="Q52" s="126" t="str">
        <f aca="false">JVJ!$L$1</f>
        <v>JVJ</v>
      </c>
      <c r="R52" s="126" t="str">
        <f aca="false">SGP!$L$1</f>
        <v>SGP</v>
      </c>
      <c r="S52" s="128" t="str">
        <f aca="false">BBG!$L$1</f>
        <v>BBG</v>
      </c>
      <c r="T52" s="130" t="str">
        <f aca="false">FTT!$L$1</f>
        <v>FTT</v>
      </c>
      <c r="U52" s="131" t="str">
        <f aca="false">MatchSource!$V$23</f>
        <v>Lose-1</v>
      </c>
      <c r="V52" s="44"/>
      <c r="W52" s="44"/>
      <c r="X52" s="44"/>
      <c r="Y52" s="44"/>
      <c r="Z52" s="44"/>
      <c r="AA52" s="44"/>
      <c r="AB52" s="44"/>
      <c r="AC52" s="44"/>
      <c r="AD52" s="44"/>
      <c r="AE52" s="44"/>
      <c r="AF52" s="44"/>
      <c r="AG52" s="44"/>
      <c r="AH52" s="44"/>
    </row>
    <row r="53" customFormat="false" ht="15.75" hidden="false" customHeight="false" outlineLevel="0" collapsed="false">
      <c r="A53" s="145"/>
      <c r="B53" s="145"/>
      <c r="C53" s="145"/>
      <c r="D53" s="144" t="str">
        <f aca="false" t="array" ref="D53:T53">TRANSPOSE(MatchSource!V3:V19)</f>
        <v>WIN</v>
      </c>
      <c r="E53" s="140" t="str">
        <v>LOSE</v>
      </c>
      <c r="F53" s="140" t="str">
        <v>WIN</v>
      </c>
      <c r="G53" s="140" t="str">
        <v>LOSE</v>
      </c>
      <c r="H53" s="140" t="str">
        <v>LOSE</v>
      </c>
      <c r="I53" s="141" t="str">
        <v>LOSE</v>
      </c>
      <c r="J53" s="133" t="str">
        <v>LOSE</v>
      </c>
      <c r="K53" s="133" t="str">
        <v>DNP</v>
      </c>
      <c r="L53" s="133" t="str">
        <v>LOSE</v>
      </c>
      <c r="M53" s="133" t="str">
        <v>LOSE</v>
      </c>
      <c r="N53" s="133" t="str">
        <v>LOSE</v>
      </c>
      <c r="O53" s="133" t="str">
        <v>LOSE</v>
      </c>
      <c r="P53" s="134" t="str">
        <v>LOSE</v>
      </c>
      <c r="Q53" s="133" t="str">
        <v>LOSE</v>
      </c>
      <c r="R53" s="140" t="str">
        <v>LOSE</v>
      </c>
      <c r="S53" s="133" t="str">
        <v>DNP</v>
      </c>
      <c r="T53" s="135" t="str">
        <v>LOSE</v>
      </c>
      <c r="U53" s="131"/>
      <c r="V53" s="44"/>
      <c r="W53" s="44"/>
      <c r="X53" s="44"/>
      <c r="Y53" s="44"/>
      <c r="Z53" s="44"/>
      <c r="AA53" s="44"/>
      <c r="AB53" s="44"/>
      <c r="AC53" s="44"/>
      <c r="AD53" s="44"/>
      <c r="AE53" s="44"/>
      <c r="AF53" s="44"/>
      <c r="AG53" s="44"/>
      <c r="AH53" s="44"/>
    </row>
    <row r="54" customFormat="false" ht="15.75" hidden="false" customHeight="false" outlineLevel="0" collapsed="false">
      <c r="A54" s="145" t="str">
        <f aca="false">BTB!$G$1</f>
        <v>Battlin Brelooms</v>
      </c>
      <c r="B54" s="145"/>
      <c r="C54" s="145"/>
      <c r="D54" s="147" t="str">
        <f aca="false">LVC!$L$1</f>
        <v>LVC</v>
      </c>
      <c r="E54" s="146" t="str">
        <f aca="false">SEA!$L$1</f>
        <v>SEA</v>
      </c>
      <c r="F54" s="127" t="str">
        <f aca="false">FTT!$L$1</f>
        <v>FTT</v>
      </c>
      <c r="G54" s="126" t="str">
        <f aca="false">JVJ!$L$1</f>
        <v>JVJ</v>
      </c>
      <c r="H54" s="146" t="str">
        <f aca="false">SGP!$L$1</f>
        <v>SGP</v>
      </c>
      <c r="I54" s="146" t="str">
        <f aca="false">BBG!$L$1</f>
        <v>BBG</v>
      </c>
      <c r="J54" s="136" t="str">
        <f aca="false">LVC!$L$1</f>
        <v>LVC</v>
      </c>
      <c r="K54" s="126" t="str">
        <f aca="false">KKS!$L$1</f>
        <v>KKS</v>
      </c>
      <c r="L54" s="128" t="str">
        <f aca="false">FTT!$L$1</f>
        <v>FTT</v>
      </c>
      <c r="M54" s="126" t="str">
        <f aca="false">SEA!$L$1</f>
        <v>SEA</v>
      </c>
      <c r="N54" s="126" t="str">
        <f aca="false">SGP!$L$1</f>
        <v>SGP</v>
      </c>
      <c r="O54" s="126" t="str">
        <f aca="false">JVJ!$L$1</f>
        <v>JVJ</v>
      </c>
      <c r="P54" s="137" t="str">
        <f aca="false">LVC!$L$1</f>
        <v>LVC</v>
      </c>
      <c r="Q54" s="128" t="str">
        <f aca="false">BBG!$L$1</f>
        <v>BBG</v>
      </c>
      <c r="R54" s="127" t="str">
        <f aca="false">FTT!$L$1</f>
        <v>FTT</v>
      </c>
      <c r="S54" s="126" t="str">
        <f aca="false">KKS!$L$1</f>
        <v>KKS</v>
      </c>
      <c r="T54" s="138" t="str">
        <f aca="false">SGP!$L$1</f>
        <v>SGP</v>
      </c>
      <c r="U54" s="131" t="str">
        <f aca="false">MatchSource!$W$23</f>
        <v>Lose-3</v>
      </c>
      <c r="V54" s="44"/>
      <c r="W54" s="44"/>
      <c r="X54" s="44"/>
      <c r="Y54" s="44"/>
      <c r="Z54" s="44"/>
      <c r="AA54" s="44"/>
      <c r="AB54" s="44"/>
      <c r="AC54" s="44"/>
      <c r="AD54" s="44"/>
      <c r="AE54" s="44"/>
      <c r="AF54" s="44"/>
      <c r="AG54" s="44"/>
      <c r="AH54" s="44"/>
    </row>
    <row r="55" customFormat="false" ht="15.75" hidden="false" customHeight="false" outlineLevel="0" collapsed="false">
      <c r="A55" s="145"/>
      <c r="B55" s="145"/>
      <c r="C55" s="145"/>
      <c r="D55" s="132" t="str">
        <f aca="false" t="array" ref="D55:T55">TRANSPOSE(MatchSource!W3:W19)</f>
        <v>LOSE</v>
      </c>
      <c r="E55" s="133" t="str">
        <v>LOSE</v>
      </c>
      <c r="F55" s="133" t="str">
        <v>WIN</v>
      </c>
      <c r="G55" s="133" t="str">
        <v>WIN</v>
      </c>
      <c r="H55" s="133" t="str">
        <v>WIN</v>
      </c>
      <c r="I55" s="133" t="str">
        <v>WIN</v>
      </c>
      <c r="J55" s="132" t="str">
        <v>WIN</v>
      </c>
      <c r="K55" s="133" t="str">
        <v>LOSE</v>
      </c>
      <c r="L55" s="133" t="str">
        <v>LOSE</v>
      </c>
      <c r="M55" s="133" t="str">
        <v>LOSE</v>
      </c>
      <c r="N55" s="133" t="str">
        <v>WIN</v>
      </c>
      <c r="O55" s="133" t="str">
        <v>LOSE</v>
      </c>
      <c r="P55" s="134" t="str">
        <v>WIN</v>
      </c>
      <c r="Q55" s="133" t="str">
        <v>WIN</v>
      </c>
      <c r="R55" s="133" t="str">
        <v>LOSE</v>
      </c>
      <c r="S55" s="133" t="str">
        <v>LOSE</v>
      </c>
      <c r="T55" s="135" t="str">
        <v>LOSE</v>
      </c>
      <c r="U55" s="131"/>
      <c r="V55" s="44"/>
      <c r="W55" s="44"/>
      <c r="X55" s="44"/>
      <c r="Y55" s="44"/>
      <c r="Z55" s="44"/>
      <c r="AA55" s="44"/>
      <c r="AB55" s="44"/>
      <c r="AC55" s="44"/>
      <c r="AD55" s="44"/>
      <c r="AE55" s="44"/>
      <c r="AF55" s="44"/>
      <c r="AG55" s="44"/>
      <c r="AH55" s="44"/>
    </row>
    <row r="56" customFormat="false" ht="15.75" hidden="false" customHeight="false" outlineLevel="0" collapsed="false">
      <c r="A56" s="145" t="str">
        <f aca="false">SGP!$G$1</f>
        <v>Slung Patrol</v>
      </c>
      <c r="B56" s="145"/>
      <c r="C56" s="145"/>
      <c r="D56" s="125" t="str">
        <f aca="false">FTT!$L$1</f>
        <v>FTT</v>
      </c>
      <c r="E56" s="126" t="str">
        <f aca="false">JVJ!$L$1</f>
        <v>JVJ</v>
      </c>
      <c r="F56" s="128" t="str">
        <f aca="false">LVC!$L$1</f>
        <v>LVC</v>
      </c>
      <c r="G56" s="128" t="str">
        <f aca="false">BBG!$L$1</f>
        <v>BBG</v>
      </c>
      <c r="H56" s="128" t="str">
        <f aca="false">BTB!$L$1</f>
        <v>BTB</v>
      </c>
      <c r="I56" s="138" t="str">
        <f aca="false">KKS!$L$1</f>
        <v>KKS</v>
      </c>
      <c r="J56" s="128" t="str">
        <f aca="false">FTT!$L$1</f>
        <v>FTT</v>
      </c>
      <c r="K56" s="126" t="str">
        <f aca="false">SEA!$L$1</f>
        <v>SEA</v>
      </c>
      <c r="L56" s="128" t="str">
        <f aca="false">LVC!$L$1</f>
        <v>LVC</v>
      </c>
      <c r="M56" s="126" t="str">
        <f aca="false">JVJ!$L$1</f>
        <v>JVJ</v>
      </c>
      <c r="N56" s="128" t="str">
        <f aca="false">BTB!$L$1</f>
        <v>BTB</v>
      </c>
      <c r="O56" s="128" t="str">
        <f aca="false">BBG!$L$1</f>
        <v>BBG</v>
      </c>
      <c r="P56" s="129" t="str">
        <f aca="false">FTT!$L$1</f>
        <v>FTT</v>
      </c>
      <c r="Q56" s="126" t="str">
        <f aca="false">KKS!$L$1</f>
        <v>KKS</v>
      </c>
      <c r="R56" s="126" t="str">
        <f aca="false">LVC!$L$1</f>
        <v>LVC</v>
      </c>
      <c r="S56" s="126" t="str">
        <f aca="false">SEA!$L$1</f>
        <v>SEA</v>
      </c>
      <c r="T56" s="130" t="str">
        <f aca="false">BTB!$L$1</f>
        <v>BTB</v>
      </c>
      <c r="U56" s="131" t="str">
        <f aca="false">MatchSource!$X$23</f>
        <v>Win-1</v>
      </c>
      <c r="V56" s="44"/>
      <c r="W56" s="44"/>
      <c r="X56" s="44"/>
      <c r="Y56" s="44"/>
      <c r="Z56" s="44"/>
      <c r="AA56" s="44"/>
      <c r="AB56" s="44"/>
      <c r="AC56" s="44"/>
      <c r="AD56" s="44"/>
    </row>
    <row r="57" customFormat="false" ht="15.75" hidden="false" customHeight="false" outlineLevel="0" collapsed="false">
      <c r="A57" s="145"/>
      <c r="B57" s="145"/>
      <c r="C57" s="145"/>
      <c r="D57" s="144" t="str">
        <f aca="false" t="array" ref="D57:T57">TRANSPOSE(MatchSource!X3:X19)</f>
        <v>LOSE</v>
      </c>
      <c r="E57" s="140" t="str">
        <v>LOSE</v>
      </c>
      <c r="F57" s="140" t="str">
        <v>LOSE</v>
      </c>
      <c r="G57" s="140" t="str">
        <v>LOSE</v>
      </c>
      <c r="H57" s="140" t="str">
        <v>LOSE</v>
      </c>
      <c r="I57" s="141" t="str">
        <v>LOSE</v>
      </c>
      <c r="J57" s="133" t="str">
        <v>DNP</v>
      </c>
      <c r="K57" s="133" t="str">
        <v>LOSE</v>
      </c>
      <c r="L57" s="133" t="str">
        <v>WIN</v>
      </c>
      <c r="M57" s="133" t="str">
        <v>DNP</v>
      </c>
      <c r="N57" s="133" t="str">
        <v>LOSE</v>
      </c>
      <c r="O57" s="133" t="str">
        <v>WIN</v>
      </c>
      <c r="P57" s="134" t="str">
        <v>DNP</v>
      </c>
      <c r="Q57" s="133" t="str">
        <v>LOSE</v>
      </c>
      <c r="R57" s="133" t="str">
        <v>WIN</v>
      </c>
      <c r="S57" s="133" t="str">
        <v>DNP</v>
      </c>
      <c r="T57" s="135" t="str">
        <v>WIN</v>
      </c>
      <c r="U57" s="131"/>
      <c r="V57" s="44"/>
      <c r="W57" s="44"/>
      <c r="X57" s="44"/>
      <c r="Y57" s="44"/>
      <c r="Z57" s="44"/>
      <c r="AA57" s="44"/>
      <c r="AB57" s="44"/>
      <c r="AC57" s="44"/>
      <c r="AD57" s="44"/>
    </row>
    <row r="58" customFormat="false" ht="15.75" hidden="false" customHeight="false" outlineLevel="0" collapsed="false">
      <c r="A58" s="148" t="str">
        <f aca="false">FTT!$G$1</f>
        <v>Fortree Trevenants</v>
      </c>
      <c r="B58" s="148"/>
      <c r="C58" s="148"/>
      <c r="D58" s="147" t="str">
        <f aca="false">SGP!$L$1</f>
        <v>SGP</v>
      </c>
      <c r="E58" s="128" t="str">
        <f aca="false">BBG!$L$1</f>
        <v>BBG</v>
      </c>
      <c r="F58" s="127" t="str">
        <f aca="false">BTB!$L$1</f>
        <v>BTB</v>
      </c>
      <c r="G58" s="146" t="str">
        <f aca="false">KKS!$L$1</f>
        <v>KKS</v>
      </c>
      <c r="H58" s="146" t="str">
        <f aca="false">LVC!$L$1</f>
        <v>LVC</v>
      </c>
      <c r="I58" s="143" t="str">
        <f aca="false">SEA!$L$1</f>
        <v>SEA</v>
      </c>
      <c r="J58" s="126" t="str">
        <f aca="false">SGP!$L$1</f>
        <v>SGP</v>
      </c>
      <c r="K58" s="126" t="str">
        <f aca="false">JVJ!$L$1</f>
        <v>JVJ</v>
      </c>
      <c r="L58" s="128" t="str">
        <f aca="false">BTB!$L$1</f>
        <v>BTB</v>
      </c>
      <c r="M58" s="128" t="str">
        <f aca="false">BBG!$L$1</f>
        <v>BBG</v>
      </c>
      <c r="N58" s="126" t="str">
        <f aca="false">LVC!$L$1</f>
        <v>LVC</v>
      </c>
      <c r="O58" s="126" t="str">
        <f aca="false">KKS!$L$1</f>
        <v>KKS</v>
      </c>
      <c r="P58" s="137" t="str">
        <f aca="false">SGP!$L$1</f>
        <v>SGP</v>
      </c>
      <c r="Q58" s="126" t="str">
        <f aca="false">SEA!$L$1</f>
        <v>SEA</v>
      </c>
      <c r="R58" s="128" t="str">
        <f aca="false">BTB!$L$1</f>
        <v>BTB</v>
      </c>
      <c r="S58" s="126" t="str">
        <f aca="false">JVJ!$L$1</f>
        <v>JVJ</v>
      </c>
      <c r="T58" s="138" t="str">
        <f aca="false">LVC!$L$1</f>
        <v>LVC</v>
      </c>
      <c r="U58" s="149" t="str">
        <f aca="false">MatchSource!$Y$23</f>
        <v>Win-1</v>
      </c>
      <c r="V58" s="44"/>
      <c r="W58" s="44"/>
      <c r="X58" s="44"/>
      <c r="Y58" s="44"/>
      <c r="Z58" s="44"/>
      <c r="AA58" s="44"/>
      <c r="AB58" s="44"/>
      <c r="AC58" s="44"/>
      <c r="AD58" s="44"/>
    </row>
    <row r="59" customFormat="false" ht="15.75" hidden="false" customHeight="false" outlineLevel="0" collapsed="false">
      <c r="A59" s="148"/>
      <c r="B59" s="148"/>
      <c r="C59" s="148"/>
      <c r="D59" s="144" t="str">
        <f aca="false" t="array" ref="D59:T59">TRANSPOSE(MatchSource!Y3:Y19)</f>
        <v>WIN</v>
      </c>
      <c r="E59" s="140" t="str">
        <v>LOSE</v>
      </c>
      <c r="F59" s="140" t="str">
        <v>LOSE</v>
      </c>
      <c r="G59" s="140" t="str">
        <v>LOSE</v>
      </c>
      <c r="H59" s="140" t="str">
        <v>WIN</v>
      </c>
      <c r="I59" s="141" t="str">
        <v>LOSE</v>
      </c>
      <c r="J59" s="140" t="str">
        <v>DNP</v>
      </c>
      <c r="K59" s="140" t="str">
        <v>LOSE</v>
      </c>
      <c r="L59" s="140" t="str">
        <v>WIN</v>
      </c>
      <c r="M59" s="140" t="str">
        <v>WIN</v>
      </c>
      <c r="N59" s="140" t="str">
        <v>WIN</v>
      </c>
      <c r="O59" s="140" t="str">
        <v>DNP</v>
      </c>
      <c r="P59" s="139" t="str">
        <v>DNP</v>
      </c>
      <c r="Q59" s="140" t="str">
        <v>DNP</v>
      </c>
      <c r="R59" s="140" t="str">
        <v>WIN</v>
      </c>
      <c r="S59" s="140" t="str">
        <v>DNP</v>
      </c>
      <c r="T59" s="141" t="str">
        <v>WIN</v>
      </c>
      <c r="U59" s="149"/>
      <c r="V59" s="44"/>
      <c r="W59" s="44"/>
      <c r="X59" s="44"/>
      <c r="Y59" s="44"/>
      <c r="Z59" s="44"/>
      <c r="AA59" s="44"/>
      <c r="AB59" s="44"/>
      <c r="AC59" s="44"/>
      <c r="AD59" s="44"/>
    </row>
  </sheetData>
  <mergeCells count="212">
    <mergeCell ref="A1:I1"/>
    <mergeCell ref="K1:S1"/>
    <mergeCell ref="U1:AC1"/>
    <mergeCell ref="AF1:AH1"/>
    <mergeCell ref="B2:D2"/>
    <mergeCell ref="F2:H2"/>
    <mergeCell ref="L2:N2"/>
    <mergeCell ref="P2:R2"/>
    <mergeCell ref="V2:X2"/>
    <mergeCell ref="Z2:AB2"/>
    <mergeCell ref="AF2:AH2"/>
    <mergeCell ref="B3:D3"/>
    <mergeCell ref="F3:H3"/>
    <mergeCell ref="L3:N3"/>
    <mergeCell ref="P3:R3"/>
    <mergeCell ref="V3:X3"/>
    <mergeCell ref="Z3:AB3"/>
    <mergeCell ref="AF3:AH3"/>
    <mergeCell ref="B4:D4"/>
    <mergeCell ref="F4:H4"/>
    <mergeCell ref="L4:N4"/>
    <mergeCell ref="P4:R4"/>
    <mergeCell ref="V4:X4"/>
    <mergeCell ref="Z4:AB4"/>
    <mergeCell ref="AF4:AH4"/>
    <mergeCell ref="B5:D5"/>
    <mergeCell ref="F5:H5"/>
    <mergeCell ref="L5:N5"/>
    <mergeCell ref="P5:R5"/>
    <mergeCell ref="V5:X5"/>
    <mergeCell ref="Z5:AB5"/>
    <mergeCell ref="AF5:AH5"/>
    <mergeCell ref="B6:D6"/>
    <mergeCell ref="F6:H6"/>
    <mergeCell ref="L6:N6"/>
    <mergeCell ref="P6:R6"/>
    <mergeCell ref="V6:X6"/>
    <mergeCell ref="Z6:AB6"/>
    <mergeCell ref="AF6:AH6"/>
    <mergeCell ref="AF7:AH7"/>
    <mergeCell ref="A8:I8"/>
    <mergeCell ref="K8:S8"/>
    <mergeCell ref="U8:AC8"/>
    <mergeCell ref="AF8:AH8"/>
    <mergeCell ref="B9:D9"/>
    <mergeCell ref="F9:H9"/>
    <mergeCell ref="L9:N9"/>
    <mergeCell ref="P9:R9"/>
    <mergeCell ref="V9:X9"/>
    <mergeCell ref="Z9:AB9"/>
    <mergeCell ref="B10:D10"/>
    <mergeCell ref="F10:H10"/>
    <mergeCell ref="L10:N10"/>
    <mergeCell ref="P10:R10"/>
    <mergeCell ref="V10:X10"/>
    <mergeCell ref="Z10:AB10"/>
    <mergeCell ref="B11:D11"/>
    <mergeCell ref="F11:H11"/>
    <mergeCell ref="L11:N11"/>
    <mergeCell ref="P11:R11"/>
    <mergeCell ref="V11:X11"/>
    <mergeCell ref="Z11:AB11"/>
    <mergeCell ref="B12:D12"/>
    <mergeCell ref="F12:H12"/>
    <mergeCell ref="L12:N12"/>
    <mergeCell ref="P12:R12"/>
    <mergeCell ref="V12:X12"/>
    <mergeCell ref="Z12:AB12"/>
    <mergeCell ref="B13:D13"/>
    <mergeCell ref="F13:H13"/>
    <mergeCell ref="L13:N13"/>
    <mergeCell ref="P13:R13"/>
    <mergeCell ref="V13:X13"/>
    <mergeCell ref="Z13:AB13"/>
    <mergeCell ref="A15:I15"/>
    <mergeCell ref="K15:S15"/>
    <mergeCell ref="U15:AC15"/>
    <mergeCell ref="B16:D16"/>
    <mergeCell ref="F16:H16"/>
    <mergeCell ref="L16:N16"/>
    <mergeCell ref="P16:R16"/>
    <mergeCell ref="V16:X16"/>
    <mergeCell ref="Z16:AB16"/>
    <mergeCell ref="B17:D17"/>
    <mergeCell ref="F17:H17"/>
    <mergeCell ref="L17:N17"/>
    <mergeCell ref="P17:R17"/>
    <mergeCell ref="V17:X17"/>
    <mergeCell ref="Z17:AB17"/>
    <mergeCell ref="B18:D18"/>
    <mergeCell ref="F18:H18"/>
    <mergeCell ref="L18:N18"/>
    <mergeCell ref="P18:R18"/>
    <mergeCell ref="V18:X18"/>
    <mergeCell ref="Z18:AB18"/>
    <mergeCell ref="B19:D19"/>
    <mergeCell ref="F19:H19"/>
    <mergeCell ref="L19:N19"/>
    <mergeCell ref="P19:R19"/>
    <mergeCell ref="V19:X19"/>
    <mergeCell ref="Z19:AB19"/>
    <mergeCell ref="B20:D20"/>
    <mergeCell ref="F20:H20"/>
    <mergeCell ref="L20:N20"/>
    <mergeCell ref="P20:R20"/>
    <mergeCell ref="V20:X20"/>
    <mergeCell ref="Z20:AB20"/>
    <mergeCell ref="A22:I22"/>
    <mergeCell ref="K22:S22"/>
    <mergeCell ref="U22:AC22"/>
    <mergeCell ref="B23:D23"/>
    <mergeCell ref="F23:H23"/>
    <mergeCell ref="L23:N23"/>
    <mergeCell ref="P23:R23"/>
    <mergeCell ref="V23:X23"/>
    <mergeCell ref="Z23:AB23"/>
    <mergeCell ref="B24:D24"/>
    <mergeCell ref="F24:H24"/>
    <mergeCell ref="L24:N24"/>
    <mergeCell ref="P24:R24"/>
    <mergeCell ref="V24:X24"/>
    <mergeCell ref="Z24:AB24"/>
    <mergeCell ref="B25:D25"/>
    <mergeCell ref="F25:H25"/>
    <mergeCell ref="L25:N25"/>
    <mergeCell ref="P25:R25"/>
    <mergeCell ref="V25:X25"/>
    <mergeCell ref="Z25:AB25"/>
    <mergeCell ref="B26:D26"/>
    <mergeCell ref="F26:H26"/>
    <mergeCell ref="L26:N26"/>
    <mergeCell ref="P26:R26"/>
    <mergeCell ref="V26:X26"/>
    <mergeCell ref="Z26:AB26"/>
    <mergeCell ref="B27:D27"/>
    <mergeCell ref="F27:H27"/>
    <mergeCell ref="L27:N27"/>
    <mergeCell ref="P27:R27"/>
    <mergeCell ref="V27:X27"/>
    <mergeCell ref="Z27:AB27"/>
    <mergeCell ref="A29:I29"/>
    <mergeCell ref="K29:S29"/>
    <mergeCell ref="U29:AC29"/>
    <mergeCell ref="B30:D30"/>
    <mergeCell ref="F30:H30"/>
    <mergeCell ref="L30:N30"/>
    <mergeCell ref="P30:R30"/>
    <mergeCell ref="V30:X30"/>
    <mergeCell ref="Z30:AB30"/>
    <mergeCell ref="B31:D31"/>
    <mergeCell ref="F31:H31"/>
    <mergeCell ref="L31:N31"/>
    <mergeCell ref="P31:R31"/>
    <mergeCell ref="V31:X31"/>
    <mergeCell ref="Z31:AB31"/>
    <mergeCell ref="B32:D32"/>
    <mergeCell ref="F32:H32"/>
    <mergeCell ref="L32:N32"/>
    <mergeCell ref="P32:R32"/>
    <mergeCell ref="V32:X32"/>
    <mergeCell ref="Z32:AB32"/>
    <mergeCell ref="B33:D33"/>
    <mergeCell ref="F33:H33"/>
    <mergeCell ref="L33:N33"/>
    <mergeCell ref="P33:R33"/>
    <mergeCell ref="V33:X33"/>
    <mergeCell ref="Z33:AB33"/>
    <mergeCell ref="B34:D34"/>
    <mergeCell ref="F34:H34"/>
    <mergeCell ref="L34:N34"/>
    <mergeCell ref="P34:R34"/>
    <mergeCell ref="V34:X34"/>
    <mergeCell ref="Z34:AB34"/>
    <mergeCell ref="F36:N36"/>
    <mergeCell ref="P36:X36"/>
    <mergeCell ref="G37:I37"/>
    <mergeCell ref="K37:M37"/>
    <mergeCell ref="Q37:S37"/>
    <mergeCell ref="U37:W37"/>
    <mergeCell ref="G38:I38"/>
    <mergeCell ref="K38:M38"/>
    <mergeCell ref="Q38:S38"/>
    <mergeCell ref="U38:W38"/>
    <mergeCell ref="G39:I39"/>
    <mergeCell ref="K39:M39"/>
    <mergeCell ref="Q39:S39"/>
    <mergeCell ref="U39:W39"/>
    <mergeCell ref="G40:I40"/>
    <mergeCell ref="K40:M40"/>
    <mergeCell ref="Q40:S40"/>
    <mergeCell ref="U40:W40"/>
    <mergeCell ref="G41:I41"/>
    <mergeCell ref="K41:M41"/>
    <mergeCell ref="Q41:S41"/>
    <mergeCell ref="U41:W41"/>
    <mergeCell ref="A43:C43"/>
    <mergeCell ref="A44:C45"/>
    <mergeCell ref="U44:U45"/>
    <mergeCell ref="A46:C47"/>
    <mergeCell ref="U46:U47"/>
    <mergeCell ref="A48:C49"/>
    <mergeCell ref="U48:U49"/>
    <mergeCell ref="A50:C51"/>
    <mergeCell ref="U50:U51"/>
    <mergeCell ref="A52:C53"/>
    <mergeCell ref="U52:U53"/>
    <mergeCell ref="A54:C55"/>
    <mergeCell ref="U54:U55"/>
    <mergeCell ref="A56:C57"/>
    <mergeCell ref="U56:U57"/>
    <mergeCell ref="A58:C59"/>
    <mergeCell ref="U58:U59"/>
  </mergeCells>
  <conditionalFormatting sqref="P44:P61,Q44:Q45,R44:R47,S44:S61,U44:U61,D45:O45,T45,D47:N47,O47:O49,Q47:Q49,T47,D49:N49,R49,T49,D51:O51,Q51:R51,T51,D53:J53,K53:K55,L53:O53,Q53:R53,T53,D55:J55,L55,M55:M57,N55:O55,Q55:R55,T55,D57:I57,J57:K61,L57,N57,O57:O61,Q57:Q61,R57,T57,D59:I61,L59:N61,R59:R61,T59:T61">
    <cfRule type="containsText" priority="2" aboveAverage="0" equalAverage="0" bottom="0" percent="0" rank="0" text="Win" dxfId="0"/>
  </conditionalFormatting>
  <conditionalFormatting sqref="P44:P61,Q44:Q45,R44:R47,S44:S61,U44:U61,D45:O45,T45,D47:N47,O47:O49,Q47:Q49,T47,D49:N49,R49,T49,D51:O51,Q51:R51,T51,D53:J53,K53:K55,L53:O53,Q53:R53,T53,D55:J55,L55,M55:M57,N55:O55,Q55:R55,T55,D57:I57,J57:K61,L57,N57,O57:O61,Q57:Q61,R57,T57,D59:I61,L59:N61,R59:R61,T59:T61">
    <cfRule type="containsText" priority="3" aboveAverage="0" equalAverage="0" bottom="0" percent="0" rank="0" text="Lose" dxfId="1"/>
  </conditionalFormatting>
  <conditionalFormatting sqref="P44:P61,Q44:Q45,R44:R47,S44:S61,U44:U61,D45:O45,T45,D47:N47,O47:O49,Q47:Q49,T47,D49:N49,R49,T49,D51:O51,Q51:R51,T51,D53:J53,K53:K55,L53:O53,Q53:R53,T53,D55:J55,L55,M55:M57,N55:O55,Q55:R55,T55,D57:I57,J57:K61,L57,N57,O57:O61,Q57:Q61,R57,T57,D59:I61,L59:N61,R59:R61,T59:T61">
    <cfRule type="containsText" priority="4" aboveAverage="0" equalAverage="0" bottom="0" percent="0" rank="0" text="DNP" dxfId="2"/>
  </conditionalFormatting>
  <conditionalFormatting sqref="A2:A6,I2:I6,K2:K6,S2:S6,U2:U6,AC2:AC6,A9:A13,I9:I13,K9:K13,S9:S13,U9:U13,AC9:AC13,A16:A20,I16:I20,K16:K20,S16:S20,U16:U20,AC16:AC20,A23:A41,I23:I36,K23:K41,S23:S36,U23:U28,AC23:AC28,U30:U41,AC30:AC36,F36:F41,N36:N41,P36:P41,X36:X41,G38:G41,AC38:AC41">
    <cfRule type="cellIs" priority="5" operator="equal" aboveAverage="0" equalAverage="0" bottom="0" percent="0" rank="0" text="" dxfId="3">
      <formula>"WIN"</formula>
    </cfRule>
  </conditionalFormatting>
  <conditionalFormatting sqref="A2:A6,I2:I6,K2:K6,S2:S6,U2:U6,AC2:AC6,A9:A13,I9:I13,K9:K13,S9:S13,U9:U13,AC9:AC13,A16:A20,I16:I20,K16:K20,S16:S20,U16:U20,AC16:AC20,A23:A41,I23:I36,K23:K41,S23:S36,U23:U28,AC23:AC28,U30:U41,AC30:AC36,F36:F41,N36:N41,P36:P41,X36:X41,G38:G41,AC38:AC41">
    <cfRule type="cellIs" priority="6" operator="equal" aboveAverage="0" equalAverage="0" bottom="0" percent="0" rank="0" text="" dxfId="4">
      <formula>"LOSE"</formula>
    </cfRule>
  </conditionalFormatting>
  <conditionalFormatting sqref="A2:A6,I2:I6,K2:K6,S2:S6,U2:U6,AC2:AC6,A9:A13,I9:I13,K9:K13,S9:S13,U9:U13,AC9:AC13,A16:A20,I16:I20,K16:K20,S16:S20,U16:U20,AC16:AC20,A23:A41,I23:I36,K23:K41,S23:S36,U23:U28,AC23:AC28,U30:U41,AC30:AC36,F36:F41,N36:N41,P36:P41,X36:X41,G38:G41,AC38:AC41">
    <cfRule type="cellIs" priority="7" operator="equal" aboveAverage="0" equalAverage="0" bottom="0" percent="0" rank="0" text="" dxfId="5">
      <formula>"DNP"</formula>
    </cfRule>
  </conditionalFormatting>
  <conditionalFormatting sqref="B2:H6,L2:R6,V2:AB6,B9:H13,L9:R13,V9:AB13,B16:H20,L16:R20,V16:AB20,B23:H28,L23:R28,V23:AB28,B30:H41,L30:R41,V30:AB41,I37:K41,S37:U41,AC37:AG37">
    <cfRule type="cellIs" priority="8" operator="equal" aboveAverage="0" equalAverage="0" bottom="0" percent="0" rank="0" text="" dxfId="6">
      <formula>$AF$1</formula>
    </cfRule>
  </conditionalFormatting>
  <conditionalFormatting sqref="B2:H6,L2:R6,V2:AB6,B9:H13,L9:R13,V9:AB13,B16:H20,L16:R20,V16:AB20,B23:H28,L23:R28,V23:AB28,B30:H41,L30:R41,V30:AB41,I37:K41,S37:U41,AC37:AG37">
    <cfRule type="cellIs" priority="9" operator="equal" aboveAverage="0" equalAverage="0" bottom="0" percent="0" rank="0" text="" dxfId="6">
      <formula>$AF$2</formula>
    </cfRule>
  </conditionalFormatting>
  <conditionalFormatting sqref="B2:H6,L2:R6,V2:AB6,B9:H13,L9:R13,V9:AB13,B16:H20,L16:R20,V16:AB20,B23:H28,L23:R28,V23:AB28,B30:H41,L30:R41,V30:AB41,I37:K41,S37:U41,AC37:AG37">
    <cfRule type="cellIs" priority="10" operator="equal" aboveAverage="0" equalAverage="0" bottom="0" percent="0" rank="0" text="" dxfId="6">
      <formula>$AF$3</formula>
    </cfRule>
  </conditionalFormatting>
  <conditionalFormatting sqref="B2:H6,L2:R6,V2:AB6,B9:H13,L9:R13,V9:AB13,B16:H20,L16:R20,V16:AB20,B23:H28,L23:R28,V23:AB28,B30:H41,L30:R41,V30:AB41,I37:K41,S37:U41,AC37:AG37">
    <cfRule type="cellIs" priority="11" operator="equal" aboveAverage="0" equalAverage="0" bottom="0" percent="0" rank="0" text="" dxfId="6">
      <formula>$AF$4</formula>
    </cfRule>
  </conditionalFormatting>
  <conditionalFormatting sqref="B2:H6,L2:R6,V2:AB6,B9:H13,L9:R13,V9:AB13,B16:H20,L16:R20,V16:AB20,B23:H28,L23:R28,V23:AB28,B30:H41,L30:R41,V30:AB41,I37:K41,S37:U41,AC37:AG37">
    <cfRule type="cellIs" priority="12" operator="equal" aboveAverage="0" equalAverage="0" bottom="0" percent="0" rank="0" text="" dxfId="7">
      <formula>$AF$5</formula>
    </cfRule>
  </conditionalFormatting>
  <conditionalFormatting sqref="B2:H6,L2:R6,V2:AB6,B9:H13,L9:R13,V9:AB13,B16:H20,L16:R20,V16:AB20,B23:H28,L23:R28,V23:AB28,B30:H41,L30:R41,V30:AB41,I37:K41,S37:U41,AC37:AG37">
    <cfRule type="cellIs" priority="13" operator="equal" aboveAverage="0" equalAverage="0" bottom="0" percent="0" rank="0" text="" dxfId="7">
      <formula>$AF$6</formula>
    </cfRule>
  </conditionalFormatting>
  <conditionalFormatting sqref="B2:H6,L2:R6,V2:AB6,B9:H13,L9:R13,V9:AB13,B16:H20,L16:R20,V16:AB20,B23:H28,L23:R28,V23:AB28,B30:H41,L30:R41,V30:AB41,I37:K41,S37:U41,AC37:AG37">
    <cfRule type="cellIs" priority="14" operator="equal" aboveAverage="0" equalAverage="0" bottom="0" percent="0" rank="0" text="" dxfId="7">
      <formula>$AF$7</formula>
    </cfRule>
  </conditionalFormatting>
  <conditionalFormatting sqref="B2:H6,L2:R6,V2:AB6,B9:H13,L9:R13,V9:AB13,B16:H20,L16:R20,V16:AB20,B23:H28,L23:R28,V23:AB28,B30:H41,L30:R41,V30:AB41,I37:K41,S37:U41,AC37:AG37">
    <cfRule type="cellIs" priority="15" operator="equal" aboveAverage="0" equalAverage="0" bottom="0" percent="0" rank="0" text="" dxfId="7">
      <formula>$AF$8</formula>
    </cfRule>
  </conditionalFormatting>
  <conditionalFormatting sqref="D44:T60">
    <cfRule type="cellIs" priority="16" operator="equal" aboveAverage="0" equalAverage="0" bottom="0" percent="0" rank="0" text="" dxfId="8">
      <formula>$AE$1</formula>
    </cfRule>
  </conditionalFormatting>
  <conditionalFormatting sqref="D44:T60">
    <cfRule type="cellIs" priority="17" operator="equal" aboveAverage="0" equalAverage="0" bottom="0" percent="0" rank="0" text="" dxfId="8">
      <formula>$AE$2</formula>
    </cfRule>
  </conditionalFormatting>
  <conditionalFormatting sqref="D44:T60">
    <cfRule type="cellIs" priority="18" operator="equal" aboveAverage="0" equalAverage="0" bottom="0" percent="0" rank="0" text="" dxfId="8">
      <formula>$AE$3</formula>
    </cfRule>
  </conditionalFormatting>
  <conditionalFormatting sqref="D44:T60">
    <cfRule type="cellIs" priority="19" operator="equal" aboveAverage="0" equalAverage="0" bottom="0" percent="0" rank="0" text="" dxfId="8">
      <formula>$AE$4</formula>
    </cfRule>
  </conditionalFormatting>
  <conditionalFormatting sqref="D44:T60">
    <cfRule type="cellIs" priority="20" operator="equal" aboveAverage="0" equalAverage="0" bottom="0" percent="0" rank="0" text="" dxfId="9">
      <formula>$AE$5</formula>
    </cfRule>
  </conditionalFormatting>
  <conditionalFormatting sqref="D44:T60">
    <cfRule type="cellIs" priority="21" operator="equal" aboveAverage="0" equalAverage="0" bottom="0" percent="0" rank="0" text="" dxfId="9">
      <formula>$AE$6</formula>
    </cfRule>
  </conditionalFormatting>
  <conditionalFormatting sqref="D44:T60">
    <cfRule type="cellIs" priority="22" operator="equal" aboveAverage="0" equalAverage="0" bottom="0" percent="0" rank="0" text="" dxfId="7">
      <formula>$AE$7</formula>
    </cfRule>
  </conditionalFormatting>
  <conditionalFormatting sqref="D44:T60">
    <cfRule type="cellIs" priority="23" operator="equal" aboveAverage="0" equalAverage="0" bottom="0" percent="0" rank="0" text="" dxfId="9">
      <formula>$AE$8</formula>
    </cfRule>
  </conditionalFormatting>
  <printOptions headings="false" gridLines="false" gridLinesSet="true" horizontalCentered="false" verticalCentered="false"/>
  <pageMargins left="0.747916666666667" right="0.747916666666667" top="0.984027777777778" bottom="0.984027777777778" header="0.511805555555555" footer="0.511805555555555"/>
  <pageSetup paperSize="1" scale="100" firstPageNumber="0" fitToWidth="1" fitToHeight="1" pageOrder="downThenOver" orientation="portrait" usePrinterDefaults="false" blackAndWhite="false" draft="false" cellComments="none" useFirstPageNumber="false" horizontalDpi="300" verticalDpi="300" copies="1"/>
  <headerFooter differentFirst="false" differentOddEven="false">
    <oddHeader/>
    <oddFooter/>
  </headerFooter>
</worksheet>
</file>

<file path=xl/worksheets/sheet20.xml><?xml version="1.0" encoding="utf-8"?>
<worksheet xmlns="http://schemas.openxmlformats.org/spreadsheetml/2006/main" xmlns:r="http://schemas.openxmlformats.org/officeDocument/2006/relationships">
  <sheetPr filterMode="false">
    <pageSetUpPr fitToPage="false"/>
  </sheetPr>
  <dimension ref="A1:I13"/>
  <sheetViews>
    <sheetView windowProtection="false"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A1" activeCellId="0" sqref="A1"/>
    </sheetView>
  </sheetViews>
  <sheetFormatPr defaultRowHeight="15.75"/>
  <cols>
    <col collapsed="false" hidden="false" max="1" min="1" style="0" width="17.6836734693878"/>
    <col collapsed="false" hidden="false" max="2" min="2" style="0" width="7.1530612244898"/>
    <col collapsed="false" hidden="false" max="4" min="3" style="0" width="17.6836734693878"/>
    <col collapsed="false" hidden="false" max="5" min="5" style="0" width="0.811224489795918"/>
    <col collapsed="false" hidden="false" max="6" min="6" style="0" width="17.6836734693878"/>
    <col collapsed="false" hidden="false" max="7" min="7" style="0" width="7.1530612244898"/>
    <col collapsed="false" hidden="false" max="9" min="8" style="0" width="17.6836734693878"/>
    <col collapsed="false" hidden="false" max="1025" min="10" style="0" width="14.1734693877551"/>
  </cols>
  <sheetData>
    <row r="1" customFormat="false" ht="30" hidden="false" customHeight="true" outlineLevel="0" collapsed="false">
      <c r="A1" s="940" t="s">
        <v>2121</v>
      </c>
      <c r="B1" s="940"/>
      <c r="C1" s="940"/>
      <c r="D1" s="940"/>
      <c r="E1" s="940"/>
      <c r="F1" s="940"/>
      <c r="G1" s="940"/>
      <c r="H1" s="940"/>
      <c r="I1" s="940"/>
    </row>
    <row r="2" customFormat="false" ht="30" hidden="false" customHeight="true" outlineLevel="0" collapsed="false">
      <c r="A2" s="941" t="s">
        <v>4</v>
      </c>
      <c r="B2" s="941"/>
      <c r="C2" s="941"/>
      <c r="D2" s="941"/>
      <c r="E2" s="942"/>
      <c r="F2" s="941" t="s">
        <v>8</v>
      </c>
      <c r="G2" s="941"/>
      <c r="H2" s="941"/>
      <c r="I2" s="941"/>
    </row>
    <row r="3" customFormat="false" ht="30" hidden="false" customHeight="true" outlineLevel="0" collapsed="false">
      <c r="A3" s="943" t="s">
        <v>2122</v>
      </c>
      <c r="B3" s="943"/>
      <c r="C3" s="944"/>
      <c r="D3" s="944"/>
      <c r="E3" s="945"/>
      <c r="F3" s="943" t="s">
        <v>2122</v>
      </c>
      <c r="G3" s="943"/>
      <c r="H3" s="944"/>
      <c r="I3" s="944"/>
    </row>
    <row r="4" customFormat="false" ht="30" hidden="false" customHeight="true" outlineLevel="0" collapsed="false">
      <c r="A4" s="943" t="s">
        <v>2123</v>
      </c>
      <c r="B4" s="943"/>
      <c r="C4" s="944"/>
      <c r="D4" s="944"/>
      <c r="E4" s="945"/>
      <c r="F4" s="943" t="s">
        <v>2123</v>
      </c>
      <c r="G4" s="943"/>
      <c r="H4" s="944"/>
      <c r="I4" s="944"/>
    </row>
    <row r="5" customFormat="false" ht="30" hidden="false" customHeight="true" outlineLevel="0" collapsed="false">
      <c r="A5" s="943" t="s">
        <v>2124</v>
      </c>
      <c r="B5" s="943"/>
      <c r="C5" s="944"/>
      <c r="D5" s="944"/>
      <c r="E5" s="945"/>
      <c r="F5" s="943" t="s">
        <v>2124</v>
      </c>
      <c r="G5" s="943"/>
      <c r="H5" s="944"/>
      <c r="I5" s="944"/>
    </row>
    <row r="6" customFormat="false" ht="30" hidden="false" customHeight="true" outlineLevel="0" collapsed="false">
      <c r="A6" s="946" t="s">
        <v>2125</v>
      </c>
      <c r="B6" s="946"/>
      <c r="C6" s="947" t="s">
        <v>5</v>
      </c>
      <c r="D6" s="948" t="s">
        <v>6</v>
      </c>
      <c r="E6" s="949"/>
      <c r="F6" s="946" t="s">
        <v>2125</v>
      </c>
      <c r="G6" s="946"/>
      <c r="H6" s="947" t="s">
        <v>5</v>
      </c>
      <c r="I6" s="948" t="s">
        <v>6</v>
      </c>
    </row>
    <row r="7" customFormat="false" ht="30" hidden="false" customHeight="true" outlineLevel="0" collapsed="false">
      <c r="A7" s="950"/>
      <c r="B7" s="950"/>
      <c r="C7" s="951"/>
      <c r="D7" s="952"/>
      <c r="E7" s="953"/>
      <c r="F7" s="954"/>
      <c r="G7" s="954"/>
      <c r="H7" s="951"/>
      <c r="I7" s="955"/>
    </row>
    <row r="8" customFormat="false" ht="30" hidden="false" customHeight="true" outlineLevel="0" collapsed="false">
      <c r="A8" s="956"/>
      <c r="B8" s="956"/>
      <c r="C8" s="957"/>
      <c r="D8" s="958"/>
      <c r="E8" s="959"/>
      <c r="F8" s="960"/>
      <c r="G8" s="960"/>
      <c r="H8" s="957"/>
      <c r="I8" s="961"/>
    </row>
    <row r="9" customFormat="false" ht="30" hidden="false" customHeight="true" outlineLevel="0" collapsed="false">
      <c r="A9" s="956"/>
      <c r="B9" s="956"/>
      <c r="C9" s="957"/>
      <c r="D9" s="958"/>
      <c r="E9" s="959"/>
      <c r="F9" s="960"/>
      <c r="G9" s="960"/>
      <c r="H9" s="957"/>
      <c r="I9" s="961"/>
    </row>
    <row r="10" customFormat="false" ht="30" hidden="false" customHeight="true" outlineLevel="0" collapsed="false">
      <c r="A10" s="956"/>
      <c r="B10" s="956"/>
      <c r="C10" s="957"/>
      <c r="D10" s="958"/>
      <c r="E10" s="959"/>
      <c r="F10" s="960"/>
      <c r="G10" s="960"/>
      <c r="H10" s="957"/>
      <c r="I10" s="961"/>
    </row>
    <row r="11" customFormat="false" ht="30" hidden="false" customHeight="true" outlineLevel="0" collapsed="false">
      <c r="A11" s="956"/>
      <c r="B11" s="956"/>
      <c r="C11" s="957"/>
      <c r="D11" s="958"/>
      <c r="E11" s="959"/>
      <c r="F11" s="960"/>
      <c r="G11" s="960"/>
      <c r="H11" s="957"/>
      <c r="I11" s="961"/>
    </row>
    <row r="12" customFormat="false" ht="30" hidden="false" customHeight="true" outlineLevel="0" collapsed="false">
      <c r="A12" s="962"/>
      <c r="B12" s="962"/>
      <c r="C12" s="963"/>
      <c r="D12" s="964"/>
      <c r="E12" s="965"/>
      <c r="F12" s="966"/>
      <c r="G12" s="966"/>
      <c r="H12" s="963"/>
      <c r="I12" s="967"/>
    </row>
    <row r="13" customFormat="false" ht="30" hidden="false" customHeight="true" outlineLevel="0" collapsed="false">
      <c r="A13" s="392" t="s">
        <v>2126</v>
      </c>
      <c r="B13" s="392"/>
      <c r="C13" s="968"/>
      <c r="D13" s="969"/>
      <c r="E13" s="942"/>
      <c r="F13" s="392" t="s">
        <v>2126</v>
      </c>
      <c r="G13" s="392"/>
      <c r="H13" s="970"/>
      <c r="I13" s="969"/>
    </row>
  </sheetData>
  <mergeCells count="31">
    <mergeCell ref="A1:I1"/>
    <mergeCell ref="A2:D2"/>
    <mergeCell ref="F2:I2"/>
    <mergeCell ref="A3:B3"/>
    <mergeCell ref="C3:D3"/>
    <mergeCell ref="F3:G3"/>
    <mergeCell ref="H3:I3"/>
    <mergeCell ref="A4:B4"/>
    <mergeCell ref="C4:D4"/>
    <mergeCell ref="F4:G4"/>
    <mergeCell ref="H4:I4"/>
    <mergeCell ref="A5:B5"/>
    <mergeCell ref="C5:D5"/>
    <mergeCell ref="F5:G5"/>
    <mergeCell ref="H5:I5"/>
    <mergeCell ref="A6:B6"/>
    <mergeCell ref="F6:G6"/>
    <mergeCell ref="A7:B7"/>
    <mergeCell ref="F7:G7"/>
    <mergeCell ref="A8:B8"/>
    <mergeCell ref="F8:G8"/>
    <mergeCell ref="A9:B9"/>
    <mergeCell ref="F9:G9"/>
    <mergeCell ref="A10:B10"/>
    <mergeCell ref="F10:G10"/>
    <mergeCell ref="A11:B11"/>
    <mergeCell ref="F11:G11"/>
    <mergeCell ref="A12:B12"/>
    <mergeCell ref="F12:G12"/>
    <mergeCell ref="A13:B13"/>
    <mergeCell ref="F13:G13"/>
  </mergeCells>
  <printOptions headings="false" gridLines="false" gridLinesSet="true" horizontalCentered="false" verticalCentered="false"/>
  <pageMargins left="0.747916666666667" right="0.747916666666667" top="0.984027777777778" bottom="0.984027777777778" header="0.511805555555555" footer="0.511805555555555"/>
  <pageSetup paperSize="1" scale="100" firstPageNumber="0" fitToWidth="1" fitToHeight="1" pageOrder="downThenOver" orientation="portrait" usePrinterDefaults="false" blackAndWhite="false" draft="false" cellComments="none" useFirstPageNumber="false" horizontalDpi="300" verticalDpi="300" copies="1"/>
  <headerFooter differentFirst="false" differentOddEven="false">
    <oddHeader/>
    <oddFooter/>
  </headerFooter>
</worksheet>
</file>

<file path=xl/worksheets/sheet21.xml><?xml version="1.0" encoding="utf-8"?>
<worksheet xmlns="http://schemas.openxmlformats.org/spreadsheetml/2006/main" xmlns:r="http://schemas.openxmlformats.org/officeDocument/2006/relationships">
  <sheetPr filterMode="false">
    <pageSetUpPr fitToPage="false"/>
  </sheetPr>
  <dimension ref="A1:U24"/>
  <sheetViews>
    <sheetView windowProtection="true" showFormulas="false" showGridLines="true" showRowColHeaders="true" showZeros="true" rightToLeft="false" tabSelected="false" showOutlineSymbols="true" defaultGridColor="true" view="normal" topLeftCell="A1" colorId="64" zoomScale="100" zoomScaleNormal="100" zoomScalePageLayoutView="100" workbookViewId="0">
      <pane xSplit="0" ySplit="2" topLeftCell="A3" activePane="bottomLeft" state="frozen"/>
      <selection pane="topLeft" activeCell="A1" activeCellId="0" sqref="A1"/>
      <selection pane="bottomLeft" activeCell="B4" activeCellId="0" sqref="B4"/>
    </sheetView>
  </sheetViews>
  <sheetFormatPr defaultRowHeight="15.75"/>
  <cols>
    <col collapsed="false" hidden="false" max="1" min="1" style="0" width="14.8469387755102"/>
    <col collapsed="false" hidden="false" max="2" min="2" style="0" width="11.4744897959184"/>
    <col collapsed="false" hidden="false" max="3" min="3" style="0" width="7.29081632653061"/>
    <col collapsed="false" hidden="false" max="4" min="4" style="0" width="11.2040816326531"/>
    <col collapsed="false" hidden="false" max="5" min="5" style="0" width="10.9336734693878"/>
    <col collapsed="false" hidden="false" max="6" min="6" style="0" width="11.2040816326531"/>
    <col collapsed="false" hidden="false" max="7" min="7" style="0" width="11.6071428571429"/>
    <col collapsed="false" hidden="false" max="9" min="8" style="0" width="3.78061224489796"/>
    <col collapsed="false" hidden="false" max="10" min="10" style="0" width="3.91326530612245"/>
    <col collapsed="false" hidden="false" max="12" min="11" style="0" width="4.59183673469388"/>
    <col collapsed="false" hidden="false" max="13" min="13" style="0" width="4.32142857142857"/>
    <col collapsed="false" hidden="false" max="14" min="14" style="0" width="4.45408163265306"/>
    <col collapsed="false" hidden="false" max="15" min="15" style="0" width="4.18367346938776"/>
    <col collapsed="false" hidden="false" max="16" min="16" style="0" width="3.91326530612245"/>
    <col collapsed="false" hidden="false" max="18" min="17" style="0" width="4.59183673469388"/>
    <col collapsed="false" hidden="false" max="19" min="19" style="0" width="4.32142857142857"/>
    <col collapsed="false" hidden="false" max="20" min="20" style="0" width="11.4744897959184"/>
    <col collapsed="false" hidden="false" max="21" min="21" style="0" width="5.39795918367347"/>
    <col collapsed="false" hidden="false" max="1025" min="22" style="0" width="14.1734693877551"/>
  </cols>
  <sheetData>
    <row r="1" customFormat="false" ht="11.25" hidden="false" customHeight="true" outlineLevel="0" collapsed="false">
      <c r="A1" s="971" t="s">
        <v>2127</v>
      </c>
      <c r="B1" s="971" t="s">
        <v>2128</v>
      </c>
      <c r="C1" s="971" t="s">
        <v>2129</v>
      </c>
      <c r="D1" s="971" t="s">
        <v>2130</v>
      </c>
      <c r="E1" s="971"/>
      <c r="F1" s="971"/>
      <c r="G1" s="971"/>
      <c r="H1" s="971" t="s">
        <v>2131</v>
      </c>
      <c r="I1" s="971"/>
      <c r="J1" s="971"/>
      <c r="K1" s="971"/>
      <c r="L1" s="971"/>
      <c r="M1" s="971"/>
      <c r="N1" s="971" t="s">
        <v>2132</v>
      </c>
      <c r="O1" s="971"/>
      <c r="P1" s="971"/>
      <c r="Q1" s="971"/>
      <c r="R1" s="971"/>
      <c r="S1" s="971"/>
      <c r="T1" s="971" t="s">
        <v>2133</v>
      </c>
      <c r="U1" s="971" t="s">
        <v>2134</v>
      </c>
    </row>
    <row r="2" customFormat="false" ht="15.75" hidden="false" customHeight="false" outlineLevel="0" collapsed="false">
      <c r="A2" s="971"/>
      <c r="B2" s="971"/>
      <c r="C2" s="971"/>
      <c r="D2" s="971"/>
      <c r="E2" s="971"/>
      <c r="F2" s="971"/>
      <c r="G2" s="971"/>
      <c r="H2" s="972" t="s">
        <v>777</v>
      </c>
      <c r="I2" s="971" t="s">
        <v>778</v>
      </c>
      <c r="J2" s="971" t="s">
        <v>779</v>
      </c>
      <c r="K2" s="971" t="s">
        <v>2135</v>
      </c>
      <c r="L2" s="971" t="s">
        <v>2136</v>
      </c>
      <c r="M2" s="971" t="s">
        <v>782</v>
      </c>
      <c r="N2" s="972" t="s">
        <v>777</v>
      </c>
      <c r="O2" s="971" t="s">
        <v>778</v>
      </c>
      <c r="P2" s="971" t="s">
        <v>779</v>
      </c>
      <c r="Q2" s="971" t="s">
        <v>2135</v>
      </c>
      <c r="R2" s="971" t="s">
        <v>2136</v>
      </c>
      <c r="S2" s="971" t="s">
        <v>782</v>
      </c>
      <c r="T2" s="971"/>
      <c r="U2" s="971"/>
    </row>
    <row r="3" customFormat="false" ht="15.75" hidden="false" customHeight="false" outlineLevel="0" collapsed="false">
      <c r="A3" s="973"/>
      <c r="B3" s="974"/>
      <c r="C3" s="974"/>
      <c r="D3" s="974"/>
      <c r="E3" s="974"/>
      <c r="F3" s="974"/>
      <c r="G3" s="974"/>
      <c r="H3" s="975"/>
      <c r="I3" s="976"/>
      <c r="J3" s="976"/>
      <c r="K3" s="976"/>
      <c r="L3" s="976"/>
      <c r="M3" s="976"/>
      <c r="N3" s="977"/>
      <c r="O3" s="976"/>
      <c r="P3" s="976"/>
      <c r="Q3" s="976"/>
      <c r="R3" s="976"/>
      <c r="S3" s="978"/>
      <c r="T3" s="974"/>
      <c r="U3" s="978" t="s">
        <v>2137</v>
      </c>
    </row>
    <row r="4" customFormat="false" ht="15.75" hidden="false" customHeight="false" outlineLevel="0" collapsed="false">
      <c r="A4" s="973"/>
      <c r="B4" s="979"/>
      <c r="C4" s="979"/>
      <c r="D4" s="979"/>
      <c r="E4" s="979"/>
      <c r="F4" s="979"/>
      <c r="G4" s="979"/>
      <c r="H4" s="979"/>
      <c r="I4" s="979"/>
      <c r="J4" s="979"/>
      <c r="K4" s="979"/>
      <c r="L4" s="979"/>
      <c r="M4" s="979"/>
      <c r="N4" s="979"/>
      <c r="O4" s="979"/>
      <c r="P4" s="979"/>
      <c r="Q4" s="979"/>
      <c r="R4" s="979"/>
      <c r="S4" s="979"/>
      <c r="T4" s="979"/>
      <c r="U4" s="979"/>
    </row>
    <row r="5" customFormat="false" ht="15.75" hidden="false" customHeight="false" outlineLevel="0" collapsed="false">
      <c r="A5" s="973"/>
      <c r="B5" s="974"/>
      <c r="C5" s="974"/>
      <c r="D5" s="974"/>
      <c r="E5" s="974"/>
      <c r="F5" s="974"/>
      <c r="G5" s="974"/>
      <c r="H5" s="980"/>
      <c r="I5" s="976"/>
      <c r="J5" s="976"/>
      <c r="K5" s="976"/>
      <c r="L5" s="976"/>
      <c r="M5" s="976"/>
      <c r="N5" s="977"/>
      <c r="O5" s="976"/>
      <c r="P5" s="976"/>
      <c r="Q5" s="976"/>
      <c r="R5" s="976"/>
      <c r="S5" s="978"/>
      <c r="T5" s="974"/>
      <c r="U5" s="978" t="s">
        <v>2137</v>
      </c>
    </row>
    <row r="6" customFormat="false" ht="15.75" hidden="false" customHeight="false" outlineLevel="0" collapsed="false">
      <c r="A6" s="973"/>
      <c r="B6" s="979"/>
      <c r="C6" s="979"/>
      <c r="D6" s="979"/>
      <c r="E6" s="979"/>
      <c r="F6" s="979"/>
      <c r="G6" s="979"/>
      <c r="H6" s="979"/>
      <c r="I6" s="979"/>
      <c r="J6" s="979"/>
      <c r="K6" s="979"/>
      <c r="L6" s="979"/>
      <c r="M6" s="979"/>
      <c r="N6" s="979"/>
      <c r="O6" s="979"/>
      <c r="P6" s="979"/>
      <c r="Q6" s="979"/>
      <c r="R6" s="979"/>
      <c r="S6" s="979"/>
      <c r="T6" s="979"/>
      <c r="U6" s="979"/>
    </row>
    <row r="7" customFormat="false" ht="15.75" hidden="false" customHeight="false" outlineLevel="0" collapsed="false">
      <c r="A7" s="973"/>
      <c r="B7" s="974"/>
      <c r="C7" s="974"/>
      <c r="D7" s="974"/>
      <c r="E7" s="974"/>
      <c r="F7" s="974"/>
      <c r="G7" s="974"/>
      <c r="H7" s="980"/>
      <c r="I7" s="976"/>
      <c r="J7" s="976"/>
      <c r="K7" s="976"/>
      <c r="L7" s="976"/>
      <c r="M7" s="976"/>
      <c r="N7" s="977"/>
      <c r="O7" s="976"/>
      <c r="P7" s="976"/>
      <c r="Q7" s="976"/>
      <c r="R7" s="976"/>
      <c r="S7" s="978"/>
      <c r="T7" s="974"/>
      <c r="U7" s="978" t="s">
        <v>2137</v>
      </c>
    </row>
    <row r="8" customFormat="false" ht="15.75" hidden="false" customHeight="false" outlineLevel="0" collapsed="false">
      <c r="A8" s="973"/>
      <c r="B8" s="979"/>
      <c r="C8" s="979"/>
      <c r="D8" s="979"/>
      <c r="E8" s="979"/>
      <c r="F8" s="979"/>
      <c r="G8" s="979"/>
      <c r="H8" s="979"/>
      <c r="I8" s="979"/>
      <c r="J8" s="979"/>
      <c r="K8" s="979"/>
      <c r="L8" s="979"/>
      <c r="M8" s="979"/>
      <c r="N8" s="979"/>
      <c r="O8" s="979"/>
      <c r="P8" s="979"/>
      <c r="Q8" s="979"/>
      <c r="R8" s="979"/>
      <c r="S8" s="979"/>
      <c r="T8" s="979"/>
      <c r="U8" s="979"/>
    </row>
    <row r="9" customFormat="false" ht="15.75" hidden="false" customHeight="false" outlineLevel="0" collapsed="false">
      <c r="A9" s="973"/>
      <c r="B9" s="974"/>
      <c r="C9" s="974"/>
      <c r="D9" s="974"/>
      <c r="E9" s="974"/>
      <c r="F9" s="974"/>
      <c r="G9" s="974"/>
      <c r="H9" s="980"/>
      <c r="I9" s="976"/>
      <c r="J9" s="976"/>
      <c r="K9" s="976"/>
      <c r="L9" s="976"/>
      <c r="M9" s="976"/>
      <c r="N9" s="977"/>
      <c r="O9" s="976"/>
      <c r="P9" s="976"/>
      <c r="Q9" s="976"/>
      <c r="R9" s="976"/>
      <c r="S9" s="978"/>
      <c r="T9" s="974"/>
      <c r="U9" s="978" t="s">
        <v>2137</v>
      </c>
    </row>
    <row r="10" customFormat="false" ht="15.75" hidden="false" customHeight="false" outlineLevel="0" collapsed="false">
      <c r="A10" s="973"/>
      <c r="B10" s="979"/>
      <c r="C10" s="979"/>
      <c r="D10" s="979"/>
      <c r="E10" s="979"/>
      <c r="F10" s="979"/>
      <c r="G10" s="979"/>
      <c r="H10" s="979"/>
      <c r="I10" s="979"/>
      <c r="J10" s="979"/>
      <c r="K10" s="979"/>
      <c r="L10" s="979"/>
      <c r="M10" s="979"/>
      <c r="N10" s="979"/>
      <c r="O10" s="979"/>
      <c r="P10" s="979"/>
      <c r="Q10" s="979"/>
      <c r="R10" s="979"/>
      <c r="S10" s="979"/>
      <c r="T10" s="979"/>
      <c r="U10" s="979"/>
    </row>
    <row r="11" customFormat="false" ht="15.75" hidden="false" customHeight="false" outlineLevel="0" collapsed="false">
      <c r="A11" s="973"/>
      <c r="B11" s="974"/>
      <c r="C11" s="974"/>
      <c r="D11" s="974"/>
      <c r="E11" s="974"/>
      <c r="F11" s="974"/>
      <c r="G11" s="974"/>
      <c r="H11" s="980"/>
      <c r="I11" s="976"/>
      <c r="J11" s="976"/>
      <c r="K11" s="976"/>
      <c r="L11" s="976"/>
      <c r="M11" s="976"/>
      <c r="N11" s="977"/>
      <c r="O11" s="976"/>
      <c r="P11" s="976"/>
      <c r="Q11" s="976"/>
      <c r="R11" s="976"/>
      <c r="S11" s="978"/>
      <c r="T11" s="974"/>
      <c r="U11" s="978" t="s">
        <v>2137</v>
      </c>
    </row>
    <row r="12" customFormat="false" ht="15.75" hidden="false" customHeight="false" outlineLevel="0" collapsed="false">
      <c r="A12" s="973"/>
      <c r="B12" s="979"/>
      <c r="C12" s="979"/>
      <c r="D12" s="979"/>
      <c r="E12" s="979"/>
      <c r="F12" s="979"/>
      <c r="G12" s="979"/>
      <c r="H12" s="979"/>
      <c r="I12" s="979"/>
      <c r="J12" s="979"/>
      <c r="K12" s="979"/>
      <c r="L12" s="979"/>
      <c r="M12" s="979"/>
      <c r="N12" s="979"/>
      <c r="O12" s="979"/>
      <c r="P12" s="979"/>
      <c r="Q12" s="979"/>
      <c r="R12" s="979"/>
      <c r="S12" s="979"/>
      <c r="T12" s="979"/>
      <c r="U12" s="979"/>
    </row>
    <row r="13" customFormat="false" ht="15.75" hidden="false" customHeight="false" outlineLevel="0" collapsed="false">
      <c r="A13" s="973"/>
      <c r="B13" s="974"/>
      <c r="C13" s="974"/>
      <c r="D13" s="974"/>
      <c r="E13" s="974"/>
      <c r="F13" s="974"/>
      <c r="G13" s="974"/>
      <c r="H13" s="975"/>
      <c r="I13" s="976"/>
      <c r="J13" s="976"/>
      <c r="K13" s="976"/>
      <c r="L13" s="976"/>
      <c r="M13" s="976"/>
      <c r="N13" s="977"/>
      <c r="O13" s="976"/>
      <c r="P13" s="976"/>
      <c r="Q13" s="976"/>
      <c r="R13" s="976"/>
      <c r="S13" s="978"/>
      <c r="T13" s="974"/>
      <c r="U13" s="978" t="s">
        <v>2137</v>
      </c>
    </row>
    <row r="14" customFormat="false" ht="15.75" hidden="false" customHeight="false" outlineLevel="0" collapsed="false">
      <c r="A14" s="973"/>
      <c r="B14" s="979"/>
      <c r="C14" s="979"/>
      <c r="D14" s="979"/>
      <c r="E14" s="979"/>
      <c r="F14" s="979"/>
      <c r="G14" s="979"/>
      <c r="H14" s="979"/>
      <c r="I14" s="979"/>
      <c r="J14" s="979"/>
      <c r="K14" s="979"/>
      <c r="L14" s="979"/>
      <c r="M14" s="979"/>
      <c r="N14" s="979"/>
      <c r="O14" s="979"/>
      <c r="P14" s="979"/>
      <c r="Q14" s="979"/>
      <c r="R14" s="979"/>
      <c r="S14" s="979"/>
      <c r="T14" s="979"/>
      <c r="U14" s="979"/>
    </row>
    <row r="15" customFormat="false" ht="15.75" hidden="false" customHeight="false" outlineLevel="0" collapsed="false">
      <c r="A15" s="973"/>
      <c r="B15" s="974"/>
      <c r="C15" s="974"/>
      <c r="D15" s="974"/>
      <c r="E15" s="974"/>
      <c r="F15" s="974"/>
      <c r="G15" s="974"/>
      <c r="H15" s="975"/>
      <c r="I15" s="976"/>
      <c r="J15" s="976"/>
      <c r="K15" s="976"/>
      <c r="L15" s="976"/>
      <c r="M15" s="976"/>
      <c r="N15" s="977"/>
      <c r="O15" s="976"/>
      <c r="P15" s="976"/>
      <c r="Q15" s="976"/>
      <c r="R15" s="976"/>
      <c r="S15" s="978"/>
      <c r="T15" s="974"/>
      <c r="U15" s="978" t="s">
        <v>2137</v>
      </c>
    </row>
    <row r="16" customFormat="false" ht="15.75" hidden="false" customHeight="false" outlineLevel="0" collapsed="false">
      <c r="A16" s="973"/>
      <c r="B16" s="979"/>
      <c r="C16" s="979"/>
      <c r="D16" s="979"/>
      <c r="E16" s="979"/>
      <c r="F16" s="979"/>
      <c r="G16" s="979"/>
      <c r="H16" s="979"/>
      <c r="I16" s="979"/>
      <c r="J16" s="979"/>
      <c r="K16" s="979"/>
      <c r="L16" s="979"/>
      <c r="M16" s="979"/>
      <c r="N16" s="979"/>
      <c r="O16" s="979"/>
      <c r="P16" s="979"/>
      <c r="Q16" s="979"/>
      <c r="R16" s="979"/>
      <c r="S16" s="979"/>
      <c r="T16" s="979"/>
      <c r="U16" s="979"/>
    </row>
    <row r="17" customFormat="false" ht="15.75" hidden="false" customHeight="false" outlineLevel="0" collapsed="false">
      <c r="A17" s="973"/>
      <c r="B17" s="974"/>
      <c r="C17" s="974"/>
      <c r="D17" s="974"/>
      <c r="E17" s="974"/>
      <c r="F17" s="974"/>
      <c r="G17" s="974"/>
      <c r="H17" s="980"/>
      <c r="I17" s="976"/>
      <c r="J17" s="976"/>
      <c r="K17" s="976"/>
      <c r="L17" s="976"/>
      <c r="M17" s="976"/>
      <c r="N17" s="977"/>
      <c r="O17" s="976"/>
      <c r="P17" s="976"/>
      <c r="Q17" s="976"/>
      <c r="R17" s="976"/>
      <c r="S17" s="978"/>
      <c r="T17" s="974"/>
      <c r="U17" s="978" t="s">
        <v>2137</v>
      </c>
    </row>
    <row r="18" customFormat="false" ht="15.75" hidden="false" customHeight="false" outlineLevel="0" collapsed="false">
      <c r="A18" s="973"/>
      <c r="B18" s="979"/>
      <c r="C18" s="979"/>
      <c r="D18" s="979"/>
      <c r="E18" s="979"/>
      <c r="F18" s="979"/>
      <c r="G18" s="979"/>
      <c r="H18" s="979"/>
      <c r="I18" s="979"/>
      <c r="J18" s="979"/>
      <c r="K18" s="979"/>
      <c r="L18" s="979"/>
      <c r="M18" s="979"/>
      <c r="N18" s="979"/>
      <c r="O18" s="979"/>
      <c r="P18" s="979"/>
      <c r="Q18" s="979"/>
      <c r="R18" s="979"/>
      <c r="S18" s="979"/>
      <c r="T18" s="979"/>
      <c r="U18" s="979"/>
    </row>
    <row r="19" customFormat="false" ht="15.75" hidden="false" customHeight="false" outlineLevel="0" collapsed="false">
      <c r="A19" s="973"/>
      <c r="B19" s="974"/>
      <c r="C19" s="974"/>
      <c r="D19" s="974"/>
      <c r="E19" s="974"/>
      <c r="F19" s="974"/>
      <c r="G19" s="974"/>
      <c r="H19" s="980"/>
      <c r="I19" s="976"/>
      <c r="J19" s="976"/>
      <c r="K19" s="976"/>
      <c r="L19" s="976"/>
      <c r="M19" s="976"/>
      <c r="N19" s="977"/>
      <c r="O19" s="976"/>
      <c r="P19" s="976"/>
      <c r="Q19" s="976"/>
      <c r="R19" s="976"/>
      <c r="S19" s="978"/>
      <c r="T19" s="974"/>
      <c r="U19" s="978" t="s">
        <v>2137</v>
      </c>
    </row>
    <row r="20" customFormat="false" ht="15.75" hidden="false" customHeight="false" outlineLevel="0" collapsed="false">
      <c r="A20" s="973"/>
      <c r="B20" s="979"/>
      <c r="C20" s="979"/>
      <c r="D20" s="979"/>
      <c r="E20" s="979"/>
      <c r="F20" s="979"/>
      <c r="G20" s="979"/>
      <c r="H20" s="979"/>
      <c r="I20" s="979"/>
      <c r="J20" s="979"/>
      <c r="K20" s="979"/>
      <c r="L20" s="979"/>
      <c r="M20" s="979"/>
      <c r="N20" s="979"/>
      <c r="O20" s="979"/>
      <c r="P20" s="979"/>
      <c r="Q20" s="979"/>
      <c r="R20" s="979"/>
      <c r="S20" s="979"/>
      <c r="T20" s="979"/>
      <c r="U20" s="979"/>
    </row>
    <row r="21" customFormat="false" ht="15.75" hidden="false" customHeight="false" outlineLevel="0" collapsed="false">
      <c r="A21" s="973"/>
      <c r="B21" s="974"/>
      <c r="C21" s="974"/>
      <c r="D21" s="974"/>
      <c r="E21" s="974"/>
      <c r="F21" s="974"/>
      <c r="G21" s="974"/>
      <c r="H21" s="980"/>
      <c r="I21" s="976"/>
      <c r="J21" s="976"/>
      <c r="K21" s="976"/>
      <c r="L21" s="976"/>
      <c r="M21" s="976"/>
      <c r="N21" s="977"/>
      <c r="O21" s="976"/>
      <c r="P21" s="976"/>
      <c r="Q21" s="976"/>
      <c r="R21" s="976"/>
      <c r="S21" s="978"/>
      <c r="T21" s="974"/>
      <c r="U21" s="978" t="s">
        <v>2137</v>
      </c>
    </row>
    <row r="22" customFormat="false" ht="15.75" hidden="false" customHeight="false" outlineLevel="0" collapsed="false">
      <c r="A22" s="973"/>
      <c r="B22" s="979"/>
      <c r="C22" s="979"/>
      <c r="D22" s="979"/>
      <c r="E22" s="979"/>
      <c r="F22" s="979"/>
      <c r="G22" s="979"/>
      <c r="H22" s="979"/>
      <c r="I22" s="979"/>
      <c r="J22" s="979"/>
      <c r="K22" s="979"/>
      <c r="L22" s="979"/>
      <c r="M22" s="979"/>
      <c r="N22" s="979"/>
      <c r="O22" s="979"/>
      <c r="P22" s="979"/>
      <c r="Q22" s="979"/>
      <c r="R22" s="979"/>
      <c r="S22" s="979"/>
      <c r="T22" s="979"/>
      <c r="U22" s="979"/>
    </row>
    <row r="23" customFormat="false" ht="15.75" hidden="false" customHeight="false" outlineLevel="0" collapsed="false">
      <c r="A23" s="973"/>
      <c r="B23" s="981"/>
      <c r="C23" s="981"/>
      <c r="D23" s="981"/>
      <c r="E23" s="981"/>
      <c r="F23" s="981"/>
      <c r="G23" s="981"/>
      <c r="H23" s="982"/>
      <c r="I23" s="983"/>
      <c r="J23" s="983"/>
      <c r="K23" s="983"/>
      <c r="L23" s="983"/>
      <c r="M23" s="983"/>
      <c r="N23" s="984"/>
      <c r="O23" s="983"/>
      <c r="P23" s="983"/>
      <c r="Q23" s="983"/>
      <c r="R23" s="983"/>
      <c r="S23" s="985"/>
      <c r="T23" s="981"/>
      <c r="U23" s="985" t="s">
        <v>2137</v>
      </c>
    </row>
    <row r="24" customFormat="false" ht="15.75" hidden="false" customHeight="false" outlineLevel="0" collapsed="false">
      <c r="A24" s="973"/>
      <c r="B24" s="979"/>
      <c r="C24" s="979"/>
      <c r="D24" s="979"/>
      <c r="E24" s="979"/>
      <c r="F24" s="979"/>
      <c r="G24" s="979"/>
      <c r="H24" s="979"/>
      <c r="I24" s="979"/>
      <c r="J24" s="979"/>
      <c r="K24" s="979"/>
      <c r="L24" s="979"/>
      <c r="M24" s="979"/>
      <c r="N24" s="979"/>
      <c r="O24" s="979"/>
      <c r="P24" s="979"/>
      <c r="Q24" s="979"/>
      <c r="R24" s="979"/>
      <c r="S24" s="979"/>
      <c r="T24" s="979"/>
      <c r="U24" s="979"/>
    </row>
  </sheetData>
  <mergeCells count="19">
    <mergeCell ref="A1:A2"/>
    <mergeCell ref="B1:B2"/>
    <mergeCell ref="C1:C2"/>
    <mergeCell ref="D1:G2"/>
    <mergeCell ref="H1:M1"/>
    <mergeCell ref="N1:S1"/>
    <mergeCell ref="T1:T2"/>
    <mergeCell ref="U1:U2"/>
    <mergeCell ref="A3:A4"/>
    <mergeCell ref="A5:A6"/>
    <mergeCell ref="A7:A8"/>
    <mergeCell ref="A9:A10"/>
    <mergeCell ref="A11:A12"/>
    <mergeCell ref="A13:A14"/>
    <mergeCell ref="A15:A16"/>
    <mergeCell ref="A17:A18"/>
    <mergeCell ref="A19:A20"/>
    <mergeCell ref="A21:A22"/>
    <mergeCell ref="A23:A24"/>
  </mergeCells>
  <conditionalFormatting sqref="A3:A8,A15:A20">
    <cfRule type="expression" priority="2" aboveAverage="0" equalAverage="0" bottom="0" percent="0" rank="0" text="" dxfId="0">
      <formula>B1:K2</formula>
    </cfRule>
  </conditionalFormatting>
  <conditionalFormatting sqref="B4:U4,B6:U6,B8:U8,B10:U10,B12:U12,B14:U14,B16:U16,B18:U18,B20:U20,B22:U22,B24:U24">
    <cfRule type="expression" priority="3" aboveAverage="0" equalAverage="0" bottom="0" percent="0" rank="0" text="" dxfId="1">
      <formula>LEN(TRIM(B4))=0</formula>
    </cfRule>
  </conditionalFormatting>
  <conditionalFormatting sqref="B4:U4,B6:U6,B8:U8,B10:U10,B12:U12,B14:U14,B16:U16,B18:U18,B20:U20,B22:U22,B24:U24">
    <cfRule type="cellIs" priority="4" operator="equal" aboveAverage="0" equalAverage="0" bottom="0" percent="0" rank="0" text="" dxfId="0">
      <formula>INDIRECT(ADDRESS(ROW()-1,COLUMN()))</formula>
    </cfRule>
  </conditionalFormatting>
  <conditionalFormatting sqref="B4:U4,B6:U6,B8:U8,B10:U10,B12:U12,B14:U14,B16:U16,B18:U18,B20:U20,B22:U22,B24:U24">
    <cfRule type="expression" priority="5" aboveAverage="0" equalAverage="0" bottom="0" percent="0" rank="0" text="" dxfId="1">
      <formula>LEN(TRIM(B4))&gt;0</formula>
    </cfRule>
  </conditionalFormatting>
  <conditionalFormatting sqref="K4">
    <cfRule type="expression" priority="6" aboveAverage="0" equalAverage="0" bottom="0" percent="0" rank="0" text="" dxfId="0">
      <formula>LEN(TRIM(K4))=0</formula>
    </cfRule>
  </conditionalFormatting>
  <printOptions headings="false" gridLines="false" gridLinesSet="true" horizontalCentered="false" verticalCentered="false"/>
  <pageMargins left="0.747916666666667" right="0.747916666666667" top="0.984027777777778" bottom="0.984027777777778" header="0.511805555555555" footer="0.511805555555555"/>
  <pageSetup paperSize="1" scale="100" firstPageNumber="0" fitToWidth="1" fitToHeight="1" pageOrder="downThenOver" orientation="portrait" usePrinterDefaults="false" blackAndWhite="false" draft="false" cellComments="none" useFirstPageNumber="false" horizontalDpi="300" verticalDpi="300" copies="1"/>
  <headerFooter differentFirst="false" differentOddEven="false">
    <oddHeader/>
    <oddFooter/>
  </headerFooter>
</worksheet>
</file>

<file path=xl/worksheets/sheet3.xml><?xml version="1.0" encoding="utf-8"?>
<worksheet xmlns="http://schemas.openxmlformats.org/spreadsheetml/2006/main" xmlns:r="http://schemas.openxmlformats.org/officeDocument/2006/relationships">
  <sheetPr filterMode="false">
    <pageSetUpPr fitToPage="false"/>
  </sheetPr>
  <dimension ref="A1:X94"/>
  <sheetViews>
    <sheetView windowProtection="false"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A1" activeCellId="0" sqref="A1"/>
    </sheetView>
  </sheetViews>
  <sheetFormatPr defaultRowHeight="15.75"/>
  <cols>
    <col collapsed="false" hidden="false" max="21" min="1" style="0" width="7.1530612244898"/>
    <col collapsed="false" hidden="false" max="23" min="22" style="0" width="21.3265306122449"/>
    <col collapsed="false" hidden="false" max="24" min="24" style="0" width="7.1530612244898"/>
    <col collapsed="false" hidden="false" max="1025" min="25" style="0" width="14.1734693877551"/>
  </cols>
  <sheetData>
    <row r="1" customFormat="false" ht="15.75" hidden="false" customHeight="true" outlineLevel="0" collapsed="false">
      <c r="A1" s="150" t="s">
        <v>164</v>
      </c>
      <c r="B1" s="150"/>
      <c r="C1" s="150"/>
      <c r="D1" s="150"/>
      <c r="E1" s="150"/>
      <c r="F1" s="150"/>
      <c r="G1" s="150"/>
      <c r="H1" s="150"/>
      <c r="I1" s="150"/>
      <c r="J1" s="150"/>
      <c r="K1" s="150"/>
      <c r="L1" s="44"/>
      <c r="M1" s="151" t="s">
        <v>165</v>
      </c>
      <c r="N1" s="151"/>
      <c r="O1" s="151"/>
      <c r="P1" s="151"/>
      <c r="Q1" s="151"/>
      <c r="R1" s="44"/>
      <c r="S1" s="44"/>
      <c r="T1" s="44"/>
      <c r="U1" s="152" t="s">
        <v>166</v>
      </c>
      <c r="V1" s="152"/>
      <c r="W1" s="152"/>
      <c r="X1" s="44"/>
    </row>
    <row r="2" customFormat="false" ht="15.75" hidden="false" customHeight="false" outlineLevel="0" collapsed="false">
      <c r="A2" s="153" t="s">
        <v>167</v>
      </c>
      <c r="B2" s="153"/>
      <c r="C2" s="153"/>
      <c r="D2" s="154" t="s">
        <v>168</v>
      </c>
      <c r="E2" s="154" t="s">
        <v>169</v>
      </c>
      <c r="F2" s="155" t="s">
        <v>170</v>
      </c>
      <c r="G2" s="154" t="s">
        <v>171</v>
      </c>
      <c r="H2" s="155" t="s">
        <v>172</v>
      </c>
      <c r="I2" s="155" t="s">
        <v>30</v>
      </c>
      <c r="J2" s="155" t="s">
        <v>163</v>
      </c>
      <c r="K2" s="156" t="s">
        <v>173</v>
      </c>
      <c r="L2" s="44"/>
      <c r="M2" s="151"/>
      <c r="N2" s="151"/>
      <c r="O2" s="151"/>
      <c r="P2" s="151"/>
      <c r="Q2" s="151"/>
      <c r="R2" s="44"/>
      <c r="S2" s="44"/>
      <c r="T2" s="44"/>
      <c r="U2" s="152"/>
      <c r="V2" s="152"/>
      <c r="W2" s="152"/>
      <c r="X2" s="44"/>
    </row>
    <row r="3" customFormat="false" ht="15.75" hidden="false" customHeight="false" outlineLevel="0" collapsed="false">
      <c r="A3" s="157" t="str">
        <f aca="false">KKS!$G$1</f>
        <v>Kingston Kecleons</v>
      </c>
      <c r="B3" s="157"/>
      <c r="C3" s="157"/>
      <c r="D3" s="158" t="n">
        <f aca="false">KKS!$F$8</f>
        <v>14</v>
      </c>
      <c r="E3" s="158" t="n">
        <f aca="false">KKS!$H$8</f>
        <v>2</v>
      </c>
      <c r="F3" s="159" t="n">
        <f aca="false">KKS!$J$8</f>
        <v>20</v>
      </c>
      <c r="G3" s="158" t="n">
        <f aca="false">KKS!$F$9</f>
        <v>7</v>
      </c>
      <c r="H3" s="159" t="n">
        <f aca="false">KKS!$H$9</f>
        <v>7</v>
      </c>
      <c r="I3" s="160" t="n">
        <f aca="false">KKS!$L$8</f>
        <v>1</v>
      </c>
      <c r="J3" s="161" t="str">
        <f aca="false">MatchSource!$R$23</f>
        <v>Win-5</v>
      </c>
      <c r="K3" s="162"/>
      <c r="L3" s="44"/>
      <c r="M3" s="151"/>
      <c r="N3" s="151"/>
      <c r="O3" s="151"/>
      <c r="P3" s="151"/>
      <c r="Q3" s="151"/>
      <c r="R3" s="44"/>
      <c r="S3" s="44"/>
      <c r="T3" s="44"/>
      <c r="U3" s="152"/>
      <c r="V3" s="152"/>
      <c r="W3" s="152"/>
      <c r="X3" s="44"/>
    </row>
    <row r="4" customFormat="false" ht="15.75" hidden="false" customHeight="false" outlineLevel="0" collapsed="false">
      <c r="A4" s="163" t="str">
        <f aca="false">BBG!$G$1</f>
        <v>Berlin Bronzong</v>
      </c>
      <c r="B4" s="163"/>
      <c r="C4" s="163"/>
      <c r="D4" s="164" t="n">
        <f aca="false">BBG!$F$8</f>
        <v>2</v>
      </c>
      <c r="E4" s="164" t="n">
        <f aca="false">BBG!$H$8</f>
        <v>13</v>
      </c>
      <c r="F4" s="165" t="n">
        <f aca="false">BBG!$J$8</f>
        <v>-2</v>
      </c>
      <c r="G4" s="164" t="n">
        <f aca="false">BBG!$F$9</f>
        <v>0</v>
      </c>
      <c r="H4" s="165" t="n">
        <f aca="false">BBG!$H$9</f>
        <v>2</v>
      </c>
      <c r="I4" s="160" t="n">
        <f aca="false">BBG!$L$8</f>
        <v>2</v>
      </c>
      <c r="J4" s="161" t="str">
        <f aca="false">MatchSource!$U$23</f>
        <v>Lose-1</v>
      </c>
      <c r="K4" s="162"/>
      <c r="L4" s="44"/>
      <c r="M4" s="151"/>
      <c r="N4" s="151"/>
      <c r="O4" s="151"/>
      <c r="P4" s="151"/>
      <c r="Q4" s="151"/>
      <c r="R4" s="44"/>
      <c r="S4" s="44"/>
      <c r="T4" s="44"/>
      <c r="U4" s="152"/>
      <c r="V4" s="152"/>
      <c r="W4" s="152"/>
      <c r="X4" s="44"/>
    </row>
    <row r="5" customFormat="false" ht="15.75" hidden="false" customHeight="false" outlineLevel="0" collapsed="false">
      <c r="A5" s="166" t="str">
        <f aca="false">SEA!$G$1</f>
        <v>Seattle Seadras</v>
      </c>
      <c r="B5" s="166"/>
      <c r="C5" s="166"/>
      <c r="D5" s="158" t="n">
        <f aca="false">SEA!$F$8</f>
        <v>10</v>
      </c>
      <c r="E5" s="158" t="n">
        <f aca="false">SEA!$H$8</f>
        <v>3</v>
      </c>
      <c r="F5" s="159" t="n">
        <f aca="false">SEA!$J$8</f>
        <v>15</v>
      </c>
      <c r="G5" s="158" t="n">
        <f aca="false">SEA!$F$9</f>
        <v>4</v>
      </c>
      <c r="H5" s="159" t="n">
        <f aca="false">SEA!$H$9</f>
        <v>6</v>
      </c>
      <c r="I5" s="160" t="n">
        <f aca="false">SEA!$L$8</f>
        <v>4</v>
      </c>
      <c r="J5" s="161" t="str">
        <f aca="false">MatchSource!$S$23</f>
        <v>DNP-2</v>
      </c>
      <c r="K5" s="162"/>
      <c r="L5" s="44"/>
      <c r="M5" s="151"/>
      <c r="N5" s="151"/>
      <c r="O5" s="151"/>
      <c r="P5" s="151"/>
      <c r="Q5" s="151"/>
      <c r="R5" s="44"/>
      <c r="S5" s="44"/>
      <c r="T5" s="44"/>
      <c r="U5" s="167" t="s">
        <v>174</v>
      </c>
      <c r="V5" s="167"/>
      <c r="W5" s="44"/>
      <c r="X5" s="44"/>
    </row>
    <row r="6" customFormat="false" ht="15.75" hidden="false" customHeight="false" outlineLevel="0" collapsed="false">
      <c r="A6" s="168" t="str">
        <f aca="false">JVJ!$G$1</f>
        <v>Jacksonville Jumpluffs</v>
      </c>
      <c r="B6" s="168"/>
      <c r="C6" s="168"/>
      <c r="D6" s="169" t="n">
        <f aca="false">JVJ!$F$8</f>
        <v>10</v>
      </c>
      <c r="E6" s="169" t="n">
        <f aca="false">JVJ!$H$8</f>
        <v>3</v>
      </c>
      <c r="F6" s="170" t="n">
        <f aca="false">JVJ!$J$8</f>
        <v>14</v>
      </c>
      <c r="G6" s="169" t="n">
        <f aca="false">JVJ!$F$9</f>
        <v>5</v>
      </c>
      <c r="H6" s="170" t="n">
        <f aca="false">JVJ!$H$9</f>
        <v>5</v>
      </c>
      <c r="I6" s="160" t="n">
        <f aca="false">JVJ!$L$8</f>
        <v>4</v>
      </c>
      <c r="J6" s="161" t="str">
        <f aca="false">MatchSource!$T$23</f>
        <v>DNP-2</v>
      </c>
      <c r="K6" s="171"/>
      <c r="L6" s="44"/>
      <c r="M6" s="151"/>
      <c r="N6" s="151"/>
      <c r="O6" s="151"/>
      <c r="P6" s="151"/>
      <c r="Q6" s="151"/>
      <c r="R6" s="44"/>
      <c r="S6" s="44"/>
      <c r="T6" s="44"/>
      <c r="U6" s="172" t="s">
        <v>175</v>
      </c>
      <c r="V6" s="173" t="s">
        <v>176</v>
      </c>
      <c r="W6" s="172" t="s">
        <v>177</v>
      </c>
      <c r="X6" s="44"/>
    </row>
    <row r="7" customFormat="false" ht="15.75" hidden="false" customHeight="false" outlineLevel="0" collapsed="false">
      <c r="A7" s="174" t="s">
        <v>178</v>
      </c>
      <c r="B7" s="174"/>
      <c r="C7" s="174"/>
      <c r="D7" s="175" t="s">
        <v>168</v>
      </c>
      <c r="E7" s="175" t="s">
        <v>169</v>
      </c>
      <c r="F7" s="176" t="s">
        <v>170</v>
      </c>
      <c r="G7" s="175" t="s">
        <v>171</v>
      </c>
      <c r="H7" s="176" t="s">
        <v>172</v>
      </c>
      <c r="I7" s="176" t="s">
        <v>30</v>
      </c>
      <c r="J7" s="177" t="s">
        <v>163</v>
      </c>
      <c r="K7" s="178" t="s">
        <v>173</v>
      </c>
      <c r="L7" s="44"/>
      <c r="M7" s="151"/>
      <c r="N7" s="151"/>
      <c r="O7" s="151"/>
      <c r="P7" s="151"/>
      <c r="Q7" s="151"/>
      <c r="R7" s="44"/>
      <c r="S7" s="44"/>
      <c r="T7" s="44"/>
      <c r="U7" s="179" t="str">
        <f aca="false">BBG!$L$1</f>
        <v>BBG</v>
      </c>
      <c r="V7" s="180" t="str">
        <f aca="false">BBG!$A12</f>
        <v>Tapu Bulu</v>
      </c>
      <c r="W7" s="181" t="str">
        <f aca="false">BBG!$G$1</f>
        <v>Berlin Bronzong</v>
      </c>
      <c r="X7" s="44"/>
    </row>
    <row r="8" customFormat="false" ht="15.75" hidden="false" customHeight="false" outlineLevel="0" collapsed="false">
      <c r="A8" s="163" t="str">
        <f aca="false">LVC!$G$1</f>
        <v>Louisville Crobats</v>
      </c>
      <c r="B8" s="163"/>
      <c r="C8" s="163"/>
      <c r="D8" s="164" t="n">
        <f aca="false">LVC!$F$8</f>
        <v>2</v>
      </c>
      <c r="E8" s="164" t="n">
        <f aca="false">LVC!$H$8</f>
        <v>13</v>
      </c>
      <c r="F8" s="165" t="n">
        <f aca="false">LVC!$J$8</f>
        <v>-3</v>
      </c>
      <c r="G8" s="164" t="n">
        <f aca="false">LVC!$F$9</f>
        <v>2</v>
      </c>
      <c r="H8" s="165" t="n">
        <f aca="false">LVC!$H$9</f>
        <v>0</v>
      </c>
      <c r="I8" s="160" t="n">
        <f aca="false">LVC!$L$8</f>
        <v>2</v>
      </c>
      <c r="J8" s="161" t="str">
        <f aca="false">MatchSource!$V$23</f>
        <v>Lose-1</v>
      </c>
      <c r="K8" s="182"/>
      <c r="L8" s="44"/>
      <c r="M8" s="151"/>
      <c r="N8" s="151"/>
      <c r="O8" s="151"/>
      <c r="P8" s="151"/>
      <c r="Q8" s="151"/>
      <c r="R8" s="44"/>
      <c r="S8" s="44"/>
      <c r="T8" s="44"/>
      <c r="U8" s="183" t="str">
        <f aca="false">BBG!$L$1</f>
        <v>BBG</v>
      </c>
      <c r="V8" s="184" t="str">
        <f aca="false">BBG!$A13</f>
        <v>Hydreigon</v>
      </c>
      <c r="W8" s="185" t="str">
        <f aca="false">BBG!$G$1</f>
        <v>Berlin Bronzong</v>
      </c>
      <c r="X8" s="44"/>
    </row>
    <row r="9" customFormat="false" ht="15.75" hidden="false" customHeight="false" outlineLevel="0" collapsed="false">
      <c r="A9" s="166" t="str">
        <f aca="false">BTB!$G$1</f>
        <v>Battlin Brelooms</v>
      </c>
      <c r="B9" s="166"/>
      <c r="C9" s="166"/>
      <c r="D9" s="158" t="n">
        <f aca="false">BTB!$F$8</f>
        <v>8</v>
      </c>
      <c r="E9" s="158" t="n">
        <f aca="false">BTB!$H$8</f>
        <v>9</v>
      </c>
      <c r="F9" s="159" t="n">
        <f aca="false">BTB!$J$8</f>
        <v>2</v>
      </c>
      <c r="G9" s="158" t="n">
        <f aca="false">BTB!$F$9</f>
        <v>5</v>
      </c>
      <c r="H9" s="159" t="n">
        <f aca="false">BTB!$H$9</f>
        <v>3</v>
      </c>
      <c r="I9" s="160" t="n">
        <f aca="false">BTB!$L$8</f>
        <v>0</v>
      </c>
      <c r="J9" s="161" t="str">
        <f aca="false">MatchSource!$W$23</f>
        <v>Lose-3</v>
      </c>
      <c r="K9" s="182"/>
      <c r="L9" s="44"/>
      <c r="M9" s="151"/>
      <c r="N9" s="151"/>
      <c r="O9" s="151"/>
      <c r="P9" s="151"/>
      <c r="Q9" s="151"/>
      <c r="R9" s="44"/>
      <c r="S9" s="44"/>
      <c r="T9" s="44"/>
      <c r="U9" s="183" t="str">
        <f aca="false">BBG!$L$1</f>
        <v>BBG</v>
      </c>
      <c r="V9" s="184" t="str">
        <f aca="false">BBG!$A14</f>
        <v>Empoleon</v>
      </c>
      <c r="W9" s="185" t="str">
        <f aca="false">BBG!$G$1</f>
        <v>Berlin Bronzong</v>
      </c>
      <c r="X9" s="44"/>
    </row>
    <row r="10" customFormat="false" ht="15.75" hidden="false" customHeight="false" outlineLevel="0" collapsed="false">
      <c r="A10" s="163" t="str">
        <f aca="false">FTT!$G$1</f>
        <v>Fortree Trevenants</v>
      </c>
      <c r="B10" s="163"/>
      <c r="C10" s="163"/>
      <c r="D10" s="164" t="n">
        <f aca="false">FTT!$F$8</f>
        <v>7</v>
      </c>
      <c r="E10" s="164" t="n">
        <f aca="false">FTT!$H$8</f>
        <v>5</v>
      </c>
      <c r="F10" s="165" t="n">
        <f aca="false">FTT!$J$8</f>
        <v>-19</v>
      </c>
      <c r="G10" s="164" t="n">
        <f aca="false">FTT!$F$9</f>
        <v>6</v>
      </c>
      <c r="H10" s="165" t="n">
        <f aca="false">FTT!$H$9</f>
        <v>1</v>
      </c>
      <c r="I10" s="160" t="n">
        <f aca="false">FTT!$L$8</f>
        <v>5</v>
      </c>
      <c r="J10" s="161" t="str">
        <f aca="false">MatchSource!$Y$23</f>
        <v>Win-1</v>
      </c>
      <c r="K10" s="182"/>
      <c r="L10" s="44"/>
      <c r="M10" s="186" t="s">
        <v>179</v>
      </c>
      <c r="N10" s="186"/>
      <c r="O10" s="186"/>
      <c r="P10" s="186"/>
      <c r="Q10" s="187" t="s">
        <v>180</v>
      </c>
      <c r="R10" s="187"/>
      <c r="S10" s="187"/>
      <c r="T10" s="44"/>
      <c r="U10" s="183" t="str">
        <f aca="false">BBG!$L$1</f>
        <v>BBG</v>
      </c>
      <c r="V10" s="184" t="str">
        <f aca="false">BBG!$A15</f>
        <v>Tentacruel</v>
      </c>
      <c r="W10" s="185" t="str">
        <f aca="false">BBG!$G$1</f>
        <v>Berlin Bronzong</v>
      </c>
      <c r="X10" s="44"/>
    </row>
    <row r="11" customFormat="false" ht="15.75" hidden="false" customHeight="true" outlineLevel="0" collapsed="false">
      <c r="A11" s="188" t="str">
        <f aca="false">SGP!$G$1</f>
        <v>Slung Patrol</v>
      </c>
      <c r="B11" s="188"/>
      <c r="C11" s="188"/>
      <c r="D11" s="189" t="n">
        <f aca="false">SGP!$F$8</f>
        <v>4</v>
      </c>
      <c r="E11" s="189" t="n">
        <f aca="false">SGP!$H$8</f>
        <v>9</v>
      </c>
      <c r="F11" s="190" t="n">
        <f aca="false">SGP!$J$8</f>
        <v>-35</v>
      </c>
      <c r="G11" s="189" t="n">
        <f aca="false">SGP!$F$9</f>
        <v>3</v>
      </c>
      <c r="H11" s="190" t="n">
        <f aca="false">SGP!$H$9</f>
        <v>1</v>
      </c>
      <c r="I11" s="191" t="n">
        <f aca="false">SGP!$L$8</f>
        <v>4</v>
      </c>
      <c r="J11" s="192" t="str">
        <f aca="false">MatchSource!$X$23</f>
        <v>Win-1</v>
      </c>
      <c r="K11" s="193"/>
      <c r="L11" s="44"/>
      <c r="M11" s="194" t="str">
        <f aca="false">BBG!$G$1</f>
        <v>Berlin Bronzong</v>
      </c>
      <c r="N11" s="194"/>
      <c r="O11" s="194"/>
      <c r="P11" s="195" t="str">
        <f aca="false">BBG!$L$1</f>
        <v>BBG</v>
      </c>
      <c r="Q11" s="196" t="s">
        <v>181</v>
      </c>
      <c r="R11" s="196"/>
      <c r="S11" s="196"/>
      <c r="T11" s="44"/>
      <c r="U11" s="183" t="str">
        <f aca="false">BBG!$L$1</f>
        <v>BBG</v>
      </c>
      <c r="V11" s="184" t="str">
        <f aca="false">BBG!$A16</f>
        <v>Cinccino</v>
      </c>
      <c r="W11" s="185" t="str">
        <f aca="false">BBG!$G$1</f>
        <v>Berlin Bronzong</v>
      </c>
      <c r="X11" s="44"/>
    </row>
    <row r="12" customFormat="false" ht="15.75" hidden="false" customHeight="false" outlineLevel="0" collapsed="false">
      <c r="A12" s="44"/>
      <c r="B12" s="44"/>
      <c r="C12" s="44"/>
      <c r="D12" s="44"/>
      <c r="E12" s="44"/>
      <c r="F12" s="44"/>
      <c r="G12" s="44"/>
      <c r="H12" s="44"/>
      <c r="I12" s="44"/>
      <c r="J12" s="44"/>
      <c r="K12" s="44"/>
      <c r="L12" s="44"/>
      <c r="M12" s="197" t="str">
        <f aca="false">SEA!$G$1</f>
        <v>Seattle Seadras</v>
      </c>
      <c r="N12" s="197"/>
      <c r="O12" s="197"/>
      <c r="P12" s="198" t="str">
        <f aca="false">SEA!$L$1</f>
        <v>SEA</v>
      </c>
      <c r="Q12" s="196"/>
      <c r="R12" s="196"/>
      <c r="S12" s="196"/>
      <c r="T12" s="44"/>
      <c r="U12" s="183" t="str">
        <f aca="false">BBG!$L$1</f>
        <v>BBG</v>
      </c>
      <c r="V12" s="184" t="str">
        <f aca="false">BBG!$A17</f>
        <v>Turtonator</v>
      </c>
      <c r="W12" s="185" t="str">
        <f aca="false">BBG!$G$1</f>
        <v>Berlin Bronzong</v>
      </c>
      <c r="X12" s="44"/>
    </row>
    <row r="13" customFormat="false" ht="15.75" hidden="false" customHeight="false" outlineLevel="0" collapsed="false">
      <c r="L13" s="44"/>
      <c r="M13" s="197" t="str">
        <f aca="false">JVJ!$G$1</f>
        <v>Jacksonville Jumpluffs</v>
      </c>
      <c r="N13" s="197"/>
      <c r="O13" s="197"/>
      <c r="P13" s="198" t="str">
        <f aca="false">JVJ!$L$1</f>
        <v>JVJ</v>
      </c>
      <c r="Q13" s="196"/>
      <c r="R13" s="196"/>
      <c r="S13" s="196"/>
      <c r="T13" s="44"/>
      <c r="U13" s="183" t="str">
        <f aca="false">BBG!$L$1</f>
        <v>BBG</v>
      </c>
      <c r="V13" s="184" t="str">
        <f aca="false">BBG!$A18</f>
        <v>Beedrill-Mega</v>
      </c>
      <c r="W13" s="185" t="str">
        <f aca="false">BBG!$G$1</f>
        <v>Berlin Bronzong</v>
      </c>
      <c r="X13" s="44"/>
    </row>
    <row r="14" customFormat="false" ht="15.75" hidden="false" customHeight="false" outlineLevel="0" collapsed="false">
      <c r="L14" s="44"/>
      <c r="M14" s="199" t="str">
        <f aca="false">KKS!$G$1</f>
        <v>Kingston Kecleons</v>
      </c>
      <c r="N14" s="199"/>
      <c r="O14" s="199"/>
      <c r="P14" s="200" t="str">
        <f aca="false">KKS!$L$1</f>
        <v>KKS</v>
      </c>
      <c r="Q14" s="196"/>
      <c r="R14" s="196"/>
      <c r="S14" s="196"/>
      <c r="T14" s="44"/>
      <c r="U14" s="183" t="str">
        <f aca="false">BBG!$L$1</f>
        <v>BBG</v>
      </c>
      <c r="V14" s="184" t="str">
        <f aca="false">BBG!$A19</f>
        <v>Kommo-o</v>
      </c>
      <c r="W14" s="185" t="str">
        <f aca="false">BBG!$G$1</f>
        <v>Berlin Bronzong</v>
      </c>
      <c r="X14" s="44"/>
    </row>
    <row r="15" customFormat="false" ht="15.75" hidden="false" customHeight="false" outlineLevel="0" collapsed="false">
      <c r="L15" s="44"/>
      <c r="M15" s="201" t="str">
        <f aca="false">LVC!$G$1</f>
        <v>Louisville Crobats</v>
      </c>
      <c r="N15" s="201"/>
      <c r="O15" s="201"/>
      <c r="P15" s="202" t="str">
        <f aca="false">LVC!$L$1</f>
        <v>LVC</v>
      </c>
      <c r="Q15" s="196"/>
      <c r="R15" s="196"/>
      <c r="S15" s="196"/>
      <c r="T15" s="44"/>
      <c r="U15" s="183" t="str">
        <f aca="false">BBG!$L$1</f>
        <v>BBG</v>
      </c>
      <c r="V15" s="184" t="str">
        <f aca="false">BBG!$A20</f>
        <v>Xurkitree</v>
      </c>
      <c r="W15" s="185" t="str">
        <f aca="false">BBG!$G$1</f>
        <v>Berlin Bronzong</v>
      </c>
      <c r="X15" s="44"/>
    </row>
    <row r="16" customFormat="false" ht="15.75" hidden="false" customHeight="false" outlineLevel="0" collapsed="false">
      <c r="L16" s="44"/>
      <c r="M16" s="203" t="str">
        <f aca="false">BTB!$G$1</f>
        <v>Battlin Brelooms</v>
      </c>
      <c r="N16" s="203"/>
      <c r="O16" s="203"/>
      <c r="P16" s="204" t="str">
        <f aca="false">BTB!$L$1</f>
        <v>BTB</v>
      </c>
      <c r="Q16" s="196"/>
      <c r="R16" s="196"/>
      <c r="S16" s="196"/>
      <c r="T16" s="44"/>
      <c r="U16" s="183" t="str">
        <f aca="false">BBG!$L$1</f>
        <v>BBG</v>
      </c>
      <c r="V16" s="184" t="str">
        <f aca="false">BBG!$A21</f>
        <v>Crabominable</v>
      </c>
      <c r="W16" s="185" t="str">
        <f aca="false">BBG!$G$1</f>
        <v>Berlin Bronzong</v>
      </c>
      <c r="X16" s="44"/>
    </row>
    <row r="17" customFormat="false" ht="15.75" hidden="false" customHeight="false" outlineLevel="0" collapsed="false">
      <c r="L17" s="44"/>
      <c r="M17" s="203" t="str">
        <f aca="false">SGP!$G$1</f>
        <v>Slung Patrol</v>
      </c>
      <c r="N17" s="203"/>
      <c r="O17" s="203"/>
      <c r="P17" s="204" t="str">
        <f aca="false">SGP!$L$1</f>
        <v>SGP</v>
      </c>
      <c r="Q17" s="196"/>
      <c r="R17" s="196"/>
      <c r="S17" s="196"/>
      <c r="T17" s="44"/>
      <c r="U17" s="205" t="str">
        <f aca="false">BBG!$L$1</f>
        <v>BBG</v>
      </c>
      <c r="V17" s="206" t="str">
        <f aca="false">BBG!$A22</f>
        <v>Shiinotic</v>
      </c>
      <c r="W17" s="207" t="str">
        <f aca="false">BBG!$G$1</f>
        <v>Berlin Bronzong</v>
      </c>
      <c r="X17" s="44"/>
    </row>
    <row r="18" customFormat="false" ht="15.75" hidden="false" customHeight="false" outlineLevel="0" collapsed="false">
      <c r="L18" s="44"/>
      <c r="M18" s="203" t="str">
        <f aca="false">FTT!$G$1</f>
        <v>Fortree Trevenants</v>
      </c>
      <c r="N18" s="203"/>
      <c r="O18" s="203"/>
      <c r="P18" s="204" t="str">
        <f aca="false">FTT!$L$1</f>
        <v>FTT</v>
      </c>
      <c r="Q18" s="208" t="s">
        <v>180</v>
      </c>
      <c r="R18" s="208"/>
      <c r="S18" s="208"/>
      <c r="T18" s="44"/>
      <c r="U18" s="209" t="str">
        <f aca="false">SEA!$L$1</f>
        <v>SEA</v>
      </c>
      <c r="V18" s="210" t="str">
        <f aca="false">SEA!$A12</f>
        <v>Salamence</v>
      </c>
      <c r="W18" s="211" t="str">
        <f aca="false">SEA!$G$1</f>
        <v>Seattle Seadras</v>
      </c>
      <c r="X18" s="44"/>
    </row>
    <row r="19" customFormat="false" ht="15.75" hidden="false" customHeight="false" outlineLevel="0" collapsed="false">
      <c r="L19" s="44"/>
      <c r="M19" s="112"/>
      <c r="N19" s="112"/>
      <c r="O19" s="112"/>
      <c r="P19" s="112"/>
      <c r="T19" s="44"/>
      <c r="U19" s="209" t="str">
        <f aca="false">SEA!$L$1</f>
        <v>SEA</v>
      </c>
      <c r="V19" s="210" t="str">
        <f aca="false">SEA!$A13</f>
        <v>Hawlucha</v>
      </c>
      <c r="W19" s="211" t="str">
        <f aca="false">SEA!$G$1</f>
        <v>Seattle Seadras</v>
      </c>
      <c r="X19" s="44"/>
    </row>
    <row r="20" customFormat="false" ht="15.75" hidden="false" customHeight="false" outlineLevel="0" collapsed="false">
      <c r="A20" s="44"/>
      <c r="B20" s="44"/>
      <c r="C20" s="44"/>
      <c r="D20" s="44"/>
      <c r="E20" s="44"/>
      <c r="F20" s="44"/>
      <c r="G20" s="44"/>
      <c r="H20" s="44"/>
      <c r="I20" s="44"/>
      <c r="J20" s="44"/>
      <c r="K20" s="44"/>
      <c r="L20" s="44"/>
      <c r="M20" s="44"/>
      <c r="N20" s="44"/>
      <c r="O20" s="44"/>
      <c r="P20" s="44"/>
      <c r="Q20" s="44"/>
      <c r="R20" s="44"/>
      <c r="S20" s="44"/>
      <c r="T20" s="44"/>
      <c r="U20" s="209" t="str">
        <f aca="false">SEA!$L$1</f>
        <v>SEA</v>
      </c>
      <c r="V20" s="210" t="str">
        <f aca="false">SEA!$A14</f>
        <v>Donphan</v>
      </c>
      <c r="W20" s="211" t="str">
        <f aca="false">SEA!$G$1</f>
        <v>Seattle Seadras</v>
      </c>
      <c r="X20" s="44"/>
    </row>
    <row r="21" customFormat="false" ht="15.75" hidden="false" customHeight="false" outlineLevel="0" collapsed="false">
      <c r="A21" s="212" t="str">
        <f aca="false">A3</f>
        <v>Kingston Kecleons</v>
      </c>
      <c r="B21" s="212"/>
      <c r="C21" s="212"/>
      <c r="D21" s="213" t="n">
        <f aca="false">D3</f>
        <v>14</v>
      </c>
      <c r="E21" s="214" t="n">
        <f aca="false">E3</f>
        <v>2</v>
      </c>
      <c r="F21" s="214" t="n">
        <f aca="false">F3</f>
        <v>20</v>
      </c>
      <c r="G21" s="214" t="n">
        <f aca="false">G3</f>
        <v>7</v>
      </c>
      <c r="H21" s="214" t="n">
        <f aca="false">H3</f>
        <v>7</v>
      </c>
      <c r="I21" s="215" t="n">
        <f aca="false">I3</f>
        <v>1</v>
      </c>
      <c r="J21" s="216" t="str">
        <f aca="false">J3</f>
        <v>Win-5</v>
      </c>
      <c r="K21" s="217" t="n">
        <f aca="false">K3</f>
        <v>0</v>
      </c>
      <c r="L21" s="218" t="e">
        <f aca="false" t="array" ref="L21:L28">sort(A21:A28,D21:D28,0,I21:I28,1,F21:F28,0,K21:K28,1,G21:G28,0,H21:H28,0,A21:A28,1)</f>
        <v>#NAME?</v>
      </c>
      <c r="M21" s="218"/>
      <c r="N21" s="218"/>
      <c r="O21" s="219" t="n">
        <v>1</v>
      </c>
      <c r="P21" s="220" t="s">
        <v>182</v>
      </c>
      <c r="Q21" s="220"/>
      <c r="R21" s="220"/>
      <c r="S21" s="44"/>
      <c r="T21" s="44"/>
      <c r="U21" s="209" t="str">
        <f aca="false">SEA!$L$1</f>
        <v>SEA</v>
      </c>
      <c r="V21" s="210" t="str">
        <f aca="false">SEA!$A15</f>
        <v>Drapion</v>
      </c>
      <c r="W21" s="211" t="str">
        <f aca="false">SEA!$G$1</f>
        <v>Seattle Seadras</v>
      </c>
      <c r="X21" s="44"/>
    </row>
    <row r="22" customFormat="false" ht="15.75" hidden="false" customHeight="true" outlineLevel="0" collapsed="false">
      <c r="A22" s="221" t="str">
        <f aca="false">A4</f>
        <v>Berlin Bronzong</v>
      </c>
      <c r="B22" s="221"/>
      <c r="C22" s="221"/>
      <c r="D22" s="222" t="n">
        <f aca="false">D4</f>
        <v>2</v>
      </c>
      <c r="E22" s="158" t="n">
        <f aca="false">E4</f>
        <v>13</v>
      </c>
      <c r="F22" s="158" t="n">
        <f aca="false">F4</f>
        <v>-2</v>
      </c>
      <c r="G22" s="158" t="n">
        <f aca="false">G4</f>
        <v>0</v>
      </c>
      <c r="H22" s="158" t="n">
        <f aca="false">H4</f>
        <v>2</v>
      </c>
      <c r="I22" s="223" t="n">
        <f aca="false">I4</f>
        <v>2</v>
      </c>
      <c r="J22" s="224" t="str">
        <f aca="false">J4</f>
        <v>Lose-1</v>
      </c>
      <c r="K22" s="182" t="n">
        <f aca="false">K4</f>
        <v>0</v>
      </c>
      <c r="L22" s="225" t="e">
        <v>#NAME?</v>
      </c>
      <c r="M22" s="225"/>
      <c r="N22" s="225"/>
      <c r="O22" s="226" t="n">
        <v>2</v>
      </c>
      <c r="P22" s="227" t="s">
        <v>183</v>
      </c>
      <c r="Q22" s="227"/>
      <c r="R22" s="227"/>
      <c r="S22" s="44"/>
      <c r="T22" s="44"/>
      <c r="U22" s="209" t="str">
        <f aca="false">SEA!$L$1</f>
        <v>SEA</v>
      </c>
      <c r="V22" s="210" t="str">
        <f aca="false">SEA!$A16</f>
        <v>Torkoal</v>
      </c>
      <c r="W22" s="211" t="str">
        <f aca="false">SEA!$G$1</f>
        <v>Seattle Seadras</v>
      </c>
      <c r="X22" s="44"/>
    </row>
    <row r="23" customFormat="false" ht="15.75" hidden="false" customHeight="false" outlineLevel="0" collapsed="false">
      <c r="A23" s="228" t="str">
        <f aca="false">A5</f>
        <v>Seattle Seadras</v>
      </c>
      <c r="B23" s="228"/>
      <c r="C23" s="228"/>
      <c r="D23" s="229" t="n">
        <f aca="false">D5</f>
        <v>10</v>
      </c>
      <c r="E23" s="164" t="n">
        <f aca="false">E5</f>
        <v>3</v>
      </c>
      <c r="F23" s="164" t="n">
        <f aca="false">F5</f>
        <v>15</v>
      </c>
      <c r="G23" s="164" t="n">
        <f aca="false">G5</f>
        <v>4</v>
      </c>
      <c r="H23" s="164" t="n">
        <f aca="false">H5</f>
        <v>6</v>
      </c>
      <c r="I23" s="230" t="n">
        <f aca="false">I5</f>
        <v>4</v>
      </c>
      <c r="J23" s="231" t="str">
        <f aca="false">J5</f>
        <v>DNP-2</v>
      </c>
      <c r="K23" s="232" t="n">
        <f aca="false">K5</f>
        <v>0</v>
      </c>
      <c r="L23" s="225" t="e">
        <v>#NAME?</v>
      </c>
      <c r="M23" s="225"/>
      <c r="N23" s="225"/>
      <c r="O23" s="226" t="n">
        <v>3</v>
      </c>
      <c r="P23" s="227"/>
      <c r="Q23" s="227"/>
      <c r="R23" s="227"/>
      <c r="S23" s="44"/>
      <c r="T23" s="44"/>
      <c r="U23" s="209" t="str">
        <f aca="false">SEA!$L$1</f>
        <v>SEA</v>
      </c>
      <c r="V23" s="210" t="str">
        <f aca="false">SEA!$A17</f>
        <v>Exeggutor-Alola</v>
      </c>
      <c r="W23" s="211" t="str">
        <f aca="false">SEA!$G$1</f>
        <v>Seattle Seadras</v>
      </c>
      <c r="X23" s="44"/>
    </row>
    <row r="24" customFormat="false" ht="15.75" hidden="false" customHeight="false" outlineLevel="0" collapsed="false">
      <c r="A24" s="233" t="str">
        <f aca="false">A6</f>
        <v>Jacksonville Jumpluffs</v>
      </c>
      <c r="B24" s="233"/>
      <c r="C24" s="233"/>
      <c r="D24" s="222" t="n">
        <f aca="false">D6</f>
        <v>10</v>
      </c>
      <c r="E24" s="158" t="n">
        <f aca="false">E6</f>
        <v>3</v>
      </c>
      <c r="F24" s="158" t="n">
        <f aca="false">F6</f>
        <v>14</v>
      </c>
      <c r="G24" s="158" t="n">
        <f aca="false">G6</f>
        <v>5</v>
      </c>
      <c r="H24" s="158" t="n">
        <f aca="false">H6</f>
        <v>5</v>
      </c>
      <c r="I24" s="234" t="n">
        <f aca="false">I6</f>
        <v>4</v>
      </c>
      <c r="J24" s="235" t="str">
        <f aca="false">J6</f>
        <v>DNP-2</v>
      </c>
      <c r="K24" s="232" t="n">
        <f aca="false">K6</f>
        <v>0</v>
      </c>
      <c r="L24" s="225" t="e">
        <v>#NAME?</v>
      </c>
      <c r="M24" s="225"/>
      <c r="N24" s="225"/>
      <c r="O24" s="226" t="n">
        <v>4</v>
      </c>
      <c r="P24" s="227"/>
      <c r="Q24" s="227"/>
      <c r="R24" s="227"/>
      <c r="S24" s="44"/>
      <c r="T24" s="44"/>
      <c r="U24" s="209" t="str">
        <f aca="false">SEA!$L$1</f>
        <v>SEA</v>
      </c>
      <c r="V24" s="210" t="str">
        <f aca="false">SEA!$A18</f>
        <v>Banette-Mega</v>
      </c>
      <c r="W24" s="211" t="str">
        <f aca="false">SEA!$G$1</f>
        <v>Seattle Seadras</v>
      </c>
      <c r="X24" s="44"/>
    </row>
    <row r="25" customFormat="false" ht="15.75" hidden="false" customHeight="false" outlineLevel="0" collapsed="false">
      <c r="A25" s="228" t="str">
        <f aca="false">A8</f>
        <v>Louisville Crobats</v>
      </c>
      <c r="B25" s="228"/>
      <c r="C25" s="228"/>
      <c r="D25" s="213" t="n">
        <f aca="false">D8</f>
        <v>2</v>
      </c>
      <c r="E25" s="214" t="n">
        <f aca="false">E8</f>
        <v>13</v>
      </c>
      <c r="F25" s="214" t="n">
        <f aca="false">F8</f>
        <v>-3</v>
      </c>
      <c r="G25" s="214" t="n">
        <f aca="false">G8</f>
        <v>2</v>
      </c>
      <c r="H25" s="214" t="n">
        <f aca="false">H8</f>
        <v>0</v>
      </c>
      <c r="I25" s="230" t="n">
        <f aca="false">I8</f>
        <v>2</v>
      </c>
      <c r="J25" s="231" t="str">
        <f aca="false">J8</f>
        <v>Lose-1</v>
      </c>
      <c r="K25" s="236" t="n">
        <f aca="false">K8</f>
        <v>0</v>
      </c>
      <c r="L25" s="225" t="e">
        <v>#NAME?</v>
      </c>
      <c r="M25" s="225"/>
      <c r="N25" s="225"/>
      <c r="O25" s="226" t="n">
        <v>5</v>
      </c>
      <c r="P25" s="227"/>
      <c r="Q25" s="227"/>
      <c r="R25" s="227"/>
      <c r="S25" s="44"/>
      <c r="T25" s="44"/>
      <c r="U25" s="209" t="str">
        <f aca="false">SEA!$L$1</f>
        <v>SEA</v>
      </c>
      <c r="V25" s="210" t="str">
        <f aca="false">SEA!$A19</f>
        <v>Charizard</v>
      </c>
      <c r="W25" s="211" t="str">
        <f aca="false">SEA!$G$1</f>
        <v>Seattle Seadras</v>
      </c>
      <c r="X25" s="44"/>
    </row>
    <row r="26" customFormat="false" ht="15.75" hidden="false" customHeight="false" outlineLevel="0" collapsed="false">
      <c r="A26" s="221" t="str">
        <f aca="false">A9</f>
        <v>Battlin Brelooms</v>
      </c>
      <c r="B26" s="221"/>
      <c r="C26" s="221"/>
      <c r="D26" s="222" t="n">
        <f aca="false">D9</f>
        <v>8</v>
      </c>
      <c r="E26" s="158" t="n">
        <f aca="false">E9</f>
        <v>9</v>
      </c>
      <c r="F26" s="158" t="n">
        <f aca="false">F9</f>
        <v>2</v>
      </c>
      <c r="G26" s="158" t="n">
        <f aca="false">G9</f>
        <v>5</v>
      </c>
      <c r="H26" s="158" t="n">
        <f aca="false">H9</f>
        <v>3</v>
      </c>
      <c r="I26" s="230" t="n">
        <f aca="false">I9</f>
        <v>0</v>
      </c>
      <c r="J26" s="231" t="str">
        <f aca="false">J9</f>
        <v>Lose-3</v>
      </c>
      <c r="K26" s="232" t="n">
        <f aca="false">K9</f>
        <v>0</v>
      </c>
      <c r="L26" s="225" t="e">
        <v>#NAME?</v>
      </c>
      <c r="M26" s="225"/>
      <c r="N26" s="225"/>
      <c r="O26" s="226" t="n">
        <v>6</v>
      </c>
      <c r="P26" s="227"/>
      <c r="Q26" s="227"/>
      <c r="R26" s="227"/>
      <c r="S26" s="44"/>
      <c r="T26" s="44"/>
      <c r="U26" s="209" t="str">
        <f aca="false">SEA!$L$1</f>
        <v>SEA</v>
      </c>
      <c r="V26" s="210" t="str">
        <f aca="false">SEA!$A20</f>
        <v>Florges</v>
      </c>
      <c r="W26" s="211" t="str">
        <f aca="false">SEA!$G$1</f>
        <v>Seattle Seadras</v>
      </c>
      <c r="X26" s="44"/>
    </row>
    <row r="27" customFormat="false" ht="15.75" hidden="false" customHeight="false" outlineLevel="0" collapsed="false">
      <c r="A27" s="228" t="str">
        <f aca="false">A10</f>
        <v>Fortree Trevenants</v>
      </c>
      <c r="B27" s="228"/>
      <c r="C27" s="228"/>
      <c r="D27" s="229" t="n">
        <f aca="false">D10</f>
        <v>7</v>
      </c>
      <c r="E27" s="164" t="n">
        <f aca="false">E10</f>
        <v>5</v>
      </c>
      <c r="F27" s="164" t="n">
        <f aca="false">F10</f>
        <v>-19</v>
      </c>
      <c r="G27" s="164" t="n">
        <f aca="false">G10</f>
        <v>6</v>
      </c>
      <c r="H27" s="164" t="n">
        <f aca="false">H10</f>
        <v>1</v>
      </c>
      <c r="I27" s="230" t="n">
        <f aca="false">I10</f>
        <v>5</v>
      </c>
      <c r="J27" s="231" t="str">
        <f aca="false">J10</f>
        <v>Win-1</v>
      </c>
      <c r="K27" s="232" t="n">
        <f aca="false">K10</f>
        <v>0</v>
      </c>
      <c r="L27" s="225" t="e">
        <v>#NAME?</v>
      </c>
      <c r="M27" s="225"/>
      <c r="N27" s="225"/>
      <c r="O27" s="226" t="n">
        <v>7</v>
      </c>
      <c r="P27" s="237" t="s">
        <v>182</v>
      </c>
      <c r="Q27" s="237"/>
      <c r="R27" s="237"/>
      <c r="S27" s="44"/>
      <c r="T27" s="44"/>
      <c r="U27" s="209" t="str">
        <f aca="false">SEA!$L$1</f>
        <v>SEA</v>
      </c>
      <c r="V27" s="210" t="str">
        <f aca="false">SEA!$A21</f>
        <v>Feraligatr</v>
      </c>
      <c r="W27" s="211" t="str">
        <f aca="false">SEA!$G$1</f>
        <v>Seattle Seadras</v>
      </c>
      <c r="X27" s="44"/>
    </row>
    <row r="28" customFormat="false" ht="15.75" hidden="false" customHeight="false" outlineLevel="0" collapsed="false">
      <c r="A28" s="233" t="str">
        <f aca="false">A11</f>
        <v>Slung Patrol</v>
      </c>
      <c r="B28" s="233"/>
      <c r="C28" s="233"/>
      <c r="D28" s="238" t="n">
        <f aca="false">D11</f>
        <v>4</v>
      </c>
      <c r="E28" s="189" t="n">
        <f aca="false">E11</f>
        <v>9</v>
      </c>
      <c r="F28" s="189" t="n">
        <f aca="false">F11</f>
        <v>-35</v>
      </c>
      <c r="G28" s="189" t="n">
        <f aca="false">G11</f>
        <v>3</v>
      </c>
      <c r="H28" s="189" t="n">
        <f aca="false">H11</f>
        <v>1</v>
      </c>
      <c r="I28" s="234" t="n">
        <f aca="false">I11</f>
        <v>4</v>
      </c>
      <c r="J28" s="235" t="str">
        <f aca="false">J11</f>
        <v>Win-1</v>
      </c>
      <c r="K28" s="239" t="n">
        <f aca="false">K11</f>
        <v>0</v>
      </c>
      <c r="L28" s="240" t="e">
        <v>#NAME?</v>
      </c>
      <c r="M28" s="240"/>
      <c r="N28" s="240"/>
      <c r="O28" s="241" t="n">
        <v>8</v>
      </c>
      <c r="P28" s="44"/>
      <c r="Q28" s="44"/>
      <c r="R28" s="44"/>
      <c r="S28" s="44"/>
      <c r="T28" s="44"/>
      <c r="U28" s="209" t="str">
        <f aca="false">SEA!$L$1</f>
        <v>SEA</v>
      </c>
      <c r="V28" s="242" t="str">
        <f aca="false">SEA!$A22</f>
        <v>Heliolisk</v>
      </c>
      <c r="W28" s="211" t="str">
        <f aca="false">SEA!$G$1</f>
        <v>Seattle Seadras</v>
      </c>
      <c r="X28" s="44"/>
    </row>
    <row r="29" customFormat="false" ht="15.75" hidden="false" customHeight="false" outlineLevel="0" collapsed="false">
      <c r="A29" s="44"/>
      <c r="B29" s="44"/>
      <c r="C29" s="44"/>
      <c r="D29" s="44"/>
      <c r="E29" s="44"/>
      <c r="F29" s="44"/>
      <c r="G29" s="44"/>
      <c r="H29" s="50"/>
      <c r="I29" s="44"/>
      <c r="J29" s="44"/>
      <c r="K29" s="44"/>
      <c r="L29" s="44"/>
      <c r="M29" s="44"/>
      <c r="N29" s="44"/>
      <c r="O29" s="44"/>
      <c r="P29" s="44"/>
      <c r="Q29" s="44"/>
      <c r="R29" s="44"/>
      <c r="S29" s="44"/>
      <c r="T29" s="44"/>
      <c r="U29" s="8" t="str">
        <f aca="false">JVJ!$L$1</f>
        <v>JVJ</v>
      </c>
      <c r="V29" s="243" t="str">
        <f aca="false">JVJ!$A12</f>
        <v>Celesteela</v>
      </c>
      <c r="W29" s="244" t="str">
        <f aca="false">JVJ!$G$1</f>
        <v>Jacksonville Jumpluffs</v>
      </c>
      <c r="X29" s="44"/>
    </row>
    <row r="30" customFormat="false" ht="15.75" hidden="false" customHeight="false" outlineLevel="0" collapsed="false">
      <c r="A30" s="245"/>
      <c r="B30" s="245"/>
      <c r="C30" s="245"/>
      <c r="D30" s="245"/>
      <c r="E30" s="245"/>
      <c r="F30" s="245"/>
      <c r="G30" s="245"/>
      <c r="H30" s="245"/>
      <c r="I30" s="245"/>
      <c r="J30" s="245"/>
      <c r="K30" s="245"/>
      <c r="L30" s="245"/>
      <c r="M30" s="245"/>
      <c r="N30" s="245"/>
      <c r="O30" s="245"/>
      <c r="P30" s="245"/>
      <c r="Q30" s="245"/>
      <c r="R30" s="245"/>
      <c r="S30" s="44"/>
      <c r="T30" s="44"/>
      <c r="U30" s="246" t="str">
        <f aca="false">JVJ!$L$1</f>
        <v>JVJ</v>
      </c>
      <c r="V30" s="243" t="str">
        <f aca="false">JVJ!$A13</f>
        <v>Rotom-Wash</v>
      </c>
      <c r="W30" s="247" t="str">
        <f aca="false">JVJ!$G$1</f>
        <v>Jacksonville Jumpluffs</v>
      </c>
      <c r="X30" s="44"/>
    </row>
    <row r="31" customFormat="false" ht="15.75" hidden="false" customHeight="false" outlineLevel="0" collapsed="false">
      <c r="A31" s="245"/>
      <c r="B31" s="245"/>
      <c r="C31" s="245"/>
      <c r="D31" s="245"/>
      <c r="E31" s="245"/>
      <c r="F31" s="245"/>
      <c r="G31" s="245"/>
      <c r="H31" s="245"/>
      <c r="I31" s="245"/>
      <c r="J31" s="245"/>
      <c r="K31" s="245"/>
      <c r="L31" s="245"/>
      <c r="M31" s="245"/>
      <c r="N31" s="245"/>
      <c r="O31" s="245"/>
      <c r="P31" s="245"/>
      <c r="Q31" s="245"/>
      <c r="R31" s="245"/>
      <c r="S31" s="44"/>
      <c r="T31" s="44"/>
      <c r="U31" s="246" t="str">
        <f aca="false">JVJ!$L$1</f>
        <v>JVJ</v>
      </c>
      <c r="V31" s="243" t="str">
        <f aca="false">JVJ!$A14</f>
        <v>Umbreon</v>
      </c>
      <c r="W31" s="247" t="str">
        <f aca="false">JVJ!$G$1</f>
        <v>Jacksonville Jumpluffs</v>
      </c>
      <c r="X31" s="44"/>
    </row>
    <row r="32" customFormat="false" ht="15.75" hidden="false" customHeight="false" outlineLevel="0" collapsed="false">
      <c r="A32" s="245"/>
      <c r="B32" s="245"/>
      <c r="C32" s="245"/>
      <c r="D32" s="245"/>
      <c r="E32" s="245"/>
      <c r="F32" s="245"/>
      <c r="G32" s="245"/>
      <c r="H32" s="245"/>
      <c r="I32" s="245"/>
      <c r="J32" s="245"/>
      <c r="K32" s="245"/>
      <c r="L32" s="245"/>
      <c r="M32" s="245"/>
      <c r="N32" s="245"/>
      <c r="O32" s="245"/>
      <c r="P32" s="245"/>
      <c r="Q32" s="245"/>
      <c r="R32" s="245"/>
      <c r="S32" s="44"/>
      <c r="T32" s="44"/>
      <c r="U32" s="246" t="str">
        <f aca="false">JVJ!$L$1</f>
        <v>JVJ</v>
      </c>
      <c r="V32" s="243" t="str">
        <f aca="false">JVJ!$A15</f>
        <v>Minior</v>
      </c>
      <c r="W32" s="247" t="str">
        <f aca="false">JVJ!$G$1</f>
        <v>Jacksonville Jumpluffs</v>
      </c>
      <c r="X32" s="44"/>
    </row>
    <row r="33" customFormat="false" ht="15.75" hidden="false" customHeight="false" outlineLevel="0" collapsed="false">
      <c r="A33" s="245"/>
      <c r="B33" s="245"/>
      <c r="C33" s="245"/>
      <c r="D33" s="245"/>
      <c r="E33" s="245"/>
      <c r="F33" s="245"/>
      <c r="G33" s="245"/>
      <c r="H33" s="245"/>
      <c r="I33" s="245"/>
      <c r="J33" s="245"/>
      <c r="K33" s="245"/>
      <c r="L33" s="245"/>
      <c r="M33" s="245"/>
      <c r="N33" s="245"/>
      <c r="O33" s="245"/>
      <c r="P33" s="245"/>
      <c r="Q33" s="245"/>
      <c r="R33" s="245"/>
      <c r="S33" s="44"/>
      <c r="T33" s="44"/>
      <c r="U33" s="246" t="str">
        <f aca="false">JVJ!$L$1</f>
        <v>JVJ</v>
      </c>
      <c r="V33" s="243" t="str">
        <f aca="false">JVJ!$A16</f>
        <v>Accelgor</v>
      </c>
      <c r="W33" s="247" t="str">
        <f aca="false">JVJ!$G$1</f>
        <v>Jacksonville Jumpluffs</v>
      </c>
      <c r="X33" s="44"/>
    </row>
    <row r="34" customFormat="false" ht="15.75" hidden="false" customHeight="false" outlineLevel="0" collapsed="false">
      <c r="A34" s="245"/>
      <c r="B34" s="245"/>
      <c r="C34" s="245"/>
      <c r="D34" s="245"/>
      <c r="E34" s="245"/>
      <c r="F34" s="245"/>
      <c r="G34" s="245"/>
      <c r="H34" s="245"/>
      <c r="I34" s="245"/>
      <c r="J34" s="245"/>
      <c r="K34" s="245"/>
      <c r="L34" s="245"/>
      <c r="M34" s="245"/>
      <c r="N34" s="245"/>
      <c r="O34" s="245"/>
      <c r="P34" s="245"/>
      <c r="Q34" s="245"/>
      <c r="R34" s="245"/>
      <c r="S34" s="44"/>
      <c r="T34" s="44"/>
      <c r="U34" s="246" t="str">
        <f aca="false">JVJ!$L$1</f>
        <v>JVJ</v>
      </c>
      <c r="V34" s="243" t="str">
        <f aca="false">JVJ!$A17</f>
        <v>Golem-Alola</v>
      </c>
      <c r="W34" s="247" t="str">
        <f aca="false">JVJ!$G$1</f>
        <v>Jacksonville Jumpluffs</v>
      </c>
      <c r="X34" s="44"/>
    </row>
    <row r="35" customFormat="false" ht="15.75" hidden="false" customHeight="false" outlineLevel="0" collapsed="false">
      <c r="A35" s="44"/>
      <c r="B35" s="44"/>
      <c r="C35" s="44"/>
      <c r="D35" s="44"/>
      <c r="E35" s="44"/>
      <c r="F35" s="44"/>
      <c r="G35" s="44"/>
      <c r="H35" s="50"/>
      <c r="I35" s="44"/>
      <c r="J35" s="44"/>
      <c r="K35" s="44"/>
      <c r="L35" s="44"/>
      <c r="M35" s="44"/>
      <c r="N35" s="44"/>
      <c r="O35" s="44"/>
      <c r="P35" s="44"/>
      <c r="Q35" s="44"/>
      <c r="R35" s="44"/>
      <c r="S35" s="44"/>
      <c r="T35" s="44"/>
      <c r="U35" s="246" t="str">
        <f aca="false">JVJ!$L$1</f>
        <v>JVJ</v>
      </c>
      <c r="V35" s="243" t="str">
        <f aca="false">JVJ!$A18</f>
        <v>Aerodactyl-Mega</v>
      </c>
      <c r="W35" s="247" t="str">
        <f aca="false">JVJ!$G$1</f>
        <v>Jacksonville Jumpluffs</v>
      </c>
      <c r="X35" s="44"/>
    </row>
    <row r="36" customFormat="false" ht="15.75" hidden="false" customHeight="false" outlineLevel="0" collapsed="false">
      <c r="S36" s="44"/>
      <c r="T36" s="44"/>
      <c r="U36" s="246" t="str">
        <f aca="false">JVJ!$L$1</f>
        <v>JVJ</v>
      </c>
      <c r="V36" s="243" t="str">
        <f aca="false">JVJ!$A19</f>
        <v>Metagross</v>
      </c>
      <c r="W36" s="247" t="str">
        <f aca="false">JVJ!$G$1</f>
        <v>Jacksonville Jumpluffs</v>
      </c>
      <c r="X36" s="44"/>
    </row>
    <row r="37" customFormat="false" ht="15.75" hidden="false" customHeight="false" outlineLevel="0" collapsed="false">
      <c r="S37" s="44"/>
      <c r="T37" s="44"/>
      <c r="U37" s="246" t="str">
        <f aca="false">JVJ!$L$1</f>
        <v>JVJ</v>
      </c>
      <c r="V37" s="243" t="str">
        <f aca="false">JVJ!$A20</f>
        <v>Porygon2</v>
      </c>
      <c r="W37" s="247" t="str">
        <f aca="false">JVJ!$G$1</f>
        <v>Jacksonville Jumpluffs</v>
      </c>
      <c r="X37" s="44"/>
    </row>
    <row r="38" customFormat="false" ht="15.75" hidden="false" customHeight="false" outlineLevel="0" collapsed="false">
      <c r="S38" s="44"/>
      <c r="T38" s="44"/>
      <c r="U38" s="246" t="str">
        <f aca="false">JVJ!$L$1</f>
        <v>JVJ</v>
      </c>
      <c r="V38" s="243" t="str">
        <f aca="false">JVJ!$A21</f>
        <v>Swellow</v>
      </c>
      <c r="W38" s="247" t="str">
        <f aca="false">JVJ!$G$1</f>
        <v>Jacksonville Jumpluffs</v>
      </c>
      <c r="X38" s="44"/>
    </row>
    <row r="39" customFormat="false" ht="15.75" hidden="false" customHeight="false" outlineLevel="0" collapsed="false">
      <c r="S39" s="44"/>
      <c r="T39" s="44"/>
      <c r="U39" s="248" t="str">
        <f aca="false">JVJ!$L$1</f>
        <v>JVJ</v>
      </c>
      <c r="V39" s="249" t="str">
        <f aca="false">JVJ!$A22</f>
        <v>Gallade</v>
      </c>
      <c r="W39" s="250" t="str">
        <f aca="false">JVJ!$G$1</f>
        <v>Jacksonville Jumpluffs</v>
      </c>
      <c r="X39" s="44"/>
    </row>
    <row r="40" customFormat="false" ht="15.75" hidden="false" customHeight="false" outlineLevel="0" collapsed="false">
      <c r="S40" s="44"/>
      <c r="T40" s="44"/>
      <c r="U40" s="209" t="str">
        <f aca="false">KKS!$L$1</f>
        <v>KKS</v>
      </c>
      <c r="V40" s="210" t="str">
        <f aca="false">KKS!$A12</f>
        <v>Mew</v>
      </c>
      <c r="W40" s="211" t="str">
        <f aca="false">KKS!$G$1</f>
        <v>Kingston Kecleons</v>
      </c>
      <c r="X40" s="44"/>
    </row>
    <row r="41" customFormat="false" ht="15.75" hidden="false" customHeight="false" outlineLevel="0" collapsed="false">
      <c r="S41" s="44"/>
      <c r="T41" s="44"/>
      <c r="U41" s="251" t="str">
        <f aca="false">KKS!$L$1</f>
        <v>KKS</v>
      </c>
      <c r="V41" s="252" t="str">
        <f aca="false">KKS!$A13</f>
        <v>Sylveon</v>
      </c>
      <c r="W41" s="253" t="str">
        <f aca="false">KKS!$G$1</f>
        <v>Kingston Kecleons</v>
      </c>
      <c r="X41" s="44"/>
    </row>
    <row r="42" customFormat="false" ht="15.75" hidden="false" customHeight="false" outlineLevel="0" collapsed="false">
      <c r="S42" s="44"/>
      <c r="T42" s="44"/>
      <c r="U42" s="251" t="str">
        <f aca="false">KKS!$L$1</f>
        <v>KKS</v>
      </c>
      <c r="V42" s="252" t="str">
        <f aca="false">KKS!$A14</f>
        <v>Galvantula</v>
      </c>
      <c r="W42" s="253" t="str">
        <f aca="false">KKS!$G$1</f>
        <v>Kingston Kecleons</v>
      </c>
      <c r="X42" s="44"/>
    </row>
    <row r="43" customFormat="false" ht="15.75" hidden="false" customHeight="false" outlineLevel="0" collapsed="false">
      <c r="S43" s="44"/>
      <c r="T43" s="44"/>
      <c r="U43" s="251" t="str">
        <f aca="false">KKS!$L$1</f>
        <v>KKS</v>
      </c>
      <c r="V43" s="252" t="str">
        <f aca="false">KKS!$A15</f>
        <v>Muk-Alola</v>
      </c>
      <c r="W43" s="253" t="str">
        <f aca="false">KKS!$G$1</f>
        <v>Kingston Kecleons</v>
      </c>
      <c r="X43" s="44"/>
    </row>
    <row r="44" customFormat="false" ht="15.75" hidden="false" customHeight="false" outlineLevel="0" collapsed="false">
      <c r="S44" s="44"/>
      <c r="T44" s="44"/>
      <c r="U44" s="251" t="str">
        <f aca="false">KKS!$L$1</f>
        <v>KKS</v>
      </c>
      <c r="V44" s="252" t="str">
        <f aca="false">KKS!$A16</f>
        <v>Noivern</v>
      </c>
      <c r="W44" s="253" t="str">
        <f aca="false">KKS!$G$1</f>
        <v>Kingston Kecleons</v>
      </c>
      <c r="X44" s="44"/>
    </row>
    <row r="45" customFormat="false" ht="15.75" hidden="false" customHeight="false" outlineLevel="0" collapsed="false">
      <c r="S45" s="44"/>
      <c r="T45" s="44"/>
      <c r="U45" s="251" t="str">
        <f aca="false">KKS!$L$1</f>
        <v>KKS</v>
      </c>
      <c r="V45" s="252" t="str">
        <f aca="false">KKS!$A17</f>
        <v>Sandslash</v>
      </c>
      <c r="W45" s="253" t="str">
        <f aca="false">KKS!$G$1</f>
        <v>Kingston Kecleons</v>
      </c>
      <c r="X45" s="44"/>
    </row>
    <row r="46" customFormat="false" ht="15.75" hidden="false" customHeight="false" outlineLevel="0" collapsed="false">
      <c r="S46" s="44"/>
      <c r="T46" s="44"/>
      <c r="U46" s="251" t="str">
        <f aca="false">KKS!$L$1</f>
        <v>KKS</v>
      </c>
      <c r="V46" s="252" t="str">
        <f aca="false">KKS!$A18</f>
        <v>Lopunny-Mega</v>
      </c>
      <c r="W46" s="253" t="str">
        <f aca="false">KKS!$G$1</f>
        <v>Kingston Kecleons</v>
      </c>
      <c r="X46" s="44"/>
    </row>
    <row r="47" customFormat="false" ht="15.75" hidden="false" customHeight="false" outlineLevel="0" collapsed="false">
      <c r="S47" s="44"/>
      <c r="T47" s="44"/>
      <c r="U47" s="251" t="str">
        <f aca="false">KKS!$L$1</f>
        <v>KKS</v>
      </c>
      <c r="V47" s="252" t="str">
        <f aca="false">KKS!$A19</f>
        <v>Excadrill</v>
      </c>
      <c r="W47" s="253" t="str">
        <f aca="false">KKS!$G$1</f>
        <v>Kingston Kecleons</v>
      </c>
      <c r="X47" s="44"/>
    </row>
    <row r="48" customFormat="false" ht="15.75" hidden="false" customHeight="false" outlineLevel="0" collapsed="false">
      <c r="S48" s="44"/>
      <c r="T48" s="44"/>
      <c r="U48" s="251" t="str">
        <f aca="false">KKS!$L$1</f>
        <v>KKS</v>
      </c>
      <c r="V48" s="252" t="str">
        <f aca="false">KKS!$A20</f>
        <v>Blastoise</v>
      </c>
      <c r="W48" s="253" t="str">
        <f aca="false">KKS!$G$1</f>
        <v>Kingston Kecleons</v>
      </c>
      <c r="X48" s="44"/>
    </row>
    <row r="49" customFormat="false" ht="15.75" hidden="false" customHeight="false" outlineLevel="0" collapsed="false">
      <c r="S49" s="44"/>
      <c r="T49" s="44"/>
      <c r="U49" s="251" t="str">
        <f aca="false">KKS!$L$1</f>
        <v>KKS</v>
      </c>
      <c r="V49" s="252" t="str">
        <f aca="false">KKS!$A21</f>
        <v>Marowak-Alola</v>
      </c>
      <c r="W49" s="253" t="str">
        <f aca="false">KKS!$G$1</f>
        <v>Kingston Kecleons</v>
      </c>
      <c r="X49" s="44"/>
    </row>
    <row r="50" customFormat="false" ht="15.75" hidden="false" customHeight="false" outlineLevel="0" collapsed="false">
      <c r="S50" s="44"/>
      <c r="T50" s="44"/>
      <c r="U50" s="251" t="str">
        <f aca="false">KKS!$L$1</f>
        <v>KKS</v>
      </c>
      <c r="V50" s="252" t="str">
        <f aca="false">KKS!$A22</f>
        <v>Mantyke</v>
      </c>
      <c r="W50" s="253" t="str">
        <f aca="false">KKS!$G$1</f>
        <v>Kingston Kecleons</v>
      </c>
      <c r="X50" s="44"/>
    </row>
    <row r="51" customFormat="false" ht="15.75" hidden="false" customHeight="false" outlineLevel="0" collapsed="false">
      <c r="T51" s="44"/>
      <c r="U51" s="254" t="str">
        <f aca="false">LVC!$L$1</f>
        <v>LVC</v>
      </c>
      <c r="V51" s="9" t="str">
        <f aca="false">LVC!$A12</f>
        <v>Azumarill</v>
      </c>
      <c r="W51" s="255" t="str">
        <f aca="false">LVC!$G$1</f>
        <v>Louisville Crobats</v>
      </c>
      <c r="X51" s="44"/>
    </row>
    <row r="52" customFormat="false" ht="15.75" hidden="false" customHeight="false" outlineLevel="0" collapsed="false">
      <c r="T52" s="44"/>
      <c r="U52" s="256" t="str">
        <f aca="false">LVC!$L$1</f>
        <v>LVC</v>
      </c>
      <c r="V52" s="257" t="str">
        <f aca="false">LVC!$A13</f>
        <v>Amoonguss</v>
      </c>
      <c r="W52" s="258" t="str">
        <f aca="false">LVC!$G$1</f>
        <v>Louisville Crobats</v>
      </c>
      <c r="X52" s="44"/>
    </row>
    <row r="53" customFormat="false" ht="15.75" hidden="false" customHeight="false" outlineLevel="0" collapsed="false">
      <c r="O53" s="44"/>
      <c r="P53" s="44"/>
      <c r="Q53" s="44"/>
      <c r="R53" s="44"/>
      <c r="T53" s="44"/>
      <c r="U53" s="256" t="str">
        <f aca="false">LVC!$L$1</f>
        <v>LVC</v>
      </c>
      <c r="V53" s="257" t="str">
        <f aca="false">LVC!$A14</f>
        <v>Crobat</v>
      </c>
      <c r="W53" s="258" t="str">
        <f aca="false">LVC!$G$1</f>
        <v>Louisville Crobats</v>
      </c>
      <c r="X53" s="44"/>
    </row>
    <row r="54" customFormat="false" ht="15.75" hidden="false" customHeight="false" outlineLevel="0" collapsed="false">
      <c r="O54" s="44"/>
      <c r="P54" s="44"/>
      <c r="Q54" s="44"/>
      <c r="R54" s="44"/>
      <c r="T54" s="44"/>
      <c r="U54" s="256" t="str">
        <f aca="false">LVC!$L$1</f>
        <v>LVC</v>
      </c>
      <c r="V54" s="257" t="str">
        <f aca="false">LVC!$A15</f>
        <v>Scrafty</v>
      </c>
      <c r="W54" s="258" t="str">
        <f aca="false">LVC!$G$1</f>
        <v>Louisville Crobats</v>
      </c>
      <c r="X54" s="44"/>
    </row>
    <row r="55" customFormat="false" ht="15.75" hidden="false" customHeight="false" outlineLevel="0" collapsed="false">
      <c r="O55" s="44"/>
      <c r="P55" s="44"/>
      <c r="Q55" s="44"/>
      <c r="R55" s="44"/>
      <c r="T55" s="44"/>
      <c r="U55" s="256" t="str">
        <f aca="false">LVC!$L$1</f>
        <v>LVC</v>
      </c>
      <c r="V55" s="257" t="str">
        <f aca="false">LVC!$A16</f>
        <v>Ambipom</v>
      </c>
      <c r="W55" s="258" t="str">
        <f aca="false">LVC!$G$1</f>
        <v>Louisville Crobats</v>
      </c>
      <c r="X55" s="44"/>
    </row>
    <row r="56" customFormat="false" ht="15.75" hidden="false" customHeight="false" outlineLevel="0" collapsed="false">
      <c r="O56" s="44"/>
      <c r="P56" s="44"/>
      <c r="Q56" s="44"/>
      <c r="R56" s="44"/>
      <c r="T56" s="44"/>
      <c r="U56" s="256" t="str">
        <f aca="false">LVC!$L$1</f>
        <v>LVC</v>
      </c>
      <c r="V56" s="257" t="str">
        <f aca="false">LVC!$A17</f>
        <v>Lanturn</v>
      </c>
      <c r="W56" s="258" t="str">
        <f aca="false">LVC!$G$1</f>
        <v>Louisville Crobats</v>
      </c>
      <c r="X56" s="44"/>
    </row>
    <row r="57" customFormat="false" ht="15.75" hidden="false" customHeight="false" outlineLevel="0" collapsed="false">
      <c r="O57" s="44"/>
      <c r="P57" s="44"/>
      <c r="Q57" s="44"/>
      <c r="R57" s="44"/>
      <c r="T57" s="44"/>
      <c r="U57" s="256" t="str">
        <f aca="false">LVC!$L$1</f>
        <v>LVC</v>
      </c>
      <c r="V57" s="257" t="str">
        <f aca="false">LVC!$A18</f>
        <v>Camerupt-Mega</v>
      </c>
      <c r="W57" s="258" t="str">
        <f aca="false">LVC!$G$1</f>
        <v>Louisville Crobats</v>
      </c>
      <c r="X57" s="44"/>
    </row>
    <row r="58" customFormat="false" ht="15.75" hidden="false" customHeight="false" outlineLevel="0" collapsed="false">
      <c r="O58" s="44"/>
      <c r="P58" s="44"/>
      <c r="Q58" s="44"/>
      <c r="R58" s="44"/>
      <c r="T58" s="44"/>
      <c r="U58" s="256" t="str">
        <f aca="false">LVC!$L$1</f>
        <v>LVC</v>
      </c>
      <c r="V58" s="257" t="str">
        <f aca="false">LVC!$A19</f>
        <v>Tapu Koko</v>
      </c>
      <c r="W58" s="258" t="str">
        <f aca="false">LVC!$G$1</f>
        <v>Louisville Crobats</v>
      </c>
      <c r="X58" s="44"/>
    </row>
    <row r="59" customFormat="false" ht="15.75" hidden="false" customHeight="false" outlineLevel="0" collapsed="false">
      <c r="O59" s="44"/>
      <c r="P59" s="44"/>
      <c r="Q59" s="44"/>
      <c r="R59" s="44"/>
      <c r="T59" s="44"/>
      <c r="U59" s="256" t="str">
        <f aca="false">LVC!$L$1</f>
        <v>LVC</v>
      </c>
      <c r="V59" s="257" t="str">
        <f aca="false">LVC!$A20</f>
        <v>Silvally </v>
      </c>
      <c r="W59" s="258" t="str">
        <f aca="false">LVC!$G$1</f>
        <v>Louisville Crobats</v>
      </c>
      <c r="X59" s="44"/>
    </row>
    <row r="60" customFormat="false" ht="15.75" hidden="false" customHeight="false" outlineLevel="0" collapsed="false">
      <c r="O60" s="44"/>
      <c r="P60" s="44"/>
      <c r="Q60" s="44"/>
      <c r="R60" s="44"/>
      <c r="T60" s="44"/>
      <c r="U60" s="256" t="str">
        <f aca="false">LVC!$L$1</f>
        <v>LVC</v>
      </c>
      <c r="V60" s="257" t="str">
        <f aca="false">LVC!$A21</f>
        <v>Forretress</v>
      </c>
      <c r="W60" s="258" t="str">
        <f aca="false">LVC!$G$1</f>
        <v>Louisville Crobats</v>
      </c>
      <c r="X60" s="44"/>
    </row>
    <row r="61" customFormat="false" ht="15.75" hidden="false" customHeight="false" outlineLevel="0" collapsed="false">
      <c r="O61" s="44"/>
      <c r="P61" s="44"/>
      <c r="Q61" s="44"/>
      <c r="R61" s="44"/>
      <c r="T61" s="44"/>
      <c r="U61" s="259" t="str">
        <f aca="false">LVC!$L$1</f>
        <v>LVC</v>
      </c>
      <c r="V61" s="260" t="str">
        <f aca="false">LVC!$A22</f>
        <v>Altaria</v>
      </c>
      <c r="W61" s="261" t="str">
        <f aca="false">LVC!$G$1</f>
        <v>Louisville Crobats</v>
      </c>
      <c r="X61" s="44"/>
    </row>
    <row r="62" customFormat="false" ht="15.75" hidden="false" customHeight="false" outlineLevel="0" collapsed="false">
      <c r="O62" s="44"/>
      <c r="P62" s="44"/>
      <c r="Q62" s="44"/>
      <c r="R62" s="44"/>
      <c r="T62" s="44"/>
      <c r="U62" s="262" t="str">
        <f aca="false">BTB!$L$1</f>
        <v>BTB</v>
      </c>
      <c r="V62" s="263" t="str">
        <f aca="false">BTB!$A12</f>
        <v>Garchomp</v>
      </c>
      <c r="W62" s="264" t="str">
        <f aca="false">BTB!$G$1</f>
        <v>Battlin Brelooms</v>
      </c>
      <c r="X62" s="44"/>
    </row>
    <row r="63" customFormat="false" ht="15.75" hidden="false" customHeight="false" outlineLevel="0" collapsed="false">
      <c r="O63" s="44"/>
      <c r="P63" s="44"/>
      <c r="Q63" s="44"/>
      <c r="R63" s="44"/>
      <c r="T63" s="44"/>
      <c r="U63" s="262" t="str">
        <f aca="false">BTB!$L$1</f>
        <v>BTB</v>
      </c>
      <c r="V63" s="263" t="str">
        <f aca="false">BTB!$A13</f>
        <v>Breloom</v>
      </c>
      <c r="W63" s="264" t="str">
        <f aca="false">BTB!$G$1</f>
        <v>Battlin Brelooms</v>
      </c>
      <c r="X63" s="44"/>
    </row>
    <row r="64" customFormat="false" ht="15.75" hidden="false" customHeight="false" outlineLevel="0" collapsed="false">
      <c r="O64" s="44"/>
      <c r="P64" s="44"/>
      <c r="Q64" s="44"/>
      <c r="R64" s="44"/>
      <c r="T64" s="44"/>
      <c r="U64" s="262" t="str">
        <f aca="false">BTB!$L$1</f>
        <v>BTB</v>
      </c>
      <c r="V64" s="263" t="str">
        <f aca="false">BTB!$A14</f>
        <v>Cloyster</v>
      </c>
      <c r="W64" s="264" t="str">
        <f aca="false">BTB!$G$1</f>
        <v>Battlin Brelooms</v>
      </c>
      <c r="X64" s="44"/>
    </row>
    <row r="65" customFormat="false" ht="15.75" hidden="false" customHeight="false" outlineLevel="0" collapsed="false">
      <c r="O65" s="44"/>
      <c r="P65" s="44"/>
      <c r="Q65" s="44"/>
      <c r="R65" s="44"/>
      <c r="T65" s="44"/>
      <c r="U65" s="265" t="str">
        <f aca="false">BTB!$L$1</f>
        <v>BTB</v>
      </c>
      <c r="V65" s="266" t="str">
        <f aca="false">BTB!$A15</f>
        <v>Decidueye</v>
      </c>
      <c r="W65" s="267" t="str">
        <f aca="false">BTB!$G$1</f>
        <v>Battlin Brelooms</v>
      </c>
      <c r="X65" s="44"/>
    </row>
    <row r="66" customFormat="false" ht="15.75" hidden="false" customHeight="false" outlineLevel="0" collapsed="false">
      <c r="O66" s="44"/>
      <c r="P66" s="44"/>
      <c r="Q66" s="44"/>
      <c r="R66" s="44"/>
      <c r="T66" s="44"/>
      <c r="U66" s="265" t="str">
        <f aca="false">BTB!$L$1</f>
        <v>BTB</v>
      </c>
      <c r="V66" s="266" t="str">
        <f aca="false">BTB!$A16</f>
        <v>Araquanid</v>
      </c>
      <c r="W66" s="267" t="str">
        <f aca="false">BTB!$G$1</f>
        <v>Battlin Brelooms</v>
      </c>
      <c r="X66" s="44"/>
    </row>
    <row r="67" customFormat="false" ht="15.75" hidden="false" customHeight="false" outlineLevel="0" collapsed="false">
      <c r="O67" s="44"/>
      <c r="P67" s="44"/>
      <c r="Q67" s="44"/>
      <c r="R67" s="44"/>
      <c r="T67" s="44"/>
      <c r="U67" s="265" t="str">
        <f aca="false">BTB!$L$1</f>
        <v>BTB</v>
      </c>
      <c r="V67" s="266" t="str">
        <f aca="false">BTB!$A17</f>
        <v>Luxray</v>
      </c>
      <c r="W67" s="267" t="str">
        <f aca="false">BTB!$G$1</f>
        <v>Battlin Brelooms</v>
      </c>
      <c r="X67" s="44"/>
    </row>
    <row r="68" customFormat="false" ht="15.75" hidden="false" customHeight="false" outlineLevel="0" collapsed="false">
      <c r="O68" s="44"/>
      <c r="P68" s="44"/>
      <c r="Q68" s="44"/>
      <c r="R68" s="44"/>
      <c r="S68" s="44"/>
      <c r="T68" s="44"/>
      <c r="U68" s="265" t="str">
        <f aca="false">BTB!$L$1</f>
        <v>BTB</v>
      </c>
      <c r="V68" s="266" t="str">
        <f aca="false">BTB!$A18</f>
        <v>Alakazam-Mega</v>
      </c>
      <c r="W68" s="267" t="str">
        <f aca="false">BTB!$G$1</f>
        <v>Battlin Brelooms</v>
      </c>
      <c r="X68" s="44"/>
    </row>
    <row r="69" customFormat="false" ht="15.75" hidden="false" customHeight="false" outlineLevel="0" collapsed="false">
      <c r="O69" s="44"/>
      <c r="P69" s="44"/>
      <c r="Q69" s="44"/>
      <c r="R69" s="44"/>
      <c r="S69" s="44"/>
      <c r="T69" s="44"/>
      <c r="U69" s="265" t="str">
        <f aca="false">BTB!$L$1</f>
        <v>BTB</v>
      </c>
      <c r="V69" s="266" t="str">
        <f aca="false">BTB!$A19</f>
        <v>Tyranitar</v>
      </c>
      <c r="W69" s="267" t="str">
        <f aca="false">BTB!$G$1</f>
        <v>Battlin Brelooms</v>
      </c>
      <c r="X69" s="44"/>
    </row>
    <row r="70" customFormat="false" ht="15.75" hidden="false" customHeight="false" outlineLevel="0" collapsed="false">
      <c r="O70" s="44"/>
      <c r="P70" s="44"/>
      <c r="Q70" s="44"/>
      <c r="R70" s="44"/>
      <c r="S70" s="44"/>
      <c r="T70" s="44"/>
      <c r="U70" s="265" t="str">
        <f aca="false">BTB!$L$1</f>
        <v>BTB</v>
      </c>
      <c r="V70" s="266" t="str">
        <f aca="false">BTB!$A20</f>
        <v>Scolipede</v>
      </c>
      <c r="W70" s="267" t="str">
        <f aca="false">BTB!$G$1</f>
        <v>Battlin Brelooms</v>
      </c>
      <c r="X70" s="44"/>
    </row>
    <row r="71" customFormat="false" ht="15.75" hidden="false" customHeight="false" outlineLevel="0" collapsed="false">
      <c r="O71" s="44"/>
      <c r="P71" s="44"/>
      <c r="Q71" s="44"/>
      <c r="R71" s="44"/>
      <c r="S71" s="44"/>
      <c r="T71" s="44"/>
      <c r="U71" s="265" t="str">
        <f aca="false">BTB!$L$1</f>
        <v>BTB</v>
      </c>
      <c r="V71" s="266" t="str">
        <f aca="false">BTB!$A21</f>
        <v>Drifblim</v>
      </c>
      <c r="W71" s="267" t="str">
        <f aca="false">BTB!$G$1</f>
        <v>Battlin Brelooms</v>
      </c>
      <c r="X71" s="44"/>
    </row>
    <row r="72" customFormat="false" ht="15.75" hidden="false" customHeight="false" outlineLevel="0" collapsed="false">
      <c r="O72" s="44"/>
      <c r="P72" s="44"/>
      <c r="Q72" s="44"/>
      <c r="R72" s="44"/>
      <c r="S72" s="44"/>
      <c r="T72" s="44"/>
      <c r="U72" s="265" t="str">
        <f aca="false">BTB!$L$1</f>
        <v>BTB</v>
      </c>
      <c r="V72" s="268" t="str">
        <f aca="false">BTB!$A22</f>
        <v>Lapras</v>
      </c>
      <c r="W72" s="267" t="str">
        <f aca="false">BTB!$G$1</f>
        <v>Battlin Brelooms</v>
      </c>
      <c r="X72" s="44"/>
    </row>
    <row r="73" customFormat="false" ht="15.75" hidden="false" customHeight="false" outlineLevel="0" collapsed="false">
      <c r="O73" s="44"/>
      <c r="P73" s="44"/>
      <c r="Q73" s="44"/>
      <c r="R73" s="44"/>
      <c r="S73" s="44"/>
      <c r="T73" s="44"/>
      <c r="U73" s="9" t="str">
        <f aca="false">SGP!$L$1</f>
        <v>SGP</v>
      </c>
      <c r="V73" s="9" t="str">
        <f aca="false">SGP!$A12</f>
        <v>Kartana</v>
      </c>
      <c r="W73" s="269" t="str">
        <f aca="false">SGP!$G$1</f>
        <v>Slung Patrol</v>
      </c>
      <c r="X73" s="44"/>
    </row>
    <row r="74" customFormat="false" ht="15.75" hidden="false" customHeight="false" outlineLevel="0" collapsed="false">
      <c r="O74" s="44"/>
      <c r="P74" s="44"/>
      <c r="Q74" s="44"/>
      <c r="R74" s="44"/>
      <c r="S74" s="44"/>
      <c r="T74" s="44"/>
      <c r="U74" s="256" t="str">
        <f aca="false">SGP!$L$1</f>
        <v>SGP</v>
      </c>
      <c r="V74" s="257" t="str">
        <f aca="false">SGP!$A13</f>
        <v>Goodra</v>
      </c>
      <c r="W74" s="258" t="str">
        <f aca="false">SGP!$G$1</f>
        <v>Slung Patrol</v>
      </c>
      <c r="X74" s="44"/>
    </row>
    <row r="75" customFormat="false" ht="15.75" hidden="false" customHeight="false" outlineLevel="0" collapsed="false">
      <c r="O75" s="44"/>
      <c r="P75" s="44"/>
      <c r="Q75" s="44"/>
      <c r="R75" s="44"/>
      <c r="S75" s="44"/>
      <c r="T75" s="44"/>
      <c r="U75" s="256" t="str">
        <f aca="false">SGP!$L$1</f>
        <v>SGP</v>
      </c>
      <c r="V75" s="257" t="str">
        <f aca="false">SGP!$A14</f>
        <v>Politoed</v>
      </c>
      <c r="W75" s="258" t="str">
        <f aca="false">SGP!$G$1</f>
        <v>Slung Patrol</v>
      </c>
      <c r="X75" s="44"/>
    </row>
    <row r="76" customFormat="false" ht="15.75" hidden="false" customHeight="false" outlineLevel="0" collapsed="false">
      <c r="O76" s="44"/>
      <c r="P76" s="44"/>
      <c r="Q76" s="44"/>
      <c r="R76" s="44"/>
      <c r="S76" s="44"/>
      <c r="T76" s="44"/>
      <c r="U76" s="256" t="str">
        <f aca="false">SGP!$L$1</f>
        <v>SGP</v>
      </c>
      <c r="V76" s="257" t="str">
        <f aca="false">SGP!$A15</f>
        <v>Dhelmise</v>
      </c>
      <c r="W76" s="258" t="str">
        <f aca="false">SGP!$G$1</f>
        <v>Slung Patrol</v>
      </c>
      <c r="X76" s="44"/>
    </row>
    <row r="77" customFormat="false" ht="15.75" hidden="false" customHeight="false" outlineLevel="0" collapsed="false">
      <c r="O77" s="44"/>
      <c r="P77" s="44"/>
      <c r="Q77" s="44"/>
      <c r="R77" s="44"/>
      <c r="S77" s="44"/>
      <c r="T77" s="44"/>
      <c r="U77" s="256" t="str">
        <f aca="false">SGP!$L$1</f>
        <v>SGP</v>
      </c>
      <c r="V77" s="257" t="str">
        <f aca="false">SGP!$A16</f>
        <v>Ribombee</v>
      </c>
      <c r="W77" s="258" t="str">
        <f aca="false">SGP!$G$1</f>
        <v>Slung Patrol</v>
      </c>
      <c r="X77" s="44"/>
    </row>
    <row r="78" customFormat="false" ht="15.75" hidden="false" customHeight="false" outlineLevel="0" collapsed="false">
      <c r="O78" s="44"/>
      <c r="P78" s="44"/>
      <c r="Q78" s="44"/>
      <c r="R78" s="44"/>
      <c r="S78" s="44"/>
      <c r="T78" s="44"/>
      <c r="U78" s="256" t="str">
        <f aca="false">SGP!$L$1</f>
        <v>SGP</v>
      </c>
      <c r="V78" s="257" t="str">
        <f aca="false">SGP!$A17</f>
        <v>Togedemaru</v>
      </c>
      <c r="W78" s="258" t="str">
        <f aca="false">SGP!$G$1</f>
        <v>Slung Patrol</v>
      </c>
      <c r="X78" s="44"/>
    </row>
    <row r="79" customFormat="false" ht="15.75" hidden="false" customHeight="false" outlineLevel="0" collapsed="false">
      <c r="A79" s="270"/>
      <c r="B79" s="270"/>
      <c r="C79" s="270"/>
      <c r="D79" s="52"/>
      <c r="E79" s="52"/>
      <c r="F79" s="52"/>
      <c r="G79" s="52"/>
      <c r="H79" s="52"/>
      <c r="I79" s="52"/>
      <c r="J79" s="52"/>
      <c r="K79" s="52"/>
      <c r="L79" s="44"/>
      <c r="M79" s="44"/>
      <c r="N79" s="44"/>
      <c r="O79" s="44"/>
      <c r="P79" s="44"/>
      <c r="Q79" s="44"/>
      <c r="R79" s="44"/>
      <c r="S79" s="44"/>
      <c r="T79" s="44"/>
      <c r="U79" s="256" t="str">
        <f aca="false">SGP!$L$1</f>
        <v>SGP</v>
      </c>
      <c r="V79" s="257" t="str">
        <f aca="false">SGP!$A18</f>
        <v>Medicham-Mega</v>
      </c>
      <c r="W79" s="258" t="str">
        <f aca="false">SGP!$G$1</f>
        <v>Slung Patrol</v>
      </c>
      <c r="X79" s="44"/>
    </row>
    <row r="80" customFormat="false" ht="15.75" hidden="false" customHeight="false" outlineLevel="0" collapsed="false">
      <c r="A80" s="270"/>
      <c r="B80" s="270"/>
      <c r="C80" s="270"/>
      <c r="D80" s="52"/>
      <c r="E80" s="52"/>
      <c r="F80" s="52"/>
      <c r="G80" s="52"/>
      <c r="H80" s="52"/>
      <c r="I80" s="52"/>
      <c r="J80" s="52"/>
      <c r="K80" s="52"/>
      <c r="L80" s="44"/>
      <c r="M80" s="44"/>
      <c r="N80" s="44"/>
      <c r="O80" s="44"/>
      <c r="P80" s="44"/>
      <c r="Q80" s="44"/>
      <c r="R80" s="44"/>
      <c r="S80" s="44"/>
      <c r="T80" s="44"/>
      <c r="U80" s="256" t="str">
        <f aca="false">SGP!$L$1</f>
        <v>SGP</v>
      </c>
      <c r="V80" s="257" t="str">
        <f aca="false">SGP!$A19</f>
        <v>Chandelure</v>
      </c>
      <c r="W80" s="258" t="str">
        <f aca="false">SGP!$G$1</f>
        <v>Slung Patrol</v>
      </c>
      <c r="X80" s="44"/>
    </row>
    <row r="81" customFormat="false" ht="15.75" hidden="false" customHeight="false" outlineLevel="0" collapsed="false">
      <c r="S81" s="44"/>
      <c r="T81" s="44"/>
      <c r="U81" s="256" t="str">
        <f aca="false">SGP!$L$1</f>
        <v>SGP</v>
      </c>
      <c r="V81" s="257" t="str">
        <f aca="false">SGP!$A20</f>
        <v>Mamoswine</v>
      </c>
      <c r="W81" s="258" t="str">
        <f aca="false">SGP!$G$1</f>
        <v>Slung Patrol</v>
      </c>
      <c r="X81" s="44"/>
    </row>
    <row r="82" customFormat="false" ht="15.75" hidden="false" customHeight="false" outlineLevel="0" collapsed="false">
      <c r="S82" s="44"/>
      <c r="T82" s="44"/>
      <c r="U82" s="256" t="str">
        <f aca="false">SGP!$L$1</f>
        <v>SGP</v>
      </c>
      <c r="V82" s="257" t="str">
        <f aca="false">SGP!$A21</f>
        <v>Milotic</v>
      </c>
      <c r="W82" s="258" t="str">
        <f aca="false">SGP!$G$1</f>
        <v>Slung Patrol</v>
      </c>
      <c r="X82" s="44"/>
    </row>
    <row r="83" customFormat="false" ht="15.75" hidden="false" customHeight="false" outlineLevel="0" collapsed="false">
      <c r="S83" s="44"/>
      <c r="T83" s="44"/>
      <c r="U83" s="259" t="str">
        <f aca="false">SGP!$L$1</f>
        <v>SGP</v>
      </c>
      <c r="V83" s="260" t="str">
        <f aca="false">SGP!$A22</f>
        <v>Palossand</v>
      </c>
      <c r="W83" s="261" t="str">
        <f aca="false">SGP!$G$1</f>
        <v>Slung Patrol</v>
      </c>
      <c r="X83" s="44"/>
    </row>
    <row r="84" customFormat="false" ht="15.75" hidden="false" customHeight="false" outlineLevel="0" collapsed="false">
      <c r="S84" s="44"/>
      <c r="T84" s="44"/>
      <c r="U84" s="262" t="str">
        <f aca="false">FTT!$L$1</f>
        <v>FTT</v>
      </c>
      <c r="V84" s="263" t="str">
        <f aca="false">FTT!$A12</f>
        <v>Manaphy</v>
      </c>
      <c r="W84" s="264" t="str">
        <f aca="false">FTT!$G$1</f>
        <v>Fortree Trevenants</v>
      </c>
      <c r="X84" s="44"/>
    </row>
    <row r="85" customFormat="false" ht="15.75" hidden="false" customHeight="false" outlineLevel="0" collapsed="false">
      <c r="S85" s="44"/>
      <c r="T85" s="44"/>
      <c r="U85" s="262" t="str">
        <f aca="false">FTT!$L$1</f>
        <v>FTT</v>
      </c>
      <c r="V85" s="263" t="str">
        <f aca="false">FTT!$A13</f>
        <v>Infernape</v>
      </c>
      <c r="W85" s="264" t="str">
        <f aca="false">FTT!$G$1</f>
        <v>Fortree Trevenants</v>
      </c>
      <c r="X85" s="44"/>
    </row>
    <row r="86" customFormat="false" ht="15.75" hidden="false" customHeight="false" outlineLevel="0" collapsed="false">
      <c r="S86" s="44"/>
      <c r="T86" s="44"/>
      <c r="U86" s="262" t="str">
        <f aca="false">FTT!$L$1</f>
        <v>FTT</v>
      </c>
      <c r="V86" s="263" t="str">
        <f aca="false">FTT!$A14</f>
        <v>Tsareena</v>
      </c>
      <c r="W86" s="264" t="str">
        <f aca="false">FTT!$G$1</f>
        <v>Fortree Trevenants</v>
      </c>
      <c r="X86" s="44"/>
    </row>
    <row r="87" customFormat="false" ht="15.75" hidden="false" customHeight="false" outlineLevel="0" collapsed="false">
      <c r="S87" s="44"/>
      <c r="T87" s="44"/>
      <c r="U87" s="262" t="str">
        <f aca="false">FTT!$L$1</f>
        <v>FTT</v>
      </c>
      <c r="V87" s="263" t="str">
        <f aca="false">FTT!$A15</f>
        <v>Zygarde-10%</v>
      </c>
      <c r="W87" s="264" t="str">
        <f aca="false">FTT!$G$1</f>
        <v>Fortree Trevenants</v>
      </c>
      <c r="X87" s="44"/>
    </row>
    <row r="88" customFormat="false" ht="15.75" hidden="false" customHeight="false" outlineLevel="0" collapsed="false">
      <c r="S88" s="44"/>
      <c r="T88" s="44"/>
      <c r="U88" s="262" t="str">
        <f aca="false">FTT!$L$1</f>
        <v>FTT</v>
      </c>
      <c r="V88" s="263" t="str">
        <f aca="false">FTT!$A16</f>
        <v>Trevenant</v>
      </c>
      <c r="W88" s="264" t="str">
        <f aca="false">FTT!$G$1</f>
        <v>Fortree Trevenants</v>
      </c>
      <c r="X88" s="44"/>
    </row>
    <row r="89" customFormat="false" ht="15.75" hidden="false" customHeight="false" outlineLevel="0" collapsed="false">
      <c r="S89" s="44"/>
      <c r="T89" s="44"/>
      <c r="U89" s="262" t="str">
        <f aca="false">FTT!$L$1</f>
        <v>FTT</v>
      </c>
      <c r="V89" s="263" t="str">
        <f aca="false">FTT!$A17</f>
        <v>Aurorus</v>
      </c>
      <c r="W89" s="264" t="str">
        <f aca="false">FTT!$G$1</f>
        <v>Fortree Trevenants</v>
      </c>
      <c r="X89" s="44"/>
    </row>
    <row r="90" customFormat="false" ht="15.75" hidden="false" customHeight="false" outlineLevel="0" collapsed="false">
      <c r="S90" s="44"/>
      <c r="T90" s="44"/>
      <c r="U90" s="262" t="str">
        <f aca="false">FTT!$L$1</f>
        <v>FTT</v>
      </c>
      <c r="V90" s="263" t="str">
        <f aca="false">FTT!$A18</f>
        <v>Absol-Mega</v>
      </c>
      <c r="W90" s="264" t="str">
        <f aca="false">FTT!$G$1</f>
        <v>Fortree Trevenants</v>
      </c>
      <c r="X90" s="44"/>
    </row>
    <row r="91" customFormat="false" ht="15.75" hidden="false" customHeight="false" outlineLevel="0" collapsed="false">
      <c r="S91" s="44"/>
      <c r="T91" s="44"/>
      <c r="U91" s="262" t="str">
        <f aca="false">FTT!$L$1</f>
        <v>FTT</v>
      </c>
      <c r="V91" s="263" t="str">
        <f aca="false">FTT!$A19</f>
        <v>Necrozma</v>
      </c>
      <c r="W91" s="264" t="str">
        <f aca="false">FTT!$G$1</f>
        <v>Fortree Trevenants</v>
      </c>
      <c r="X91" s="44"/>
    </row>
    <row r="92" customFormat="false" ht="15.75" hidden="false" customHeight="false" outlineLevel="0" collapsed="false">
      <c r="S92" s="44"/>
      <c r="T92" s="44"/>
      <c r="U92" s="262" t="str">
        <f aca="false">FTT!$L$1</f>
        <v>FTT</v>
      </c>
      <c r="V92" s="263" t="str">
        <f aca="false">FTT!$A20</f>
        <v>Mimikyu</v>
      </c>
      <c r="W92" s="264" t="str">
        <f aca="false">FTT!$G$1</f>
        <v>Fortree Trevenants</v>
      </c>
      <c r="X92" s="44"/>
    </row>
    <row r="93" customFormat="false" ht="15.75" hidden="false" customHeight="false" outlineLevel="0" collapsed="false">
      <c r="S93" s="44"/>
      <c r="T93" s="44"/>
      <c r="U93" s="262" t="str">
        <f aca="false">FTT!$L$1</f>
        <v>FTT</v>
      </c>
      <c r="V93" s="263" t="str">
        <f aca="false">FTT!$A21</f>
        <v>Nidoqueen</v>
      </c>
      <c r="W93" s="264" t="str">
        <f aca="false">FTT!$G$1</f>
        <v>Fortree Trevenants</v>
      </c>
      <c r="X93" s="44"/>
    </row>
    <row r="94" customFormat="false" ht="15.75" hidden="false" customHeight="false" outlineLevel="0" collapsed="false">
      <c r="S94" s="44"/>
      <c r="T94" s="44"/>
      <c r="U94" s="262" t="str">
        <f aca="false">FTT!$L$1</f>
        <v>FTT</v>
      </c>
      <c r="V94" s="263" t="str">
        <f aca="false">FTT!$A22</f>
        <v>Beartic</v>
      </c>
      <c r="W94" s="264" t="str">
        <f aca="false">FTT!$G$1</f>
        <v>Fortree Trevenants</v>
      </c>
      <c r="X94" s="44"/>
    </row>
  </sheetData>
  <mergeCells count="47">
    <mergeCell ref="A1:K1"/>
    <mergeCell ref="M1:Q9"/>
    <mergeCell ref="U1:W4"/>
    <mergeCell ref="A2:C2"/>
    <mergeCell ref="A3:C3"/>
    <mergeCell ref="A4:C4"/>
    <mergeCell ref="A5:C5"/>
    <mergeCell ref="U5:V5"/>
    <mergeCell ref="A6:C6"/>
    <mergeCell ref="A7:C7"/>
    <mergeCell ref="A8:C8"/>
    <mergeCell ref="A9:C9"/>
    <mergeCell ref="A10:C10"/>
    <mergeCell ref="M10:P10"/>
    <mergeCell ref="Q10:S10"/>
    <mergeCell ref="A11:C11"/>
    <mergeCell ref="M11:O11"/>
    <mergeCell ref="Q11:S17"/>
    <mergeCell ref="M12:O12"/>
    <mergeCell ref="M13:O13"/>
    <mergeCell ref="M14:O14"/>
    <mergeCell ref="M15:O15"/>
    <mergeCell ref="M16:O16"/>
    <mergeCell ref="M17:O17"/>
    <mergeCell ref="M18:O18"/>
    <mergeCell ref="Q18:S18"/>
    <mergeCell ref="A21:C21"/>
    <mergeCell ref="L21:N21"/>
    <mergeCell ref="P21:R21"/>
    <mergeCell ref="A22:C22"/>
    <mergeCell ref="L22:N22"/>
    <mergeCell ref="P22:R26"/>
    <mergeCell ref="A23:C23"/>
    <mergeCell ref="L23:N23"/>
    <mergeCell ref="A24:C24"/>
    <mergeCell ref="L24:N24"/>
    <mergeCell ref="A25:C25"/>
    <mergeCell ref="L25:N25"/>
    <mergeCell ref="A26:C26"/>
    <mergeCell ref="L26:N26"/>
    <mergeCell ref="A27:C27"/>
    <mergeCell ref="L27:N27"/>
    <mergeCell ref="P27:R27"/>
    <mergeCell ref="A28:C28"/>
    <mergeCell ref="L28:N28"/>
    <mergeCell ref="A79:C79"/>
    <mergeCell ref="A80:C80"/>
  </mergeCells>
  <conditionalFormatting sqref="J3:J6,J8:J11">
    <cfRule type="containsText" priority="2" aboveAverage="0" equalAverage="0" bottom="0" percent="0" rank="0" text="Win" dxfId="3"/>
  </conditionalFormatting>
  <conditionalFormatting sqref="J3:J6,J8:J11">
    <cfRule type="containsText" priority="3" aboveAverage="0" equalAverage="0" bottom="0" percent="0" rank="0" text="Lose" dxfId="4"/>
  </conditionalFormatting>
  <conditionalFormatting sqref="J3:J6,J8:J11">
    <cfRule type="containsText" priority="4" aboveAverage="0" equalAverage="0" bottom="0" percent="0" rank="0" text="DNP" dxfId="0"/>
  </conditionalFormatting>
  <printOptions headings="false" gridLines="false" gridLinesSet="true" horizontalCentered="false" verticalCentered="false"/>
  <pageMargins left="0.747916666666667" right="0.747916666666667" top="0.984027777777778" bottom="0.984027777777778" header="0.511805555555555" footer="0.511805555555555"/>
  <pageSetup paperSize="1" scale="100" firstPageNumber="0" fitToWidth="1" fitToHeight="1" pageOrder="downThenOver" orientation="portrait" usePrinterDefaults="false" blackAndWhite="false" draft="false" cellComments="none" useFirstPageNumber="false" horizontalDpi="300" verticalDpi="300" copies="1"/>
  <headerFooter differentFirst="false" differentOddEven="false">
    <oddHeader/>
    <oddFooter/>
  </headerFooter>
</worksheet>
</file>

<file path=xl/worksheets/sheet4.xml><?xml version="1.0" encoding="utf-8"?>
<worksheet xmlns="http://schemas.openxmlformats.org/spreadsheetml/2006/main" xmlns:r="http://schemas.openxmlformats.org/officeDocument/2006/relationships">
  <sheetPr filterMode="false">
    <pageSetUpPr fitToPage="false"/>
  </sheetPr>
  <dimension ref="A1:AB35"/>
  <sheetViews>
    <sheetView windowProtection="false"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H9" activeCellId="0" sqref="H9"/>
    </sheetView>
  </sheetViews>
  <sheetFormatPr defaultRowHeight="15.75"/>
  <cols>
    <col collapsed="false" hidden="false" max="2" min="1" style="0" width="7.1530612244898"/>
    <col collapsed="false" hidden="false" max="10" min="3" style="0" width="13.75"/>
    <col collapsed="false" hidden="false" max="11" min="11" style="0" width="0.811224489795918"/>
    <col collapsed="false" hidden="false" max="15" min="12" style="0" width="7.1530612244898"/>
    <col collapsed="false" hidden="false" max="16" min="16" style="0" width="0.811224489795918"/>
    <col collapsed="false" hidden="false" max="27" min="17" style="0" width="7.1530612244898"/>
    <col collapsed="false" hidden="true" max="28" min="28" style="0" width="0"/>
    <col collapsed="false" hidden="false" max="1025" min="29" style="0" width="14.1734693877551"/>
  </cols>
  <sheetData>
    <row r="1" customFormat="false" ht="15.75" hidden="false" customHeight="false" outlineLevel="0" collapsed="false">
      <c r="A1" s="271" t="s">
        <v>184</v>
      </c>
      <c r="B1" s="271"/>
      <c r="C1" s="271"/>
      <c r="D1" s="271"/>
      <c r="E1" s="271"/>
      <c r="F1" s="271"/>
      <c r="G1" s="271"/>
      <c r="H1" s="271"/>
      <c r="I1" s="271"/>
      <c r="J1" s="271"/>
      <c r="K1" s="44"/>
      <c r="L1" s="272" t="s">
        <v>185</v>
      </c>
      <c r="M1" s="272"/>
      <c r="N1" s="272"/>
      <c r="O1" s="272"/>
      <c r="Q1" s="123" t="s">
        <v>186</v>
      </c>
      <c r="R1" s="123"/>
      <c r="S1" s="123"/>
      <c r="T1" s="123"/>
      <c r="U1" s="123"/>
      <c r="V1" s="123"/>
      <c r="W1" s="123"/>
      <c r="X1" s="123"/>
      <c r="Y1" s="123"/>
      <c r="Z1" s="123"/>
      <c r="AA1" s="123"/>
      <c r="AB1" s="273" t="e">
        <f aca="false">flg!$l$1</f>
        <v>#NAME?</v>
      </c>
    </row>
    <row r="2" customFormat="false" ht="15.75" hidden="false" customHeight="false" outlineLevel="0" collapsed="false">
      <c r="A2" s="274" t="s">
        <v>187</v>
      </c>
      <c r="B2" s="274"/>
      <c r="C2" s="274"/>
      <c r="D2" s="275" t="s">
        <v>168</v>
      </c>
      <c r="E2" s="275" t="s">
        <v>169</v>
      </c>
      <c r="F2" s="276" t="s">
        <v>170</v>
      </c>
      <c r="G2" s="275" t="s">
        <v>171</v>
      </c>
      <c r="H2" s="276" t="s">
        <v>172</v>
      </c>
      <c r="I2" s="276" t="s">
        <v>30</v>
      </c>
      <c r="J2" s="276" t="s">
        <v>163</v>
      </c>
      <c r="K2" s="44"/>
      <c r="L2" s="277" t="s">
        <v>188</v>
      </c>
      <c r="M2" s="278" t="s">
        <v>189</v>
      </c>
      <c r="N2" s="278"/>
      <c r="O2" s="278"/>
      <c r="Q2" s="279" t="s">
        <v>190</v>
      </c>
      <c r="R2" s="280" t="s">
        <v>175</v>
      </c>
      <c r="S2" s="280" t="s">
        <v>176</v>
      </c>
      <c r="T2" s="280"/>
      <c r="U2" s="280"/>
      <c r="V2" s="281" t="s">
        <v>5</v>
      </c>
      <c r="W2" s="282" t="s">
        <v>6</v>
      </c>
      <c r="X2" s="283" t="s">
        <v>170</v>
      </c>
      <c r="Y2" s="283" t="s">
        <v>191</v>
      </c>
      <c r="Z2" s="284" t="s">
        <v>7</v>
      </c>
      <c r="AA2" s="285" t="s">
        <v>192</v>
      </c>
      <c r="AB2" s="286" t="e">
        <f aca="false">fst!$l$1</f>
        <v>#NAME?</v>
      </c>
    </row>
    <row r="3" customFormat="false" ht="15.75" hidden="false" customHeight="false" outlineLevel="0" collapsed="false">
      <c r="A3" s="287" t="e">
        <f aca="false" t="array" ref="A3:J6">sort(Source!A3:J6,Source!D3:D6,0,Source!F3:F6,0,Source!K3:K6,1,Source!G3:G6,0,Source!H3:H6,0,Source!A3:A6,1)</f>
        <v>#NAME?</v>
      </c>
      <c r="B3" s="287" t="e">
        <v>#NAME?</v>
      </c>
      <c r="C3" s="287" t="e">
        <v>#NAME?</v>
      </c>
      <c r="D3" s="214" t="e">
        <v>#NAME?</v>
      </c>
      <c r="E3" s="214" t="e">
        <v>#NAME?</v>
      </c>
      <c r="F3" s="288" t="e">
        <v>#NAME?</v>
      </c>
      <c r="G3" s="214" t="e">
        <v>#NAME?</v>
      </c>
      <c r="H3" s="288" t="e">
        <v>#NAME?</v>
      </c>
      <c r="I3" s="289" t="e">
        <v>#NAME?</v>
      </c>
      <c r="J3" s="290" t="e">
        <v>#NAME?</v>
      </c>
      <c r="K3" s="44"/>
      <c r="L3" s="291" t="n">
        <v>1</v>
      </c>
      <c r="M3" s="292" t="e">
        <f aca="false" t="array" ref="M3:M10">TRANSPOSE(TRANSPOSE(Source!$L$21:$L$28))</f>
        <v>#NAME?</v>
      </c>
      <c r="N3" s="292"/>
      <c r="O3" s="292"/>
      <c r="Q3" s="293" t="s">
        <v>193</v>
      </c>
      <c r="R3" s="294" t="str">
        <f aca="false" t="array" ref="R3:AA12">TRANSPOSE(TRANSPOSE(ExpandedStats!B3:K12))</f>
        <v>KKS</v>
      </c>
      <c r="S3" s="295" t="str">
        <v>Excadrill</v>
      </c>
      <c r="T3" s="295" t="n">
        <v>0</v>
      </c>
      <c r="U3" s="295" t="n">
        <v>0</v>
      </c>
      <c r="V3" s="296" t="n">
        <v>13</v>
      </c>
      <c r="W3" s="296" t="n">
        <v>5</v>
      </c>
      <c r="X3" s="297" t="n">
        <v>8</v>
      </c>
      <c r="Y3" s="297" t="n">
        <v>8</v>
      </c>
      <c r="Z3" s="296" t="n">
        <v>7</v>
      </c>
      <c r="AA3" s="298" t="n">
        <v>27</v>
      </c>
      <c r="AB3" s="286" t="e">
        <f aca="false">phi!$l$1</f>
        <v>#NAME?</v>
      </c>
    </row>
    <row r="4" customFormat="false" ht="15.75" hidden="false" customHeight="false" outlineLevel="0" collapsed="false">
      <c r="A4" s="163" t="e">
        <v>#NAME?</v>
      </c>
      <c r="B4" s="163" t="e">
        <v>#NAME?</v>
      </c>
      <c r="C4" s="163" t="e">
        <v>#NAME?</v>
      </c>
      <c r="D4" s="164" t="e">
        <v>#NAME?</v>
      </c>
      <c r="E4" s="164" t="e">
        <v>#NAME?</v>
      </c>
      <c r="F4" s="165" t="e">
        <v>#NAME?</v>
      </c>
      <c r="G4" s="164" t="e">
        <v>#NAME?</v>
      </c>
      <c r="H4" s="165" t="e">
        <v>#NAME?</v>
      </c>
      <c r="I4" s="160" t="e">
        <v>#NAME?</v>
      </c>
      <c r="J4" s="161" t="e">
        <v>#NAME?</v>
      </c>
      <c r="K4" s="44"/>
      <c r="L4" s="291" t="n">
        <v>2</v>
      </c>
      <c r="M4" s="299" t="e">
        <v>#NAME?</v>
      </c>
      <c r="N4" s="299"/>
      <c r="O4" s="299"/>
      <c r="Q4" s="300" t="s">
        <v>194</v>
      </c>
      <c r="R4" s="301" t="str">
        <v>JVJ</v>
      </c>
      <c r="S4" s="302" t="str">
        <v>Metagross</v>
      </c>
      <c r="T4" s="302" t="n">
        <v>0</v>
      </c>
      <c r="U4" s="302" t="n">
        <v>0</v>
      </c>
      <c r="V4" s="301" t="n">
        <v>12</v>
      </c>
      <c r="W4" s="301" t="n">
        <v>4</v>
      </c>
      <c r="X4" s="303" t="n">
        <v>8</v>
      </c>
      <c r="Y4" s="303" t="n">
        <v>7</v>
      </c>
      <c r="Z4" s="301" t="n">
        <v>4</v>
      </c>
      <c r="AA4" s="304" t="n">
        <v>48</v>
      </c>
      <c r="AB4" s="286" t="e">
        <f aca="false">stl!$l$1</f>
        <v>#NAME?</v>
      </c>
    </row>
    <row r="5" customFormat="false" ht="15.75" hidden="false" customHeight="false" outlineLevel="0" collapsed="false">
      <c r="A5" s="163" t="e">
        <v>#NAME?</v>
      </c>
      <c r="B5" s="163" t="e">
        <v>#NAME?</v>
      </c>
      <c r="C5" s="163" t="e">
        <v>#NAME?</v>
      </c>
      <c r="D5" s="164" t="e">
        <v>#NAME?</v>
      </c>
      <c r="E5" s="164" t="e">
        <v>#NAME?</v>
      </c>
      <c r="F5" s="165" t="e">
        <v>#NAME?</v>
      </c>
      <c r="G5" s="164" t="e">
        <v>#NAME?</v>
      </c>
      <c r="H5" s="165" t="e">
        <v>#NAME?</v>
      </c>
      <c r="I5" s="160" t="e">
        <v>#NAME?</v>
      </c>
      <c r="J5" s="161" t="e">
        <v>#NAME?</v>
      </c>
      <c r="K5" s="44"/>
      <c r="L5" s="291" t="n">
        <v>3</v>
      </c>
      <c r="M5" s="299" t="e">
        <v>#NAME?</v>
      </c>
      <c r="N5" s="299"/>
      <c r="O5" s="299"/>
      <c r="Q5" s="305" t="s">
        <v>195</v>
      </c>
      <c r="R5" s="306" t="str">
        <v>SEA</v>
      </c>
      <c r="S5" s="307" t="str">
        <v>Drapion</v>
      </c>
      <c r="T5" s="307" t="n">
        <v>0</v>
      </c>
      <c r="U5" s="307" t="n">
        <v>0</v>
      </c>
      <c r="V5" s="306" t="n">
        <v>10</v>
      </c>
      <c r="W5" s="306" t="n">
        <v>2</v>
      </c>
      <c r="X5" s="308" t="n">
        <v>8</v>
      </c>
      <c r="Y5" s="308" t="n">
        <v>6</v>
      </c>
      <c r="Z5" s="306" t="n">
        <v>4</v>
      </c>
      <c r="AA5" s="309" t="n">
        <v>49</v>
      </c>
      <c r="AB5" s="310" t="e">
        <f aca="false">bor!$l$1</f>
        <v>#NAME?</v>
      </c>
    </row>
    <row r="6" customFormat="false" ht="15.75" hidden="false" customHeight="false" outlineLevel="0" collapsed="false">
      <c r="A6" s="168" t="e">
        <v>#NAME?</v>
      </c>
      <c r="B6" s="168" t="e">
        <v>#NAME?</v>
      </c>
      <c r="C6" s="168" t="e">
        <v>#NAME?</v>
      </c>
      <c r="D6" s="169" t="e">
        <v>#NAME?</v>
      </c>
      <c r="E6" s="169" t="e">
        <v>#NAME?</v>
      </c>
      <c r="F6" s="170" t="e">
        <v>#NAME?</v>
      </c>
      <c r="G6" s="169" t="e">
        <v>#NAME?</v>
      </c>
      <c r="H6" s="170" t="e">
        <v>#NAME?</v>
      </c>
      <c r="I6" s="191" t="e">
        <v>#NAME?</v>
      </c>
      <c r="J6" s="192" t="e">
        <v>#NAME?</v>
      </c>
      <c r="K6" s="44"/>
      <c r="L6" s="291" t="n">
        <v>4</v>
      </c>
      <c r="M6" s="299" t="e">
        <v>#NAME?</v>
      </c>
      <c r="N6" s="299"/>
      <c r="O6" s="299"/>
      <c r="Q6" s="311" t="s">
        <v>196</v>
      </c>
      <c r="R6" s="312" t="str">
        <v>KKS</v>
      </c>
      <c r="S6" s="313" t="str">
        <v>Lopunny-Mega</v>
      </c>
      <c r="T6" s="313" t="n">
        <v>0</v>
      </c>
      <c r="U6" s="313" t="n">
        <v>0</v>
      </c>
      <c r="V6" s="312" t="n">
        <v>8</v>
      </c>
      <c r="W6" s="312" t="n">
        <v>3</v>
      </c>
      <c r="X6" s="314" t="n">
        <v>5</v>
      </c>
      <c r="Y6" s="314" t="n">
        <v>7</v>
      </c>
      <c r="Z6" s="312" t="n">
        <v>5</v>
      </c>
      <c r="AA6" s="315" t="n">
        <v>23</v>
      </c>
      <c r="AB6" s="310" t="e">
        <f aca="false">pit!$l$1</f>
        <v>#NAME?</v>
      </c>
    </row>
    <row r="7" customFormat="false" ht="15.75" hidden="false" customHeight="false" outlineLevel="0" collapsed="false">
      <c r="A7" s="316" t="s">
        <v>197</v>
      </c>
      <c r="B7" s="316"/>
      <c r="C7" s="316"/>
      <c r="D7" s="317" t="s">
        <v>168</v>
      </c>
      <c r="E7" s="317" t="s">
        <v>169</v>
      </c>
      <c r="F7" s="318" t="s">
        <v>170</v>
      </c>
      <c r="G7" s="317" t="s">
        <v>171</v>
      </c>
      <c r="H7" s="318" t="s">
        <v>172</v>
      </c>
      <c r="I7" s="318" t="s">
        <v>30</v>
      </c>
      <c r="J7" s="319" t="s">
        <v>163</v>
      </c>
      <c r="K7" s="44"/>
      <c r="L7" s="291" t="n">
        <v>5</v>
      </c>
      <c r="M7" s="320" t="e">
        <v>#NAME?</v>
      </c>
      <c r="N7" s="320"/>
      <c r="O7" s="320"/>
      <c r="Q7" s="311" t="s">
        <v>198</v>
      </c>
      <c r="R7" s="312" t="str">
        <v>KKS</v>
      </c>
      <c r="S7" s="313" t="str">
        <v>Mew</v>
      </c>
      <c r="T7" s="313" t="n">
        <v>0</v>
      </c>
      <c r="U7" s="313" t="n">
        <v>0</v>
      </c>
      <c r="V7" s="312" t="n">
        <v>8</v>
      </c>
      <c r="W7" s="312" t="n">
        <v>6</v>
      </c>
      <c r="X7" s="314" t="n">
        <v>2</v>
      </c>
      <c r="Y7" s="314" t="n">
        <v>11</v>
      </c>
      <c r="Z7" s="312" t="n">
        <v>9</v>
      </c>
      <c r="AA7" s="315" t="n">
        <v>9</v>
      </c>
      <c r="AB7" s="310" t="e">
        <f aca="false">sfa!$l$1</f>
        <v>#NAME?</v>
      </c>
    </row>
    <row r="8" customFormat="false" ht="15.75" hidden="false" customHeight="false" outlineLevel="0" collapsed="false">
      <c r="A8" s="157" t="e">
        <f aca="false" t="array" ref="A8:J11">sort(Source!A8:J11,Source!D8:D11,0,Source!F8:F11,0,Source!K8:K11,1,Source!G8:G11,0,Source!H8:H11,0,Source!A8:A11,1)</f>
        <v>#NAME?</v>
      </c>
      <c r="B8" s="157" t="e">
        <v>#NAME?</v>
      </c>
      <c r="C8" s="157" t="e">
        <v>#NAME?</v>
      </c>
      <c r="D8" s="321" t="e">
        <v>#NAME?</v>
      </c>
      <c r="E8" s="321" t="e">
        <v>#NAME?</v>
      </c>
      <c r="F8" s="322" t="e">
        <v>#NAME?</v>
      </c>
      <c r="G8" s="321" t="e">
        <v>#NAME?</v>
      </c>
      <c r="H8" s="322" t="e">
        <v>#NAME?</v>
      </c>
      <c r="I8" s="289" t="e">
        <v>#NAME?</v>
      </c>
      <c r="J8" s="290" t="e">
        <v>#NAME?</v>
      </c>
      <c r="K8" s="44"/>
      <c r="L8" s="291" t="n">
        <v>6</v>
      </c>
      <c r="M8" s="320" t="e">
        <v>#NAME?</v>
      </c>
      <c r="N8" s="320"/>
      <c r="O8" s="320"/>
      <c r="Q8" s="311" t="s">
        <v>199</v>
      </c>
      <c r="R8" s="312" t="str">
        <v>BTB</v>
      </c>
      <c r="S8" s="313" t="str">
        <v>Garchomp</v>
      </c>
      <c r="T8" s="313" t="n">
        <v>0</v>
      </c>
      <c r="U8" s="313" t="n">
        <v>0</v>
      </c>
      <c r="V8" s="312" t="n">
        <v>8</v>
      </c>
      <c r="W8" s="312" t="n">
        <v>7</v>
      </c>
      <c r="X8" s="314" t="n">
        <v>1</v>
      </c>
      <c r="Y8" s="314" t="n">
        <v>7</v>
      </c>
      <c r="Z8" s="312" t="n">
        <v>4</v>
      </c>
      <c r="AA8" s="315" t="n">
        <v>4</v>
      </c>
      <c r="AB8" s="310" t="e">
        <f aca="false">tbl!$l$1</f>
        <v>#NAME?</v>
      </c>
    </row>
    <row r="9" customFormat="false" ht="15.75" hidden="false" customHeight="false" outlineLevel="0" collapsed="false">
      <c r="A9" s="166" t="e">
        <v>#NAME?</v>
      </c>
      <c r="B9" s="166" t="e">
        <v>#NAME?</v>
      </c>
      <c r="C9" s="166" t="e">
        <v>#NAME?</v>
      </c>
      <c r="D9" s="158" t="e">
        <v>#NAME?</v>
      </c>
      <c r="E9" s="158" t="e">
        <v>#NAME?</v>
      </c>
      <c r="F9" s="159" t="e">
        <v>#NAME?</v>
      </c>
      <c r="G9" s="158" t="e">
        <v>#NAME?</v>
      </c>
      <c r="H9" s="159" t="e">
        <v>#NAME?</v>
      </c>
      <c r="I9" s="160" t="e">
        <v>#NAME?</v>
      </c>
      <c r="J9" s="161" t="e">
        <v>#NAME?</v>
      </c>
      <c r="K9" s="44"/>
      <c r="L9" s="291" t="n">
        <v>7</v>
      </c>
      <c r="M9" s="320" t="e">
        <v>#NAME?</v>
      </c>
      <c r="N9" s="320"/>
      <c r="O9" s="320"/>
      <c r="Q9" s="311" t="s">
        <v>200</v>
      </c>
      <c r="R9" s="312" t="str">
        <v>FREE</v>
      </c>
      <c r="S9" s="313" t="str">
        <v>Toxapex</v>
      </c>
      <c r="T9" s="313" t="n">
        <v>0</v>
      </c>
      <c r="U9" s="313" t="n">
        <v>0</v>
      </c>
      <c r="V9" s="312" t="n">
        <v>7</v>
      </c>
      <c r="W9" s="312" t="n">
        <v>2</v>
      </c>
      <c r="X9" s="314" t="n">
        <v>5</v>
      </c>
      <c r="Y9" s="314" t="n">
        <v>5</v>
      </c>
      <c r="Z9" s="312" t="n">
        <v>4</v>
      </c>
      <c r="AA9" s="315" t="n">
        <v>13</v>
      </c>
      <c r="AB9" s="323" t="str">
        <f aca="false">BBG!$L$1</f>
        <v>BBG</v>
      </c>
    </row>
    <row r="10" customFormat="false" ht="15.75" hidden="false" customHeight="false" outlineLevel="0" collapsed="false">
      <c r="A10" s="166" t="e">
        <v>#NAME?</v>
      </c>
      <c r="B10" s="166" t="e">
        <v>#NAME?</v>
      </c>
      <c r="C10" s="166" t="e">
        <v>#NAME?</v>
      </c>
      <c r="D10" s="158" t="e">
        <v>#NAME?</v>
      </c>
      <c r="E10" s="158" t="e">
        <v>#NAME?</v>
      </c>
      <c r="F10" s="159" t="e">
        <v>#NAME?</v>
      </c>
      <c r="G10" s="158" t="e">
        <v>#NAME?</v>
      </c>
      <c r="H10" s="159" t="e">
        <v>#NAME?</v>
      </c>
      <c r="I10" s="160" t="e">
        <v>#NAME?</v>
      </c>
      <c r="J10" s="161" t="e">
        <v>#NAME?</v>
      </c>
      <c r="K10" s="44"/>
      <c r="L10" s="291" t="n">
        <v>8</v>
      </c>
      <c r="M10" s="324" t="e">
        <v>#NAME?</v>
      </c>
      <c r="N10" s="324"/>
      <c r="O10" s="324"/>
      <c r="Q10" s="311" t="s">
        <v>201</v>
      </c>
      <c r="R10" s="312" t="str">
        <v>JVJ</v>
      </c>
      <c r="S10" s="313" t="str">
        <v>Aerodactyl-Mega</v>
      </c>
      <c r="T10" s="313" t="n">
        <v>0</v>
      </c>
      <c r="U10" s="313" t="n">
        <v>0</v>
      </c>
      <c r="V10" s="312" t="n">
        <v>7</v>
      </c>
      <c r="W10" s="312" t="n">
        <v>2</v>
      </c>
      <c r="X10" s="314" t="n">
        <v>5</v>
      </c>
      <c r="Y10" s="314" t="n">
        <v>6</v>
      </c>
      <c r="Z10" s="312" t="n">
        <v>4</v>
      </c>
      <c r="AA10" s="315" t="n">
        <v>44</v>
      </c>
      <c r="AB10" s="323" t="str">
        <f aca="false">SEA!$L$1</f>
        <v>SEA</v>
      </c>
    </row>
    <row r="11" customFormat="false" ht="15.75" hidden="false" customHeight="false" outlineLevel="0" collapsed="false">
      <c r="A11" s="188" t="e">
        <v>#NAME?</v>
      </c>
      <c r="B11" s="188" t="e">
        <v>#NAME?</v>
      </c>
      <c r="C11" s="188" t="e">
        <v>#NAME?</v>
      </c>
      <c r="D11" s="189" t="e">
        <v>#NAME?</v>
      </c>
      <c r="E11" s="189" t="e">
        <v>#NAME?</v>
      </c>
      <c r="F11" s="190" t="e">
        <v>#NAME?</v>
      </c>
      <c r="G11" s="189" t="e">
        <v>#NAME?</v>
      </c>
      <c r="H11" s="190" t="e">
        <v>#NAME?</v>
      </c>
      <c r="I11" s="191" t="e">
        <v>#NAME?</v>
      </c>
      <c r="J11" s="192" t="e">
        <v>#NAME?</v>
      </c>
      <c r="K11" s="44"/>
      <c r="Q11" s="311" t="s">
        <v>202</v>
      </c>
      <c r="R11" s="312" t="str">
        <v>FTT</v>
      </c>
      <c r="S11" s="313" t="str">
        <v>Mimikyu</v>
      </c>
      <c r="T11" s="313" t="n">
        <v>0</v>
      </c>
      <c r="U11" s="313" t="n">
        <v>0</v>
      </c>
      <c r="V11" s="312" t="n">
        <v>7</v>
      </c>
      <c r="W11" s="312" t="n">
        <v>5</v>
      </c>
      <c r="X11" s="314" t="n">
        <v>2</v>
      </c>
      <c r="Y11" s="314" t="n">
        <v>6</v>
      </c>
      <c r="Z11" s="312" t="n">
        <v>1</v>
      </c>
      <c r="AA11" s="315" t="n">
        <v>79</v>
      </c>
      <c r="AB11" s="323" t="str">
        <f aca="false">JVJ!$L$1</f>
        <v>JVJ</v>
      </c>
    </row>
    <row r="12" customFormat="false" ht="15.75" hidden="false" customHeight="false" outlineLevel="0" collapsed="false">
      <c r="A12" s="93"/>
      <c r="B12" s="93"/>
      <c r="C12" s="93"/>
      <c r="D12" s="93"/>
      <c r="E12" s="93"/>
      <c r="F12" s="93"/>
      <c r="G12" s="93"/>
      <c r="H12" s="93"/>
      <c r="I12" s="93"/>
      <c r="J12" s="93"/>
      <c r="K12" s="44"/>
      <c r="Q12" s="325" t="s">
        <v>203</v>
      </c>
      <c r="R12" s="326" t="str">
        <v>BTB</v>
      </c>
      <c r="S12" s="327" t="str">
        <v>Scolipede</v>
      </c>
      <c r="T12" s="327" t="n">
        <v>0</v>
      </c>
      <c r="U12" s="327" t="n">
        <v>0</v>
      </c>
      <c r="V12" s="326" t="n">
        <v>7</v>
      </c>
      <c r="W12" s="326" t="n">
        <v>6</v>
      </c>
      <c r="X12" s="328" t="n">
        <v>1</v>
      </c>
      <c r="Y12" s="328" t="n">
        <v>7</v>
      </c>
      <c r="Z12" s="326" t="n">
        <v>4</v>
      </c>
      <c r="AA12" s="329" t="n">
        <v>53</v>
      </c>
      <c r="AB12" s="323" t="str">
        <f aca="false">KKS!$L$1</f>
        <v>KKS</v>
      </c>
    </row>
    <row r="13" customFormat="false" ht="15.75" hidden="false" customHeight="false" outlineLevel="0" collapsed="false">
      <c r="A13" s="330"/>
      <c r="B13" s="330"/>
      <c r="C13" s="330"/>
      <c r="D13" s="330"/>
      <c r="E13" s="330"/>
      <c r="F13" s="330"/>
      <c r="G13" s="330"/>
      <c r="H13" s="330"/>
      <c r="I13" s="330"/>
      <c r="J13" s="330"/>
      <c r="K13" s="44"/>
      <c r="W13" s="44"/>
      <c r="X13" s="44"/>
      <c r="Y13" s="44"/>
      <c r="Z13" s="44"/>
      <c r="AA13" s="44"/>
      <c r="AB13" s="331" t="str">
        <f aca="false">LVC!$L$1</f>
        <v>LVC</v>
      </c>
    </row>
    <row r="14" customFormat="false" ht="15.75" hidden="false" customHeight="false" outlineLevel="0" collapsed="false">
      <c r="A14" s="272" t="s">
        <v>204</v>
      </c>
      <c r="B14" s="272"/>
      <c r="C14" s="272"/>
      <c r="D14" s="272"/>
      <c r="E14" s="272"/>
      <c r="F14" s="272"/>
      <c r="G14" s="272"/>
      <c r="H14" s="272"/>
      <c r="I14" s="272"/>
      <c r="J14" s="272"/>
      <c r="K14" s="44"/>
      <c r="L14" s="272" t="s">
        <v>205</v>
      </c>
      <c r="M14" s="272"/>
      <c r="N14" s="272"/>
      <c r="O14" s="272"/>
      <c r="P14" s="272"/>
      <c r="Q14" s="272"/>
      <c r="R14" s="272"/>
      <c r="S14" s="272"/>
      <c r="T14" s="272"/>
      <c r="U14" s="272"/>
      <c r="V14" s="272"/>
      <c r="W14" s="272"/>
      <c r="X14" s="272"/>
      <c r="Y14" s="272"/>
      <c r="Z14" s="272"/>
      <c r="AA14" s="272"/>
      <c r="AB14" s="331" t="str">
        <f aca="false">BTB!$L$1</f>
        <v>BTB</v>
      </c>
    </row>
    <row r="15" customFormat="false" ht="15.75" hidden="false" customHeight="false" outlineLevel="0" collapsed="false">
      <c r="A15" s="332" t="s">
        <v>206</v>
      </c>
      <c r="B15" s="332"/>
      <c r="C15" s="332" t="s">
        <v>207</v>
      </c>
      <c r="D15" s="332"/>
      <c r="E15" s="332"/>
      <c r="F15" s="332" t="s">
        <v>208</v>
      </c>
      <c r="G15" s="332"/>
      <c r="H15" s="332"/>
      <c r="I15" s="333" t="s">
        <v>209</v>
      </c>
      <c r="J15" s="333"/>
      <c r="K15" s="44"/>
      <c r="L15" s="334" t="s">
        <v>206</v>
      </c>
      <c r="M15" s="334"/>
      <c r="N15" s="335" t="s">
        <v>210</v>
      </c>
      <c r="O15" s="335"/>
      <c r="P15" s="335"/>
      <c r="Q15" s="335" t="s">
        <v>211</v>
      </c>
      <c r="R15" s="335"/>
      <c r="S15" s="335" t="s">
        <v>212</v>
      </c>
      <c r="T15" s="335"/>
      <c r="U15" s="335"/>
      <c r="V15" s="336" t="s">
        <v>209</v>
      </c>
      <c r="W15" s="336"/>
      <c r="X15" s="337" t="s">
        <v>213</v>
      </c>
      <c r="Y15" s="337"/>
      <c r="Z15" s="337"/>
      <c r="AA15" s="337"/>
      <c r="AB15" s="331" t="str">
        <f aca="false">SGP!$L$1</f>
        <v>SGP</v>
      </c>
    </row>
    <row r="16" customFormat="false" ht="15.75" hidden="false" customHeight="false" outlineLevel="0" collapsed="false">
      <c r="A16" s="338" t="str">
        <f aca="false" t="array" ref="A16:J25">TRANSPOSE(TRANSPOSE(Transactions!$M$3:$V$12))</f>
        <v>JVJ</v>
      </c>
      <c r="B16" s="338" t="n">
        <v>0</v>
      </c>
      <c r="C16" s="338" t="str">
        <v>Toxapex</v>
      </c>
      <c r="D16" s="338" t="n">
        <v>0</v>
      </c>
      <c r="E16" s="338" t="n">
        <v>0</v>
      </c>
      <c r="F16" s="338" t="str">
        <v>Rotom-Wash</v>
      </c>
      <c r="G16" s="338" t="n">
        <v>0</v>
      </c>
      <c r="H16" s="338" t="n">
        <v>0</v>
      </c>
      <c r="I16" s="338" t="str">
        <v>Week13</v>
      </c>
      <c r="J16" s="338" t="n">
        <v>0</v>
      </c>
      <c r="K16" s="44"/>
      <c r="L16" s="314" t="str">
        <f aca="false" t="array" ref="L16:AA25">TRANSPOSE(TRANSPOSE(Transactions!$AP$3:$BE$12))</f>
        <v>SGP</v>
      </c>
      <c r="M16" s="314" t="n">
        <v>0</v>
      </c>
      <c r="N16" s="314" t="str">
        <v>Mamoswine</v>
      </c>
      <c r="O16" s="314" t="n">
        <v>0</v>
      </c>
      <c r="P16" s="314" t="n">
        <v>0</v>
      </c>
      <c r="Q16" s="338" t="str">
        <v>KKS</v>
      </c>
      <c r="R16" s="338" t="n">
        <v>0</v>
      </c>
      <c r="S16" s="314" t="str">
        <v>Sylveon</v>
      </c>
      <c r="T16" s="314" t="n">
        <v>0</v>
      </c>
      <c r="U16" s="314" t="n">
        <v>0</v>
      </c>
      <c r="V16" s="314" t="str">
        <v>Week11</v>
      </c>
      <c r="W16" s="314" t="n">
        <v>0</v>
      </c>
      <c r="X16" s="339" t="n">
        <v>0</v>
      </c>
      <c r="Y16" s="339" t="n">
        <v>0</v>
      </c>
      <c r="Z16" s="339" t="n">
        <v>0</v>
      </c>
      <c r="AA16" s="339" t="n">
        <v>0</v>
      </c>
      <c r="AB16" s="340" t="str">
        <f aca="false">FTT!$L$1</f>
        <v>FTT</v>
      </c>
    </row>
    <row r="17" customFormat="false" ht="15.75" hidden="false" customHeight="false" outlineLevel="0" collapsed="false">
      <c r="A17" s="314" t="str">
        <v>SEA</v>
      </c>
      <c r="B17" s="314" t="n">
        <v>0</v>
      </c>
      <c r="C17" s="314" t="str">
        <v>Magnezone</v>
      </c>
      <c r="D17" s="314" t="n">
        <v>0</v>
      </c>
      <c r="E17" s="314" t="n">
        <v>0</v>
      </c>
      <c r="F17" s="314" t="str">
        <v>Heliolisk</v>
      </c>
      <c r="G17" s="314" t="n">
        <v>0</v>
      </c>
      <c r="H17" s="314" t="n">
        <v>0</v>
      </c>
      <c r="I17" s="314" t="str">
        <v>Week11</v>
      </c>
      <c r="J17" s="314" t="n">
        <v>0</v>
      </c>
      <c r="K17" s="44"/>
      <c r="L17" s="314" t="str">
        <v>JVJ</v>
      </c>
      <c r="M17" s="314" t="n">
        <v>0</v>
      </c>
      <c r="N17" s="314" t="str">
        <v>Rotom-Heat</v>
      </c>
      <c r="O17" s="314" t="n">
        <v>0</v>
      </c>
      <c r="P17" s="314" t="n">
        <v>0</v>
      </c>
      <c r="Q17" s="314" t="str">
        <v>KKS</v>
      </c>
      <c r="R17" s="314" t="n">
        <v>0</v>
      </c>
      <c r="S17" s="314" t="str">
        <v>Marowak-Alola</v>
      </c>
      <c r="T17" s="314" t="n">
        <v>0</v>
      </c>
      <c r="U17" s="314" t="n">
        <v>0</v>
      </c>
      <c r="V17" s="314" t="str">
        <v>Week 2</v>
      </c>
      <c r="W17" s="314" t="n">
        <v>0</v>
      </c>
      <c r="X17" s="320" t="str">
        <v>Two-Trade Deal</v>
      </c>
      <c r="Y17" s="320" t="n">
        <v>0</v>
      </c>
      <c r="Z17" s="320" t="n">
        <v>0</v>
      </c>
      <c r="AA17" s="320" t="n">
        <v>0</v>
      </c>
      <c r="AB17" s="93"/>
    </row>
    <row r="18" customFormat="false" ht="15.75" hidden="false" customHeight="false" outlineLevel="0" collapsed="false">
      <c r="A18" s="314" t="str">
        <v>JVJ</v>
      </c>
      <c r="B18" s="314" t="n">
        <v>0</v>
      </c>
      <c r="C18" s="314" t="str">
        <v>Rotom-Heat</v>
      </c>
      <c r="D18" s="314" t="n">
        <v>0</v>
      </c>
      <c r="E18" s="314" t="n">
        <v>0</v>
      </c>
      <c r="F18" s="314" t="str">
        <v>Swellow</v>
      </c>
      <c r="G18" s="314" t="n">
        <v>0</v>
      </c>
      <c r="H18" s="314" t="n">
        <v>0</v>
      </c>
      <c r="I18" s="314" t="str">
        <v>Week 9</v>
      </c>
      <c r="J18" s="314" t="n">
        <v>0</v>
      </c>
      <c r="K18" s="44"/>
      <c r="L18" s="314" t="str">
        <v>JVJ</v>
      </c>
      <c r="M18" s="314" t="n">
        <v>0</v>
      </c>
      <c r="N18" s="314" t="str">
        <v>Metagross</v>
      </c>
      <c r="O18" s="314" t="n">
        <v>0</v>
      </c>
      <c r="P18" s="314" t="n">
        <v>0</v>
      </c>
      <c r="Q18" s="314" t="str">
        <v>KKS</v>
      </c>
      <c r="R18" s="314" t="n">
        <v>0</v>
      </c>
      <c r="S18" s="314" t="str">
        <v>Excadrill</v>
      </c>
      <c r="T18" s="314" t="n">
        <v>0</v>
      </c>
      <c r="U18" s="314" t="n">
        <v>0</v>
      </c>
      <c r="V18" s="314" t="str">
        <v>Week 2</v>
      </c>
      <c r="W18" s="314" t="n">
        <v>0</v>
      </c>
      <c r="X18" s="320" t="str">
        <v>Two-Trade Deal</v>
      </c>
      <c r="Y18" s="320" t="n">
        <v>0</v>
      </c>
      <c r="Z18" s="320" t="n">
        <v>0</v>
      </c>
      <c r="AA18" s="320" t="n">
        <v>0</v>
      </c>
      <c r="AB18" s="93" t="s">
        <v>3</v>
      </c>
    </row>
    <row r="19" customFormat="false" ht="15.75" hidden="false" customHeight="false" outlineLevel="0" collapsed="false">
      <c r="A19" s="314" t="str">
        <v>JVJ</v>
      </c>
      <c r="B19" s="314" t="n">
        <v>0</v>
      </c>
      <c r="C19" s="314" t="str">
        <v>Whimsicott</v>
      </c>
      <c r="D19" s="314" t="n">
        <v>0</v>
      </c>
      <c r="E19" s="314" t="n">
        <v>0</v>
      </c>
      <c r="F19" s="314" t="str">
        <v>Minior</v>
      </c>
      <c r="G19" s="314" t="n">
        <v>0</v>
      </c>
      <c r="H19" s="314" t="n">
        <v>0</v>
      </c>
      <c r="I19" s="314" t="str">
        <v>Week 9</v>
      </c>
      <c r="J19" s="314" t="n">
        <v>0</v>
      </c>
      <c r="K19" s="44"/>
      <c r="L19" s="314" t="n">
        <v>0</v>
      </c>
      <c r="M19" s="314" t="n">
        <v>0</v>
      </c>
      <c r="N19" s="314" t="n">
        <v>0</v>
      </c>
      <c r="O19" s="314" t="n">
        <v>0</v>
      </c>
      <c r="P19" s="314" t="n">
        <v>0</v>
      </c>
      <c r="Q19" s="314" t="n">
        <v>0</v>
      </c>
      <c r="R19" s="314" t="n">
        <v>0</v>
      </c>
      <c r="S19" s="314" t="n">
        <v>0</v>
      </c>
      <c r="T19" s="314" t="n">
        <v>0</v>
      </c>
      <c r="U19" s="314" t="n">
        <v>0</v>
      </c>
      <c r="V19" s="314" t="n">
        <v>0</v>
      </c>
      <c r="W19" s="314" t="n">
        <v>0</v>
      </c>
      <c r="X19" s="320" t="n">
        <v>0</v>
      </c>
      <c r="Y19" s="320" t="n">
        <v>0</v>
      </c>
      <c r="Z19" s="320" t="n">
        <v>0</v>
      </c>
      <c r="AA19" s="320" t="n">
        <v>0</v>
      </c>
      <c r="AB19" s="93" t="s">
        <v>83</v>
      </c>
    </row>
    <row r="20" customFormat="false" ht="15.75" hidden="false" customHeight="false" outlineLevel="0" collapsed="false">
      <c r="A20" s="314" t="str">
        <v>SGP</v>
      </c>
      <c r="B20" s="314" t="n">
        <v>0</v>
      </c>
      <c r="C20" s="314" t="str">
        <v>Sigilyph</v>
      </c>
      <c r="D20" s="314" t="n">
        <v>0</v>
      </c>
      <c r="E20" s="314" t="n">
        <v>0</v>
      </c>
      <c r="F20" s="314" t="str">
        <v>Palossand</v>
      </c>
      <c r="G20" s="314" t="n">
        <v>0</v>
      </c>
      <c r="H20" s="314" t="n">
        <v>0</v>
      </c>
      <c r="I20" s="314" t="str">
        <v>Week 8</v>
      </c>
      <c r="J20" s="314" t="n">
        <v>0</v>
      </c>
      <c r="K20" s="44"/>
      <c r="L20" s="314" t="n">
        <v>0</v>
      </c>
      <c r="M20" s="314" t="n">
        <v>0</v>
      </c>
      <c r="N20" s="314" t="n">
        <v>0</v>
      </c>
      <c r="O20" s="314" t="n">
        <v>0</v>
      </c>
      <c r="P20" s="314" t="n">
        <v>0</v>
      </c>
      <c r="Q20" s="314" t="n">
        <v>0</v>
      </c>
      <c r="R20" s="314" t="n">
        <v>0</v>
      </c>
      <c r="S20" s="314" t="n">
        <v>0</v>
      </c>
      <c r="T20" s="314" t="n">
        <v>0</v>
      </c>
      <c r="U20" s="314" t="n">
        <v>0</v>
      </c>
      <c r="V20" s="314" t="n">
        <v>0</v>
      </c>
      <c r="W20" s="314" t="n">
        <v>0</v>
      </c>
      <c r="X20" s="320" t="n">
        <v>0</v>
      </c>
      <c r="Y20" s="320" t="n">
        <v>0</v>
      </c>
      <c r="Z20" s="320" t="n">
        <v>0</v>
      </c>
      <c r="AA20" s="320" t="n">
        <v>0</v>
      </c>
      <c r="AB20" s="93" t="s">
        <v>102</v>
      </c>
    </row>
    <row r="21" customFormat="false" ht="15.75" hidden="false" customHeight="false" outlineLevel="0" collapsed="false">
      <c r="A21" s="314" t="str">
        <v>SGP</v>
      </c>
      <c r="B21" s="314" t="n">
        <v>0</v>
      </c>
      <c r="C21" s="314" t="str">
        <v>Togekiss</v>
      </c>
      <c r="D21" s="314" t="n">
        <v>0</v>
      </c>
      <c r="E21" s="314" t="n">
        <v>0</v>
      </c>
      <c r="F21" s="314" t="str">
        <v>Sylveon</v>
      </c>
      <c r="G21" s="314" t="n">
        <v>0</v>
      </c>
      <c r="H21" s="314" t="n">
        <v>0</v>
      </c>
      <c r="I21" s="314" t="str">
        <v>Week 8</v>
      </c>
      <c r="J21" s="314" t="n">
        <v>0</v>
      </c>
      <c r="K21" s="44"/>
      <c r="L21" s="314" t="n">
        <v>0</v>
      </c>
      <c r="M21" s="314" t="n">
        <v>0</v>
      </c>
      <c r="N21" s="314" t="n">
        <v>0</v>
      </c>
      <c r="O21" s="314" t="n">
        <v>0</v>
      </c>
      <c r="P21" s="314" t="n">
        <v>0</v>
      </c>
      <c r="Q21" s="314" t="n">
        <v>0</v>
      </c>
      <c r="R21" s="314" t="n">
        <v>0</v>
      </c>
      <c r="S21" s="314" t="n">
        <v>0</v>
      </c>
      <c r="T21" s="314" t="n">
        <v>0</v>
      </c>
      <c r="U21" s="314" t="n">
        <v>0</v>
      </c>
      <c r="V21" s="314" t="n">
        <v>0</v>
      </c>
      <c r="W21" s="314" t="n">
        <v>0</v>
      </c>
      <c r="X21" s="320" t="n">
        <v>0</v>
      </c>
      <c r="Y21" s="320" t="n">
        <v>0</v>
      </c>
      <c r="Z21" s="320" t="n">
        <v>0</v>
      </c>
      <c r="AA21" s="320" t="n">
        <v>0</v>
      </c>
      <c r="AB21" s="93" t="s">
        <v>109</v>
      </c>
    </row>
    <row r="22" customFormat="false" ht="15.75" hidden="false" customHeight="false" outlineLevel="0" collapsed="false">
      <c r="A22" s="314" t="str">
        <v>BBG</v>
      </c>
      <c r="B22" s="314" t="n">
        <v>0</v>
      </c>
      <c r="C22" s="314" t="str">
        <v>Crabominable</v>
      </c>
      <c r="D22" s="314" t="n">
        <v>0</v>
      </c>
      <c r="E22" s="314" t="n">
        <v>0</v>
      </c>
      <c r="F22" s="314" t="str">
        <v>Musharna</v>
      </c>
      <c r="G22" s="314" t="n">
        <v>0</v>
      </c>
      <c r="H22" s="314" t="n">
        <v>0</v>
      </c>
      <c r="I22" s="314" t="str">
        <v>Week 6</v>
      </c>
      <c r="J22" s="314" t="n">
        <v>0</v>
      </c>
      <c r="K22" s="44"/>
      <c r="L22" s="314" t="n">
        <v>0</v>
      </c>
      <c r="M22" s="314" t="n">
        <v>0</v>
      </c>
      <c r="N22" s="314" t="n">
        <v>0</v>
      </c>
      <c r="O22" s="314" t="n">
        <v>0</v>
      </c>
      <c r="P22" s="314" t="n">
        <v>0</v>
      </c>
      <c r="Q22" s="314" t="n">
        <v>0</v>
      </c>
      <c r="R22" s="314" t="n">
        <v>0</v>
      </c>
      <c r="S22" s="314" t="n">
        <v>0</v>
      </c>
      <c r="T22" s="314" t="n">
        <v>0</v>
      </c>
      <c r="U22" s="314" t="n">
        <v>0</v>
      </c>
      <c r="V22" s="314" t="n">
        <v>0</v>
      </c>
      <c r="W22" s="314" t="n">
        <v>0</v>
      </c>
      <c r="X22" s="320" t="n">
        <v>0</v>
      </c>
      <c r="Y22" s="320" t="n">
        <v>0</v>
      </c>
      <c r="Z22" s="320" t="n">
        <v>0</v>
      </c>
      <c r="AA22" s="320" t="n">
        <v>0</v>
      </c>
      <c r="AB22" s="93" t="s">
        <v>112</v>
      </c>
    </row>
    <row r="23" customFormat="false" ht="15.75" hidden="false" customHeight="false" outlineLevel="0" collapsed="false">
      <c r="A23" s="314" t="str">
        <v>KKS</v>
      </c>
      <c r="B23" s="314" t="n">
        <v>0</v>
      </c>
      <c r="C23" s="314" t="str">
        <v>Dusknoir</v>
      </c>
      <c r="D23" s="314" t="n">
        <v>0</v>
      </c>
      <c r="E23" s="314" t="n">
        <v>0</v>
      </c>
      <c r="F23" s="314" t="str">
        <v>Mantyke</v>
      </c>
      <c r="G23" s="314" t="n">
        <v>0</v>
      </c>
      <c r="H23" s="314" t="n">
        <v>0</v>
      </c>
      <c r="I23" s="314" t="str">
        <v>Week 3</v>
      </c>
      <c r="J23" s="314" t="n">
        <v>0</v>
      </c>
      <c r="K23" s="44"/>
      <c r="L23" s="314" t="n">
        <v>0</v>
      </c>
      <c r="M23" s="314" t="n">
        <v>0</v>
      </c>
      <c r="N23" s="314" t="n">
        <v>0</v>
      </c>
      <c r="O23" s="314" t="n">
        <v>0</v>
      </c>
      <c r="P23" s="314" t="n">
        <v>0</v>
      </c>
      <c r="Q23" s="314" t="n">
        <v>0</v>
      </c>
      <c r="R23" s="314" t="n">
        <v>0</v>
      </c>
      <c r="S23" s="314" t="n">
        <v>0</v>
      </c>
      <c r="T23" s="314" t="n">
        <v>0</v>
      </c>
      <c r="U23" s="314" t="n">
        <v>0</v>
      </c>
      <c r="V23" s="314" t="n">
        <v>0</v>
      </c>
      <c r="W23" s="314" t="n">
        <v>0</v>
      </c>
      <c r="X23" s="320" t="n">
        <v>0</v>
      </c>
      <c r="Y23" s="320" t="n">
        <v>0</v>
      </c>
      <c r="Z23" s="320" t="n">
        <v>0</v>
      </c>
      <c r="AA23" s="320" t="n">
        <v>0</v>
      </c>
      <c r="AB23" s="44" t="s">
        <v>115</v>
      </c>
    </row>
    <row r="24" customFormat="false" ht="15.75" hidden="false" customHeight="false" outlineLevel="0" collapsed="false">
      <c r="A24" s="314" t="str">
        <v>SGP</v>
      </c>
      <c r="B24" s="314" t="n">
        <v>0</v>
      </c>
      <c r="C24" s="314" t="str">
        <v>Froslass</v>
      </c>
      <c r="D24" s="314" t="n">
        <v>0</v>
      </c>
      <c r="E24" s="314" t="n">
        <v>0</v>
      </c>
      <c r="F24" s="314" t="str">
        <v>Ribombee</v>
      </c>
      <c r="G24" s="314" t="n">
        <v>0</v>
      </c>
      <c r="H24" s="314" t="n">
        <v>0</v>
      </c>
      <c r="I24" s="314" t="str">
        <v>Week 2</v>
      </c>
      <c r="J24" s="314" t="n">
        <v>0</v>
      </c>
      <c r="K24" s="44"/>
      <c r="L24" s="314" t="n">
        <v>0</v>
      </c>
      <c r="M24" s="314" t="n">
        <v>0</v>
      </c>
      <c r="N24" s="314" t="n">
        <v>0</v>
      </c>
      <c r="O24" s="314" t="n">
        <v>0</v>
      </c>
      <c r="P24" s="314" t="n">
        <v>0</v>
      </c>
      <c r="Q24" s="314" t="n">
        <v>0</v>
      </c>
      <c r="R24" s="314" t="n">
        <v>0</v>
      </c>
      <c r="S24" s="314" t="n">
        <v>0</v>
      </c>
      <c r="T24" s="314" t="n">
        <v>0</v>
      </c>
      <c r="U24" s="314" t="n">
        <v>0</v>
      </c>
      <c r="V24" s="314" t="n">
        <v>0</v>
      </c>
      <c r="W24" s="314" t="n">
        <v>0</v>
      </c>
      <c r="X24" s="320" t="n">
        <v>0</v>
      </c>
      <c r="Y24" s="320" t="n">
        <v>0</v>
      </c>
      <c r="Z24" s="320" t="n">
        <v>0</v>
      </c>
      <c r="AA24" s="320" t="n">
        <v>0</v>
      </c>
      <c r="AB24" s="44" t="s">
        <v>117</v>
      </c>
    </row>
    <row r="25" customFormat="false" ht="15.75" hidden="false" customHeight="false" outlineLevel="0" collapsed="false">
      <c r="A25" s="328" t="str">
        <v>BBG</v>
      </c>
      <c r="B25" s="328" t="n">
        <v>0</v>
      </c>
      <c r="C25" s="328" t="str">
        <v>Golisopod</v>
      </c>
      <c r="D25" s="328" t="n">
        <v>0</v>
      </c>
      <c r="E25" s="328" t="n">
        <v>0</v>
      </c>
      <c r="F25" s="328" t="str">
        <v>Cinccino</v>
      </c>
      <c r="G25" s="328" t="n">
        <v>0</v>
      </c>
      <c r="H25" s="328" t="n">
        <v>0</v>
      </c>
      <c r="I25" s="328" t="str">
        <v>Week 2</v>
      </c>
      <c r="J25" s="328" t="n">
        <v>0</v>
      </c>
      <c r="K25" s="44"/>
      <c r="L25" s="328" t="n">
        <v>0</v>
      </c>
      <c r="M25" s="328" t="n">
        <v>0</v>
      </c>
      <c r="N25" s="328" t="n">
        <v>0</v>
      </c>
      <c r="O25" s="328" t="n">
        <v>0</v>
      </c>
      <c r="P25" s="328" t="n">
        <v>0</v>
      </c>
      <c r="Q25" s="328" t="n">
        <v>0</v>
      </c>
      <c r="R25" s="328" t="n">
        <v>0</v>
      </c>
      <c r="S25" s="328" t="n">
        <v>0</v>
      </c>
      <c r="T25" s="328" t="n">
        <v>0</v>
      </c>
      <c r="U25" s="328" t="n">
        <v>0</v>
      </c>
      <c r="V25" s="328" t="n">
        <v>0</v>
      </c>
      <c r="W25" s="328" t="n">
        <v>0</v>
      </c>
      <c r="X25" s="324" t="n">
        <v>0</v>
      </c>
      <c r="Y25" s="324" t="n">
        <v>0</v>
      </c>
      <c r="Z25" s="324" t="n">
        <v>0</v>
      </c>
      <c r="AA25" s="324" t="n">
        <v>0</v>
      </c>
      <c r="AB25" s="44" t="s">
        <v>121</v>
      </c>
    </row>
    <row r="26" customFormat="false" ht="15.75" hidden="false" customHeight="false" outlineLevel="0" collapsed="false">
      <c r="A26" s="44"/>
      <c r="B26" s="44"/>
      <c r="C26" s="44"/>
      <c r="D26" s="44"/>
      <c r="E26" s="44"/>
      <c r="F26" s="44"/>
      <c r="G26" s="44"/>
      <c r="H26" s="44"/>
      <c r="I26" s="44"/>
      <c r="J26" s="44"/>
      <c r="K26" s="44"/>
      <c r="L26" s="44"/>
      <c r="M26" s="44"/>
      <c r="N26" s="44"/>
      <c r="O26" s="44"/>
      <c r="P26" s="44"/>
      <c r="Q26" s="44"/>
      <c r="R26" s="44"/>
      <c r="S26" s="44"/>
      <c r="T26" s="44"/>
      <c r="U26" s="44"/>
      <c r="V26" s="44"/>
      <c r="W26" s="44"/>
      <c r="X26" s="44"/>
      <c r="Y26" s="44"/>
      <c r="Z26" s="44"/>
      <c r="AA26" s="44"/>
      <c r="AB26" s="44" t="s">
        <v>123</v>
      </c>
    </row>
    <row r="27" customFormat="false" ht="15.75" hidden="false" customHeight="false" outlineLevel="0" collapsed="false">
      <c r="A27" s="272" t="s">
        <v>214</v>
      </c>
      <c r="B27" s="272"/>
      <c r="C27" s="272"/>
      <c r="D27" s="272"/>
      <c r="E27" s="272"/>
      <c r="F27" s="272"/>
      <c r="G27" s="341" t="s">
        <v>215</v>
      </c>
      <c r="H27" s="341"/>
      <c r="I27" s="341"/>
      <c r="J27" s="341"/>
      <c r="K27" s="44"/>
      <c r="L27" s="342" t="s">
        <v>216</v>
      </c>
      <c r="M27" s="342"/>
      <c r="N27" s="342"/>
      <c r="O27" s="342"/>
      <c r="P27" s="342"/>
      <c r="Q27" s="342"/>
      <c r="R27" s="44"/>
      <c r="S27" s="341" t="s">
        <v>217</v>
      </c>
      <c r="T27" s="341"/>
      <c r="U27" s="341"/>
      <c r="V27" s="341"/>
      <c r="W27" s="343"/>
      <c r="X27" s="343"/>
      <c r="Y27" s="344"/>
      <c r="Z27" s="344"/>
      <c r="AA27" s="344"/>
      <c r="AB27" s="44" t="s">
        <v>35</v>
      </c>
    </row>
    <row r="28" customFormat="false" ht="15.75" hidden="false" customHeight="false" outlineLevel="0" collapsed="false">
      <c r="A28" s="345" t="s">
        <v>218</v>
      </c>
      <c r="B28" s="345"/>
      <c r="C28" s="345"/>
      <c r="D28" s="345"/>
      <c r="E28" s="345"/>
      <c r="F28" s="345"/>
      <c r="G28" s="346" t="s">
        <v>219</v>
      </c>
      <c r="H28" s="346"/>
      <c r="I28" s="346"/>
      <c r="J28" s="346"/>
      <c r="K28" s="44"/>
      <c r="L28" s="345" t="s">
        <v>220</v>
      </c>
      <c r="M28" s="345"/>
      <c r="N28" s="345"/>
      <c r="O28" s="345"/>
      <c r="P28" s="345"/>
      <c r="Q28" s="345"/>
      <c r="R28" s="44"/>
      <c r="S28" s="347" t="str">
        <f aca="false">KKS!$G$2</f>
        <v>Colin Cain</v>
      </c>
      <c r="T28" s="347"/>
      <c r="U28" s="348" t="s">
        <v>221</v>
      </c>
      <c r="V28" s="348"/>
      <c r="W28" s="344"/>
      <c r="X28" s="344"/>
      <c r="Y28" s="344"/>
      <c r="Z28" s="344"/>
      <c r="AA28" s="344"/>
      <c r="AB28" s="44" t="s">
        <v>36</v>
      </c>
    </row>
    <row r="29" customFormat="false" ht="15.75" hidden="false" customHeight="true" outlineLevel="0" collapsed="false">
      <c r="A29" s="349" t="s">
        <v>222</v>
      </c>
      <c r="B29" s="349"/>
      <c r="C29" s="349"/>
      <c r="D29" s="349"/>
      <c r="E29" s="349"/>
      <c r="F29" s="349"/>
      <c r="G29" s="350" t="s">
        <v>223</v>
      </c>
      <c r="H29" s="350"/>
      <c r="I29" s="350"/>
      <c r="J29" s="350"/>
      <c r="K29" s="44"/>
      <c r="L29" s="351" t="s">
        <v>224</v>
      </c>
      <c r="M29" s="351"/>
      <c r="N29" s="351"/>
      <c r="O29" s="351"/>
      <c r="P29" s="351"/>
      <c r="Q29" s="351"/>
      <c r="R29" s="44"/>
      <c r="S29" s="352" t="str">
        <f aca="false">SEA!$G$2</f>
        <v>Sean Harrison</v>
      </c>
      <c r="T29" s="352"/>
      <c r="U29" s="353" t="s">
        <v>221</v>
      </c>
      <c r="V29" s="353"/>
      <c r="W29" s="344"/>
      <c r="X29" s="344"/>
      <c r="Y29" s="344"/>
      <c r="Z29" s="344"/>
      <c r="AA29" s="344"/>
      <c r="AB29" s="44" t="s">
        <v>39</v>
      </c>
    </row>
    <row r="30" customFormat="false" ht="15.75" hidden="false" customHeight="false" outlineLevel="0" collapsed="false">
      <c r="A30" s="349" t="s">
        <v>225</v>
      </c>
      <c r="B30" s="349"/>
      <c r="C30" s="349"/>
      <c r="D30" s="349"/>
      <c r="E30" s="349"/>
      <c r="F30" s="349"/>
      <c r="G30" s="350" t="s">
        <v>226</v>
      </c>
      <c r="H30" s="350"/>
      <c r="I30" s="350"/>
      <c r="J30" s="350"/>
      <c r="K30" s="44"/>
      <c r="L30" s="354"/>
      <c r="M30" s="354"/>
      <c r="N30" s="354"/>
      <c r="O30" s="354"/>
      <c r="P30" s="354"/>
      <c r="Q30" s="354"/>
      <c r="R30" s="44"/>
      <c r="S30" s="352" t="str">
        <f aca="false">JVJ!$G$2</f>
        <v>Josh Preston</v>
      </c>
      <c r="T30" s="352"/>
      <c r="U30" s="355" t="s">
        <v>227</v>
      </c>
      <c r="V30" s="355"/>
      <c r="W30" s="344"/>
      <c r="X30" s="344"/>
      <c r="Y30" s="344"/>
      <c r="Z30" s="344"/>
      <c r="AA30" s="344"/>
      <c r="AB30" s="44"/>
    </row>
    <row r="31" customFormat="false" ht="15.75" hidden="false" customHeight="false" outlineLevel="0" collapsed="false">
      <c r="A31" s="349" t="s">
        <v>228</v>
      </c>
      <c r="B31" s="349"/>
      <c r="C31" s="349"/>
      <c r="D31" s="349"/>
      <c r="E31" s="349"/>
      <c r="F31" s="349"/>
      <c r="G31" s="350" t="s">
        <v>229</v>
      </c>
      <c r="H31" s="350"/>
      <c r="I31" s="350"/>
      <c r="J31" s="350"/>
      <c r="K31" s="44"/>
      <c r="L31" s="356" t="s">
        <v>230</v>
      </c>
      <c r="M31" s="356"/>
      <c r="N31" s="356"/>
      <c r="O31" s="356"/>
      <c r="P31" s="356"/>
      <c r="Q31" s="356"/>
      <c r="R31" s="44"/>
      <c r="S31" s="352" t="str">
        <f aca="false">BBG!$G$2</f>
        <v>Jordan Preston</v>
      </c>
      <c r="T31" s="352"/>
      <c r="U31" s="355" t="s">
        <v>227</v>
      </c>
      <c r="V31" s="355"/>
      <c r="W31" s="344"/>
      <c r="X31" s="344"/>
      <c r="Y31" s="344"/>
      <c r="Z31" s="344"/>
      <c r="AA31" s="344"/>
      <c r="AB31" s="44"/>
    </row>
    <row r="32" customFormat="false" ht="15.75" hidden="false" customHeight="true" outlineLevel="0" collapsed="false">
      <c r="A32" s="349" t="s">
        <v>231</v>
      </c>
      <c r="B32" s="349"/>
      <c r="C32" s="349"/>
      <c r="D32" s="349"/>
      <c r="E32" s="349"/>
      <c r="F32" s="349"/>
      <c r="G32" s="350" t="s">
        <v>232</v>
      </c>
      <c r="H32" s="350"/>
      <c r="I32" s="350"/>
      <c r="J32" s="350"/>
      <c r="K32" s="44"/>
      <c r="L32" s="357" t="s">
        <v>233</v>
      </c>
      <c r="M32" s="357"/>
      <c r="N32" s="357"/>
      <c r="O32" s="357"/>
      <c r="P32" s="357"/>
      <c r="Q32" s="357"/>
      <c r="R32" s="44"/>
      <c r="S32" s="352" t="str">
        <f aca="false">LVC!$G$2</f>
        <v>Chris Preston</v>
      </c>
      <c r="T32" s="352"/>
      <c r="U32" s="355" t="s">
        <v>227</v>
      </c>
      <c r="V32" s="355"/>
      <c r="W32" s="344"/>
      <c r="X32" s="344"/>
      <c r="Y32" s="344"/>
      <c r="Z32" s="344"/>
      <c r="AA32" s="344"/>
      <c r="AB32" s="44"/>
    </row>
    <row r="33" customFormat="false" ht="15.75" hidden="false" customHeight="false" outlineLevel="0" collapsed="false">
      <c r="A33" s="358" t="s">
        <v>234</v>
      </c>
      <c r="B33" s="358"/>
      <c r="C33" s="358"/>
      <c r="D33" s="358"/>
      <c r="E33" s="358"/>
      <c r="F33" s="358"/>
      <c r="G33" s="349" t="s">
        <v>235</v>
      </c>
      <c r="H33" s="349"/>
      <c r="I33" s="349"/>
      <c r="J33" s="349"/>
      <c r="K33" s="44"/>
      <c r="L33" s="357"/>
      <c r="M33" s="357"/>
      <c r="N33" s="357"/>
      <c r="O33" s="357"/>
      <c r="P33" s="357"/>
      <c r="Q33" s="357"/>
      <c r="R33" s="44"/>
      <c r="S33" s="352" t="str">
        <f aca="false">BTB!$G$2</f>
        <v>Trent Thompson</v>
      </c>
      <c r="T33" s="352"/>
      <c r="U33" s="353" t="s">
        <v>221</v>
      </c>
      <c r="V33" s="353"/>
      <c r="W33" s="344"/>
      <c r="X33" s="344"/>
      <c r="Y33" s="344"/>
      <c r="Z33" s="344"/>
      <c r="AA33" s="344"/>
      <c r="AB33" s="44"/>
    </row>
    <row r="34" customFormat="false" ht="15.75" hidden="false" customHeight="false" outlineLevel="0" collapsed="false">
      <c r="A34" s="359" t="s">
        <v>236</v>
      </c>
      <c r="B34" s="359"/>
      <c r="C34" s="359"/>
      <c r="D34" s="359"/>
      <c r="E34" s="359"/>
      <c r="F34" s="359"/>
      <c r="G34" s="360"/>
      <c r="H34" s="360"/>
      <c r="I34" s="360"/>
      <c r="J34" s="360"/>
      <c r="K34" s="44"/>
      <c r="L34" s="357"/>
      <c r="M34" s="357"/>
      <c r="N34" s="357"/>
      <c r="O34" s="357"/>
      <c r="P34" s="357"/>
      <c r="Q34" s="357"/>
      <c r="R34" s="44"/>
      <c r="S34" s="352" t="str">
        <f aca="false">SGP!$G$2</f>
        <v>Ben Vizy</v>
      </c>
      <c r="T34" s="352"/>
      <c r="U34" s="353" t="s">
        <v>221</v>
      </c>
      <c r="V34" s="353"/>
      <c r="W34" s="344"/>
      <c r="X34" s="344"/>
      <c r="Y34" s="344"/>
      <c r="Z34" s="344"/>
      <c r="AA34" s="344"/>
      <c r="AB34" s="44"/>
    </row>
    <row r="35" customFormat="false" ht="15.75" hidden="false" customHeight="false" outlineLevel="0" collapsed="false">
      <c r="A35" s="44"/>
      <c r="B35" s="44"/>
      <c r="C35" s="44"/>
      <c r="D35" s="44"/>
      <c r="E35" s="44"/>
      <c r="F35" s="44"/>
      <c r="G35" s="44"/>
      <c r="H35" s="44"/>
      <c r="I35" s="44"/>
      <c r="J35" s="44"/>
      <c r="K35" s="44"/>
      <c r="L35" s="44"/>
      <c r="M35" s="44"/>
      <c r="N35" s="44"/>
      <c r="O35" s="44"/>
      <c r="P35" s="44"/>
      <c r="Q35" s="44"/>
      <c r="R35" s="44"/>
      <c r="S35" s="361" t="str">
        <f aca="false">FTT!$G$2</f>
        <v>Cody Woldt</v>
      </c>
      <c r="T35" s="361"/>
      <c r="U35" s="362" t="s">
        <v>227</v>
      </c>
      <c r="V35" s="362"/>
      <c r="W35" s="44"/>
      <c r="X35" s="44"/>
      <c r="Y35" s="44"/>
      <c r="Z35" s="44"/>
      <c r="AA35" s="44"/>
      <c r="AB35" s="44"/>
    </row>
  </sheetData>
  <mergeCells count="183">
    <mergeCell ref="A1:J1"/>
    <mergeCell ref="L1:O1"/>
    <mergeCell ref="Q1:AA1"/>
    <mergeCell ref="A2:C2"/>
    <mergeCell ref="M2:O2"/>
    <mergeCell ref="S2:U2"/>
    <mergeCell ref="A3:C3"/>
    <mergeCell ref="M3:O3"/>
    <mergeCell ref="S3:U3"/>
    <mergeCell ref="A4:C4"/>
    <mergeCell ref="M4:O4"/>
    <mergeCell ref="S4:U4"/>
    <mergeCell ref="A5:C5"/>
    <mergeCell ref="M5:O5"/>
    <mergeCell ref="S5:U5"/>
    <mergeCell ref="A6:C6"/>
    <mergeCell ref="M6:O6"/>
    <mergeCell ref="S6:U6"/>
    <mergeCell ref="A7:C7"/>
    <mergeCell ref="M7:O7"/>
    <mergeCell ref="S7:U7"/>
    <mergeCell ref="A8:C8"/>
    <mergeCell ref="M8:O8"/>
    <mergeCell ref="S8:U8"/>
    <mergeCell ref="A9:C9"/>
    <mergeCell ref="M9:O9"/>
    <mergeCell ref="S9:U9"/>
    <mergeCell ref="A10:C10"/>
    <mergeCell ref="M10:O10"/>
    <mergeCell ref="S10:U10"/>
    <mergeCell ref="A11:C11"/>
    <mergeCell ref="S11:U11"/>
    <mergeCell ref="S12:U12"/>
    <mergeCell ref="A14:J14"/>
    <mergeCell ref="L14:AA14"/>
    <mergeCell ref="A15:B15"/>
    <mergeCell ref="C15:E15"/>
    <mergeCell ref="F15:H15"/>
    <mergeCell ref="I15:J15"/>
    <mergeCell ref="L15:M15"/>
    <mergeCell ref="N15:P15"/>
    <mergeCell ref="Q15:R15"/>
    <mergeCell ref="S15:U15"/>
    <mergeCell ref="V15:W15"/>
    <mergeCell ref="X15:AA15"/>
    <mergeCell ref="A16:B16"/>
    <mergeCell ref="C16:E16"/>
    <mergeCell ref="F16:H16"/>
    <mergeCell ref="I16:J16"/>
    <mergeCell ref="L16:M16"/>
    <mergeCell ref="N16:P16"/>
    <mergeCell ref="Q16:R16"/>
    <mergeCell ref="S16:U16"/>
    <mergeCell ref="V16:W16"/>
    <mergeCell ref="X16:AA16"/>
    <mergeCell ref="A17:B17"/>
    <mergeCell ref="C17:E17"/>
    <mergeCell ref="F17:H17"/>
    <mergeCell ref="I17:J17"/>
    <mergeCell ref="L17:M17"/>
    <mergeCell ref="N17:P17"/>
    <mergeCell ref="Q17:R17"/>
    <mergeCell ref="S17:U17"/>
    <mergeCell ref="V17:W17"/>
    <mergeCell ref="X17:AA17"/>
    <mergeCell ref="A18:B18"/>
    <mergeCell ref="C18:E18"/>
    <mergeCell ref="F18:H18"/>
    <mergeCell ref="I18:J18"/>
    <mergeCell ref="L18:M18"/>
    <mergeCell ref="N18:P18"/>
    <mergeCell ref="Q18:R18"/>
    <mergeCell ref="S18:U18"/>
    <mergeCell ref="V18:W18"/>
    <mergeCell ref="X18:AA18"/>
    <mergeCell ref="A19:B19"/>
    <mergeCell ref="C19:E19"/>
    <mergeCell ref="F19:H19"/>
    <mergeCell ref="I19:J19"/>
    <mergeCell ref="L19:M19"/>
    <mergeCell ref="N19:P19"/>
    <mergeCell ref="Q19:R19"/>
    <mergeCell ref="S19:U19"/>
    <mergeCell ref="V19:W19"/>
    <mergeCell ref="X19:AA19"/>
    <mergeCell ref="A20:B20"/>
    <mergeCell ref="C20:E20"/>
    <mergeCell ref="F20:H20"/>
    <mergeCell ref="I20:J20"/>
    <mergeCell ref="L20:M20"/>
    <mergeCell ref="N20:P20"/>
    <mergeCell ref="Q20:R20"/>
    <mergeCell ref="S20:U20"/>
    <mergeCell ref="V20:W20"/>
    <mergeCell ref="X20:AA20"/>
    <mergeCell ref="A21:B21"/>
    <mergeCell ref="C21:E21"/>
    <mergeCell ref="F21:H21"/>
    <mergeCell ref="I21:J21"/>
    <mergeCell ref="L21:M21"/>
    <mergeCell ref="N21:P21"/>
    <mergeCell ref="Q21:R21"/>
    <mergeCell ref="S21:U21"/>
    <mergeCell ref="V21:W21"/>
    <mergeCell ref="X21:AA21"/>
    <mergeCell ref="A22:B22"/>
    <mergeCell ref="C22:E22"/>
    <mergeCell ref="F22:H22"/>
    <mergeCell ref="I22:J22"/>
    <mergeCell ref="L22:M22"/>
    <mergeCell ref="N22:P22"/>
    <mergeCell ref="Q22:R22"/>
    <mergeCell ref="S22:U22"/>
    <mergeCell ref="V22:W22"/>
    <mergeCell ref="X22:AA22"/>
    <mergeCell ref="A23:B23"/>
    <mergeCell ref="C23:E23"/>
    <mergeCell ref="F23:H23"/>
    <mergeCell ref="I23:J23"/>
    <mergeCell ref="L23:M23"/>
    <mergeCell ref="N23:P23"/>
    <mergeCell ref="Q23:R23"/>
    <mergeCell ref="S23:U23"/>
    <mergeCell ref="V23:W23"/>
    <mergeCell ref="X23:AA23"/>
    <mergeCell ref="A24:B24"/>
    <mergeCell ref="C24:E24"/>
    <mergeCell ref="F24:H24"/>
    <mergeCell ref="I24:J24"/>
    <mergeCell ref="L24:M24"/>
    <mergeCell ref="N24:P24"/>
    <mergeCell ref="Q24:R24"/>
    <mergeCell ref="S24:U24"/>
    <mergeCell ref="V24:W24"/>
    <mergeCell ref="X24:AA24"/>
    <mergeCell ref="A25:B25"/>
    <mergeCell ref="C25:E25"/>
    <mergeCell ref="F25:H25"/>
    <mergeCell ref="I25:J25"/>
    <mergeCell ref="L25:M25"/>
    <mergeCell ref="N25:P25"/>
    <mergeCell ref="Q25:R25"/>
    <mergeCell ref="S25:U25"/>
    <mergeCell ref="V25:W25"/>
    <mergeCell ref="X25:AA25"/>
    <mergeCell ref="A27:F27"/>
    <mergeCell ref="G27:J27"/>
    <mergeCell ref="L27:Q27"/>
    <mergeCell ref="S27:V27"/>
    <mergeCell ref="A28:F28"/>
    <mergeCell ref="G28:J28"/>
    <mergeCell ref="L28:Q28"/>
    <mergeCell ref="S28:T28"/>
    <mergeCell ref="U28:V28"/>
    <mergeCell ref="A29:F29"/>
    <mergeCell ref="G29:J29"/>
    <mergeCell ref="L29:Q29"/>
    <mergeCell ref="S29:T29"/>
    <mergeCell ref="U29:V29"/>
    <mergeCell ref="A30:F30"/>
    <mergeCell ref="G30:J30"/>
    <mergeCell ref="S30:T30"/>
    <mergeCell ref="U30:V30"/>
    <mergeCell ref="A31:F31"/>
    <mergeCell ref="G31:J31"/>
    <mergeCell ref="L31:Q31"/>
    <mergeCell ref="S31:T31"/>
    <mergeCell ref="U31:V31"/>
    <mergeCell ref="A32:F32"/>
    <mergeCell ref="G32:J32"/>
    <mergeCell ref="L32:Q34"/>
    <mergeCell ref="S32:T32"/>
    <mergeCell ref="U32:V32"/>
    <mergeCell ref="A33:F33"/>
    <mergeCell ref="G33:J33"/>
    <mergeCell ref="S33:T33"/>
    <mergeCell ref="U33:V33"/>
    <mergeCell ref="A34:F34"/>
    <mergeCell ref="G34:J34"/>
    <mergeCell ref="S34:T34"/>
    <mergeCell ref="U34:V34"/>
    <mergeCell ref="S35:T35"/>
    <mergeCell ref="U35:V35"/>
  </mergeCells>
  <conditionalFormatting sqref="J3:J6,J8:J11">
    <cfRule type="containsText" priority="2" aboveAverage="0" equalAverage="0" bottom="0" percent="0" rank="0" text="Win" dxfId="3"/>
  </conditionalFormatting>
  <conditionalFormatting sqref="J3:J6,J8:J11">
    <cfRule type="containsText" priority="3" aboveAverage="0" equalAverage="0" bottom="0" percent="0" rank="0" text="Lose" dxfId="4"/>
  </conditionalFormatting>
  <conditionalFormatting sqref="J3:J6,J8:J11">
    <cfRule type="containsText" priority="4" aboveAverage="0" equalAverage="0" bottom="0" percent="0" rank="0" text="DNP" dxfId="0"/>
  </conditionalFormatting>
  <conditionalFormatting sqref="R3:AA12">
    <cfRule type="expression" priority="5" aboveAverage="0" equalAverage="0" bottom="0" percent="0" rank="0" text="" dxfId="1">
      <formula>$M:$M=$AB$1</formula>
    </cfRule>
  </conditionalFormatting>
  <conditionalFormatting sqref="R3:AA12">
    <cfRule type="expression" priority="6" aboveAverage="0" equalAverage="0" bottom="0" percent="0" rank="0" text="" dxfId="1">
      <formula>$M:$M=$AB$2</formula>
    </cfRule>
  </conditionalFormatting>
  <conditionalFormatting sqref="R3:AA12">
    <cfRule type="expression" priority="7" aboveAverage="0" equalAverage="0" bottom="0" percent="0" rank="0" text="" dxfId="1">
      <formula>$M:$M=$AB$3</formula>
    </cfRule>
  </conditionalFormatting>
  <conditionalFormatting sqref="R3:AA12">
    <cfRule type="expression" priority="8" aboveAverage="0" equalAverage="0" bottom="0" percent="0" rank="0" text="" dxfId="1">
      <formula>$M:$M=$AB$4</formula>
    </cfRule>
  </conditionalFormatting>
  <conditionalFormatting sqref="R3:AA12">
    <cfRule type="expression" priority="9" aboveAverage="0" equalAverage="0" bottom="0" percent="0" rank="0" text="" dxfId="2">
      <formula>$M:$M=$AB$5</formula>
    </cfRule>
  </conditionalFormatting>
  <conditionalFormatting sqref="R3:AA12">
    <cfRule type="expression" priority="10" aboveAverage="0" equalAverage="0" bottom="0" percent="0" rank="0" text="" dxfId="2">
      <formula>$M:$M=$AB$6</formula>
    </cfRule>
  </conditionalFormatting>
  <conditionalFormatting sqref="R3:AA12">
    <cfRule type="expression" priority="11" aboveAverage="0" equalAverage="0" bottom="0" percent="0" rank="0" text="" dxfId="2">
      <formula>$M:$M=$AB$7</formula>
    </cfRule>
  </conditionalFormatting>
  <conditionalFormatting sqref="R3:AA12">
    <cfRule type="expression" priority="12" aboveAverage="0" equalAverage="0" bottom="0" percent="0" rank="0" text="" dxfId="2">
      <formula>$M:$M=$AB$8</formula>
    </cfRule>
  </conditionalFormatting>
  <conditionalFormatting sqref="R3:AA12">
    <cfRule type="expression" priority="13" aboveAverage="0" equalAverage="0" bottom="0" percent="0" rank="0" text="" dxfId="7">
      <formula>$M:$M=$AB$9</formula>
    </cfRule>
  </conditionalFormatting>
  <conditionalFormatting sqref="R3:AA12">
    <cfRule type="expression" priority="14" aboveAverage="0" equalAverage="0" bottom="0" percent="0" rank="0" text="" dxfId="7">
      <formula>$M:$M=$AB$10</formula>
    </cfRule>
  </conditionalFormatting>
  <conditionalFormatting sqref="R3:AA12">
    <cfRule type="expression" priority="15" aboveAverage="0" equalAverage="0" bottom="0" percent="0" rank="0" text="" dxfId="7">
      <formula>$M:$M=$AB$11</formula>
    </cfRule>
  </conditionalFormatting>
  <conditionalFormatting sqref="R3:AA12">
    <cfRule type="expression" priority="16" aboveAverage="0" equalAverage="0" bottom="0" percent="0" rank="0" text="" dxfId="7">
      <formula>$M:$M=$AB$12</formula>
    </cfRule>
  </conditionalFormatting>
  <conditionalFormatting sqref="R3:AA12">
    <cfRule type="expression" priority="17" aboveAverage="0" equalAverage="0" bottom="0" percent="0" rank="0" text="" dxfId="6">
      <formula>$M:$M=$AB$13</formula>
    </cfRule>
  </conditionalFormatting>
  <conditionalFormatting sqref="R3:AA12">
    <cfRule type="expression" priority="18" aboveAverage="0" equalAverage="0" bottom="0" percent="0" rank="0" text="" dxfId="6">
      <formula>$M:$M=$AB$14</formula>
    </cfRule>
  </conditionalFormatting>
  <conditionalFormatting sqref="R3:AA12">
    <cfRule type="expression" priority="19" aboveAverage="0" equalAverage="0" bottom="0" percent="0" rank="0" text="" dxfId="6">
      <formula>$M:$M=$AB$15</formula>
    </cfRule>
  </conditionalFormatting>
  <conditionalFormatting sqref="R3:AA12">
    <cfRule type="expression" priority="20" aboveAverage="0" equalAverage="0" bottom="0" percent="0" rank="0" text="" dxfId="6">
      <formula>$M:$M=$AB$16</formula>
    </cfRule>
  </conditionalFormatting>
  <conditionalFormatting sqref="R3:AA12">
    <cfRule type="cellIs" priority="21" operator="equal" aboveAverage="0" equalAverage="0" bottom="0" percent="0" rank="0" text="" dxfId="3">
      <formula>"FREE"</formula>
    </cfRule>
  </conditionalFormatting>
  <printOptions headings="false" gridLines="false" gridLinesSet="true" horizontalCentered="false" verticalCentered="false"/>
  <pageMargins left="0.747916666666667" right="0.747916666666667" top="0.984027777777778" bottom="0.984027777777778" header="0.511805555555555" footer="0.511805555555555"/>
  <pageSetup paperSize="1" scale="100" firstPageNumber="0" fitToWidth="1" fitToHeight="1" pageOrder="downThenOver" orientation="portrait" usePrinterDefaults="false" blackAndWhite="false" draft="false" cellComments="none" useFirstPageNumber="false" horizontalDpi="300" verticalDpi="300" copies="1"/>
  <headerFooter differentFirst="false" differentOddEven="false">
    <oddHeader/>
    <oddFooter/>
  </headerFooter>
  <drawing r:id="rId1"/>
</worksheet>
</file>

<file path=xl/worksheets/sheet5.xml><?xml version="1.0" encoding="utf-8"?>
<worksheet xmlns="http://schemas.openxmlformats.org/spreadsheetml/2006/main" xmlns:r="http://schemas.openxmlformats.org/officeDocument/2006/relationships">
  <sheetPr filterMode="false">
    <pageSetUpPr fitToPage="false"/>
  </sheetPr>
  <dimension ref="A1:AD90"/>
  <sheetViews>
    <sheetView windowProtection="false"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A1" activeCellId="0" sqref="A1"/>
    </sheetView>
  </sheetViews>
  <sheetFormatPr defaultRowHeight="15.75"/>
  <cols>
    <col collapsed="false" hidden="false" max="13" min="1" style="0" width="7.1530612244898"/>
    <col collapsed="false" hidden="false" max="14" min="14" style="0" width="0.811224489795918"/>
    <col collapsed="false" hidden="false" max="27" min="15" style="0" width="7.1530612244898"/>
    <col collapsed="false" hidden="false" max="28" min="28" style="0" width="21.3265306122449"/>
    <col collapsed="false" hidden="false" max="29" min="29" style="0" width="7.1530612244898"/>
    <col collapsed="false" hidden="true" max="30" min="30" style="0" width="0"/>
    <col collapsed="false" hidden="false" max="1025" min="31" style="0" width="14.1734693877551"/>
  </cols>
  <sheetData>
    <row r="1" customFormat="false" ht="15.75" hidden="false" customHeight="false" outlineLevel="0" collapsed="false">
      <c r="A1" s="50"/>
      <c r="B1" s="50"/>
      <c r="C1" s="50"/>
      <c r="D1" s="50"/>
      <c r="E1" s="50"/>
      <c r="F1" s="50"/>
      <c r="G1" s="50"/>
      <c r="H1" s="50"/>
      <c r="I1" s="50"/>
      <c r="J1" s="50"/>
      <c r="K1" s="50"/>
      <c r="L1" s="50"/>
      <c r="M1" s="50"/>
      <c r="N1" s="50"/>
      <c r="O1" s="50"/>
      <c r="P1" s="50"/>
      <c r="Q1" s="50"/>
      <c r="R1" s="50"/>
      <c r="S1" s="50"/>
      <c r="T1" s="50"/>
      <c r="U1" s="50"/>
      <c r="V1" s="50"/>
      <c r="W1" s="50"/>
      <c r="X1" s="50"/>
      <c r="Y1" s="50"/>
      <c r="Z1" s="50"/>
      <c r="AA1" s="363" t="s">
        <v>237</v>
      </c>
      <c r="AB1" s="363"/>
      <c r="AC1" s="363"/>
    </row>
    <row r="2" customFormat="false" ht="15.75" hidden="false" customHeight="false" outlineLevel="0" collapsed="false">
      <c r="A2" s="111" t="s">
        <v>238</v>
      </c>
      <c r="B2" s="364" t="s">
        <v>239</v>
      </c>
      <c r="C2" s="364"/>
      <c r="D2" s="364"/>
      <c r="E2" s="364"/>
      <c r="F2" s="364"/>
      <c r="G2" s="364"/>
      <c r="H2" s="364"/>
      <c r="I2" s="364"/>
      <c r="J2" s="364"/>
      <c r="K2" s="364"/>
      <c r="L2" s="364"/>
      <c r="M2" s="364"/>
      <c r="N2" s="365"/>
      <c r="O2" s="366" t="s">
        <v>240</v>
      </c>
      <c r="P2" s="366"/>
      <c r="Q2" s="366"/>
      <c r="R2" s="366"/>
      <c r="S2" s="366"/>
      <c r="T2" s="366"/>
      <c r="U2" s="366"/>
      <c r="V2" s="366"/>
      <c r="W2" s="366"/>
      <c r="X2" s="366"/>
      <c r="Y2" s="366"/>
      <c r="Z2" s="366"/>
      <c r="AA2" s="367" t="s">
        <v>241</v>
      </c>
      <c r="AB2" s="368" t="s">
        <v>176</v>
      </c>
      <c r="AC2" s="368" t="s">
        <v>175</v>
      </c>
      <c r="AD2" s="198" t="str">
        <f aca="false">KKS!$L$1</f>
        <v>KKS</v>
      </c>
    </row>
    <row r="3" customFormat="false" ht="15.75" hidden="false" customHeight="false" outlineLevel="0" collapsed="false">
      <c r="A3" s="369"/>
      <c r="B3" s="364" t="str">
        <f aca="false">KKS!$G$1</f>
        <v>Kingston Kecleons</v>
      </c>
      <c r="C3" s="364"/>
      <c r="D3" s="364"/>
      <c r="E3" s="364" t="str">
        <f aca="false">SEA!$G$1</f>
        <v>Seattle Seadras</v>
      </c>
      <c r="F3" s="364"/>
      <c r="G3" s="364"/>
      <c r="H3" s="364" t="str">
        <f aca="false">JVJ!$G$1</f>
        <v>Jacksonville Jumpluffs</v>
      </c>
      <c r="I3" s="364"/>
      <c r="J3" s="364"/>
      <c r="K3" s="364" t="str">
        <f aca="false">BBG!$G$1</f>
        <v>Berlin Bronzong</v>
      </c>
      <c r="L3" s="364"/>
      <c r="M3" s="364"/>
      <c r="N3" s="365"/>
      <c r="O3" s="366" t="str">
        <f aca="false">LVC!$G$1</f>
        <v>Louisville Crobats</v>
      </c>
      <c r="P3" s="366"/>
      <c r="Q3" s="366"/>
      <c r="R3" s="366" t="str">
        <f aca="false">BTB!$G$1</f>
        <v>Battlin Brelooms</v>
      </c>
      <c r="S3" s="366"/>
      <c r="T3" s="366"/>
      <c r="U3" s="366" t="str">
        <f aca="false">SGP!$G$1</f>
        <v>Slung Patrol</v>
      </c>
      <c r="V3" s="366"/>
      <c r="W3" s="366"/>
      <c r="X3" s="370" t="str">
        <f aca="false">FTT!$G$1</f>
        <v>Fortree Trevenants</v>
      </c>
      <c r="Y3" s="370"/>
      <c r="Z3" s="370"/>
      <c r="AA3" s="371" t="n">
        <v>1</v>
      </c>
      <c r="AB3" s="372" t="s">
        <v>57</v>
      </c>
      <c r="AC3" s="292" t="str">
        <f aca="false">$AD$6</f>
        <v>LVC</v>
      </c>
      <c r="AD3" s="198" t="str">
        <f aca="false">SEA!$L$1</f>
        <v>SEA</v>
      </c>
    </row>
    <row r="4" customFormat="false" ht="15.75" hidden="false" customHeight="false" outlineLevel="0" collapsed="false">
      <c r="A4" s="373" t="s">
        <v>242</v>
      </c>
      <c r="B4" s="374" t="s">
        <v>85</v>
      </c>
      <c r="C4" s="374"/>
      <c r="D4" s="374"/>
      <c r="E4" s="374" t="s">
        <v>40</v>
      </c>
      <c r="F4" s="374"/>
      <c r="G4" s="374"/>
      <c r="H4" s="374" t="s">
        <v>95</v>
      </c>
      <c r="I4" s="374"/>
      <c r="J4" s="374"/>
      <c r="K4" s="374" t="s">
        <v>53</v>
      </c>
      <c r="L4" s="374"/>
      <c r="M4" s="374"/>
      <c r="N4" s="375"/>
      <c r="O4" s="374" t="s">
        <v>57</v>
      </c>
      <c r="P4" s="374"/>
      <c r="Q4" s="374"/>
      <c r="R4" s="374" t="s">
        <v>58</v>
      </c>
      <c r="S4" s="374"/>
      <c r="T4" s="374"/>
      <c r="U4" s="374" t="s">
        <v>71</v>
      </c>
      <c r="V4" s="374"/>
      <c r="W4" s="374"/>
      <c r="X4" s="376" t="s">
        <v>72</v>
      </c>
      <c r="Y4" s="376"/>
      <c r="Z4" s="376"/>
      <c r="AA4" s="371" t="n">
        <f aca="false">AA3+1</f>
        <v>2</v>
      </c>
      <c r="AB4" s="372" t="s">
        <v>95</v>
      </c>
      <c r="AC4" s="377" t="str">
        <f aca="false">$AD$4</f>
        <v>JVJ</v>
      </c>
      <c r="AD4" s="198" t="str">
        <f aca="false">JVJ!$L$1</f>
        <v>JVJ</v>
      </c>
    </row>
    <row r="5" customFormat="false" ht="15.75" hidden="false" customHeight="false" outlineLevel="0" collapsed="false">
      <c r="A5" s="378" t="s">
        <v>243</v>
      </c>
      <c r="B5" s="379" t="s">
        <v>124</v>
      </c>
      <c r="C5" s="379"/>
      <c r="D5" s="379"/>
      <c r="E5" s="379" t="s">
        <v>46</v>
      </c>
      <c r="F5" s="379"/>
      <c r="G5" s="379"/>
      <c r="H5" s="379" t="s">
        <v>125</v>
      </c>
      <c r="I5" s="379"/>
      <c r="J5" s="379"/>
      <c r="K5" s="379" t="s">
        <v>100</v>
      </c>
      <c r="L5" s="379"/>
      <c r="M5" s="379"/>
      <c r="N5" s="375"/>
      <c r="O5" s="379" t="s">
        <v>244</v>
      </c>
      <c r="P5" s="379"/>
      <c r="Q5" s="379"/>
      <c r="R5" s="379" t="s">
        <v>67</v>
      </c>
      <c r="S5" s="379"/>
      <c r="T5" s="379"/>
      <c r="U5" s="379" t="s">
        <v>75</v>
      </c>
      <c r="V5" s="379"/>
      <c r="W5" s="379"/>
      <c r="X5" s="380" t="s">
        <v>110</v>
      </c>
      <c r="Y5" s="380"/>
      <c r="Z5" s="380"/>
      <c r="AA5" s="371" t="n">
        <f aca="false">AA4+1</f>
        <v>3</v>
      </c>
      <c r="AB5" s="372" t="s">
        <v>53</v>
      </c>
      <c r="AC5" s="377" t="str">
        <f aca="false">$AD$5</f>
        <v>BBG</v>
      </c>
      <c r="AD5" s="198" t="str">
        <f aca="false">BBG!$L$1</f>
        <v>BBG</v>
      </c>
    </row>
    <row r="6" customFormat="false" ht="15.75" hidden="false" customHeight="false" outlineLevel="0" collapsed="false">
      <c r="A6" s="381" t="s">
        <v>245</v>
      </c>
      <c r="B6" s="379" t="s">
        <v>19</v>
      </c>
      <c r="C6" s="379"/>
      <c r="D6" s="379"/>
      <c r="E6" s="379" t="s">
        <v>91</v>
      </c>
      <c r="F6" s="379"/>
      <c r="G6" s="379"/>
      <c r="H6" s="379" t="s">
        <v>20</v>
      </c>
      <c r="I6" s="379"/>
      <c r="J6" s="379"/>
      <c r="K6" s="379" t="s">
        <v>120</v>
      </c>
      <c r="L6" s="379"/>
      <c r="M6" s="379"/>
      <c r="N6" s="375"/>
      <c r="O6" s="379" t="s">
        <v>246</v>
      </c>
      <c r="P6" s="379"/>
      <c r="Q6" s="379"/>
      <c r="R6" s="379" t="s">
        <v>247</v>
      </c>
      <c r="S6" s="379"/>
      <c r="T6" s="379"/>
      <c r="U6" s="379" t="s">
        <v>73</v>
      </c>
      <c r="V6" s="379"/>
      <c r="W6" s="379"/>
      <c r="X6" s="380" t="s">
        <v>108</v>
      </c>
      <c r="Y6" s="380"/>
      <c r="Z6" s="380"/>
      <c r="AA6" s="371" t="n">
        <f aca="false">AA5+1</f>
        <v>4</v>
      </c>
      <c r="AB6" s="372" t="s">
        <v>58</v>
      </c>
      <c r="AC6" s="377" t="str">
        <f aca="false">$AD$7</f>
        <v>BTB</v>
      </c>
      <c r="AD6" s="204" t="str">
        <f aca="false">LVC!$L$1</f>
        <v>LVC</v>
      </c>
    </row>
    <row r="7" customFormat="false" ht="15.75" hidden="false" customHeight="false" outlineLevel="0" collapsed="false">
      <c r="A7" s="381" t="s">
        <v>245</v>
      </c>
      <c r="B7" s="379" t="s">
        <v>118</v>
      </c>
      <c r="C7" s="379"/>
      <c r="D7" s="379"/>
      <c r="E7" s="379" t="s">
        <v>89</v>
      </c>
      <c r="F7" s="379"/>
      <c r="G7" s="379"/>
      <c r="H7" s="379" t="s">
        <v>248</v>
      </c>
      <c r="I7" s="379"/>
      <c r="J7" s="379"/>
      <c r="K7" s="379" t="s">
        <v>47</v>
      </c>
      <c r="L7" s="379"/>
      <c r="M7" s="379"/>
      <c r="N7" s="375"/>
      <c r="O7" s="379" t="s">
        <v>66</v>
      </c>
      <c r="P7" s="379"/>
      <c r="Q7" s="379"/>
      <c r="R7" s="379" t="s">
        <v>65</v>
      </c>
      <c r="S7" s="379"/>
      <c r="T7" s="379"/>
      <c r="U7" s="379" t="s">
        <v>97</v>
      </c>
      <c r="V7" s="379"/>
      <c r="W7" s="379"/>
      <c r="X7" s="380" t="s">
        <v>249</v>
      </c>
      <c r="Y7" s="380"/>
      <c r="Z7" s="380"/>
      <c r="AA7" s="371" t="n">
        <f aca="false">AA6+1</f>
        <v>5</v>
      </c>
      <c r="AB7" s="372" t="s">
        <v>71</v>
      </c>
      <c r="AC7" s="377" t="str">
        <f aca="false">$AD$8</f>
        <v>SGP</v>
      </c>
      <c r="AD7" s="204" t="str">
        <f aca="false">BTB!$L$1</f>
        <v>BTB</v>
      </c>
    </row>
    <row r="8" customFormat="false" ht="15.75" hidden="false" customHeight="false" outlineLevel="0" collapsed="false">
      <c r="A8" s="382" t="s">
        <v>250</v>
      </c>
      <c r="B8" s="379" t="s">
        <v>103</v>
      </c>
      <c r="C8" s="379"/>
      <c r="D8" s="379"/>
      <c r="E8" s="379" t="s">
        <v>43</v>
      </c>
      <c r="F8" s="379"/>
      <c r="G8" s="379"/>
      <c r="H8" s="379" t="s">
        <v>24</v>
      </c>
      <c r="I8" s="379"/>
      <c r="J8" s="379"/>
      <c r="K8" s="379" t="s">
        <v>99</v>
      </c>
      <c r="L8" s="379"/>
      <c r="M8" s="379"/>
      <c r="N8" s="375"/>
      <c r="O8" s="379" t="s">
        <v>64</v>
      </c>
      <c r="P8" s="379"/>
      <c r="Q8" s="379"/>
      <c r="R8" s="379" t="s">
        <v>251</v>
      </c>
      <c r="S8" s="379"/>
      <c r="T8" s="379"/>
      <c r="U8" s="379" t="s">
        <v>93</v>
      </c>
      <c r="V8" s="379"/>
      <c r="W8" s="379"/>
      <c r="X8" s="380" t="s">
        <v>78</v>
      </c>
      <c r="Y8" s="380"/>
      <c r="Z8" s="380"/>
      <c r="AA8" s="371" t="n">
        <f aca="false">AA7+1</f>
        <v>6</v>
      </c>
      <c r="AB8" s="372" t="s">
        <v>27</v>
      </c>
      <c r="AC8" s="377" t="str">
        <f aca="false">$AD$2</f>
        <v>KKS</v>
      </c>
      <c r="AD8" s="204" t="str">
        <f aca="false">SGP!$L$1</f>
        <v>SGP</v>
      </c>
    </row>
    <row r="9" customFormat="false" ht="15.75" hidden="false" customHeight="false" outlineLevel="0" collapsed="false">
      <c r="A9" s="383" t="s">
        <v>252</v>
      </c>
      <c r="B9" s="379" t="s">
        <v>111</v>
      </c>
      <c r="C9" s="379"/>
      <c r="D9" s="379"/>
      <c r="E9" s="379" t="s">
        <v>113</v>
      </c>
      <c r="F9" s="379"/>
      <c r="G9" s="379"/>
      <c r="H9" s="379" t="s">
        <v>105</v>
      </c>
      <c r="I9" s="379"/>
      <c r="J9" s="379"/>
      <c r="K9" s="379" t="s">
        <v>41</v>
      </c>
      <c r="L9" s="379"/>
      <c r="M9" s="379"/>
      <c r="N9" s="375"/>
      <c r="O9" s="379" t="s">
        <v>86</v>
      </c>
      <c r="P9" s="379"/>
      <c r="Q9" s="379"/>
      <c r="R9" s="379" t="s">
        <v>63</v>
      </c>
      <c r="S9" s="379"/>
      <c r="T9" s="379"/>
      <c r="U9" s="379" t="s">
        <v>114</v>
      </c>
      <c r="V9" s="379"/>
      <c r="W9" s="379"/>
      <c r="X9" s="380" t="s">
        <v>253</v>
      </c>
      <c r="Y9" s="380"/>
      <c r="Z9" s="380"/>
      <c r="AA9" s="371" t="n">
        <f aca="false">AA8+1</f>
        <v>7</v>
      </c>
      <c r="AB9" s="372" t="s">
        <v>46</v>
      </c>
      <c r="AC9" s="377" t="str">
        <f aca="false">$AD$3</f>
        <v>SEA</v>
      </c>
      <c r="AD9" s="384" t="str">
        <f aca="false">FTT!$L$1</f>
        <v>FTT</v>
      </c>
    </row>
    <row r="10" customFormat="false" ht="15.75" hidden="false" customHeight="false" outlineLevel="0" collapsed="false">
      <c r="A10" s="385" t="s">
        <v>254</v>
      </c>
      <c r="B10" s="379" t="s">
        <v>23</v>
      </c>
      <c r="C10" s="379"/>
      <c r="D10" s="379"/>
      <c r="E10" s="379" t="s">
        <v>52</v>
      </c>
      <c r="F10" s="379"/>
      <c r="G10" s="379"/>
      <c r="H10" s="379" t="s">
        <v>32</v>
      </c>
      <c r="I10" s="379"/>
      <c r="J10" s="379"/>
      <c r="K10" s="379" t="s">
        <v>101</v>
      </c>
      <c r="L10" s="379"/>
      <c r="M10" s="379"/>
      <c r="N10" s="375"/>
      <c r="O10" s="379" t="s">
        <v>62</v>
      </c>
      <c r="P10" s="379"/>
      <c r="Q10" s="379"/>
      <c r="R10" s="379" t="s">
        <v>61</v>
      </c>
      <c r="S10" s="379"/>
      <c r="T10" s="379"/>
      <c r="U10" s="379" t="s">
        <v>79</v>
      </c>
      <c r="V10" s="379"/>
      <c r="W10" s="379"/>
      <c r="X10" s="380" t="s">
        <v>80</v>
      </c>
      <c r="Y10" s="380"/>
      <c r="Z10" s="380"/>
      <c r="AA10" s="371" t="n">
        <f aca="false">AA9+1</f>
        <v>8</v>
      </c>
      <c r="AB10" s="372" t="s">
        <v>52</v>
      </c>
      <c r="AC10" s="377" t="str">
        <f aca="false">$AD$3</f>
        <v>SEA</v>
      </c>
      <c r="AD10" s="386"/>
    </row>
    <row r="11" customFormat="false" ht="15.75" hidden="false" customHeight="false" outlineLevel="0" collapsed="false">
      <c r="A11" s="387" t="s">
        <v>255</v>
      </c>
      <c r="B11" s="379" t="s">
        <v>88</v>
      </c>
      <c r="C11" s="379"/>
      <c r="D11" s="379"/>
      <c r="E11" s="379" t="s">
        <v>92</v>
      </c>
      <c r="F11" s="379"/>
      <c r="G11" s="379"/>
      <c r="H11" s="379" t="s">
        <v>94</v>
      </c>
      <c r="I11" s="379"/>
      <c r="J11" s="379"/>
      <c r="K11" s="379" t="s">
        <v>38</v>
      </c>
      <c r="L11" s="379"/>
      <c r="M11" s="379"/>
      <c r="N11" s="375"/>
      <c r="O11" s="379" t="s">
        <v>60</v>
      </c>
      <c r="P11" s="379"/>
      <c r="Q11" s="379"/>
      <c r="R11" s="379" t="s">
        <v>256</v>
      </c>
      <c r="S11" s="379"/>
      <c r="T11" s="379"/>
      <c r="U11" s="379" t="s">
        <v>81</v>
      </c>
      <c r="V11" s="379"/>
      <c r="W11" s="379"/>
      <c r="X11" s="380" t="s">
        <v>76</v>
      </c>
      <c r="Y11" s="380"/>
      <c r="Z11" s="380"/>
      <c r="AA11" s="371" t="n">
        <f aca="false">AA10+1</f>
        <v>9</v>
      </c>
      <c r="AB11" s="372" t="s">
        <v>85</v>
      </c>
      <c r="AC11" s="377" t="str">
        <f aca="false">$AD$2</f>
        <v>KKS</v>
      </c>
      <c r="AD11" s="386"/>
    </row>
    <row r="12" customFormat="false" ht="15.75" hidden="false" customHeight="false" outlineLevel="0" collapsed="false">
      <c r="A12" s="388" t="s">
        <v>255</v>
      </c>
      <c r="B12" s="379" t="s">
        <v>87</v>
      </c>
      <c r="C12" s="379"/>
      <c r="D12" s="379"/>
      <c r="E12" s="379" t="s">
        <v>49</v>
      </c>
      <c r="F12" s="379"/>
      <c r="G12" s="379"/>
      <c r="H12" s="379" t="s">
        <v>106</v>
      </c>
      <c r="I12" s="379"/>
      <c r="J12" s="379"/>
      <c r="K12" s="379" t="s">
        <v>50</v>
      </c>
      <c r="L12" s="379"/>
      <c r="M12" s="379"/>
      <c r="N12" s="375"/>
      <c r="O12" s="379" t="s">
        <v>257</v>
      </c>
      <c r="P12" s="379"/>
      <c r="Q12" s="379"/>
      <c r="R12" s="379" t="s">
        <v>69</v>
      </c>
      <c r="S12" s="379"/>
      <c r="T12" s="379"/>
      <c r="U12" s="379" t="s">
        <v>16</v>
      </c>
      <c r="V12" s="379"/>
      <c r="W12" s="379"/>
      <c r="X12" s="380" t="s">
        <v>74</v>
      </c>
      <c r="Y12" s="380"/>
      <c r="Z12" s="380"/>
      <c r="AA12" s="371" t="n">
        <f aca="false">AA11+1</f>
        <v>10</v>
      </c>
      <c r="AB12" s="372" t="s">
        <v>75</v>
      </c>
      <c r="AC12" s="377" t="str">
        <f aca="false">$AD$8</f>
        <v>SGP</v>
      </c>
      <c r="AD12" s="386"/>
    </row>
    <row r="13" customFormat="false" ht="15.75" hidden="false" customHeight="false" outlineLevel="0" collapsed="false">
      <c r="A13" s="388" t="s">
        <v>255</v>
      </c>
      <c r="B13" s="379" t="s">
        <v>84</v>
      </c>
      <c r="C13" s="379"/>
      <c r="D13" s="379"/>
      <c r="E13" s="379" t="s">
        <v>90</v>
      </c>
      <c r="F13" s="379"/>
      <c r="G13" s="379"/>
      <c r="H13" s="379" t="s">
        <v>258</v>
      </c>
      <c r="I13" s="379"/>
      <c r="J13" s="379"/>
      <c r="K13" s="379" t="s">
        <v>44</v>
      </c>
      <c r="L13" s="379"/>
      <c r="M13" s="379"/>
      <c r="N13" s="375"/>
      <c r="O13" s="379" t="s">
        <v>68</v>
      </c>
      <c r="P13" s="379"/>
      <c r="Q13" s="379"/>
      <c r="R13" s="379" t="s">
        <v>259</v>
      </c>
      <c r="S13" s="379"/>
      <c r="T13" s="379"/>
      <c r="U13" s="379" t="s">
        <v>107</v>
      </c>
      <c r="V13" s="379"/>
      <c r="W13" s="379"/>
      <c r="X13" s="380" t="s">
        <v>82</v>
      </c>
      <c r="Y13" s="380"/>
      <c r="Z13" s="380"/>
      <c r="AA13" s="371" t="n">
        <f aca="false">AA12+1</f>
        <v>11</v>
      </c>
      <c r="AB13" s="372" t="s">
        <v>67</v>
      </c>
      <c r="AC13" s="377" t="str">
        <f aca="false">$AD$7</f>
        <v>BTB</v>
      </c>
      <c r="AD13" s="386"/>
    </row>
    <row r="14" customFormat="false" ht="15.75" hidden="false" customHeight="false" outlineLevel="0" collapsed="false">
      <c r="A14" s="389" t="s">
        <v>255</v>
      </c>
      <c r="B14" s="379" t="s">
        <v>122</v>
      </c>
      <c r="C14" s="379"/>
      <c r="D14" s="379"/>
      <c r="E14" s="379" t="s">
        <v>119</v>
      </c>
      <c r="F14" s="379"/>
      <c r="G14" s="379"/>
      <c r="H14" s="379" t="s">
        <v>28</v>
      </c>
      <c r="I14" s="379"/>
      <c r="J14" s="379"/>
      <c r="K14" s="379" t="s">
        <v>260</v>
      </c>
      <c r="L14" s="379"/>
      <c r="M14" s="379"/>
      <c r="N14" s="375"/>
      <c r="O14" s="379" t="s">
        <v>261</v>
      </c>
      <c r="P14" s="379"/>
      <c r="Q14" s="379"/>
      <c r="R14" s="379" t="s">
        <v>262</v>
      </c>
      <c r="S14" s="379"/>
      <c r="T14" s="379"/>
      <c r="U14" s="379" t="s">
        <v>126</v>
      </c>
      <c r="V14" s="379"/>
      <c r="W14" s="379"/>
      <c r="X14" s="380" t="s">
        <v>263</v>
      </c>
      <c r="Y14" s="380"/>
      <c r="Z14" s="380"/>
      <c r="AA14" s="371" t="n">
        <f aca="false">AA13+1</f>
        <v>12</v>
      </c>
      <c r="AB14" s="372" t="s">
        <v>100</v>
      </c>
      <c r="AC14" s="377" t="str">
        <f aca="false">$AD$5</f>
        <v>BBG</v>
      </c>
      <c r="AD14" s="386"/>
    </row>
    <row r="15" customFormat="false" ht="15.75" hidden="false" customHeight="false" outlineLevel="0" collapsed="false">
      <c r="A15" s="369"/>
      <c r="B15" s="390" t="s">
        <v>264</v>
      </c>
      <c r="C15" s="390"/>
      <c r="D15" s="390"/>
      <c r="E15" s="390" t="s">
        <v>264</v>
      </c>
      <c r="F15" s="390"/>
      <c r="G15" s="390"/>
      <c r="H15" s="390" t="s">
        <v>264</v>
      </c>
      <c r="I15" s="390"/>
      <c r="J15" s="390"/>
      <c r="K15" s="390" t="s">
        <v>264</v>
      </c>
      <c r="L15" s="390"/>
      <c r="M15" s="390"/>
      <c r="N15" s="391"/>
      <c r="O15" s="390" t="s">
        <v>264</v>
      </c>
      <c r="P15" s="390"/>
      <c r="Q15" s="390"/>
      <c r="R15" s="390" t="s">
        <v>264</v>
      </c>
      <c r="S15" s="390"/>
      <c r="T15" s="390"/>
      <c r="U15" s="390" t="s">
        <v>264</v>
      </c>
      <c r="V15" s="390"/>
      <c r="W15" s="390"/>
      <c r="X15" s="390" t="s">
        <v>264</v>
      </c>
      <c r="Y15" s="390"/>
      <c r="Z15" s="390"/>
      <c r="AA15" s="371" t="n">
        <f aca="false">AA14+1</f>
        <v>13</v>
      </c>
      <c r="AB15" s="372" t="s">
        <v>14</v>
      </c>
      <c r="AC15" s="377" t="str">
        <f aca="false">$AD$4</f>
        <v>JVJ</v>
      </c>
      <c r="AD15" s="386"/>
    </row>
    <row r="16" customFormat="false" ht="15.75" hidden="false" customHeight="false" outlineLevel="0" collapsed="false">
      <c r="A16" s="369"/>
      <c r="B16" s="392" t="s">
        <v>85</v>
      </c>
      <c r="C16" s="392"/>
      <c r="D16" s="392"/>
      <c r="E16" s="392" t="s">
        <v>92</v>
      </c>
      <c r="F16" s="392"/>
      <c r="G16" s="392"/>
      <c r="H16" s="392" t="s">
        <v>28</v>
      </c>
      <c r="I16" s="392"/>
      <c r="J16" s="392"/>
      <c r="K16" s="392" t="s">
        <v>38</v>
      </c>
      <c r="L16" s="392"/>
      <c r="M16" s="392"/>
      <c r="N16" s="391"/>
      <c r="O16" s="392" t="s">
        <v>57</v>
      </c>
      <c r="P16" s="392"/>
      <c r="Q16" s="392"/>
      <c r="R16" s="392" t="s">
        <v>69</v>
      </c>
      <c r="S16" s="392"/>
      <c r="T16" s="392"/>
      <c r="U16" s="392" t="s">
        <v>73</v>
      </c>
      <c r="V16" s="392"/>
      <c r="W16" s="392"/>
      <c r="X16" s="392" t="s">
        <v>72</v>
      </c>
      <c r="Y16" s="392"/>
      <c r="Z16" s="392"/>
      <c r="AA16" s="371" t="n">
        <f aca="false">AA15+1</f>
        <v>14</v>
      </c>
      <c r="AB16" s="372" t="s">
        <v>60</v>
      </c>
      <c r="AC16" s="377" t="str">
        <f aca="false">$AD$6</f>
        <v>LVC</v>
      </c>
      <c r="AD16" s="386"/>
    </row>
    <row r="17" customFormat="false" ht="15.75" hidden="false" customHeight="false" outlineLevel="0" collapsed="false">
      <c r="A17" s="393"/>
      <c r="B17" s="394" t="s">
        <v>265</v>
      </c>
      <c r="C17" s="394"/>
      <c r="D17" s="394"/>
      <c r="E17" s="394" t="s">
        <v>265</v>
      </c>
      <c r="F17" s="394"/>
      <c r="G17" s="394"/>
      <c r="H17" s="394" t="s">
        <v>265</v>
      </c>
      <c r="I17" s="394"/>
      <c r="J17" s="394"/>
      <c r="K17" s="394" t="s">
        <v>265</v>
      </c>
      <c r="L17" s="394"/>
      <c r="M17" s="394"/>
      <c r="N17" s="395"/>
      <c r="O17" s="394" t="s">
        <v>265</v>
      </c>
      <c r="P17" s="394"/>
      <c r="Q17" s="394"/>
      <c r="R17" s="394" t="s">
        <v>265</v>
      </c>
      <c r="S17" s="394"/>
      <c r="T17" s="394"/>
      <c r="U17" s="394" t="s">
        <v>265</v>
      </c>
      <c r="V17" s="394"/>
      <c r="W17" s="394"/>
      <c r="X17" s="394" t="s">
        <v>265</v>
      </c>
      <c r="Y17" s="394"/>
      <c r="Z17" s="394"/>
      <c r="AA17" s="371" t="n">
        <f aca="false">AA16+1</f>
        <v>15</v>
      </c>
      <c r="AB17" s="372" t="s">
        <v>244</v>
      </c>
      <c r="AC17" s="377" t="str">
        <f aca="false">$AD$6</f>
        <v>LVC</v>
      </c>
      <c r="AD17" s="386"/>
    </row>
    <row r="18" customFormat="false" ht="15.75" hidden="false" customHeight="false" outlineLevel="0" collapsed="false">
      <c r="A18" s="396"/>
      <c r="B18" s="397" t="s">
        <v>88</v>
      </c>
      <c r="C18" s="397"/>
      <c r="D18" s="397"/>
      <c r="E18" s="397" t="s">
        <v>40</v>
      </c>
      <c r="F18" s="397"/>
      <c r="G18" s="397"/>
      <c r="H18" s="397" t="s">
        <v>24</v>
      </c>
      <c r="I18" s="397"/>
      <c r="J18" s="397"/>
      <c r="K18" s="397" t="s">
        <v>100</v>
      </c>
      <c r="L18" s="397"/>
      <c r="M18" s="397"/>
      <c r="N18" s="398"/>
      <c r="O18" s="397" t="s">
        <v>246</v>
      </c>
      <c r="P18" s="397"/>
      <c r="Q18" s="397"/>
      <c r="R18" s="397" t="s">
        <v>251</v>
      </c>
      <c r="S18" s="397"/>
      <c r="T18" s="397"/>
      <c r="U18" s="397" t="s">
        <v>97</v>
      </c>
      <c r="V18" s="397"/>
      <c r="W18" s="397"/>
      <c r="X18" s="397" t="s">
        <v>110</v>
      </c>
      <c r="Y18" s="397"/>
      <c r="Z18" s="397"/>
      <c r="AA18" s="371" t="n">
        <f aca="false">AA17+1</f>
        <v>16</v>
      </c>
      <c r="AB18" s="372" t="s">
        <v>20</v>
      </c>
      <c r="AC18" s="377" t="str">
        <f aca="false">$AD$4</f>
        <v>JVJ</v>
      </c>
    </row>
    <row r="19" customFormat="false" ht="15.75" hidden="false" customHeight="false" outlineLevel="0" collapsed="false">
      <c r="A19" s="396"/>
      <c r="B19" s="399" t="s">
        <v>103</v>
      </c>
      <c r="C19" s="399"/>
      <c r="D19" s="399"/>
      <c r="E19" s="399" t="s">
        <v>90</v>
      </c>
      <c r="F19" s="399"/>
      <c r="G19" s="399"/>
      <c r="H19" s="399" t="s">
        <v>95</v>
      </c>
      <c r="I19" s="399"/>
      <c r="J19" s="399"/>
      <c r="K19" s="399" t="s">
        <v>50</v>
      </c>
      <c r="L19" s="399"/>
      <c r="M19" s="399"/>
      <c r="N19" s="398"/>
      <c r="O19" s="399" t="s">
        <v>60</v>
      </c>
      <c r="P19" s="399"/>
      <c r="Q19" s="399"/>
      <c r="R19" s="399" t="s">
        <v>65</v>
      </c>
      <c r="S19" s="399"/>
      <c r="T19" s="399"/>
      <c r="U19" s="399" t="s">
        <v>75</v>
      </c>
      <c r="V19" s="399"/>
      <c r="W19" s="399"/>
      <c r="X19" s="399" t="s">
        <v>249</v>
      </c>
      <c r="Y19" s="399"/>
      <c r="Z19" s="399"/>
      <c r="AA19" s="371" t="n">
        <f aca="false">AA18+1</f>
        <v>17</v>
      </c>
      <c r="AB19" s="372" t="s">
        <v>120</v>
      </c>
      <c r="AC19" s="377" t="str">
        <f aca="false">$AD$5</f>
        <v>BBG</v>
      </c>
    </row>
    <row r="20" customFormat="false" ht="15.75" hidden="false" customHeight="false" outlineLevel="0" collapsed="false">
      <c r="AA20" s="371" t="n">
        <f aca="false">AA19+1</f>
        <v>18</v>
      </c>
      <c r="AB20" s="372" t="s">
        <v>61</v>
      </c>
      <c r="AC20" s="377" t="str">
        <f aca="false">$AD$7</f>
        <v>BTB</v>
      </c>
    </row>
    <row r="21" customFormat="false" ht="15.75" hidden="false" customHeight="false" outlineLevel="0" collapsed="false">
      <c r="AA21" s="371" t="n">
        <f aca="false">AA20+1</f>
        <v>19</v>
      </c>
      <c r="AB21" s="372" t="s">
        <v>73</v>
      </c>
      <c r="AC21" s="377" t="str">
        <f aca="false">$AD$8</f>
        <v>SGP</v>
      </c>
    </row>
    <row r="22" customFormat="false" ht="15.75" hidden="false" customHeight="false" outlineLevel="0" collapsed="false">
      <c r="AA22" s="371" t="n">
        <f aca="false">AA21+1</f>
        <v>20</v>
      </c>
      <c r="AB22" s="372" t="s">
        <v>16</v>
      </c>
      <c r="AC22" s="377" t="str">
        <f aca="false">$AD$2</f>
        <v>KKS</v>
      </c>
      <c r="AD22" s="400"/>
    </row>
    <row r="23" customFormat="false" ht="15.75" hidden="false" customHeight="false" outlineLevel="0" collapsed="false">
      <c r="AA23" s="371" t="n">
        <f aca="false">AA22+1</f>
        <v>21</v>
      </c>
      <c r="AB23" s="372" t="s">
        <v>43</v>
      </c>
      <c r="AC23" s="377" t="str">
        <f aca="false">$AD$3</f>
        <v>SEA</v>
      </c>
    </row>
    <row r="24" customFormat="false" ht="15.75" hidden="false" customHeight="false" outlineLevel="0" collapsed="false">
      <c r="AA24" s="371" t="n">
        <f aca="false">AA23+1</f>
        <v>22</v>
      </c>
      <c r="AB24" s="372" t="s">
        <v>116</v>
      </c>
      <c r="AC24" s="377" t="str">
        <f aca="false">$AD$3</f>
        <v>SEA</v>
      </c>
    </row>
    <row r="25" customFormat="false" ht="15.75" hidden="false" customHeight="false" outlineLevel="0" collapsed="false">
      <c r="AA25" s="371" t="n">
        <f aca="false">AA24+1</f>
        <v>23</v>
      </c>
      <c r="AB25" s="372" t="s">
        <v>23</v>
      </c>
      <c r="AC25" s="377" t="str">
        <f aca="false">$AD$2</f>
        <v>KKS</v>
      </c>
    </row>
    <row r="26" customFormat="false" ht="15.75" hidden="false" customHeight="false" outlineLevel="0" collapsed="false">
      <c r="AA26" s="371" t="n">
        <f aca="false">AA25+1</f>
        <v>24</v>
      </c>
      <c r="AB26" s="372" t="s">
        <v>97</v>
      </c>
      <c r="AC26" s="377" t="str">
        <f aca="false">$AD$8</f>
        <v>SGP</v>
      </c>
    </row>
    <row r="27" customFormat="false" ht="15.75" hidden="false" customHeight="false" outlineLevel="0" collapsed="false">
      <c r="AA27" s="371" t="n">
        <f aca="false">AA26+1</f>
        <v>25</v>
      </c>
      <c r="AB27" s="372" t="s">
        <v>256</v>
      </c>
      <c r="AC27" s="377" t="str">
        <f aca="false">$AD$7</f>
        <v>BTB</v>
      </c>
    </row>
    <row r="28" customFormat="false" ht="15.75" hidden="false" customHeight="false" outlineLevel="0" collapsed="false">
      <c r="AA28" s="371" t="n">
        <f aca="false">AA27+1</f>
        <v>26</v>
      </c>
      <c r="AB28" s="372" t="s">
        <v>47</v>
      </c>
      <c r="AC28" s="377" t="str">
        <f aca="false">$AD$5</f>
        <v>BBG</v>
      </c>
    </row>
    <row r="29" customFormat="false" ht="15.75" hidden="false" customHeight="false" outlineLevel="0" collapsed="false">
      <c r="AA29" s="371" t="n">
        <f aca="false">AA28+1</f>
        <v>27</v>
      </c>
      <c r="AB29" s="372" t="s">
        <v>88</v>
      </c>
      <c r="AC29" s="377" t="str">
        <f aca="false">$AD$4</f>
        <v>JVJ</v>
      </c>
    </row>
    <row r="30" customFormat="false" ht="15.75" hidden="false" customHeight="false" outlineLevel="0" collapsed="false">
      <c r="AA30" s="371" t="n">
        <f aca="false">AA29+1</f>
        <v>28</v>
      </c>
      <c r="AB30" s="372" t="s">
        <v>257</v>
      </c>
      <c r="AC30" s="377" t="str">
        <f aca="false">$AD$6</f>
        <v>LVC</v>
      </c>
    </row>
    <row r="31" customFormat="false" ht="15.75" hidden="false" customHeight="false" outlineLevel="0" collapsed="false">
      <c r="AA31" s="371" t="n">
        <f aca="false">AA30+1</f>
        <v>29</v>
      </c>
      <c r="AB31" s="372" t="s">
        <v>246</v>
      </c>
      <c r="AC31" s="377" t="str">
        <f aca="false">$AD$6</f>
        <v>LVC</v>
      </c>
      <c r="AD31" s="400"/>
    </row>
    <row r="32" customFormat="false" ht="15.75" hidden="false" customHeight="false" outlineLevel="0" collapsed="false">
      <c r="AA32" s="371" t="n">
        <f aca="false">AA31+1</f>
        <v>30</v>
      </c>
      <c r="AB32" s="372" t="s">
        <v>266</v>
      </c>
      <c r="AC32" s="377" t="str">
        <f aca="false">$AD$4</f>
        <v>JVJ</v>
      </c>
    </row>
    <row r="33" customFormat="false" ht="15.75" hidden="false" customHeight="false" outlineLevel="0" collapsed="false">
      <c r="AA33" s="371" t="n">
        <f aca="false">AA32+1</f>
        <v>31</v>
      </c>
      <c r="AB33" s="372" t="s">
        <v>267</v>
      </c>
      <c r="AC33" s="377" t="str">
        <f aca="false">$AD$5</f>
        <v>BBG</v>
      </c>
    </row>
    <row r="34" customFormat="false" ht="15.75" hidden="false" customHeight="false" outlineLevel="0" collapsed="false">
      <c r="AA34" s="371" t="n">
        <f aca="false">AA33+1</f>
        <v>32</v>
      </c>
      <c r="AB34" s="372" t="s">
        <v>65</v>
      </c>
      <c r="AC34" s="377" t="str">
        <f aca="false">$AD$7</f>
        <v>BTB</v>
      </c>
    </row>
    <row r="35" customFormat="false" ht="15.75" hidden="false" customHeight="false" outlineLevel="0" collapsed="false">
      <c r="AA35" s="371" t="n">
        <f aca="false">AA34+1</f>
        <v>33</v>
      </c>
      <c r="AB35" s="372" t="s">
        <v>268</v>
      </c>
      <c r="AC35" s="377" t="str">
        <f aca="false">$AD$8</f>
        <v>SGP</v>
      </c>
    </row>
    <row r="36" customFormat="false" ht="15.75" hidden="false" customHeight="false" outlineLevel="0" collapsed="false">
      <c r="AA36" s="371" t="n">
        <f aca="false">AA35+1</f>
        <v>34</v>
      </c>
      <c r="AB36" s="372" t="s">
        <v>19</v>
      </c>
      <c r="AC36" s="377" t="str">
        <f aca="false">$AD$2</f>
        <v>KKS</v>
      </c>
      <c r="AD36" s="400"/>
    </row>
    <row r="37" customFormat="false" ht="15.75" hidden="false" customHeight="false" outlineLevel="0" collapsed="false">
      <c r="AA37" s="371" t="n">
        <f aca="false">AA36+1</f>
        <v>35</v>
      </c>
      <c r="AB37" s="372" t="s">
        <v>40</v>
      </c>
      <c r="AC37" s="377" t="str">
        <f aca="false">$AD$3</f>
        <v>SEA</v>
      </c>
      <c r="AD37" s="400"/>
    </row>
    <row r="38" customFormat="false" ht="15.75" hidden="false" customHeight="false" outlineLevel="0" collapsed="false">
      <c r="AA38" s="371" t="n">
        <f aca="false">AA37+1</f>
        <v>36</v>
      </c>
      <c r="AB38" s="372" t="s">
        <v>113</v>
      </c>
      <c r="AC38" s="377" t="str">
        <f aca="false">$AD$3</f>
        <v>SEA</v>
      </c>
      <c r="AD38" s="400"/>
    </row>
    <row r="39" customFormat="false" ht="15.75" hidden="false" customHeight="false" outlineLevel="0" collapsed="false">
      <c r="AA39" s="371" t="n">
        <f aca="false">AA38+1</f>
        <v>37</v>
      </c>
      <c r="AB39" s="372" t="s">
        <v>118</v>
      </c>
      <c r="AC39" s="377" t="str">
        <f aca="false">$AD$2</f>
        <v>KKS</v>
      </c>
    </row>
    <row r="40" customFormat="false" ht="15.75" hidden="false" customHeight="false" outlineLevel="0" collapsed="false">
      <c r="AA40" s="371" t="n">
        <f aca="false">AA39+1</f>
        <v>38</v>
      </c>
      <c r="AB40" s="372" t="s">
        <v>81</v>
      </c>
      <c r="AC40" s="377" t="str">
        <f aca="false">$AD$8</f>
        <v>SGP</v>
      </c>
    </row>
    <row r="41" customFormat="false" ht="15.75" hidden="false" customHeight="false" outlineLevel="0" collapsed="false">
      <c r="AA41" s="371" t="n">
        <f aca="false">AA40+1</f>
        <v>39</v>
      </c>
      <c r="AB41" s="372" t="s">
        <v>247</v>
      </c>
      <c r="AC41" s="377" t="str">
        <f aca="false">$AD$7</f>
        <v>BTB</v>
      </c>
    </row>
    <row r="42" customFormat="false" ht="15.75" hidden="false" customHeight="false" outlineLevel="0" collapsed="false">
      <c r="AA42" s="371" t="n">
        <f aca="false">AA41+1</f>
        <v>40</v>
      </c>
      <c r="AB42" s="372" t="s">
        <v>41</v>
      </c>
      <c r="AC42" s="377" t="str">
        <f aca="false">$AD$5</f>
        <v>BBG</v>
      </c>
    </row>
    <row r="43" customFormat="false" ht="15.75" hidden="false" customHeight="false" outlineLevel="0" collapsed="false">
      <c r="AA43" s="371" t="n">
        <f aca="false">AA42+1</f>
        <v>41</v>
      </c>
      <c r="AB43" s="372" t="s">
        <v>84</v>
      </c>
      <c r="AC43" s="377" t="str">
        <f aca="false">$AD$4</f>
        <v>JVJ</v>
      </c>
    </row>
    <row r="44" customFormat="false" ht="15.75" hidden="false" customHeight="false" outlineLevel="0" collapsed="false">
      <c r="AA44" s="371" t="n">
        <f aca="false">AA43+1</f>
        <v>42</v>
      </c>
      <c r="AB44" s="372" t="s">
        <v>66</v>
      </c>
      <c r="AC44" s="377" t="str">
        <f aca="false">$AD$6</f>
        <v>LVC</v>
      </c>
    </row>
    <row r="45" customFormat="false" ht="15.75" hidden="false" customHeight="false" outlineLevel="0" collapsed="false">
      <c r="AA45" s="371" t="n">
        <f aca="false">AA44+1</f>
        <v>43</v>
      </c>
      <c r="AB45" s="372" t="s">
        <v>62</v>
      </c>
      <c r="AC45" s="377" t="str">
        <f aca="false">$AD$6</f>
        <v>LVC</v>
      </c>
    </row>
    <row r="46" customFormat="false" ht="15.75" hidden="false" customHeight="false" outlineLevel="0" collapsed="false">
      <c r="AA46" s="371" t="n">
        <f aca="false">AA45+1</f>
        <v>44</v>
      </c>
      <c r="AB46" s="372" t="s">
        <v>32</v>
      </c>
      <c r="AC46" s="377" t="str">
        <f aca="false">$AD$4</f>
        <v>JVJ</v>
      </c>
    </row>
    <row r="47" customFormat="false" ht="15.75" hidden="false" customHeight="false" outlineLevel="0" collapsed="false">
      <c r="AA47" s="371" t="n">
        <f aca="false">AA46+1</f>
        <v>45</v>
      </c>
      <c r="AB47" s="372" t="s">
        <v>101</v>
      </c>
      <c r="AC47" s="377" t="str">
        <f aca="false">$AD$5</f>
        <v>BBG</v>
      </c>
      <c r="AD47" s="400"/>
    </row>
    <row r="48" customFormat="false" ht="15.75" hidden="false" customHeight="false" outlineLevel="0" collapsed="false">
      <c r="AA48" s="371" t="n">
        <f aca="false">AA47+1</f>
        <v>46</v>
      </c>
      <c r="AB48" s="372" t="s">
        <v>251</v>
      </c>
      <c r="AC48" s="377" t="str">
        <f aca="false">$AD$7</f>
        <v>BTB</v>
      </c>
      <c r="AD48" s="400"/>
    </row>
    <row r="49" customFormat="false" ht="15.75" hidden="false" customHeight="false" outlineLevel="0" collapsed="false">
      <c r="AA49" s="371" t="n">
        <f aca="false">AA48+1</f>
        <v>47</v>
      </c>
      <c r="AB49" s="372" t="s">
        <v>79</v>
      </c>
      <c r="AC49" s="377" t="str">
        <f aca="false">$AD$8</f>
        <v>SGP</v>
      </c>
      <c r="AD49" s="400"/>
    </row>
    <row r="50" customFormat="false" ht="15.75" hidden="false" customHeight="false" outlineLevel="0" collapsed="false">
      <c r="AA50" s="371" t="n">
        <f aca="false">AA49+1</f>
        <v>48</v>
      </c>
      <c r="AB50" s="372" t="s">
        <v>94</v>
      </c>
      <c r="AC50" s="377" t="str">
        <f aca="false">$AD$2</f>
        <v>KKS</v>
      </c>
    </row>
    <row r="51" customFormat="false" ht="15.75" hidden="false" customHeight="false" outlineLevel="0" collapsed="false">
      <c r="AA51" s="371" t="n">
        <f aca="false">AA50+1</f>
        <v>49</v>
      </c>
      <c r="AB51" s="372" t="s">
        <v>89</v>
      </c>
      <c r="AC51" s="377" t="str">
        <f aca="false">$AD$3</f>
        <v>SEA</v>
      </c>
    </row>
    <row r="52" customFormat="false" ht="15.75" hidden="false" customHeight="false" outlineLevel="0" collapsed="false">
      <c r="AA52" s="371" t="n">
        <f aca="false">AA51+1</f>
        <v>50</v>
      </c>
      <c r="AB52" s="372" t="s">
        <v>92</v>
      </c>
      <c r="AC52" s="377" t="str">
        <f aca="false">$AD$3</f>
        <v>SEA</v>
      </c>
    </row>
    <row r="53" customFormat="false" ht="15.75" hidden="false" customHeight="false" outlineLevel="0" collapsed="false">
      <c r="AA53" s="371" t="n">
        <f aca="false">AA52+1</f>
        <v>51</v>
      </c>
      <c r="AB53" s="372" t="s">
        <v>269</v>
      </c>
      <c r="AC53" s="377" t="str">
        <f aca="false">$AD$2</f>
        <v>KKS</v>
      </c>
    </row>
    <row r="54" customFormat="false" ht="15.75" hidden="false" customHeight="false" outlineLevel="0" collapsed="false">
      <c r="AA54" s="371" t="n">
        <f aca="false">AA53+1</f>
        <v>52</v>
      </c>
      <c r="AB54" s="372" t="s">
        <v>114</v>
      </c>
      <c r="AC54" s="377" t="str">
        <f aca="false">$AD$8</f>
        <v>SGP</v>
      </c>
      <c r="AD54" s="400"/>
    </row>
    <row r="55" customFormat="false" ht="15.75" hidden="false" customHeight="false" outlineLevel="0" collapsed="false">
      <c r="AA55" s="371" t="n">
        <f aca="false">AA54+1</f>
        <v>53</v>
      </c>
      <c r="AB55" s="372" t="s">
        <v>69</v>
      </c>
      <c r="AC55" s="377" t="str">
        <f aca="false">$AD$7</f>
        <v>BTB</v>
      </c>
    </row>
    <row r="56" customFormat="false" ht="15.75" hidden="false" customHeight="false" outlineLevel="0" collapsed="false">
      <c r="AA56" s="371" t="n">
        <f aca="false">AA55+1</f>
        <v>54</v>
      </c>
      <c r="AB56" s="372" t="s">
        <v>38</v>
      </c>
      <c r="AC56" s="377" t="str">
        <f aca="false">$AD$5</f>
        <v>BBG</v>
      </c>
    </row>
    <row r="57" customFormat="false" ht="15.75" hidden="false" customHeight="false" outlineLevel="0" collapsed="false">
      <c r="AA57" s="371" t="n">
        <f aca="false">AA56+1</f>
        <v>55</v>
      </c>
      <c r="AB57" s="372" t="s">
        <v>106</v>
      </c>
      <c r="AC57" s="377" t="str">
        <f aca="false">$AD$4</f>
        <v>JVJ</v>
      </c>
    </row>
    <row r="58" customFormat="false" ht="15.75" hidden="false" customHeight="false" outlineLevel="0" collapsed="false">
      <c r="AA58" s="371" t="n">
        <f aca="false">AA57+1</f>
        <v>56</v>
      </c>
      <c r="AB58" s="372" t="s">
        <v>68</v>
      </c>
      <c r="AC58" s="377" t="str">
        <f aca="false">$AD$6</f>
        <v>LVC</v>
      </c>
    </row>
    <row r="59" customFormat="false" ht="15.75" hidden="false" customHeight="false" outlineLevel="0" collapsed="false">
      <c r="AA59" s="371" t="n">
        <f aca="false">AA58+1</f>
        <v>57</v>
      </c>
      <c r="AB59" s="372" t="s">
        <v>64</v>
      </c>
      <c r="AC59" s="377" t="str">
        <f aca="false">$AD$6</f>
        <v>LVC</v>
      </c>
    </row>
    <row r="60" customFormat="false" ht="15.75" hidden="false" customHeight="false" outlineLevel="0" collapsed="false">
      <c r="AA60" s="371" t="n">
        <f aca="false">AA59+1</f>
        <v>58</v>
      </c>
      <c r="AB60" s="372" t="s">
        <v>105</v>
      </c>
      <c r="AC60" s="377" t="str">
        <f aca="false">$AD$4</f>
        <v>JVJ</v>
      </c>
    </row>
    <row r="61" customFormat="false" ht="15.75" hidden="false" customHeight="false" outlineLevel="0" collapsed="false">
      <c r="AA61" s="371" t="n">
        <f aca="false">AA60+1</f>
        <v>59</v>
      </c>
      <c r="AB61" s="372" t="s">
        <v>50</v>
      </c>
      <c r="AC61" s="377" t="str">
        <f aca="false">$AD$5</f>
        <v>BBG</v>
      </c>
    </row>
    <row r="62" customFormat="false" ht="15.75" hidden="false" customHeight="false" outlineLevel="0" collapsed="false">
      <c r="AA62" s="371" t="n">
        <f aca="false">AA61+1</f>
        <v>60</v>
      </c>
      <c r="AB62" s="372" t="s">
        <v>63</v>
      </c>
      <c r="AC62" s="377" t="str">
        <f aca="false">$AD$7</f>
        <v>BTB</v>
      </c>
    </row>
    <row r="63" customFormat="false" ht="15.75" hidden="false" customHeight="false" outlineLevel="0" collapsed="false">
      <c r="AA63" s="371" t="n">
        <f aca="false">AA62+1</f>
        <v>61</v>
      </c>
      <c r="AB63" s="372" t="s">
        <v>77</v>
      </c>
      <c r="AC63" s="377" t="str">
        <f aca="false">$AD$8</f>
        <v>SGP</v>
      </c>
      <c r="AD63" s="400"/>
    </row>
    <row r="64" customFormat="false" ht="15.75" hidden="false" customHeight="false" outlineLevel="0" collapsed="false">
      <c r="AA64" s="371" t="n">
        <f aca="false">AA63+1</f>
        <v>62</v>
      </c>
      <c r="AB64" s="372" t="s">
        <v>103</v>
      </c>
      <c r="AC64" s="377" t="str">
        <f aca="false">$AD$2</f>
        <v>KKS</v>
      </c>
    </row>
    <row r="65" customFormat="false" ht="15.75" hidden="false" customHeight="false" outlineLevel="0" collapsed="false">
      <c r="AA65" s="371" t="n">
        <f aca="false">AA64+1</f>
        <v>63</v>
      </c>
      <c r="AB65" s="372" t="s">
        <v>49</v>
      </c>
      <c r="AC65" s="377" t="str">
        <f aca="false">$AD$3</f>
        <v>SEA</v>
      </c>
    </row>
    <row r="66" customFormat="false" ht="15.75" hidden="false" customHeight="false" outlineLevel="0" collapsed="false">
      <c r="AA66" s="371" t="n">
        <f aca="false">AA65+1</f>
        <v>64</v>
      </c>
      <c r="AB66" s="372" t="s">
        <v>90</v>
      </c>
      <c r="AC66" s="377" t="str">
        <f aca="false">$AD$3</f>
        <v>SEA</v>
      </c>
    </row>
    <row r="67" customFormat="false" ht="15.75" hidden="false" customHeight="false" outlineLevel="0" collapsed="false">
      <c r="AA67" s="371" t="n">
        <f aca="false">AA66+1</f>
        <v>65</v>
      </c>
      <c r="AB67" s="372" t="s">
        <v>31</v>
      </c>
      <c r="AC67" s="377" t="str">
        <f aca="false">$AD$2</f>
        <v>KKS</v>
      </c>
    </row>
    <row r="68" customFormat="false" ht="15.75" hidden="false" customHeight="false" outlineLevel="0" collapsed="false">
      <c r="AA68" s="371" t="n">
        <f aca="false">AA67+1</f>
        <v>66</v>
      </c>
      <c r="AB68" s="372" t="s">
        <v>107</v>
      </c>
      <c r="AC68" s="377" t="str">
        <f aca="false">$AD$8</f>
        <v>SGP</v>
      </c>
      <c r="AD68" s="400"/>
    </row>
    <row r="69" customFormat="false" ht="15.75" hidden="false" customHeight="false" outlineLevel="0" collapsed="false">
      <c r="AA69" s="371" t="n">
        <f aca="false">AA68+1</f>
        <v>67</v>
      </c>
      <c r="AB69" s="372" t="s">
        <v>259</v>
      </c>
      <c r="AC69" s="377" t="str">
        <f aca="false">$AD$7</f>
        <v>BTB</v>
      </c>
      <c r="AD69" s="400"/>
    </row>
    <row r="70" customFormat="false" ht="15.75" hidden="false" customHeight="false" outlineLevel="0" collapsed="false">
      <c r="AA70" s="371" t="n">
        <f aca="false">AA69+1</f>
        <v>68</v>
      </c>
      <c r="AB70" s="372" t="s">
        <v>44</v>
      </c>
      <c r="AC70" s="377" t="str">
        <f aca="false">$AD$5</f>
        <v>BBG</v>
      </c>
      <c r="AD70" s="400"/>
    </row>
    <row r="71" customFormat="false" ht="15.75" hidden="false" customHeight="false" outlineLevel="0" collapsed="false">
      <c r="AA71" s="371" t="n">
        <f aca="false">AA70+1</f>
        <v>69</v>
      </c>
      <c r="AB71" s="372" t="s">
        <v>24</v>
      </c>
      <c r="AC71" s="377" t="str">
        <f aca="false">$AD$4</f>
        <v>JVJ</v>
      </c>
    </row>
    <row r="72" customFormat="false" ht="15.75" hidden="false" customHeight="false" outlineLevel="0" collapsed="false">
      <c r="AA72" s="371" t="n">
        <f aca="false">AA71+1</f>
        <v>70</v>
      </c>
      <c r="AB72" s="372" t="s">
        <v>86</v>
      </c>
      <c r="AC72" s="377" t="str">
        <f aca="false">$AD$6</f>
        <v>LVC</v>
      </c>
    </row>
    <row r="73" customFormat="false" ht="15.75" hidden="false" customHeight="false" outlineLevel="0" collapsed="false">
      <c r="AA73" s="371" t="n">
        <f aca="false">AA72+1</f>
        <v>71</v>
      </c>
      <c r="AB73" s="372" t="s">
        <v>261</v>
      </c>
      <c r="AC73" s="377" t="str">
        <f aca="false">$AD$6</f>
        <v>LVC</v>
      </c>
    </row>
    <row r="74" customFormat="false" ht="15.75" hidden="false" customHeight="false" outlineLevel="0" collapsed="false">
      <c r="AA74" s="371" t="n">
        <f aca="false">AA73+1</f>
        <v>72</v>
      </c>
      <c r="AB74" s="372" t="s">
        <v>28</v>
      </c>
      <c r="AC74" s="377" t="str">
        <f aca="false">$AD$4</f>
        <v>JVJ</v>
      </c>
    </row>
    <row r="75" customFormat="false" ht="15.75" hidden="false" customHeight="false" outlineLevel="0" collapsed="false">
      <c r="AA75" s="371" t="n">
        <f aca="false">AA74+1</f>
        <v>73</v>
      </c>
      <c r="AB75" s="372" t="s">
        <v>260</v>
      </c>
      <c r="AC75" s="377" t="str">
        <f aca="false">$AD$5</f>
        <v>BBG</v>
      </c>
    </row>
    <row r="76" customFormat="false" ht="15.75" hidden="false" customHeight="false" outlineLevel="0" collapsed="false">
      <c r="AA76" s="371" t="n">
        <f aca="false">AA75+1</f>
        <v>74</v>
      </c>
      <c r="AB76" s="372" t="s">
        <v>262</v>
      </c>
      <c r="AC76" s="377" t="str">
        <f aca="false">$AD$7</f>
        <v>BTB</v>
      </c>
    </row>
    <row r="77" customFormat="false" ht="15.75" hidden="false" customHeight="false" outlineLevel="0" collapsed="false">
      <c r="AA77" s="371" t="n">
        <f aca="false">AA76+1</f>
        <v>75</v>
      </c>
      <c r="AB77" s="372" t="s">
        <v>96</v>
      </c>
      <c r="AC77" s="377" t="str">
        <f aca="false">$AD$8</f>
        <v>SGP</v>
      </c>
    </row>
    <row r="78" customFormat="false" ht="15.75" hidden="false" customHeight="false" outlineLevel="0" collapsed="false">
      <c r="AA78" s="371" t="n">
        <f aca="false">AA77+1</f>
        <v>76</v>
      </c>
      <c r="AB78" s="372" t="s">
        <v>111</v>
      </c>
      <c r="AC78" s="377" t="str">
        <f aca="false">$AD$2</f>
        <v>KKS</v>
      </c>
    </row>
    <row r="79" customFormat="false" ht="15.75" hidden="false" customHeight="false" outlineLevel="0" collapsed="false">
      <c r="AA79" s="401" t="n">
        <f aca="false">AA78+1</f>
        <v>77</v>
      </c>
      <c r="AB79" s="402" t="s">
        <v>270</v>
      </c>
      <c r="AC79" s="377" t="str">
        <f aca="false">$AD$3</f>
        <v>SEA</v>
      </c>
      <c r="AD79" s="400"/>
    </row>
    <row r="80" customFormat="false" ht="15.75" hidden="false" customHeight="false" outlineLevel="0" collapsed="false">
      <c r="AA80" s="401" t="n">
        <f aca="false">AA79+1</f>
        <v>78</v>
      </c>
      <c r="AB80" s="403" t="s">
        <v>72</v>
      </c>
      <c r="AC80" s="404" t="str">
        <f aca="false">FTT!$L$1</f>
        <v>FTT</v>
      </c>
      <c r="AD80" s="400"/>
    </row>
    <row r="81" customFormat="false" ht="15.75" hidden="false" customHeight="false" outlineLevel="0" collapsed="false">
      <c r="AA81" s="401" t="n">
        <f aca="false">AA80+1</f>
        <v>79</v>
      </c>
      <c r="AB81" s="403" t="s">
        <v>74</v>
      </c>
      <c r="AC81" s="404" t="str">
        <f aca="false">FTT!$L$1</f>
        <v>FTT</v>
      </c>
      <c r="AD81" s="400"/>
    </row>
    <row r="82" customFormat="false" ht="15.75" hidden="false" customHeight="false" outlineLevel="0" collapsed="false">
      <c r="AA82" s="401" t="n">
        <f aca="false">AA81+1</f>
        <v>80</v>
      </c>
      <c r="AB82" s="403" t="s">
        <v>76</v>
      </c>
      <c r="AC82" s="404" t="str">
        <f aca="false">FTT!$L$1</f>
        <v>FTT</v>
      </c>
    </row>
    <row r="83" customFormat="false" ht="15.75" hidden="false" customHeight="false" outlineLevel="0" collapsed="false">
      <c r="AA83" s="401" t="n">
        <f aca="false">AA82+1</f>
        <v>81</v>
      </c>
      <c r="AB83" s="403" t="s">
        <v>110</v>
      </c>
      <c r="AC83" s="404" t="str">
        <f aca="false">FTT!$L$1</f>
        <v>FTT</v>
      </c>
    </row>
    <row r="84" customFormat="false" ht="15.75" hidden="false" customHeight="false" outlineLevel="0" collapsed="false">
      <c r="AA84" s="401" t="n">
        <f aca="false">AA83+1</f>
        <v>82</v>
      </c>
      <c r="AB84" s="403" t="s">
        <v>82</v>
      </c>
      <c r="AC84" s="404" t="str">
        <f aca="false">FTT!$L$1</f>
        <v>FTT</v>
      </c>
    </row>
    <row r="85" customFormat="false" ht="15.75" hidden="false" customHeight="false" outlineLevel="0" collapsed="false">
      <c r="AA85" s="401" t="n">
        <f aca="false">AA84+1</f>
        <v>83</v>
      </c>
      <c r="AB85" s="403" t="s">
        <v>249</v>
      </c>
      <c r="AC85" s="404" t="str">
        <f aca="false">FTT!$L$1</f>
        <v>FTT</v>
      </c>
      <c r="AD85" s="400"/>
    </row>
    <row r="86" customFormat="false" ht="15.75" hidden="false" customHeight="false" outlineLevel="0" collapsed="false">
      <c r="AA86" s="401" t="n">
        <f aca="false">AA85+1</f>
        <v>84</v>
      </c>
      <c r="AB86" s="403" t="s">
        <v>108</v>
      </c>
      <c r="AC86" s="404" t="str">
        <f aca="false">FTT!$L$1</f>
        <v>FTT</v>
      </c>
    </row>
    <row r="87" customFormat="false" ht="15.75" hidden="false" customHeight="false" outlineLevel="0" collapsed="false">
      <c r="AA87" s="401" t="n">
        <f aca="false">AA86+1</f>
        <v>85</v>
      </c>
      <c r="AB87" s="403" t="s">
        <v>78</v>
      </c>
      <c r="AC87" s="404" t="str">
        <f aca="false">FTT!$L$1</f>
        <v>FTT</v>
      </c>
    </row>
    <row r="88" customFormat="false" ht="15.75" hidden="false" customHeight="false" outlineLevel="0" collapsed="false">
      <c r="AA88" s="401" t="n">
        <f aca="false">AA87+1</f>
        <v>86</v>
      </c>
      <c r="AB88" s="403" t="s">
        <v>263</v>
      </c>
      <c r="AC88" s="404" t="str">
        <f aca="false">FTT!$L$1</f>
        <v>FTT</v>
      </c>
    </row>
    <row r="89" customFormat="false" ht="15.75" hidden="false" customHeight="false" outlineLevel="0" collapsed="false">
      <c r="AA89" s="401" t="n">
        <f aca="false">AA88+1</f>
        <v>87</v>
      </c>
      <c r="AB89" s="403" t="s">
        <v>253</v>
      </c>
      <c r="AC89" s="404" t="str">
        <f aca="false">FTT!$L$1</f>
        <v>FTT</v>
      </c>
    </row>
    <row r="90" customFormat="false" ht="15.75" hidden="false" customHeight="false" outlineLevel="0" collapsed="false">
      <c r="AA90" s="405" t="n">
        <f aca="false">AA89+1</f>
        <v>88</v>
      </c>
      <c r="AB90" s="406" t="s">
        <v>80</v>
      </c>
      <c r="AC90" s="407" t="str">
        <f aca="false">FTT!$L$1</f>
        <v>FTT</v>
      </c>
    </row>
  </sheetData>
  <mergeCells count="139">
    <mergeCell ref="AA1:AC1"/>
    <mergeCell ref="B2:M2"/>
    <mergeCell ref="O2:Z2"/>
    <mergeCell ref="B3:D3"/>
    <mergeCell ref="E3:G3"/>
    <mergeCell ref="H3:J3"/>
    <mergeCell ref="K3:M3"/>
    <mergeCell ref="O3:Q3"/>
    <mergeCell ref="R3:T3"/>
    <mergeCell ref="U3:W3"/>
    <mergeCell ref="X3:Z3"/>
    <mergeCell ref="B4:D4"/>
    <mergeCell ref="E4:G4"/>
    <mergeCell ref="H4:J4"/>
    <mergeCell ref="K4:M4"/>
    <mergeCell ref="O4:Q4"/>
    <mergeCell ref="R4:T4"/>
    <mergeCell ref="U4:W4"/>
    <mergeCell ref="X4:Z4"/>
    <mergeCell ref="B5:D5"/>
    <mergeCell ref="E5:G5"/>
    <mergeCell ref="H5:J5"/>
    <mergeCell ref="K5:M5"/>
    <mergeCell ref="O5:Q5"/>
    <mergeCell ref="R5:T5"/>
    <mergeCell ref="U5:W5"/>
    <mergeCell ref="X5:Z5"/>
    <mergeCell ref="B6:D6"/>
    <mergeCell ref="E6:G6"/>
    <mergeCell ref="H6:J6"/>
    <mergeCell ref="K6:M6"/>
    <mergeCell ref="O6:Q6"/>
    <mergeCell ref="R6:T6"/>
    <mergeCell ref="U6:W6"/>
    <mergeCell ref="X6:Z6"/>
    <mergeCell ref="B7:D7"/>
    <mergeCell ref="E7:G7"/>
    <mergeCell ref="H7:J7"/>
    <mergeCell ref="K7:M7"/>
    <mergeCell ref="O7:Q7"/>
    <mergeCell ref="R7:T7"/>
    <mergeCell ref="U7:W7"/>
    <mergeCell ref="X7:Z7"/>
    <mergeCell ref="B8:D8"/>
    <mergeCell ref="E8:G8"/>
    <mergeCell ref="H8:J8"/>
    <mergeCell ref="K8:M8"/>
    <mergeCell ref="O8:Q8"/>
    <mergeCell ref="R8:T8"/>
    <mergeCell ref="U8:W8"/>
    <mergeCell ref="X8:Z8"/>
    <mergeCell ref="B9:D9"/>
    <mergeCell ref="E9:G9"/>
    <mergeCell ref="H9:J9"/>
    <mergeCell ref="K9:M9"/>
    <mergeCell ref="O9:Q9"/>
    <mergeCell ref="R9:T9"/>
    <mergeCell ref="U9:W9"/>
    <mergeCell ref="X9:Z9"/>
    <mergeCell ref="B10:D10"/>
    <mergeCell ref="E10:G10"/>
    <mergeCell ref="H10:J10"/>
    <mergeCell ref="K10:M10"/>
    <mergeCell ref="O10:Q10"/>
    <mergeCell ref="R10:T10"/>
    <mergeCell ref="U10:W10"/>
    <mergeCell ref="X10:Z10"/>
    <mergeCell ref="B11:D11"/>
    <mergeCell ref="E11:G11"/>
    <mergeCell ref="H11:J11"/>
    <mergeCell ref="K11:M11"/>
    <mergeCell ref="O11:Q11"/>
    <mergeCell ref="R11:T11"/>
    <mergeCell ref="U11:W11"/>
    <mergeCell ref="X11:Z11"/>
    <mergeCell ref="B12:D12"/>
    <mergeCell ref="E12:G12"/>
    <mergeCell ref="H12:J12"/>
    <mergeCell ref="K12:M12"/>
    <mergeCell ref="O12:Q12"/>
    <mergeCell ref="R12:T12"/>
    <mergeCell ref="U12:W12"/>
    <mergeCell ref="X12:Z12"/>
    <mergeCell ref="B13:D13"/>
    <mergeCell ref="E13:G13"/>
    <mergeCell ref="H13:J13"/>
    <mergeCell ref="K13:M13"/>
    <mergeCell ref="O13:Q13"/>
    <mergeCell ref="R13:T13"/>
    <mergeCell ref="U13:W13"/>
    <mergeCell ref="X13:Z13"/>
    <mergeCell ref="B14:D14"/>
    <mergeCell ref="E14:G14"/>
    <mergeCell ref="H14:J14"/>
    <mergeCell ref="K14:M14"/>
    <mergeCell ref="O14:Q14"/>
    <mergeCell ref="R14:T14"/>
    <mergeCell ref="U14:W14"/>
    <mergeCell ref="X14:Z14"/>
    <mergeCell ref="B15:D15"/>
    <mergeCell ref="E15:G15"/>
    <mergeCell ref="H15:J15"/>
    <mergeCell ref="K15:M15"/>
    <mergeCell ref="O15:Q15"/>
    <mergeCell ref="R15:T15"/>
    <mergeCell ref="U15:W15"/>
    <mergeCell ref="X15:Z15"/>
    <mergeCell ref="B16:D16"/>
    <mergeCell ref="E16:G16"/>
    <mergeCell ref="H16:J16"/>
    <mergeCell ref="K16:M16"/>
    <mergeCell ref="O16:Q16"/>
    <mergeCell ref="R16:T16"/>
    <mergeCell ref="U16:W16"/>
    <mergeCell ref="X16:Z16"/>
    <mergeCell ref="B17:D17"/>
    <mergeCell ref="E17:G17"/>
    <mergeCell ref="H17:J17"/>
    <mergeCell ref="K17:M17"/>
    <mergeCell ref="O17:Q17"/>
    <mergeCell ref="R17:T17"/>
    <mergeCell ref="U17:W17"/>
    <mergeCell ref="X17:Z17"/>
    <mergeCell ref="B18:D18"/>
    <mergeCell ref="E18:G18"/>
    <mergeCell ref="H18:J18"/>
    <mergeCell ref="K18:M18"/>
    <mergeCell ref="O18:Q18"/>
    <mergeCell ref="R18:T18"/>
    <mergeCell ref="U18:W18"/>
    <mergeCell ref="X18:Z18"/>
    <mergeCell ref="B19:D19"/>
    <mergeCell ref="E19:G19"/>
    <mergeCell ref="H19:J19"/>
    <mergeCell ref="K19:M19"/>
    <mergeCell ref="O19:Q19"/>
    <mergeCell ref="R19:T19"/>
    <mergeCell ref="U19:W19"/>
    <mergeCell ref="X19:Z19"/>
  </mergeCells>
  <conditionalFormatting sqref="AB3:AC79,AB90:AC177">
    <cfRule type="expression" priority="2" aboveAverage="0" equalAverage="0" bottom="0" percent="0" rank="0" text="" dxfId="8">
      <formula>$AC:$AC=$AD$2</formula>
    </cfRule>
  </conditionalFormatting>
  <conditionalFormatting sqref="AB3:AC79,AB90:AC177">
    <cfRule type="expression" priority="3" aboveAverage="0" equalAverage="0" bottom="0" percent="0" rank="0" text="" dxfId="8">
      <formula>$AC:$AC=$AD$3</formula>
    </cfRule>
  </conditionalFormatting>
  <conditionalFormatting sqref="AB3:AC79,AB90:AC177">
    <cfRule type="expression" priority="4" aboveAverage="0" equalAverage="0" bottom="0" percent="0" rank="0" text="" dxfId="8">
      <formula>$AC:$AC=$AD$4</formula>
    </cfRule>
  </conditionalFormatting>
  <conditionalFormatting sqref="AB3:AC79,AB90:AC177">
    <cfRule type="expression" priority="5" aboveAverage="0" equalAverage="0" bottom="0" percent="0" rank="0" text="" dxfId="8">
      <formula>$AC:$AC=$AD$5</formula>
    </cfRule>
  </conditionalFormatting>
  <conditionalFormatting sqref="AB3:AC79,AB90:AC177">
    <cfRule type="expression" priority="6" aboveAverage="0" equalAverage="0" bottom="0" percent="0" rank="0" text="" dxfId="7">
      <formula>$AC:$AC=$AD$6</formula>
    </cfRule>
  </conditionalFormatting>
  <conditionalFormatting sqref="X4:Z14">
    <cfRule type="expression" priority="7" aboveAverage="0" equalAverage="0" bottom="0" percent="0" rank="0" text="" dxfId="0">
      <formula>AND(NOT(ISBLANK(X:X)),X:X=$X$16)</formula>
    </cfRule>
  </conditionalFormatting>
  <conditionalFormatting sqref="U4:W14">
    <cfRule type="expression" priority="8" aboveAverage="0" equalAverage="0" bottom="0" percent="0" rank="0" text="" dxfId="0">
      <formula>AND(NOT(ISBLANK(U:U)),U:U=$U$16)</formula>
    </cfRule>
  </conditionalFormatting>
  <conditionalFormatting sqref="R4:T14">
    <cfRule type="expression" priority="9" aboveAverage="0" equalAverage="0" bottom="0" percent="0" rank="0" text="" dxfId="0">
      <formula>AND(NOT(ISBLANK(R:R)),R:R=$R$16)</formula>
    </cfRule>
  </conditionalFormatting>
  <conditionalFormatting sqref="O4:Q14">
    <cfRule type="expression" priority="10" aboveAverage="0" equalAverage="0" bottom="0" percent="0" rank="0" text="" dxfId="1">
      <formula>AND(NOT(ISBLANK(O:O)),O:O=$O$18)</formula>
    </cfRule>
  </conditionalFormatting>
  <conditionalFormatting sqref="K4:M14">
    <cfRule type="expression" priority="11" aboveAverage="0" equalAverage="0" bottom="0" percent="0" rank="0" text="" dxfId="0">
      <formula>AND(NOT(ISBLANK(K:K)),K:K=$K$16)</formula>
    </cfRule>
  </conditionalFormatting>
  <conditionalFormatting sqref="H4:J14">
    <cfRule type="expression" priority="12" aboveAverage="0" equalAverage="0" bottom="0" percent="0" rank="0" text="" dxfId="2">
      <formula>AND(NOT(ISBLANK(H:H)),H:H=$H$16)</formula>
    </cfRule>
  </conditionalFormatting>
  <conditionalFormatting sqref="E4:G14">
    <cfRule type="expression" priority="13" aboveAverage="0" equalAverage="0" bottom="0" percent="0" rank="0" text="" dxfId="0">
      <formula>AND(NOT(ISBLANK(E:E)),E:E=$E$16)</formula>
    </cfRule>
  </conditionalFormatting>
  <conditionalFormatting sqref="B4:D4,B5:D5,B6:D6,B7:D7,B8:D8,B9:D9,B10:D10,A11:D14">
    <cfRule type="expression" priority="14" aboveAverage="0" equalAverage="0" bottom="0" percent="0" rank="0" text="" dxfId="0">
      <formula>AND(NOT(ISBLANK(B:B)),B:B=$B$16)</formula>
    </cfRule>
  </conditionalFormatting>
  <conditionalFormatting sqref="AB3:AC79,AB90:AC177">
    <cfRule type="expression" priority="15" aboveAverage="0" equalAverage="0" bottom="0" percent="0" rank="0" text="" dxfId="7">
      <formula>$AC:$AC=$AD$7</formula>
    </cfRule>
  </conditionalFormatting>
  <conditionalFormatting sqref="AB3:AC79,AB90:AC177">
    <cfRule type="expression" priority="16" aboveAverage="0" equalAverage="0" bottom="0" percent="0" rank="0" text="" dxfId="7">
      <formula>$AC:$AC=$AD$8</formula>
    </cfRule>
  </conditionalFormatting>
  <conditionalFormatting sqref="AB3:AC90,AB90:AC177">
    <cfRule type="expression" priority="17" aboveAverage="0" equalAverage="0" bottom="0" percent="0" rank="0" text="" dxfId="7">
      <formula>$AC:$AC=$AD$9</formula>
    </cfRule>
  </conditionalFormatting>
  <conditionalFormatting sqref="B4:D4,B5:D5,B6:D6,B7:D7,B8:D8,B9:D9,B10:D10,A11:D14">
    <cfRule type="expression" priority="18" aboveAverage="0" equalAverage="0" bottom="0" percent="0" rank="0" text="" dxfId="1">
      <formula>AND(NOT(ISBLANK(B:B)),B:B=$B$18)</formula>
    </cfRule>
  </conditionalFormatting>
  <conditionalFormatting sqref="B4:D4,B5:D5,B6:D6,B7:D7,B8:D8,B9:D9,B10:D10,A11:D14">
    <cfRule type="expression" priority="19" aboveAverage="0" equalAverage="0" bottom="0" percent="0" rank="0" text="" dxfId="1">
      <formula>AND(NOT(ISBLANK(B:B)),B:B=$B$19)</formula>
    </cfRule>
  </conditionalFormatting>
  <conditionalFormatting sqref="E4:G14">
    <cfRule type="expression" priority="20" aboveAverage="0" equalAverage="0" bottom="0" percent="0" rank="0" text="" dxfId="1">
      <formula>AND(NOT(ISBLANK(E:E)),E:E=$E$18)</formula>
    </cfRule>
  </conditionalFormatting>
  <conditionalFormatting sqref="E4:G14">
    <cfRule type="expression" priority="21" aboveAverage="0" equalAverage="0" bottom="0" percent="0" rank="0" text="" dxfId="1">
      <formula>AND(NOT(ISBLANK(E:E)),E:E=$E$19)</formula>
    </cfRule>
  </conditionalFormatting>
  <conditionalFormatting sqref="H4:J14">
    <cfRule type="expression" priority="22" aboveAverage="0" equalAverage="0" bottom="0" percent="0" rank="0" text="" dxfId="3">
      <formula>AND(NOT(ISBLANK(H:H)),H:H=$H$18)</formula>
    </cfRule>
  </conditionalFormatting>
  <conditionalFormatting sqref="H4:J14">
    <cfRule type="expression" priority="23" aboveAverage="0" equalAverage="0" bottom="0" percent="0" rank="0" text="" dxfId="3">
      <formula>AND(NOT(ISBLANK(H:H)),H:H=$H$19)</formula>
    </cfRule>
  </conditionalFormatting>
  <conditionalFormatting sqref="K4:M14">
    <cfRule type="expression" priority="24" aboveAverage="0" equalAverage="0" bottom="0" percent="0" rank="0" text="" dxfId="1">
      <formula>AND(NOT(ISBLANK(K:K)),K:K=$K$18)</formula>
    </cfRule>
  </conditionalFormatting>
  <conditionalFormatting sqref="K4:M14">
    <cfRule type="expression" priority="25" aboveAverage="0" equalAverage="0" bottom="0" percent="0" rank="0" text="" dxfId="1">
      <formula>AND(NOT(ISBLANK(K:K)),K:K=$K$19)</formula>
    </cfRule>
  </conditionalFormatting>
  <conditionalFormatting sqref="O4:Q14">
    <cfRule type="expression" priority="26" aboveAverage="0" equalAverage="0" bottom="0" percent="0" rank="0" text="" dxfId="1">
      <formula>AND(NOT(ISBLANK(O:O)),O:O=$O$19)</formula>
    </cfRule>
  </conditionalFormatting>
  <conditionalFormatting sqref="R4:T14">
    <cfRule type="expression" priority="27" aboveAverage="0" equalAverage="0" bottom="0" percent="0" rank="0" text="" dxfId="1">
      <formula>AND(NOT(ISBLANK(R:R)),R:R=$R$18)</formula>
    </cfRule>
  </conditionalFormatting>
  <conditionalFormatting sqref="R4:T14">
    <cfRule type="expression" priority="28" aboveAverage="0" equalAverage="0" bottom="0" percent="0" rank="0" text="" dxfId="1">
      <formula>AND(NOT(ISBLANK(R:R)),R:R=$R$19)</formula>
    </cfRule>
  </conditionalFormatting>
  <conditionalFormatting sqref="U4:W14">
    <cfRule type="expression" priority="29" aboveAverage="0" equalAverage="0" bottom="0" percent="0" rank="0" text="" dxfId="1">
      <formula>AND(NOT(ISBLANK(U:U)),U:U=$U$18)</formula>
    </cfRule>
  </conditionalFormatting>
  <conditionalFormatting sqref="U4:W14">
    <cfRule type="expression" priority="30" aboveAverage="0" equalAverage="0" bottom="0" percent="0" rank="0" text="" dxfId="1">
      <formula>AND(NOT(ISBLANK(U:U)),U:U=$U$19)</formula>
    </cfRule>
  </conditionalFormatting>
  <conditionalFormatting sqref="X4:Z14">
    <cfRule type="expression" priority="31" aboveAverage="0" equalAverage="0" bottom="0" percent="0" rank="0" text="" dxfId="1">
      <formula>AND(NOT(ISBLANK(X:X)),X:X=$X$18)</formula>
    </cfRule>
  </conditionalFormatting>
  <conditionalFormatting sqref="X4:Z14">
    <cfRule type="expression" priority="32" aboveAverage="0" equalAverage="0" bottom="0" percent="0" rank="0" text="" dxfId="1">
      <formula>AND(NOT(ISBLANK(X:X)),X:X=$X$19)</formula>
    </cfRule>
  </conditionalFormatting>
  <conditionalFormatting sqref="O4:Q14">
    <cfRule type="expression" priority="33" aboveAverage="0" equalAverage="0" bottom="0" percent="0" rank="0" text="" dxfId="0">
      <formula>AND(NOT(ISBLANK(O:O)),O:O=$O$16)</formula>
    </cfRule>
  </conditionalFormatting>
  <dataValidations count="25">
    <dataValidation allowBlank="true" operator="between" showDropDown="false" showErrorMessage="false" showInputMessage="false" sqref="AB15" type="list">
      <formula1>Pokedex!$B$2:$B$610</formula1>
      <formula2>0</formula2>
    </dataValidation>
    <dataValidation allowBlank="true" operator="between" showDropDown="false" showErrorMessage="true" showInputMessage="false" sqref="AB5 AB16 AB19:AB21 AB33:AB37" type="list">
      <formula1>Pokedex!$B$2:$B$610</formula1>
      <formula2>0</formula2>
    </dataValidation>
    <dataValidation allowBlank="true" operator="between" showDropDown="false" showErrorMessage="false" showInputMessage="false" sqref="U18:U19" type="list">
      <formula1>DraftRosters!$U$4:$W$14</formula1>
      <formula2>0</formula2>
    </dataValidation>
    <dataValidation allowBlank="true" operator="between" showDropDown="false" showErrorMessage="true" showInputMessage="false" sqref="AB22:AB25" type="list">
      <formula1>Pokedex!$B$2:$B$610</formula1>
      <formula2>0</formula2>
    </dataValidation>
    <dataValidation allowBlank="true" operator="between" showDropDown="false" showErrorMessage="false" showInputMessage="false" sqref="O18:O19" type="list">
      <formula1>DraftRosters!$O$4:$Q$14</formula1>
      <formula2>0</formula2>
    </dataValidation>
    <dataValidation allowBlank="true" operator="between" showDropDown="false" showErrorMessage="true" showInputMessage="false" sqref="E16" type="list">
      <formula1>DraftRosters!$E$4:$G$14</formula1>
      <formula2>0</formula2>
    </dataValidation>
    <dataValidation allowBlank="true" operator="between" showDropDown="false" showErrorMessage="true" showInputMessage="false" sqref="B16" type="list">
      <formula1>DraftRosters!$B$4:$D$14</formula1>
      <formula2>0</formula2>
    </dataValidation>
    <dataValidation allowBlank="true" operator="between" showDropDown="false" showErrorMessage="true" showInputMessage="false" sqref="AB43" type="list">
      <formula1>Pokedex!$B$2:$B$610</formula1>
      <formula2>0</formula2>
    </dataValidation>
    <dataValidation allowBlank="true" operator="between" showDropDown="false" showErrorMessage="false" showInputMessage="false" sqref="H18:H19" type="list">
      <formula1>DraftRosters!$H$4:$J$14</formula1>
      <formula2>0</formula2>
    </dataValidation>
    <dataValidation allowBlank="true" operator="between" showDropDown="false" showErrorMessage="true" showInputMessage="false" sqref="AB47:AB49" type="list">
      <formula1>Pokedex!$B$2:$B$610</formula1>
      <formula2>0</formula2>
    </dataValidation>
    <dataValidation allowBlank="true" operator="between" showDropDown="false" showErrorMessage="false" showInputMessage="false" sqref="B18:B19" type="list">
      <formula1>DraftRosters!$B$4:$D$14</formula1>
      <formula2>0</formula2>
    </dataValidation>
    <dataValidation allowBlank="true" operator="between" showDropDown="false" showErrorMessage="true" showInputMessage="false" sqref="AB6:AB13" type="list">
      <formula1>Pokedex!$B$2:$B$610</formula1>
      <formula2>0</formula2>
    </dataValidation>
    <dataValidation allowBlank="true" operator="between" showDropDown="false" showErrorMessage="true" showInputMessage="false" sqref="R16" type="list">
      <formula1>DraftRosters!$R$4:$T$14</formula1>
      <formula2>0</formula2>
    </dataValidation>
    <dataValidation allowBlank="true" operator="between" showDropDown="false" showErrorMessage="true" showInputMessage="false" sqref="X16" type="list">
      <formula1>DraftRosters!$X$4:$Z$14</formula1>
      <formula2>0</formula2>
    </dataValidation>
    <dataValidation allowBlank="true" operator="between" showDropDown="false" showErrorMessage="false" showInputMessage="false" sqref="E18:E19" type="list">
      <formula1>DraftRosters!$E$4:$G$14</formula1>
      <formula2>0</formula2>
    </dataValidation>
    <dataValidation allowBlank="true" operator="between" showDropDown="false" showErrorMessage="true" showInputMessage="false" sqref="AB61:AB62" type="list">
      <formula1>Pokedex!$B$2:$B$610</formula1>
      <formula2>0</formula2>
    </dataValidation>
    <dataValidation allowBlank="true" operator="between" showDropDown="false" showErrorMessage="true" showInputMessage="false" sqref="K16" type="list">
      <formula1>DraftRosters!$K$4:$M$14</formula1>
      <formula2>0</formula2>
    </dataValidation>
    <dataValidation allowBlank="true" operator="between" showDropDown="false" showErrorMessage="false" showInputMessage="false" sqref="AB80:AB90" type="list">
      <formula1>Pokedex!$B$2:$B$610</formula1>
      <formula2>0</formula2>
    </dataValidation>
    <dataValidation allowBlank="true" operator="between" showDropDown="false" showErrorMessage="false" showInputMessage="false" sqref="R18:R19" type="list">
      <formula1>DraftRosters!$R$4:$T$14</formula1>
      <formula2>0</formula2>
    </dataValidation>
    <dataValidation allowBlank="true" operator="between" showDropDown="false" showErrorMessage="true" showInputMessage="false" sqref="U16" type="list">
      <formula1>DraftRosters!$U$4:$W$14</formula1>
      <formula2>0</formula2>
    </dataValidation>
    <dataValidation allowBlank="true" operator="between" showDropDown="false" showErrorMessage="false" showInputMessage="false" sqref="X18:X19" type="list">
      <formula1>DraftRosters!$X$4:$Z$14</formula1>
      <formula2>0</formula2>
    </dataValidation>
    <dataValidation allowBlank="true" operator="between" showDropDown="false" showErrorMessage="true" showInputMessage="false" sqref="AB3:AB4 B4:B14 E4:E14 H4:H14 K4:K14 O4:O14 R4:R14 U4:U14 X4:X14 AB14 AB17:AB18 AB26:AB32 AB38:AB42 AB44:AB46 AB50:AB60 AB63:AB79" type="list">
      <formula1>Pokedex!$B$2:$B$610</formula1>
      <formula2>0</formula2>
    </dataValidation>
    <dataValidation allowBlank="true" operator="between" showDropDown="false" showErrorMessage="false" showInputMessage="false" sqref="K18:K19" type="list">
      <formula1>DraftRosters!$K$4:$M$14</formula1>
      <formula2>0</formula2>
    </dataValidation>
    <dataValidation allowBlank="true" operator="between" showDropDown="false" showErrorMessage="true" showInputMessage="false" sqref="O16" type="list">
      <formula1>DraftRosters!$O$4:$Q$14</formula1>
      <formula2>0</formula2>
    </dataValidation>
    <dataValidation allowBlank="true" operator="between" showDropDown="false" showErrorMessage="true" showInputMessage="false" sqref="H16" type="list">
      <formula1>DraftRosters!$H$4:$J$14</formula1>
      <formula2>0</formula2>
    </dataValidation>
  </dataValidations>
  <printOptions headings="false" gridLines="false" gridLinesSet="true" horizontalCentered="false" verticalCentered="false"/>
  <pageMargins left="0.747916666666667" right="0.747916666666667" top="0.984027777777778" bottom="0.984027777777778" header="0.511805555555555" footer="0.511805555555555"/>
  <pageSetup paperSize="1" scale="100" firstPageNumber="0" fitToWidth="1" fitToHeight="1" pageOrder="downThenOver" orientation="portrait" usePrinterDefaults="false" blackAndWhite="false" draft="false" cellComments="none" useFirstPageNumber="false" horizontalDpi="300" verticalDpi="300" copies="1"/>
  <headerFooter differentFirst="false" differentOddEven="false">
    <oddHeader/>
    <oddFooter/>
  </headerFooter>
</worksheet>
</file>

<file path=xl/worksheets/sheet6.xml><?xml version="1.0" encoding="utf-8"?>
<worksheet xmlns="http://schemas.openxmlformats.org/spreadsheetml/2006/main" xmlns:r="http://schemas.openxmlformats.org/officeDocument/2006/relationships">
  <sheetPr filterMode="false">
    <pageSetUpPr fitToPage="false"/>
  </sheetPr>
  <dimension ref="A1:R111"/>
  <sheetViews>
    <sheetView windowProtection="false"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A1" activeCellId="0" sqref="A1"/>
    </sheetView>
  </sheetViews>
  <sheetFormatPr defaultRowHeight="15.75"/>
  <cols>
    <col collapsed="false" hidden="false" max="1" min="1" style="0" width="14.1734693877551"/>
    <col collapsed="false" hidden="false" max="2" min="2" style="0" width="7.83163265306122"/>
    <col collapsed="false" hidden="false" max="3" min="3" style="0" width="18.765306122449"/>
    <col collapsed="false" hidden="false" max="4" min="4" style="0" width="6.88265306122449"/>
    <col collapsed="false" hidden="false" max="5" min="5" style="0" width="17.280612244898"/>
    <col collapsed="false" hidden="false" max="6" min="6" style="0" width="7.29081632653061"/>
    <col collapsed="false" hidden="false" max="7" min="7" style="0" width="16.1989795918367"/>
    <col collapsed="false" hidden="false" max="8" min="8" style="0" width="7.29081632653061"/>
    <col collapsed="false" hidden="false" max="9" min="9" style="0" width="17.0102040816327"/>
    <col collapsed="false" hidden="false" max="10" min="10" style="0" width="7.29081632653061"/>
    <col collapsed="false" hidden="false" max="11" min="11" style="0" width="14.1734693877551"/>
    <col collapsed="false" hidden="false" max="12" min="12" style="0" width="6.61224489795918"/>
    <col collapsed="false" hidden="false" max="13" min="13" style="0" width="14.1734693877551"/>
    <col collapsed="false" hidden="false" max="14" min="14" style="0" width="6.3469387755102"/>
    <col collapsed="false" hidden="false" max="15" min="15" style="0" width="14.1734693877551"/>
    <col collapsed="false" hidden="false" max="16" min="16" style="0" width="2.69897959183673"/>
    <col collapsed="false" hidden="false" max="17" min="17" style="0" width="15.7959183673469"/>
    <col collapsed="false" hidden="false" max="18" min="18" style="0" width="6.75"/>
    <col collapsed="false" hidden="false" max="1025" min="19" style="0" width="14.1734693877551"/>
  </cols>
  <sheetData>
    <row r="1" customFormat="false" ht="15.75" hidden="false" customHeight="false" outlineLevel="0" collapsed="false">
      <c r="A1" s="373" t="s">
        <v>242</v>
      </c>
      <c r="B1" s="408" t="s">
        <v>271</v>
      </c>
      <c r="C1" s="378" t="s">
        <v>243</v>
      </c>
      <c r="D1" s="408" t="s">
        <v>272</v>
      </c>
      <c r="E1" s="381" t="s">
        <v>245</v>
      </c>
      <c r="F1" s="408" t="s">
        <v>273</v>
      </c>
      <c r="G1" s="382" t="s">
        <v>250</v>
      </c>
      <c r="H1" s="408" t="s">
        <v>274</v>
      </c>
      <c r="I1" s="383" t="s">
        <v>252</v>
      </c>
      <c r="J1" s="408" t="s">
        <v>275</v>
      </c>
      <c r="K1" s="383" t="s">
        <v>252</v>
      </c>
      <c r="L1" s="408" t="s">
        <v>275</v>
      </c>
      <c r="M1" s="385" t="s">
        <v>276</v>
      </c>
      <c r="N1" s="409" t="s">
        <v>277</v>
      </c>
      <c r="O1" s="410" t="s">
        <v>278</v>
      </c>
      <c r="P1" s="409" t="n">
        <v>0</v>
      </c>
      <c r="Q1" s="411" t="s">
        <v>279</v>
      </c>
      <c r="R1" s="409" t="s">
        <v>280</v>
      </c>
    </row>
    <row r="2" customFormat="false" ht="15.75" hidden="false" customHeight="false" outlineLevel="0" collapsed="false">
      <c r="A2" s="412" t="s">
        <v>57</v>
      </c>
      <c r="B2" s="413"/>
      <c r="C2" s="414" t="s">
        <v>281</v>
      </c>
      <c r="D2" s="415"/>
      <c r="E2" s="416" t="s">
        <v>282</v>
      </c>
      <c r="F2" s="413"/>
      <c r="G2" s="417" t="s">
        <v>283</v>
      </c>
      <c r="H2" s="413"/>
      <c r="I2" s="418" t="s">
        <v>284</v>
      </c>
      <c r="J2" s="413"/>
      <c r="K2" s="419" t="s">
        <v>285</v>
      </c>
      <c r="L2" s="413"/>
      <c r="M2" s="420" t="s">
        <v>286</v>
      </c>
      <c r="N2" s="413"/>
      <c r="O2" s="421" t="s">
        <v>287</v>
      </c>
      <c r="P2" s="413"/>
      <c r="Q2" s="422" t="s">
        <v>288</v>
      </c>
      <c r="R2" s="413"/>
    </row>
    <row r="3" customFormat="false" ht="15.75" hidden="false" customHeight="false" outlineLevel="0" collapsed="false">
      <c r="A3" s="423" t="s">
        <v>95</v>
      </c>
      <c r="B3" s="413"/>
      <c r="C3" s="424" t="s">
        <v>244</v>
      </c>
      <c r="D3" s="415"/>
      <c r="E3" s="425" t="s">
        <v>289</v>
      </c>
      <c r="F3" s="413"/>
      <c r="G3" s="426" t="s">
        <v>290</v>
      </c>
      <c r="H3" s="413"/>
      <c r="I3" s="427" t="s">
        <v>291</v>
      </c>
      <c r="J3" s="413"/>
      <c r="K3" s="428" t="s">
        <v>292</v>
      </c>
      <c r="L3" s="413"/>
      <c r="M3" s="429" t="s">
        <v>293</v>
      </c>
      <c r="N3" s="413"/>
      <c r="O3" s="430" t="s">
        <v>294</v>
      </c>
      <c r="P3" s="413"/>
      <c r="Q3" s="431" t="s">
        <v>295</v>
      </c>
      <c r="R3" s="413"/>
    </row>
    <row r="4" customFormat="false" ht="15.75" hidden="false" customHeight="false" outlineLevel="0" collapsed="false">
      <c r="A4" s="432" t="s">
        <v>296</v>
      </c>
      <c r="B4" s="413"/>
      <c r="C4" s="433" t="s">
        <v>297</v>
      </c>
      <c r="D4" s="415"/>
      <c r="E4" s="434" t="s">
        <v>298</v>
      </c>
      <c r="F4" s="413"/>
      <c r="G4" s="435" t="s">
        <v>24</v>
      </c>
      <c r="H4" s="413"/>
      <c r="I4" s="428" t="s">
        <v>299</v>
      </c>
      <c r="J4" s="413"/>
      <c r="K4" s="436" t="s">
        <v>122</v>
      </c>
      <c r="L4" s="413"/>
      <c r="M4" s="429" t="s">
        <v>300</v>
      </c>
      <c r="N4" s="413"/>
      <c r="O4" s="430" t="s">
        <v>301</v>
      </c>
      <c r="P4" s="413"/>
      <c r="Q4" s="431" t="s">
        <v>302</v>
      </c>
      <c r="R4" s="413"/>
    </row>
    <row r="5" customFormat="false" ht="15.75" hidden="false" customHeight="false" outlineLevel="0" collapsed="false">
      <c r="A5" s="432" t="s">
        <v>303</v>
      </c>
      <c r="B5" s="413"/>
      <c r="C5" s="433" t="s">
        <v>304</v>
      </c>
      <c r="D5" s="415"/>
      <c r="E5" s="434" t="s">
        <v>305</v>
      </c>
      <c r="F5" s="413"/>
      <c r="G5" s="426" t="s">
        <v>306</v>
      </c>
      <c r="H5" s="413"/>
      <c r="I5" s="428" t="s">
        <v>307</v>
      </c>
      <c r="J5" s="413"/>
      <c r="K5" s="428" t="s">
        <v>308</v>
      </c>
      <c r="L5" s="413"/>
      <c r="M5" s="429" t="s">
        <v>309</v>
      </c>
      <c r="N5" s="413"/>
      <c r="O5" s="437" t="s">
        <v>310</v>
      </c>
      <c r="P5" s="413"/>
      <c r="Q5" s="438" t="s">
        <v>311</v>
      </c>
      <c r="R5" s="413"/>
    </row>
    <row r="6" customFormat="false" ht="15.75" hidden="false" customHeight="false" outlineLevel="0" collapsed="false">
      <c r="A6" s="432" t="s">
        <v>312</v>
      </c>
      <c r="B6" s="413"/>
      <c r="C6" s="433" t="s">
        <v>313</v>
      </c>
      <c r="D6" s="415"/>
      <c r="E6" s="434" t="s">
        <v>314</v>
      </c>
      <c r="F6" s="413"/>
      <c r="G6" s="426" t="s">
        <v>315</v>
      </c>
      <c r="H6" s="413"/>
      <c r="I6" s="436" t="s">
        <v>261</v>
      </c>
      <c r="J6" s="413"/>
      <c r="K6" s="428" t="s">
        <v>316</v>
      </c>
      <c r="L6" s="413"/>
      <c r="M6" s="429" t="s">
        <v>317</v>
      </c>
      <c r="N6" s="413"/>
      <c r="O6" s="437" t="s">
        <v>318</v>
      </c>
      <c r="P6" s="413"/>
      <c r="Q6" s="438" t="s">
        <v>319</v>
      </c>
      <c r="R6" s="413"/>
    </row>
    <row r="7" customFormat="false" ht="15.75" hidden="false" customHeight="false" outlineLevel="0" collapsed="false">
      <c r="A7" s="432" t="s">
        <v>320</v>
      </c>
      <c r="B7" s="413"/>
      <c r="C7" s="424" t="s">
        <v>67</v>
      </c>
      <c r="D7" s="415"/>
      <c r="E7" s="425" t="s">
        <v>87</v>
      </c>
      <c r="F7" s="413"/>
      <c r="G7" s="435" t="s">
        <v>321</v>
      </c>
      <c r="H7" s="413"/>
      <c r="I7" s="428" t="s">
        <v>322</v>
      </c>
      <c r="J7" s="413"/>
      <c r="K7" s="428" t="s">
        <v>323</v>
      </c>
      <c r="L7" s="413"/>
      <c r="M7" s="429" t="s">
        <v>324</v>
      </c>
      <c r="N7" s="413"/>
      <c r="O7" s="437" t="s">
        <v>325</v>
      </c>
      <c r="P7" s="413"/>
      <c r="Q7" s="431" t="s">
        <v>326</v>
      </c>
      <c r="R7" s="413"/>
    </row>
    <row r="8" customFormat="false" ht="15.75" hidden="false" customHeight="false" outlineLevel="0" collapsed="false">
      <c r="A8" s="423" t="s">
        <v>88</v>
      </c>
      <c r="B8" s="413"/>
      <c r="C8" s="433" t="s">
        <v>327</v>
      </c>
      <c r="D8" s="415"/>
      <c r="E8" s="425" t="s">
        <v>81</v>
      </c>
      <c r="F8" s="413"/>
      <c r="G8" s="426" t="s">
        <v>328</v>
      </c>
      <c r="H8" s="413"/>
      <c r="I8" s="428" t="s">
        <v>329</v>
      </c>
      <c r="J8" s="413"/>
      <c r="K8" s="428" t="s">
        <v>330</v>
      </c>
      <c r="L8" s="413"/>
      <c r="M8" s="429" t="s">
        <v>331</v>
      </c>
      <c r="N8" s="413"/>
      <c r="O8" s="437" t="s">
        <v>332</v>
      </c>
      <c r="P8" s="413"/>
      <c r="Q8" s="431" t="s">
        <v>333</v>
      </c>
      <c r="R8" s="413"/>
    </row>
    <row r="9" customFormat="false" ht="15.75" hidden="false" customHeight="false" outlineLevel="0" collapsed="false">
      <c r="A9" s="423" t="s">
        <v>58</v>
      </c>
      <c r="B9" s="413"/>
      <c r="C9" s="433" t="s">
        <v>334</v>
      </c>
      <c r="D9" s="415"/>
      <c r="E9" s="434" t="s">
        <v>335</v>
      </c>
      <c r="F9" s="413"/>
      <c r="G9" s="426" t="s">
        <v>336</v>
      </c>
      <c r="H9" s="413"/>
      <c r="I9" s="428" t="s">
        <v>337</v>
      </c>
      <c r="J9" s="413"/>
      <c r="K9" s="428" t="s">
        <v>338</v>
      </c>
      <c r="L9" s="413"/>
      <c r="M9" s="439" t="s">
        <v>339</v>
      </c>
      <c r="N9" s="413"/>
      <c r="O9" s="437" t="s">
        <v>340</v>
      </c>
      <c r="P9" s="413"/>
      <c r="Q9" s="431" t="s">
        <v>341</v>
      </c>
      <c r="R9" s="413"/>
    </row>
    <row r="10" customFormat="false" ht="15.75" hidden="false" customHeight="false" outlineLevel="0" collapsed="false">
      <c r="A10" s="432" t="s">
        <v>342</v>
      </c>
      <c r="B10" s="413"/>
      <c r="C10" s="433" t="s">
        <v>343</v>
      </c>
      <c r="D10" s="415"/>
      <c r="E10" s="425" t="s">
        <v>247</v>
      </c>
      <c r="F10" s="413"/>
      <c r="G10" s="435" t="s">
        <v>64</v>
      </c>
      <c r="H10" s="413"/>
      <c r="I10" s="428" t="s">
        <v>344</v>
      </c>
      <c r="J10" s="413"/>
      <c r="K10" s="428" t="s">
        <v>345</v>
      </c>
      <c r="L10" s="413"/>
      <c r="M10" s="429" t="s">
        <v>346</v>
      </c>
      <c r="N10" s="413"/>
      <c r="O10" s="437" t="s">
        <v>347</v>
      </c>
      <c r="P10" s="413"/>
      <c r="Q10" s="431" t="s">
        <v>348</v>
      </c>
      <c r="R10" s="413"/>
    </row>
    <row r="11" customFormat="false" ht="15.75" hidden="false" customHeight="false" outlineLevel="0" collapsed="false">
      <c r="A11" s="432" t="s">
        <v>349</v>
      </c>
      <c r="B11" s="413"/>
      <c r="C11" s="433" t="s">
        <v>350</v>
      </c>
      <c r="D11" s="415"/>
      <c r="E11" s="434" t="s">
        <v>351</v>
      </c>
      <c r="F11" s="413"/>
      <c r="G11" s="435" t="s">
        <v>251</v>
      </c>
      <c r="H11" s="413"/>
      <c r="I11" s="428" t="s">
        <v>352</v>
      </c>
      <c r="J11" s="413"/>
      <c r="K11" s="428" t="s">
        <v>353</v>
      </c>
      <c r="L11" s="413"/>
      <c r="M11" s="439" t="s">
        <v>354</v>
      </c>
      <c r="N11" s="413"/>
      <c r="O11" s="440"/>
      <c r="P11" s="413"/>
      <c r="Q11" s="431" t="s">
        <v>355</v>
      </c>
      <c r="R11" s="413"/>
    </row>
    <row r="12" customFormat="false" ht="15.75" hidden="false" customHeight="false" outlineLevel="0" collapsed="false">
      <c r="A12" s="432" t="s">
        <v>356</v>
      </c>
      <c r="B12" s="413"/>
      <c r="C12" s="433" t="s">
        <v>357</v>
      </c>
      <c r="D12" s="415"/>
      <c r="E12" s="425" t="s">
        <v>246</v>
      </c>
      <c r="F12" s="413"/>
      <c r="G12" s="426" t="s">
        <v>358</v>
      </c>
      <c r="H12" s="413"/>
      <c r="I12" s="428" t="s">
        <v>359</v>
      </c>
      <c r="J12" s="413"/>
      <c r="K12" s="428" t="s">
        <v>360</v>
      </c>
      <c r="L12" s="413"/>
      <c r="M12" s="429" t="s">
        <v>361</v>
      </c>
      <c r="N12" s="413"/>
      <c r="O12" s="440"/>
      <c r="P12" s="413"/>
      <c r="Q12" s="441"/>
      <c r="R12" s="413"/>
    </row>
    <row r="13" customFormat="false" ht="15.75" hidden="false" customHeight="false" outlineLevel="0" collapsed="false">
      <c r="A13" s="423" t="s">
        <v>71</v>
      </c>
      <c r="B13" s="413"/>
      <c r="C13" s="433" t="s">
        <v>362</v>
      </c>
      <c r="D13" s="415"/>
      <c r="E13" s="434" t="s">
        <v>363</v>
      </c>
      <c r="F13" s="413"/>
      <c r="G13" s="426" t="s">
        <v>364</v>
      </c>
      <c r="H13" s="413"/>
      <c r="I13" s="436" t="s">
        <v>253</v>
      </c>
      <c r="J13" s="413"/>
      <c r="K13" s="428" t="s">
        <v>365</v>
      </c>
      <c r="L13" s="413"/>
      <c r="M13" s="429" t="s">
        <v>366</v>
      </c>
      <c r="N13" s="413"/>
      <c r="O13" s="440"/>
      <c r="P13" s="413"/>
      <c r="Q13" s="441"/>
      <c r="R13" s="413"/>
    </row>
    <row r="14" customFormat="false" ht="15.75" hidden="false" customHeight="false" outlineLevel="0" collapsed="false">
      <c r="A14" s="432" t="s">
        <v>367</v>
      </c>
      <c r="B14" s="413"/>
      <c r="C14" s="433" t="s">
        <v>368</v>
      </c>
      <c r="D14" s="415"/>
      <c r="E14" s="425" t="s">
        <v>65</v>
      </c>
      <c r="F14" s="413"/>
      <c r="G14" s="426" t="s">
        <v>369</v>
      </c>
      <c r="H14" s="413"/>
      <c r="I14" s="428" t="s">
        <v>370</v>
      </c>
      <c r="J14" s="413"/>
      <c r="K14" s="428" t="s">
        <v>371</v>
      </c>
      <c r="L14" s="413"/>
      <c r="M14" s="429" t="s">
        <v>372</v>
      </c>
      <c r="N14" s="413"/>
      <c r="O14" s="440"/>
      <c r="P14" s="413"/>
      <c r="Q14" s="441"/>
      <c r="R14" s="413"/>
    </row>
    <row r="15" customFormat="false" ht="15.75" hidden="false" customHeight="false" outlineLevel="0" collapsed="false">
      <c r="A15" s="432" t="s">
        <v>373</v>
      </c>
      <c r="B15" s="413"/>
      <c r="C15" s="424" t="s">
        <v>90</v>
      </c>
      <c r="D15" s="415"/>
      <c r="E15" s="425" t="s">
        <v>97</v>
      </c>
      <c r="F15" s="413"/>
      <c r="G15" s="426" t="s">
        <v>374</v>
      </c>
      <c r="H15" s="413"/>
      <c r="I15" s="428" t="s">
        <v>375</v>
      </c>
      <c r="J15" s="413"/>
      <c r="K15" s="428" t="s">
        <v>376</v>
      </c>
      <c r="L15" s="413"/>
      <c r="M15" s="429" t="s">
        <v>377</v>
      </c>
      <c r="N15" s="413"/>
      <c r="O15" s="440"/>
      <c r="P15" s="413"/>
      <c r="Q15" s="441"/>
      <c r="R15" s="413"/>
    </row>
    <row r="16" customFormat="false" ht="15.75" hidden="false" customHeight="false" outlineLevel="0" collapsed="false">
      <c r="A16" s="432" t="s">
        <v>378</v>
      </c>
      <c r="B16" s="413"/>
      <c r="C16" s="433" t="s">
        <v>379</v>
      </c>
      <c r="D16" s="415"/>
      <c r="E16" s="425" t="s">
        <v>91</v>
      </c>
      <c r="F16" s="413"/>
      <c r="G16" s="426" t="s">
        <v>380</v>
      </c>
      <c r="H16" s="413"/>
      <c r="I16" s="428" t="s">
        <v>381</v>
      </c>
      <c r="J16" s="413"/>
      <c r="K16" s="428" t="s">
        <v>382</v>
      </c>
      <c r="L16" s="413"/>
      <c r="M16" s="429" t="s">
        <v>383</v>
      </c>
      <c r="N16" s="413"/>
      <c r="O16" s="440"/>
      <c r="P16" s="413"/>
      <c r="Q16" s="441"/>
      <c r="R16" s="413"/>
    </row>
    <row r="17" customFormat="false" ht="15.75" hidden="false" customHeight="false" outlineLevel="0" collapsed="false">
      <c r="A17" s="423" t="s">
        <v>72</v>
      </c>
      <c r="B17" s="413"/>
      <c r="C17" s="424" t="s">
        <v>49</v>
      </c>
      <c r="D17" s="415"/>
      <c r="E17" s="434" t="s">
        <v>384</v>
      </c>
      <c r="F17" s="413"/>
      <c r="G17" s="426" t="s">
        <v>385</v>
      </c>
      <c r="H17" s="413"/>
      <c r="I17" s="428" t="s">
        <v>386</v>
      </c>
      <c r="J17" s="413"/>
      <c r="K17" s="428" t="s">
        <v>387</v>
      </c>
      <c r="L17" s="413"/>
      <c r="M17" s="442"/>
      <c r="N17" s="413"/>
      <c r="O17" s="440"/>
      <c r="P17" s="413"/>
      <c r="Q17" s="441"/>
      <c r="R17" s="413"/>
    </row>
    <row r="18" customFormat="false" ht="15.75" hidden="false" customHeight="false" outlineLevel="0" collapsed="false">
      <c r="A18" s="423" t="s">
        <v>85</v>
      </c>
      <c r="B18" s="413"/>
      <c r="C18" s="433" t="s">
        <v>388</v>
      </c>
      <c r="D18" s="415"/>
      <c r="E18" s="434" t="s">
        <v>389</v>
      </c>
      <c r="F18" s="413"/>
      <c r="G18" s="426" t="s">
        <v>267</v>
      </c>
      <c r="H18" s="413"/>
      <c r="I18" s="436" t="s">
        <v>263</v>
      </c>
      <c r="J18" s="413"/>
      <c r="K18" s="436" t="s">
        <v>390</v>
      </c>
      <c r="L18" s="413"/>
      <c r="M18" s="442"/>
      <c r="N18" s="413"/>
      <c r="O18" s="440"/>
      <c r="P18" s="413"/>
      <c r="Q18" s="441"/>
      <c r="R18" s="413"/>
    </row>
    <row r="19" customFormat="false" ht="15.75" hidden="false" customHeight="false" outlineLevel="0" collapsed="false">
      <c r="A19" s="432" t="s">
        <v>391</v>
      </c>
      <c r="B19" s="413"/>
      <c r="C19" s="433" t="s">
        <v>392</v>
      </c>
      <c r="D19" s="415"/>
      <c r="E19" s="425" t="s">
        <v>89</v>
      </c>
      <c r="F19" s="413"/>
      <c r="G19" s="435" t="s">
        <v>99</v>
      </c>
      <c r="H19" s="413"/>
      <c r="I19" s="428" t="s">
        <v>393</v>
      </c>
      <c r="J19" s="413"/>
      <c r="K19" s="428" t="s">
        <v>394</v>
      </c>
      <c r="L19" s="413"/>
      <c r="M19" s="442"/>
      <c r="N19" s="413"/>
      <c r="O19" s="440"/>
      <c r="P19" s="413"/>
      <c r="Q19" s="441"/>
      <c r="R19" s="413"/>
    </row>
    <row r="20" customFormat="false" ht="15.75" hidden="false" customHeight="false" outlineLevel="0" collapsed="false">
      <c r="A20" s="423" t="s">
        <v>40</v>
      </c>
      <c r="B20" s="413"/>
      <c r="C20" s="424" t="s">
        <v>75</v>
      </c>
      <c r="D20" s="415"/>
      <c r="E20" s="434" t="s">
        <v>395</v>
      </c>
      <c r="F20" s="413"/>
      <c r="G20" s="426" t="s">
        <v>396</v>
      </c>
      <c r="H20" s="413"/>
      <c r="I20" s="428" t="s">
        <v>397</v>
      </c>
      <c r="J20" s="413"/>
      <c r="K20" s="428" t="s">
        <v>398</v>
      </c>
      <c r="L20" s="413"/>
      <c r="M20" s="442"/>
      <c r="N20" s="413"/>
      <c r="O20" s="440"/>
      <c r="P20" s="413"/>
      <c r="Q20" s="441"/>
      <c r="R20" s="413"/>
    </row>
    <row r="21" customFormat="false" ht="15.75" hidden="false" customHeight="false" outlineLevel="0" collapsed="false">
      <c r="A21" s="432" t="s">
        <v>399</v>
      </c>
      <c r="B21" s="413"/>
      <c r="C21" s="433" t="s">
        <v>400</v>
      </c>
      <c r="D21" s="415"/>
      <c r="E21" s="425" t="s">
        <v>120</v>
      </c>
      <c r="F21" s="413"/>
      <c r="G21" s="426" t="s">
        <v>401</v>
      </c>
      <c r="H21" s="413"/>
      <c r="I21" s="428" t="s">
        <v>402</v>
      </c>
      <c r="J21" s="413"/>
      <c r="K21" s="428" t="s">
        <v>403</v>
      </c>
      <c r="L21" s="413"/>
      <c r="M21" s="442"/>
      <c r="N21" s="413"/>
      <c r="O21" s="440"/>
      <c r="P21" s="413"/>
      <c r="Q21" s="441"/>
      <c r="R21" s="413"/>
    </row>
    <row r="22" customFormat="false" ht="15.75" hidden="false" customHeight="false" outlineLevel="0" collapsed="false">
      <c r="A22" s="432" t="s">
        <v>404</v>
      </c>
      <c r="B22" s="413"/>
      <c r="C22" s="424" t="s">
        <v>46</v>
      </c>
      <c r="D22" s="415"/>
      <c r="E22" s="434" t="s">
        <v>405</v>
      </c>
      <c r="F22" s="413"/>
      <c r="G22" s="426" t="s">
        <v>406</v>
      </c>
      <c r="H22" s="413"/>
      <c r="I22" s="428" t="s">
        <v>407</v>
      </c>
      <c r="J22" s="413"/>
      <c r="K22" s="428" t="s">
        <v>408</v>
      </c>
      <c r="L22" s="413"/>
      <c r="M22" s="442"/>
      <c r="N22" s="413"/>
      <c r="O22" s="440"/>
      <c r="P22" s="413"/>
      <c r="Q22" s="441"/>
      <c r="R22" s="413"/>
    </row>
    <row r="23" customFormat="false" ht="15.75" hidden="false" customHeight="false" outlineLevel="0" collapsed="false">
      <c r="A23" s="432" t="s">
        <v>409</v>
      </c>
      <c r="B23" s="413"/>
      <c r="C23" s="433" t="s">
        <v>410</v>
      </c>
      <c r="D23" s="415"/>
      <c r="E23" s="434" t="s">
        <v>411</v>
      </c>
      <c r="F23" s="413"/>
      <c r="G23" s="426" t="s">
        <v>412</v>
      </c>
      <c r="H23" s="413"/>
      <c r="I23" s="428" t="s">
        <v>413</v>
      </c>
      <c r="J23" s="413"/>
      <c r="K23" s="428" t="s">
        <v>414</v>
      </c>
      <c r="L23" s="413"/>
      <c r="M23" s="442"/>
      <c r="N23" s="413"/>
      <c r="O23" s="440"/>
      <c r="P23" s="413"/>
      <c r="Q23" s="441"/>
      <c r="R23" s="413"/>
    </row>
    <row r="24" customFormat="false" ht="15.75" hidden="false" customHeight="false" outlineLevel="0" collapsed="false">
      <c r="A24" s="432" t="s">
        <v>415</v>
      </c>
      <c r="B24" s="413"/>
      <c r="C24" s="424" t="s">
        <v>100</v>
      </c>
      <c r="D24" s="415"/>
      <c r="E24" s="425" t="s">
        <v>68</v>
      </c>
      <c r="F24" s="413"/>
      <c r="G24" s="426" t="s">
        <v>416</v>
      </c>
      <c r="H24" s="413"/>
      <c r="I24" s="428" t="s">
        <v>417</v>
      </c>
      <c r="J24" s="413"/>
      <c r="K24" s="428" t="s">
        <v>418</v>
      </c>
      <c r="L24" s="413"/>
      <c r="M24" s="442"/>
      <c r="N24" s="413"/>
      <c r="O24" s="440"/>
      <c r="P24" s="413"/>
      <c r="Q24" s="441"/>
      <c r="R24" s="413"/>
    </row>
    <row r="25" customFormat="false" ht="15.75" hidden="false" customHeight="false" outlineLevel="0" collapsed="false">
      <c r="A25" s="423" t="s">
        <v>53</v>
      </c>
      <c r="B25" s="413"/>
      <c r="C25" s="424" t="s">
        <v>110</v>
      </c>
      <c r="D25" s="415"/>
      <c r="E25" s="425" t="s">
        <v>19</v>
      </c>
      <c r="F25" s="413"/>
      <c r="G25" s="426" t="s">
        <v>419</v>
      </c>
      <c r="H25" s="413"/>
      <c r="I25" s="428" t="s">
        <v>420</v>
      </c>
      <c r="J25" s="413"/>
      <c r="K25" s="436" t="s">
        <v>126</v>
      </c>
      <c r="L25" s="413"/>
      <c r="M25" s="442"/>
      <c r="N25" s="413"/>
      <c r="O25" s="440"/>
      <c r="P25" s="413"/>
      <c r="Q25" s="441"/>
      <c r="R25" s="413"/>
    </row>
    <row r="26" customFormat="false" ht="15.75" hidden="false" customHeight="false" outlineLevel="0" collapsed="false">
      <c r="A26" s="432" t="s">
        <v>27</v>
      </c>
      <c r="B26" s="413"/>
      <c r="C26" s="433" t="s">
        <v>421</v>
      </c>
      <c r="D26" s="415"/>
      <c r="E26" s="434" t="s">
        <v>422</v>
      </c>
      <c r="F26" s="413"/>
      <c r="G26" s="426" t="s">
        <v>423</v>
      </c>
      <c r="H26" s="413"/>
      <c r="I26" s="428" t="s">
        <v>424</v>
      </c>
      <c r="J26" s="413"/>
      <c r="K26" s="428" t="s">
        <v>425</v>
      </c>
      <c r="L26" s="413"/>
      <c r="M26" s="442"/>
      <c r="N26" s="413"/>
      <c r="O26" s="440"/>
      <c r="P26" s="413"/>
      <c r="Q26" s="441"/>
      <c r="R26" s="413"/>
    </row>
    <row r="27" customFormat="false" ht="15.75" hidden="false" customHeight="false" outlineLevel="0" collapsed="false">
      <c r="A27" s="423" t="s">
        <v>60</v>
      </c>
      <c r="B27" s="413"/>
      <c r="C27" s="424" t="s">
        <v>426</v>
      </c>
      <c r="D27" s="415"/>
      <c r="E27" s="434" t="s">
        <v>427</v>
      </c>
      <c r="F27" s="413"/>
      <c r="G27" s="426" t="s">
        <v>428</v>
      </c>
      <c r="H27" s="443"/>
      <c r="I27" s="428" t="s">
        <v>429</v>
      </c>
      <c r="J27" s="413"/>
      <c r="K27" s="428" t="s">
        <v>430</v>
      </c>
      <c r="L27" s="413"/>
      <c r="M27" s="442"/>
      <c r="N27" s="413"/>
      <c r="O27" s="440"/>
      <c r="P27" s="413"/>
      <c r="Q27" s="441"/>
      <c r="R27" s="413"/>
    </row>
    <row r="28" customFormat="false" ht="15.75" hidden="false" customHeight="false" outlineLevel="0" collapsed="false">
      <c r="A28" s="432" t="s">
        <v>431</v>
      </c>
      <c r="B28" s="413"/>
      <c r="C28" s="433" t="s">
        <v>432</v>
      </c>
      <c r="D28" s="415"/>
      <c r="E28" s="434" t="s">
        <v>433</v>
      </c>
      <c r="F28" s="413"/>
      <c r="G28" s="426" t="s">
        <v>434</v>
      </c>
      <c r="H28" s="413"/>
      <c r="I28" s="428" t="s">
        <v>435</v>
      </c>
      <c r="J28" s="413"/>
      <c r="K28" s="428" t="s">
        <v>436</v>
      </c>
      <c r="L28" s="413"/>
      <c r="M28" s="442"/>
      <c r="N28" s="413"/>
      <c r="O28" s="440"/>
      <c r="P28" s="413"/>
      <c r="Q28" s="441"/>
      <c r="R28" s="413"/>
    </row>
    <row r="29" customFormat="false" ht="15.75" hidden="false" customHeight="false" outlineLevel="0" collapsed="false">
      <c r="A29" s="432" t="s">
        <v>437</v>
      </c>
      <c r="B29" s="413"/>
      <c r="C29" s="433" t="s">
        <v>116</v>
      </c>
      <c r="D29" s="415"/>
      <c r="E29" s="434" t="s">
        <v>438</v>
      </c>
      <c r="F29" s="413"/>
      <c r="G29" s="426" t="s">
        <v>439</v>
      </c>
      <c r="H29" s="413"/>
      <c r="I29" s="428" t="s">
        <v>440</v>
      </c>
      <c r="J29" s="413"/>
      <c r="K29" s="428" t="s">
        <v>441</v>
      </c>
      <c r="L29" s="413"/>
      <c r="M29" s="442"/>
      <c r="N29" s="413"/>
      <c r="O29" s="440"/>
      <c r="P29" s="413"/>
      <c r="Q29" s="441"/>
      <c r="R29" s="413"/>
    </row>
    <row r="30" customFormat="false" ht="15.75" hidden="false" customHeight="false" outlineLevel="0" collapsed="false">
      <c r="A30" s="432" t="s">
        <v>442</v>
      </c>
      <c r="B30" s="413"/>
      <c r="C30" s="424" t="s">
        <v>16</v>
      </c>
      <c r="D30" s="415"/>
      <c r="E30" s="425" t="s">
        <v>119</v>
      </c>
      <c r="F30" s="413"/>
      <c r="G30" s="426" t="s">
        <v>443</v>
      </c>
      <c r="H30" s="413"/>
      <c r="I30" s="428" t="s">
        <v>444</v>
      </c>
      <c r="J30" s="413"/>
      <c r="K30" s="428" t="s">
        <v>445</v>
      </c>
      <c r="L30" s="413"/>
      <c r="M30" s="442"/>
      <c r="N30" s="413"/>
      <c r="O30" s="440"/>
      <c r="P30" s="415"/>
      <c r="Q30" s="441"/>
      <c r="R30" s="413"/>
    </row>
    <row r="31" customFormat="false" ht="15.75" hidden="false" customHeight="false" outlineLevel="0" collapsed="false">
      <c r="A31" s="432" t="s">
        <v>446</v>
      </c>
      <c r="B31" s="413"/>
      <c r="C31" s="433" t="s">
        <v>447</v>
      </c>
      <c r="D31" s="415"/>
      <c r="E31" s="434" t="s">
        <v>448</v>
      </c>
      <c r="F31" s="413"/>
      <c r="G31" s="426" t="s">
        <v>31</v>
      </c>
      <c r="H31" s="413"/>
      <c r="I31" s="436" t="s">
        <v>92</v>
      </c>
      <c r="J31" s="413"/>
      <c r="K31" s="428" t="s">
        <v>449</v>
      </c>
      <c r="L31" s="413"/>
      <c r="M31" s="442"/>
      <c r="N31" s="413"/>
      <c r="O31" s="440"/>
      <c r="P31" s="413"/>
      <c r="Q31" s="441"/>
      <c r="R31" s="413"/>
    </row>
    <row r="32" customFormat="false" ht="15.75" hidden="false" customHeight="false" outlineLevel="0" collapsed="false">
      <c r="A32" s="423" t="s">
        <v>256</v>
      </c>
      <c r="B32" s="413"/>
      <c r="C32" s="424" t="s">
        <v>107</v>
      </c>
      <c r="D32" s="415"/>
      <c r="E32" s="434" t="s">
        <v>450</v>
      </c>
      <c r="F32" s="413"/>
      <c r="G32" s="426" t="s">
        <v>451</v>
      </c>
      <c r="H32" s="413"/>
      <c r="I32" s="428" t="s">
        <v>452</v>
      </c>
      <c r="J32" s="413"/>
      <c r="K32" s="428" t="s">
        <v>453</v>
      </c>
      <c r="L32" s="413"/>
      <c r="M32" s="442"/>
      <c r="N32" s="413"/>
      <c r="O32" s="440"/>
      <c r="P32" s="413"/>
      <c r="Q32" s="444"/>
      <c r="R32" s="413"/>
    </row>
    <row r="33" customFormat="false" ht="15.75" hidden="false" customHeight="false" outlineLevel="0" collapsed="false">
      <c r="A33" s="432" t="s">
        <v>454</v>
      </c>
      <c r="B33" s="413"/>
      <c r="C33" s="424" t="s">
        <v>74</v>
      </c>
      <c r="D33" s="415"/>
      <c r="E33" s="434" t="s">
        <v>455</v>
      </c>
      <c r="F33" s="413"/>
      <c r="G33" s="426" t="s">
        <v>456</v>
      </c>
      <c r="H33" s="413"/>
      <c r="I33" s="428" t="s">
        <v>457</v>
      </c>
      <c r="J33" s="413"/>
      <c r="K33" s="428" t="s">
        <v>458</v>
      </c>
      <c r="L33" s="413"/>
      <c r="M33" s="442"/>
      <c r="N33" s="413"/>
      <c r="O33" s="440"/>
      <c r="P33" s="413"/>
      <c r="Q33" s="444"/>
      <c r="R33" s="413"/>
    </row>
    <row r="34" customFormat="false" ht="15.75" hidden="false" customHeight="false" outlineLevel="0" collapsed="false">
      <c r="A34" s="432" t="s">
        <v>459</v>
      </c>
      <c r="B34" s="413"/>
      <c r="C34" s="424" t="s">
        <v>76</v>
      </c>
      <c r="D34" s="415"/>
      <c r="E34" s="434" t="s">
        <v>460</v>
      </c>
      <c r="F34" s="413"/>
      <c r="G34" s="426" t="s">
        <v>461</v>
      </c>
      <c r="H34" s="413"/>
      <c r="I34" s="428" t="s">
        <v>462</v>
      </c>
      <c r="J34" s="413"/>
      <c r="K34" s="428" t="s">
        <v>463</v>
      </c>
      <c r="L34" s="413"/>
      <c r="M34" s="442"/>
      <c r="N34" s="413"/>
      <c r="O34" s="440"/>
      <c r="P34" s="413"/>
      <c r="Q34" s="444"/>
      <c r="R34" s="413"/>
    </row>
    <row r="35" customFormat="false" ht="15.75" hidden="false" customHeight="false" outlineLevel="0" collapsed="false">
      <c r="A35" s="432" t="s">
        <v>464</v>
      </c>
      <c r="B35" s="413"/>
      <c r="C35" s="424" t="s">
        <v>82</v>
      </c>
      <c r="D35" s="415"/>
      <c r="E35" s="434" t="s">
        <v>465</v>
      </c>
      <c r="F35" s="413" t="s">
        <v>466</v>
      </c>
      <c r="G35" s="426" t="s">
        <v>467</v>
      </c>
      <c r="H35" s="413"/>
      <c r="I35" s="428" t="s">
        <v>468</v>
      </c>
      <c r="J35" s="413"/>
      <c r="K35" s="428" t="s">
        <v>469</v>
      </c>
      <c r="L35" s="413"/>
      <c r="M35" s="442"/>
      <c r="N35" s="413"/>
      <c r="O35" s="440"/>
      <c r="P35" s="413"/>
      <c r="Q35" s="444"/>
      <c r="R35" s="413"/>
    </row>
    <row r="36" customFormat="false" ht="15.75" hidden="false" customHeight="false" outlineLevel="0" collapsed="false">
      <c r="A36" s="432" t="s">
        <v>470</v>
      </c>
      <c r="B36" s="413"/>
      <c r="C36" s="433" t="s">
        <v>471</v>
      </c>
      <c r="D36" s="415"/>
      <c r="E36" s="434" t="s">
        <v>472</v>
      </c>
      <c r="F36" s="413"/>
      <c r="G36" s="426" t="s">
        <v>268</v>
      </c>
      <c r="H36" s="413"/>
      <c r="I36" s="428" t="s">
        <v>473</v>
      </c>
      <c r="J36" s="413"/>
      <c r="K36" s="428" t="s">
        <v>474</v>
      </c>
      <c r="L36" s="413"/>
      <c r="M36" s="442"/>
      <c r="N36" s="413"/>
      <c r="O36" s="440"/>
      <c r="P36" s="413"/>
      <c r="Q36" s="444"/>
      <c r="R36" s="413"/>
    </row>
    <row r="37" customFormat="false" ht="15.75" hidden="false" customHeight="false" outlineLevel="0" collapsed="false">
      <c r="A37" s="432" t="s">
        <v>475</v>
      </c>
      <c r="B37" s="413"/>
      <c r="C37" s="433" t="s">
        <v>476</v>
      </c>
      <c r="D37" s="415"/>
      <c r="E37" s="434" t="s">
        <v>477</v>
      </c>
      <c r="F37" s="413"/>
      <c r="G37" s="435" t="s">
        <v>28</v>
      </c>
      <c r="H37" s="413"/>
      <c r="I37" s="428" t="s">
        <v>478</v>
      </c>
      <c r="J37" s="413"/>
      <c r="K37" s="428" t="s">
        <v>479</v>
      </c>
      <c r="L37" s="413"/>
      <c r="M37" s="442"/>
      <c r="N37" s="413"/>
      <c r="O37" s="440"/>
      <c r="P37" s="413"/>
      <c r="Q37" s="444"/>
      <c r="R37" s="413"/>
    </row>
    <row r="38" customFormat="false" ht="15.75" hidden="false" customHeight="false" outlineLevel="0" collapsed="false">
      <c r="A38" s="432"/>
      <c r="B38" s="413"/>
      <c r="C38" s="433" t="s">
        <v>480</v>
      </c>
      <c r="D38" s="415"/>
      <c r="E38" s="434" t="s">
        <v>481</v>
      </c>
      <c r="F38" s="413"/>
      <c r="G38" s="426" t="s">
        <v>482</v>
      </c>
      <c r="H38" s="413"/>
      <c r="I38" s="428" t="s">
        <v>44</v>
      </c>
      <c r="J38" s="413"/>
      <c r="K38" s="428" t="s">
        <v>483</v>
      </c>
      <c r="L38" s="413"/>
      <c r="M38" s="442"/>
      <c r="N38" s="413"/>
      <c r="O38" s="440"/>
      <c r="P38" s="413"/>
      <c r="Q38" s="444"/>
      <c r="R38" s="413"/>
    </row>
    <row r="39" customFormat="false" ht="15.75" hidden="false" customHeight="false" outlineLevel="0" collapsed="false">
      <c r="A39" s="445"/>
      <c r="B39" s="413"/>
      <c r="C39" s="424" t="s">
        <v>69</v>
      </c>
      <c r="D39" s="415"/>
      <c r="E39" s="434" t="s">
        <v>484</v>
      </c>
      <c r="F39" s="413"/>
      <c r="G39" s="426" t="s">
        <v>485</v>
      </c>
      <c r="H39" s="413"/>
      <c r="I39" s="428" t="s">
        <v>486</v>
      </c>
      <c r="J39" s="413"/>
      <c r="K39" s="428" t="s">
        <v>487</v>
      </c>
      <c r="L39" s="413"/>
      <c r="M39" s="442"/>
      <c r="N39" s="413"/>
      <c r="O39" s="440"/>
      <c r="P39" s="413"/>
      <c r="Q39" s="444"/>
      <c r="R39" s="413"/>
    </row>
    <row r="40" customFormat="false" ht="15.75" hidden="false" customHeight="false" outlineLevel="0" collapsed="false">
      <c r="A40" s="445"/>
      <c r="B40" s="413"/>
      <c r="C40" s="424" t="s">
        <v>488</v>
      </c>
      <c r="D40" s="415"/>
      <c r="E40" s="434" t="s">
        <v>489</v>
      </c>
      <c r="F40" s="413"/>
      <c r="G40" s="426" t="s">
        <v>490</v>
      </c>
      <c r="H40" s="413"/>
      <c r="I40" s="428" t="s">
        <v>491</v>
      </c>
      <c r="J40" s="413"/>
      <c r="K40" s="428" t="s">
        <v>492</v>
      </c>
      <c r="L40" s="413"/>
      <c r="M40" s="442"/>
      <c r="N40" s="413"/>
      <c r="O40" s="440"/>
      <c r="P40" s="413"/>
      <c r="Q40" s="444"/>
      <c r="R40" s="413"/>
    </row>
    <row r="41" customFormat="false" ht="15.75" hidden="false" customHeight="false" outlineLevel="0" collapsed="false">
      <c r="A41" s="445"/>
      <c r="B41" s="413"/>
      <c r="C41" s="433" t="s">
        <v>493</v>
      </c>
      <c r="D41" s="415"/>
      <c r="E41" s="434" t="s">
        <v>494</v>
      </c>
      <c r="F41" s="413"/>
      <c r="G41" s="426" t="s">
        <v>495</v>
      </c>
      <c r="H41" s="413"/>
      <c r="I41" s="428" t="s">
        <v>496</v>
      </c>
      <c r="J41" s="413"/>
      <c r="K41" s="436" t="s">
        <v>497</v>
      </c>
      <c r="L41" s="413"/>
      <c r="M41" s="442"/>
      <c r="N41" s="413"/>
      <c r="O41" s="440"/>
      <c r="P41" s="413"/>
      <c r="Q41" s="444"/>
      <c r="R41" s="413"/>
    </row>
    <row r="42" customFormat="false" ht="15.75" hidden="false" customHeight="false" outlineLevel="0" collapsed="false">
      <c r="A42" s="445"/>
      <c r="B42" s="413"/>
      <c r="C42" s="433" t="s">
        <v>498</v>
      </c>
      <c r="D42" s="415"/>
      <c r="E42" s="425" t="s">
        <v>94</v>
      </c>
      <c r="F42" s="413"/>
      <c r="G42" s="426" t="s">
        <v>499</v>
      </c>
      <c r="H42" s="413"/>
      <c r="I42" s="428" t="s">
        <v>500</v>
      </c>
      <c r="J42" s="413"/>
      <c r="K42" s="428" t="s">
        <v>501</v>
      </c>
      <c r="L42" s="413"/>
      <c r="M42" s="442"/>
      <c r="N42" s="413"/>
      <c r="O42" s="440"/>
      <c r="P42" s="413"/>
      <c r="Q42" s="444"/>
      <c r="R42" s="413"/>
    </row>
    <row r="43" customFormat="false" ht="15.75" hidden="false" customHeight="false" outlineLevel="0" collapsed="false">
      <c r="A43" s="445"/>
      <c r="B43" s="413"/>
      <c r="C43" s="433" t="s">
        <v>502</v>
      </c>
      <c r="D43" s="415"/>
      <c r="E43" s="434" t="s">
        <v>503</v>
      </c>
      <c r="F43" s="413"/>
      <c r="G43" s="426" t="s">
        <v>504</v>
      </c>
      <c r="H43" s="413"/>
      <c r="I43" s="428" t="s">
        <v>505</v>
      </c>
      <c r="J43" s="413"/>
      <c r="K43" s="428" t="s">
        <v>506</v>
      </c>
      <c r="L43" s="413"/>
      <c r="M43" s="442"/>
      <c r="N43" s="413"/>
      <c r="O43" s="440"/>
      <c r="P43" s="413"/>
      <c r="Q43" s="444"/>
      <c r="R43" s="413"/>
    </row>
    <row r="44" customFormat="false" ht="15.75" hidden="false" customHeight="false" outlineLevel="0" collapsed="false">
      <c r="A44" s="445"/>
      <c r="B44" s="413"/>
      <c r="C44" s="424" t="s">
        <v>124</v>
      </c>
      <c r="D44" s="415"/>
      <c r="E44" s="434" t="s">
        <v>507</v>
      </c>
      <c r="F44" s="413"/>
      <c r="G44" s="426" t="s">
        <v>508</v>
      </c>
      <c r="H44" s="413"/>
      <c r="I44" s="428" t="s">
        <v>509</v>
      </c>
      <c r="J44" s="413"/>
      <c r="K44" s="428" t="s">
        <v>510</v>
      </c>
      <c r="L44" s="413"/>
      <c r="M44" s="442"/>
      <c r="N44" s="413"/>
      <c r="O44" s="440"/>
      <c r="P44" s="413"/>
      <c r="Q44" s="444"/>
      <c r="R44" s="413"/>
    </row>
    <row r="45" customFormat="false" ht="15.75" hidden="false" customHeight="false" outlineLevel="0" collapsed="false">
      <c r="A45" s="445"/>
      <c r="B45" s="413"/>
      <c r="C45" s="433" t="s">
        <v>77</v>
      </c>
      <c r="D45" s="415"/>
      <c r="E45" s="425" t="s">
        <v>248</v>
      </c>
      <c r="F45" s="413"/>
      <c r="G45" s="426" t="s">
        <v>511</v>
      </c>
      <c r="H45" s="413"/>
      <c r="I45" s="428" t="s">
        <v>512</v>
      </c>
      <c r="J45" s="413"/>
      <c r="K45" s="428" t="s">
        <v>513</v>
      </c>
      <c r="L45" s="413"/>
      <c r="M45" s="442"/>
      <c r="N45" s="413"/>
      <c r="O45" s="440"/>
      <c r="P45" s="413"/>
      <c r="Q45" s="444"/>
      <c r="R45" s="413"/>
    </row>
    <row r="46" customFormat="false" ht="15.75" hidden="false" customHeight="false" outlineLevel="0" collapsed="false">
      <c r="A46" s="445"/>
      <c r="B46" s="413"/>
      <c r="C46" s="424" t="s">
        <v>14</v>
      </c>
      <c r="D46" s="415"/>
      <c r="E46" s="434" t="s">
        <v>514</v>
      </c>
      <c r="F46" s="413"/>
      <c r="G46" s="426" t="s">
        <v>515</v>
      </c>
      <c r="H46" s="413"/>
      <c r="I46" s="428" t="s">
        <v>516</v>
      </c>
      <c r="J46" s="413"/>
      <c r="K46" s="428" t="s">
        <v>517</v>
      </c>
      <c r="L46" s="413"/>
      <c r="M46" s="442"/>
      <c r="N46" s="413"/>
      <c r="O46" s="440"/>
      <c r="P46" s="413"/>
      <c r="Q46" s="444"/>
      <c r="R46" s="413"/>
    </row>
    <row r="47" customFormat="false" ht="15.75" hidden="false" customHeight="false" outlineLevel="0" collapsed="false">
      <c r="A47" s="445"/>
      <c r="B47" s="413"/>
      <c r="C47" s="433" t="s">
        <v>518</v>
      </c>
      <c r="D47" s="415"/>
      <c r="E47" s="434" t="s">
        <v>519</v>
      </c>
      <c r="F47" s="413"/>
      <c r="G47" s="426" t="s">
        <v>520</v>
      </c>
      <c r="H47" s="413"/>
      <c r="I47" s="436" t="s">
        <v>259</v>
      </c>
      <c r="J47" s="413"/>
      <c r="K47" s="428" t="s">
        <v>521</v>
      </c>
      <c r="L47" s="413"/>
      <c r="M47" s="442"/>
      <c r="N47" s="413"/>
      <c r="O47" s="440"/>
      <c r="P47" s="413"/>
      <c r="Q47" s="444"/>
      <c r="R47" s="413"/>
    </row>
    <row r="48" customFormat="false" ht="15.75" hidden="false" customHeight="false" outlineLevel="0" collapsed="false">
      <c r="A48" s="445"/>
      <c r="B48" s="413"/>
      <c r="C48" s="424" t="s">
        <v>50</v>
      </c>
      <c r="D48" s="415"/>
      <c r="E48" s="434" t="s">
        <v>522</v>
      </c>
      <c r="F48" s="413"/>
      <c r="G48" s="426" t="s">
        <v>523</v>
      </c>
      <c r="H48" s="413"/>
      <c r="I48" s="428" t="s">
        <v>524</v>
      </c>
      <c r="J48" s="413"/>
      <c r="K48" s="428" t="s">
        <v>525</v>
      </c>
      <c r="L48" s="413"/>
      <c r="M48" s="442"/>
      <c r="N48" s="413"/>
      <c r="O48" s="440"/>
      <c r="P48" s="413"/>
      <c r="Q48" s="444"/>
      <c r="R48" s="413"/>
    </row>
    <row r="49" customFormat="false" ht="15.75" hidden="false" customHeight="false" outlineLevel="0" collapsed="false">
      <c r="A49" s="445"/>
      <c r="B49" s="413"/>
      <c r="C49" s="446"/>
      <c r="D49" s="415"/>
      <c r="E49" s="425" t="s">
        <v>73</v>
      </c>
      <c r="F49" s="413"/>
      <c r="G49" s="426" t="s">
        <v>526</v>
      </c>
      <c r="H49" s="413"/>
      <c r="I49" s="428" t="s">
        <v>527</v>
      </c>
      <c r="J49" s="413"/>
      <c r="K49" s="428" t="s">
        <v>528</v>
      </c>
      <c r="L49" s="413"/>
      <c r="M49" s="442"/>
      <c r="N49" s="413"/>
      <c r="O49" s="440"/>
      <c r="P49" s="413"/>
      <c r="Q49" s="444"/>
      <c r="R49" s="413"/>
    </row>
    <row r="50" customFormat="false" ht="15.75" hidden="false" customHeight="false" outlineLevel="0" collapsed="false">
      <c r="A50" s="445"/>
      <c r="B50" s="413"/>
      <c r="C50" s="446"/>
      <c r="D50" s="415"/>
      <c r="E50" s="434" t="s">
        <v>529</v>
      </c>
      <c r="F50" s="413"/>
      <c r="G50" s="426" t="s">
        <v>530</v>
      </c>
      <c r="H50" s="413"/>
      <c r="I50" s="428" t="s">
        <v>531</v>
      </c>
      <c r="J50" s="413"/>
      <c r="K50" s="428" t="s">
        <v>532</v>
      </c>
      <c r="L50" s="413"/>
      <c r="M50" s="442"/>
      <c r="N50" s="413"/>
      <c r="O50" s="440"/>
      <c r="P50" s="413"/>
      <c r="Q50" s="444"/>
      <c r="R50" s="413"/>
    </row>
    <row r="51" customFormat="false" ht="15.75" hidden="false" customHeight="false" outlineLevel="0" collapsed="false">
      <c r="A51" s="445"/>
      <c r="B51" s="413"/>
      <c r="C51" s="446"/>
      <c r="D51" s="415"/>
      <c r="E51" s="425" t="s">
        <v>106</v>
      </c>
      <c r="F51" s="413"/>
      <c r="G51" s="426" t="s">
        <v>533</v>
      </c>
      <c r="H51" s="413"/>
      <c r="I51" s="428" t="s">
        <v>534</v>
      </c>
      <c r="J51" s="413"/>
      <c r="K51" s="428" t="s">
        <v>535</v>
      </c>
      <c r="L51" s="413"/>
      <c r="M51" s="442"/>
      <c r="N51" s="413"/>
      <c r="O51" s="440"/>
      <c r="P51" s="413"/>
      <c r="Q51" s="444"/>
      <c r="R51" s="413"/>
    </row>
    <row r="52" customFormat="false" ht="15.75" hidden="false" customHeight="false" outlineLevel="0" collapsed="false">
      <c r="A52" s="445"/>
      <c r="B52" s="413"/>
      <c r="C52" s="446"/>
      <c r="D52" s="415"/>
      <c r="E52" s="434" t="s">
        <v>536</v>
      </c>
      <c r="F52" s="413"/>
      <c r="G52" s="426" t="s">
        <v>537</v>
      </c>
      <c r="H52" s="413"/>
      <c r="I52" s="428" t="s">
        <v>538</v>
      </c>
      <c r="J52" s="413"/>
      <c r="K52" s="428" t="s">
        <v>539</v>
      </c>
      <c r="L52" s="413"/>
      <c r="M52" s="442"/>
      <c r="N52" s="413"/>
      <c r="O52" s="440"/>
      <c r="P52" s="413"/>
      <c r="Q52" s="444"/>
      <c r="R52" s="413"/>
    </row>
    <row r="53" customFormat="false" ht="15.75" hidden="false" customHeight="false" outlineLevel="0" collapsed="false">
      <c r="A53" s="445"/>
      <c r="B53" s="413"/>
      <c r="C53" s="446"/>
      <c r="D53" s="415"/>
      <c r="E53" s="434" t="s">
        <v>540</v>
      </c>
      <c r="F53" s="413"/>
      <c r="G53" s="426" t="s">
        <v>541</v>
      </c>
      <c r="H53" s="413"/>
      <c r="I53" s="428" t="s">
        <v>542</v>
      </c>
      <c r="J53" s="413"/>
      <c r="K53" s="428" t="s">
        <v>543</v>
      </c>
      <c r="L53" s="413"/>
      <c r="M53" s="442"/>
      <c r="N53" s="413"/>
      <c r="O53" s="440"/>
      <c r="P53" s="413"/>
      <c r="Q53" s="444"/>
      <c r="R53" s="413"/>
    </row>
    <row r="54" customFormat="false" ht="15.75" hidden="false" customHeight="false" outlineLevel="0" collapsed="false">
      <c r="A54" s="445"/>
      <c r="B54" s="413"/>
      <c r="C54" s="446"/>
      <c r="D54" s="415"/>
      <c r="E54" s="434" t="s">
        <v>544</v>
      </c>
      <c r="F54" s="413"/>
      <c r="G54" s="426" t="s">
        <v>545</v>
      </c>
      <c r="H54" s="413"/>
      <c r="I54" s="428" t="s">
        <v>546</v>
      </c>
      <c r="J54" s="413"/>
      <c r="K54" s="436" t="s">
        <v>111</v>
      </c>
      <c r="L54" s="413"/>
      <c r="M54" s="442"/>
      <c r="N54" s="413"/>
      <c r="O54" s="440"/>
      <c r="P54" s="413"/>
      <c r="Q54" s="444"/>
      <c r="R54" s="413"/>
    </row>
    <row r="55" customFormat="false" ht="15.75" hidden="false" customHeight="false" outlineLevel="0" collapsed="false">
      <c r="A55" s="445"/>
      <c r="B55" s="413"/>
      <c r="C55" s="446"/>
      <c r="D55" s="415"/>
      <c r="E55" s="434" t="s">
        <v>547</v>
      </c>
      <c r="F55" s="413"/>
      <c r="G55" s="426" t="s">
        <v>548</v>
      </c>
      <c r="H55" s="413"/>
      <c r="I55" s="428" t="s">
        <v>549</v>
      </c>
      <c r="J55" s="413"/>
      <c r="K55" s="428" t="s">
        <v>550</v>
      </c>
      <c r="L55" s="413"/>
      <c r="M55" s="442"/>
      <c r="N55" s="413"/>
      <c r="O55" s="440"/>
      <c r="P55" s="413"/>
      <c r="Q55" s="444"/>
      <c r="R55" s="413"/>
    </row>
    <row r="56" customFormat="false" ht="15.75" hidden="false" customHeight="false" outlineLevel="0" collapsed="false">
      <c r="A56" s="445"/>
      <c r="B56" s="413"/>
      <c r="C56" s="446"/>
      <c r="D56" s="415"/>
      <c r="E56" s="434" t="s">
        <v>551</v>
      </c>
      <c r="F56" s="413"/>
      <c r="G56" s="426" t="s">
        <v>552</v>
      </c>
      <c r="H56" s="413"/>
      <c r="I56" s="428" t="s">
        <v>553</v>
      </c>
      <c r="J56" s="413"/>
      <c r="K56" s="428" t="s">
        <v>554</v>
      </c>
      <c r="L56" s="413"/>
      <c r="M56" s="442"/>
      <c r="N56" s="413"/>
      <c r="O56" s="440"/>
      <c r="P56" s="413"/>
      <c r="Q56" s="444"/>
      <c r="R56" s="413"/>
    </row>
    <row r="57" customFormat="false" ht="15.75" hidden="false" customHeight="false" outlineLevel="0" collapsed="false">
      <c r="A57" s="445"/>
      <c r="B57" s="413"/>
      <c r="C57" s="446"/>
      <c r="D57" s="415"/>
      <c r="E57" s="425" t="s">
        <v>66</v>
      </c>
      <c r="F57" s="413"/>
      <c r="G57" s="426" t="s">
        <v>555</v>
      </c>
      <c r="H57" s="413"/>
      <c r="I57" s="428" t="s">
        <v>556</v>
      </c>
      <c r="J57" s="413"/>
      <c r="K57" s="428" t="s">
        <v>557</v>
      </c>
      <c r="L57" s="413"/>
      <c r="M57" s="442"/>
      <c r="N57" s="413"/>
      <c r="O57" s="440"/>
      <c r="P57" s="413"/>
      <c r="Q57" s="444"/>
      <c r="R57" s="413"/>
    </row>
    <row r="58" customFormat="false" ht="15.75" hidden="false" customHeight="false" outlineLevel="0" collapsed="false">
      <c r="A58" s="445"/>
      <c r="B58" s="413"/>
      <c r="C58" s="446"/>
      <c r="D58" s="415"/>
      <c r="E58" s="434" t="s">
        <v>558</v>
      </c>
      <c r="F58" s="413"/>
      <c r="G58" s="426" t="s">
        <v>559</v>
      </c>
      <c r="H58" s="413"/>
      <c r="I58" s="428" t="s">
        <v>560</v>
      </c>
      <c r="J58" s="413"/>
      <c r="K58" s="428" t="s">
        <v>561</v>
      </c>
      <c r="L58" s="413"/>
      <c r="M58" s="442"/>
      <c r="N58" s="413"/>
      <c r="O58" s="440"/>
      <c r="P58" s="413"/>
      <c r="Q58" s="444"/>
      <c r="R58" s="413"/>
    </row>
    <row r="59" customFormat="false" ht="15.75" hidden="false" customHeight="false" outlineLevel="0" collapsed="false">
      <c r="A59" s="445"/>
      <c r="B59" s="413"/>
      <c r="C59" s="446"/>
      <c r="D59" s="415"/>
      <c r="E59" s="434" t="s">
        <v>562</v>
      </c>
      <c r="F59" s="413"/>
      <c r="G59" s="426" t="s">
        <v>563</v>
      </c>
      <c r="H59" s="413"/>
      <c r="I59" s="447" t="s">
        <v>564</v>
      </c>
      <c r="J59" s="413"/>
      <c r="K59" s="428" t="s">
        <v>565</v>
      </c>
      <c r="L59" s="413"/>
      <c r="M59" s="442"/>
      <c r="N59" s="413"/>
      <c r="O59" s="440"/>
      <c r="P59" s="413"/>
      <c r="Q59" s="444"/>
      <c r="R59" s="413"/>
    </row>
    <row r="60" customFormat="false" ht="15.75" hidden="false" customHeight="false" outlineLevel="0" collapsed="false">
      <c r="A60" s="445"/>
      <c r="B60" s="413"/>
      <c r="C60" s="446"/>
      <c r="D60" s="415"/>
      <c r="E60" s="434" t="s">
        <v>566</v>
      </c>
      <c r="F60" s="413"/>
      <c r="G60" s="426" t="s">
        <v>567</v>
      </c>
      <c r="H60" s="413"/>
      <c r="I60" s="428" t="s">
        <v>568</v>
      </c>
      <c r="J60" s="413"/>
      <c r="K60" s="428" t="s">
        <v>569</v>
      </c>
      <c r="L60" s="413"/>
      <c r="M60" s="442"/>
      <c r="N60" s="413"/>
      <c r="O60" s="440"/>
      <c r="P60" s="413"/>
      <c r="Q60" s="444"/>
      <c r="R60" s="413"/>
    </row>
    <row r="61" customFormat="false" ht="15.75" hidden="false" customHeight="false" outlineLevel="0" collapsed="false">
      <c r="A61" s="445"/>
      <c r="B61" s="413"/>
      <c r="C61" s="446"/>
      <c r="D61" s="415"/>
      <c r="E61" s="434" t="s">
        <v>570</v>
      </c>
      <c r="F61" s="413"/>
      <c r="G61" s="426" t="s">
        <v>571</v>
      </c>
      <c r="H61" s="413"/>
      <c r="I61" s="428" t="s">
        <v>572</v>
      </c>
      <c r="J61" s="413"/>
      <c r="K61" s="428" t="s">
        <v>573</v>
      </c>
      <c r="L61" s="413"/>
      <c r="M61" s="442"/>
      <c r="N61" s="413"/>
      <c r="O61" s="440"/>
      <c r="P61" s="413"/>
      <c r="Q61" s="444"/>
      <c r="R61" s="413"/>
    </row>
    <row r="62" customFormat="false" ht="15.75" hidden="false" customHeight="false" outlineLevel="0" collapsed="false">
      <c r="A62" s="445"/>
      <c r="B62" s="413"/>
      <c r="C62" s="446"/>
      <c r="D62" s="415"/>
      <c r="E62" s="434" t="s">
        <v>574</v>
      </c>
      <c r="F62" s="413"/>
      <c r="G62" s="426" t="s">
        <v>575</v>
      </c>
      <c r="H62" s="413"/>
      <c r="I62" s="428" t="s">
        <v>576</v>
      </c>
      <c r="J62" s="413"/>
      <c r="K62" s="428" t="s">
        <v>577</v>
      </c>
      <c r="L62" s="413"/>
      <c r="M62" s="442"/>
      <c r="N62" s="413"/>
      <c r="O62" s="440"/>
      <c r="P62" s="413"/>
      <c r="Q62" s="444"/>
      <c r="R62" s="413"/>
    </row>
    <row r="63" customFormat="false" ht="15.75" hidden="false" customHeight="false" outlineLevel="0" collapsed="false">
      <c r="A63" s="445"/>
      <c r="B63" s="413"/>
      <c r="C63" s="446"/>
      <c r="D63" s="415"/>
      <c r="E63" s="434" t="s">
        <v>578</v>
      </c>
      <c r="F63" s="413"/>
      <c r="G63" s="426" t="s">
        <v>579</v>
      </c>
      <c r="H63" s="413"/>
      <c r="I63" s="428" t="s">
        <v>580</v>
      </c>
      <c r="J63" s="413"/>
      <c r="K63" s="428" t="s">
        <v>581</v>
      </c>
      <c r="L63" s="413"/>
      <c r="M63" s="442"/>
      <c r="N63" s="413"/>
      <c r="O63" s="440"/>
      <c r="P63" s="413"/>
      <c r="Q63" s="444"/>
      <c r="R63" s="413"/>
    </row>
    <row r="64" customFormat="false" ht="15.75" hidden="false" customHeight="false" outlineLevel="0" collapsed="false">
      <c r="A64" s="445"/>
      <c r="B64" s="413"/>
      <c r="C64" s="446"/>
      <c r="D64" s="415"/>
      <c r="E64" s="434" t="s">
        <v>582</v>
      </c>
      <c r="F64" s="413"/>
      <c r="G64" s="426" t="s">
        <v>583</v>
      </c>
      <c r="H64" s="413"/>
      <c r="I64" s="428" t="s">
        <v>584</v>
      </c>
      <c r="J64" s="413"/>
      <c r="K64" s="428" t="s">
        <v>585</v>
      </c>
      <c r="L64" s="413"/>
      <c r="M64" s="442"/>
      <c r="N64" s="413"/>
      <c r="O64" s="440"/>
      <c r="P64" s="413"/>
      <c r="Q64" s="444"/>
      <c r="R64" s="413"/>
    </row>
    <row r="65" customFormat="false" ht="15.75" hidden="false" customHeight="false" outlineLevel="0" collapsed="false">
      <c r="A65" s="445"/>
      <c r="B65" s="413"/>
      <c r="C65" s="446"/>
      <c r="D65" s="415"/>
      <c r="E65" s="434" t="s">
        <v>586</v>
      </c>
      <c r="F65" s="413"/>
      <c r="G65" s="426" t="s">
        <v>587</v>
      </c>
      <c r="H65" s="413"/>
      <c r="I65" s="428" t="s">
        <v>588</v>
      </c>
      <c r="J65" s="413"/>
      <c r="K65" s="428" t="s">
        <v>589</v>
      </c>
      <c r="L65" s="413"/>
      <c r="M65" s="442"/>
      <c r="N65" s="413"/>
      <c r="O65" s="440"/>
      <c r="P65" s="413"/>
      <c r="Q65" s="444"/>
      <c r="R65" s="413"/>
    </row>
    <row r="66" customFormat="false" ht="15.75" hidden="false" customHeight="false" outlineLevel="0" collapsed="false">
      <c r="A66" s="445"/>
      <c r="B66" s="413"/>
      <c r="C66" s="446"/>
      <c r="D66" s="415"/>
      <c r="E66" s="425" t="s">
        <v>47</v>
      </c>
      <c r="F66" s="413"/>
      <c r="G66" s="426" t="s">
        <v>590</v>
      </c>
      <c r="H66" s="413"/>
      <c r="I66" s="428" t="s">
        <v>591</v>
      </c>
      <c r="J66" s="413"/>
      <c r="K66" s="428" t="s">
        <v>592</v>
      </c>
      <c r="L66" s="413"/>
      <c r="M66" s="442"/>
      <c r="N66" s="413"/>
      <c r="O66" s="440"/>
      <c r="P66" s="413"/>
      <c r="Q66" s="444"/>
      <c r="R66" s="413"/>
    </row>
    <row r="67" customFormat="false" ht="15.75" hidden="false" customHeight="false" outlineLevel="0" collapsed="false">
      <c r="A67" s="445"/>
      <c r="B67" s="413"/>
      <c r="C67" s="446"/>
      <c r="D67" s="415"/>
      <c r="E67" s="434" t="s">
        <v>593</v>
      </c>
      <c r="F67" s="413"/>
      <c r="G67" s="435" t="s">
        <v>103</v>
      </c>
      <c r="H67" s="413"/>
      <c r="I67" s="428" t="s">
        <v>594</v>
      </c>
      <c r="J67" s="413"/>
      <c r="K67" s="428" t="s">
        <v>595</v>
      </c>
      <c r="L67" s="413"/>
      <c r="M67" s="442"/>
      <c r="N67" s="413"/>
      <c r="O67" s="440"/>
      <c r="P67" s="413"/>
      <c r="Q67" s="444"/>
      <c r="R67" s="413"/>
    </row>
    <row r="68" customFormat="false" ht="15.75" hidden="false" customHeight="false" outlineLevel="0" collapsed="false">
      <c r="A68" s="445"/>
      <c r="B68" s="413"/>
      <c r="C68" s="446"/>
      <c r="D68" s="415"/>
      <c r="E68" s="434" t="s">
        <v>596</v>
      </c>
      <c r="F68" s="413"/>
      <c r="G68" s="426" t="s">
        <v>597</v>
      </c>
      <c r="H68" s="413"/>
      <c r="I68" s="428" t="s">
        <v>598</v>
      </c>
      <c r="J68" s="413"/>
      <c r="K68" s="428" t="s">
        <v>599</v>
      </c>
      <c r="L68" s="413"/>
      <c r="M68" s="442"/>
      <c r="N68" s="413"/>
      <c r="O68" s="440"/>
      <c r="P68" s="413"/>
      <c r="Q68" s="444"/>
      <c r="R68" s="413"/>
    </row>
    <row r="69" customFormat="false" ht="15.75" hidden="false" customHeight="false" outlineLevel="0" collapsed="false">
      <c r="A69" s="445"/>
      <c r="B69" s="413"/>
      <c r="C69" s="446"/>
      <c r="D69" s="415"/>
      <c r="E69" s="425" t="s">
        <v>108</v>
      </c>
      <c r="F69" s="413"/>
      <c r="G69" s="426" t="s">
        <v>600</v>
      </c>
      <c r="H69" s="413"/>
      <c r="I69" s="428" t="s">
        <v>601</v>
      </c>
      <c r="J69" s="413"/>
      <c r="K69" s="428" t="s">
        <v>602</v>
      </c>
      <c r="L69" s="413"/>
      <c r="M69" s="442"/>
      <c r="N69" s="413"/>
      <c r="O69" s="440"/>
      <c r="P69" s="413"/>
      <c r="Q69" s="444"/>
      <c r="R69" s="413"/>
    </row>
    <row r="70" customFormat="false" ht="15.75" hidden="false" customHeight="false" outlineLevel="0" collapsed="false">
      <c r="A70" s="445"/>
      <c r="B70" s="413"/>
      <c r="C70" s="446"/>
      <c r="D70" s="415"/>
      <c r="E70" s="434" t="s">
        <v>603</v>
      </c>
      <c r="F70" s="413"/>
      <c r="G70" s="426" t="s">
        <v>604</v>
      </c>
      <c r="H70" s="413"/>
      <c r="I70" s="428" t="s">
        <v>605</v>
      </c>
      <c r="J70" s="413"/>
      <c r="K70" s="428" t="s">
        <v>606</v>
      </c>
      <c r="L70" s="413"/>
      <c r="M70" s="442"/>
      <c r="N70" s="413"/>
      <c r="O70" s="440"/>
      <c r="P70" s="413"/>
      <c r="Q70" s="444"/>
      <c r="R70" s="413"/>
    </row>
    <row r="71" customFormat="false" ht="15.75" hidden="false" customHeight="false" outlineLevel="0" collapsed="false">
      <c r="A71" s="445"/>
      <c r="B71" s="413"/>
      <c r="C71" s="446"/>
      <c r="D71" s="415"/>
      <c r="E71" s="425" t="s">
        <v>20</v>
      </c>
      <c r="F71" s="413"/>
      <c r="G71" s="426" t="s">
        <v>607</v>
      </c>
      <c r="H71" s="413"/>
      <c r="I71" s="428" t="s">
        <v>608</v>
      </c>
      <c r="J71" s="413"/>
      <c r="K71" s="428" t="s">
        <v>609</v>
      </c>
      <c r="L71" s="413"/>
      <c r="M71" s="442"/>
      <c r="N71" s="413"/>
      <c r="O71" s="440"/>
      <c r="P71" s="413"/>
      <c r="Q71" s="444"/>
      <c r="R71" s="413"/>
    </row>
    <row r="72" customFormat="false" ht="15.75" hidden="false" customHeight="false" outlineLevel="0" collapsed="false">
      <c r="A72" s="445"/>
      <c r="B72" s="413"/>
      <c r="C72" s="446"/>
      <c r="D72" s="415"/>
      <c r="E72" s="434" t="s">
        <v>610</v>
      </c>
      <c r="F72" s="413"/>
      <c r="G72" s="426" t="s">
        <v>611</v>
      </c>
      <c r="H72" s="413"/>
      <c r="I72" s="428" t="s">
        <v>612</v>
      </c>
      <c r="J72" s="413"/>
      <c r="K72" s="428" t="s">
        <v>613</v>
      </c>
      <c r="L72" s="413"/>
      <c r="M72" s="442"/>
      <c r="N72" s="413"/>
      <c r="O72" s="440"/>
      <c r="P72" s="413"/>
      <c r="Q72" s="444"/>
      <c r="R72" s="413"/>
    </row>
    <row r="73" customFormat="false" ht="15.75" hidden="false" customHeight="false" outlineLevel="0" collapsed="false">
      <c r="A73" s="445"/>
      <c r="B73" s="413"/>
      <c r="C73" s="446"/>
      <c r="D73" s="415"/>
      <c r="E73" s="434" t="s">
        <v>266</v>
      </c>
      <c r="F73" s="413"/>
      <c r="G73" s="426" t="s">
        <v>614</v>
      </c>
      <c r="H73" s="413"/>
      <c r="I73" s="428" t="s">
        <v>615</v>
      </c>
      <c r="J73" s="413"/>
      <c r="K73" s="428" t="s">
        <v>616</v>
      </c>
      <c r="L73" s="413"/>
      <c r="M73" s="442"/>
      <c r="N73" s="413"/>
      <c r="O73" s="440"/>
      <c r="P73" s="413"/>
      <c r="Q73" s="444"/>
      <c r="R73" s="413"/>
    </row>
    <row r="74" customFormat="false" ht="15.75" hidden="false" customHeight="false" outlineLevel="0" collapsed="false">
      <c r="A74" s="445"/>
      <c r="B74" s="413"/>
      <c r="C74" s="446"/>
      <c r="D74" s="415"/>
      <c r="E74" s="434" t="s">
        <v>617</v>
      </c>
      <c r="F74" s="413"/>
      <c r="G74" s="426" t="s">
        <v>618</v>
      </c>
      <c r="H74" s="413"/>
      <c r="I74" s="428" t="s">
        <v>619</v>
      </c>
      <c r="J74" s="413"/>
      <c r="K74" s="428" t="s">
        <v>620</v>
      </c>
      <c r="L74" s="413"/>
      <c r="M74" s="442"/>
      <c r="N74" s="413"/>
      <c r="O74" s="440"/>
      <c r="P74" s="413"/>
      <c r="Q74" s="444"/>
      <c r="R74" s="413"/>
    </row>
    <row r="75" customFormat="false" ht="15.75" hidden="false" customHeight="false" outlineLevel="0" collapsed="false">
      <c r="A75" s="445"/>
      <c r="B75" s="413"/>
      <c r="C75" s="446"/>
      <c r="D75" s="415"/>
      <c r="E75" s="425" t="s">
        <v>621</v>
      </c>
      <c r="F75" s="413"/>
      <c r="G75" s="426" t="s">
        <v>270</v>
      </c>
      <c r="H75" s="413"/>
      <c r="I75" s="428" t="s">
        <v>622</v>
      </c>
      <c r="J75" s="413"/>
      <c r="K75" s="428" t="s">
        <v>623</v>
      </c>
      <c r="L75" s="413"/>
      <c r="M75" s="442"/>
      <c r="N75" s="413"/>
      <c r="O75" s="440"/>
      <c r="P75" s="413"/>
      <c r="Q75" s="444"/>
      <c r="R75" s="413"/>
    </row>
    <row r="76" customFormat="false" ht="15.75" hidden="false" customHeight="false" outlineLevel="0" collapsed="false">
      <c r="A76" s="445"/>
      <c r="B76" s="413"/>
      <c r="C76" s="446"/>
      <c r="D76" s="415"/>
      <c r="E76" s="448"/>
      <c r="F76" s="413"/>
      <c r="G76" s="435" t="s">
        <v>93</v>
      </c>
      <c r="H76" s="413"/>
      <c r="I76" s="428" t="s">
        <v>624</v>
      </c>
      <c r="J76" s="413"/>
      <c r="K76" s="428" t="s">
        <v>625</v>
      </c>
      <c r="L76" s="413"/>
      <c r="M76" s="442"/>
      <c r="N76" s="413"/>
      <c r="O76" s="440"/>
      <c r="P76" s="413"/>
      <c r="Q76" s="444"/>
      <c r="R76" s="413"/>
    </row>
    <row r="77" customFormat="false" ht="15.75" hidden="false" customHeight="false" outlineLevel="0" collapsed="false">
      <c r="A77" s="445"/>
      <c r="B77" s="413"/>
      <c r="C77" s="446"/>
      <c r="D77" s="415"/>
      <c r="E77" s="448"/>
      <c r="F77" s="413"/>
      <c r="G77" s="426" t="s">
        <v>626</v>
      </c>
      <c r="H77" s="413"/>
      <c r="I77" s="428" t="s">
        <v>627</v>
      </c>
      <c r="J77" s="413"/>
      <c r="K77" s="428" t="s">
        <v>628</v>
      </c>
      <c r="L77" s="413"/>
      <c r="M77" s="442"/>
      <c r="N77" s="413"/>
      <c r="O77" s="440"/>
      <c r="P77" s="413"/>
      <c r="Q77" s="444"/>
      <c r="R77" s="413"/>
    </row>
    <row r="78" customFormat="false" ht="15.75" hidden="false" customHeight="false" outlineLevel="0" collapsed="false">
      <c r="A78" s="445"/>
      <c r="B78" s="413"/>
      <c r="C78" s="446"/>
      <c r="D78" s="415"/>
      <c r="E78" s="448"/>
      <c r="F78" s="413"/>
      <c r="G78" s="426" t="s">
        <v>629</v>
      </c>
      <c r="H78" s="413"/>
      <c r="I78" s="428" t="s">
        <v>630</v>
      </c>
      <c r="J78" s="413"/>
      <c r="K78" s="428" t="s">
        <v>631</v>
      </c>
      <c r="L78" s="413"/>
      <c r="M78" s="442"/>
      <c r="N78" s="413"/>
      <c r="O78" s="440"/>
      <c r="P78" s="413"/>
      <c r="Q78" s="444"/>
      <c r="R78" s="413"/>
    </row>
    <row r="79" customFormat="false" ht="15.75" hidden="false" customHeight="false" outlineLevel="0" collapsed="false">
      <c r="A79" s="445"/>
      <c r="B79" s="413"/>
      <c r="C79" s="446"/>
      <c r="D79" s="415"/>
      <c r="E79" s="448"/>
      <c r="F79" s="413"/>
      <c r="G79" s="426" t="s">
        <v>632</v>
      </c>
      <c r="H79" s="413"/>
      <c r="I79" s="428" t="s">
        <v>633</v>
      </c>
      <c r="J79" s="413"/>
      <c r="K79" s="428" t="s">
        <v>634</v>
      </c>
      <c r="L79" s="413"/>
      <c r="M79" s="442"/>
      <c r="N79" s="413"/>
      <c r="O79" s="440"/>
      <c r="P79" s="413"/>
      <c r="Q79" s="444"/>
      <c r="R79" s="413"/>
    </row>
    <row r="80" customFormat="false" ht="15.75" hidden="false" customHeight="false" outlineLevel="0" collapsed="false">
      <c r="A80" s="445"/>
      <c r="B80" s="413"/>
      <c r="C80" s="446"/>
      <c r="D80" s="415"/>
      <c r="E80" s="448"/>
      <c r="F80" s="413"/>
      <c r="G80" s="426" t="s">
        <v>635</v>
      </c>
      <c r="H80" s="413"/>
      <c r="I80" s="428" t="s">
        <v>636</v>
      </c>
      <c r="J80" s="413"/>
      <c r="K80" s="428" t="s">
        <v>637</v>
      </c>
      <c r="L80" s="413"/>
      <c r="M80" s="442"/>
      <c r="N80" s="413"/>
      <c r="O80" s="440"/>
      <c r="P80" s="413"/>
      <c r="Q80" s="444"/>
      <c r="R80" s="413"/>
    </row>
    <row r="81" customFormat="false" ht="15.75" hidden="false" customHeight="false" outlineLevel="0" collapsed="false">
      <c r="A81" s="445"/>
      <c r="B81" s="413"/>
      <c r="C81" s="446"/>
      <c r="D81" s="415"/>
      <c r="E81" s="448"/>
      <c r="F81" s="413"/>
      <c r="G81" s="435" t="s">
        <v>260</v>
      </c>
      <c r="H81" s="413"/>
      <c r="I81" s="428" t="s">
        <v>638</v>
      </c>
      <c r="J81" s="413"/>
      <c r="K81" s="436" t="s">
        <v>114</v>
      </c>
      <c r="L81" s="413"/>
      <c r="M81" s="442"/>
      <c r="N81" s="413"/>
      <c r="O81" s="440"/>
      <c r="P81" s="413"/>
      <c r="Q81" s="444"/>
      <c r="R81" s="413"/>
    </row>
    <row r="82" customFormat="false" ht="15.75" hidden="false" customHeight="false" outlineLevel="0" collapsed="false">
      <c r="A82" s="445"/>
      <c r="B82" s="413"/>
      <c r="C82" s="446"/>
      <c r="D82" s="415"/>
      <c r="E82" s="448"/>
      <c r="F82" s="413"/>
      <c r="G82" s="426" t="s">
        <v>639</v>
      </c>
      <c r="H82" s="413"/>
      <c r="I82" s="428" t="s">
        <v>640</v>
      </c>
      <c r="J82" s="413"/>
      <c r="K82" s="428" t="s">
        <v>641</v>
      </c>
      <c r="L82" s="413"/>
      <c r="M82" s="442"/>
      <c r="N82" s="413"/>
      <c r="O82" s="440"/>
      <c r="P82" s="413"/>
      <c r="Q82" s="444"/>
      <c r="R82" s="413"/>
    </row>
    <row r="83" customFormat="false" ht="15.75" hidden="false" customHeight="false" outlineLevel="0" collapsed="false">
      <c r="A83" s="445"/>
      <c r="B83" s="413"/>
      <c r="C83" s="446"/>
      <c r="D83" s="415"/>
      <c r="E83" s="448"/>
      <c r="F83" s="413"/>
      <c r="G83" s="426" t="s">
        <v>96</v>
      </c>
      <c r="H83" s="413"/>
      <c r="I83" s="428" t="s">
        <v>642</v>
      </c>
      <c r="J83" s="413"/>
      <c r="K83" s="428" t="s">
        <v>643</v>
      </c>
      <c r="L83" s="413"/>
      <c r="M83" s="442"/>
      <c r="N83" s="413"/>
      <c r="O83" s="440"/>
      <c r="P83" s="413"/>
      <c r="Q83" s="444"/>
      <c r="R83" s="413"/>
    </row>
    <row r="84" customFormat="false" ht="15.75" hidden="false" customHeight="false" outlineLevel="0" collapsed="false">
      <c r="A84" s="445"/>
      <c r="B84" s="413"/>
      <c r="C84" s="446"/>
      <c r="D84" s="415"/>
      <c r="E84" s="448"/>
      <c r="F84" s="413"/>
      <c r="G84" s="426" t="s">
        <v>644</v>
      </c>
      <c r="H84" s="413"/>
      <c r="I84" s="428" t="s">
        <v>645</v>
      </c>
      <c r="J84" s="413"/>
      <c r="K84" s="428" t="s">
        <v>646</v>
      </c>
      <c r="L84" s="413"/>
      <c r="M84" s="442"/>
      <c r="N84" s="413"/>
      <c r="O84" s="440"/>
      <c r="P84" s="413"/>
      <c r="Q84" s="444"/>
      <c r="R84" s="413"/>
    </row>
    <row r="85" customFormat="false" ht="15.75" hidden="false" customHeight="false" outlineLevel="0" collapsed="false">
      <c r="A85" s="445"/>
      <c r="B85" s="413"/>
      <c r="C85" s="446"/>
      <c r="D85" s="415"/>
      <c r="E85" s="448"/>
      <c r="F85" s="413"/>
      <c r="G85" s="426" t="s">
        <v>647</v>
      </c>
      <c r="H85" s="413"/>
      <c r="I85" s="428" t="s">
        <v>648</v>
      </c>
      <c r="J85" s="413"/>
      <c r="K85" s="436" t="s">
        <v>41</v>
      </c>
      <c r="L85" s="413"/>
      <c r="M85" s="442"/>
      <c r="N85" s="413"/>
      <c r="O85" s="440"/>
      <c r="P85" s="413"/>
      <c r="Q85" s="444"/>
      <c r="R85" s="413"/>
    </row>
    <row r="86" customFormat="false" ht="15.75" hidden="false" customHeight="false" outlineLevel="0" collapsed="false">
      <c r="A86" s="445"/>
      <c r="B86" s="413"/>
      <c r="C86" s="446"/>
      <c r="D86" s="415"/>
      <c r="E86" s="448"/>
      <c r="F86" s="413"/>
      <c r="G86" s="426" t="s">
        <v>649</v>
      </c>
      <c r="H86" s="413"/>
      <c r="I86" s="428" t="s">
        <v>650</v>
      </c>
      <c r="J86" s="413"/>
      <c r="K86" s="428" t="s">
        <v>651</v>
      </c>
      <c r="L86" s="413"/>
      <c r="M86" s="442"/>
      <c r="N86" s="413"/>
      <c r="O86" s="440"/>
      <c r="P86" s="413"/>
      <c r="Q86" s="444"/>
      <c r="R86" s="413"/>
    </row>
    <row r="87" customFormat="false" ht="15.75" hidden="false" customHeight="false" outlineLevel="0" collapsed="false">
      <c r="A87" s="445"/>
      <c r="B87" s="413"/>
      <c r="C87" s="446"/>
      <c r="D87" s="415"/>
      <c r="E87" s="448"/>
      <c r="F87" s="413"/>
      <c r="G87" s="426" t="s">
        <v>652</v>
      </c>
      <c r="H87" s="413"/>
      <c r="I87" s="428" t="s">
        <v>269</v>
      </c>
      <c r="J87" s="413"/>
      <c r="K87" s="428" t="s">
        <v>653</v>
      </c>
      <c r="L87" s="413"/>
      <c r="M87" s="442"/>
      <c r="N87" s="413"/>
      <c r="O87" s="440"/>
      <c r="P87" s="413"/>
      <c r="Q87" s="444"/>
      <c r="R87" s="413"/>
    </row>
    <row r="88" customFormat="false" ht="15.75" hidden="false" customHeight="false" outlineLevel="0" collapsed="false">
      <c r="A88" s="445"/>
      <c r="B88" s="413"/>
      <c r="C88" s="446"/>
      <c r="D88" s="415"/>
      <c r="E88" s="448"/>
      <c r="F88" s="413"/>
      <c r="G88" s="426" t="s">
        <v>654</v>
      </c>
      <c r="H88" s="413"/>
      <c r="I88" s="428" t="s">
        <v>655</v>
      </c>
      <c r="J88" s="413"/>
      <c r="K88" s="428" t="s">
        <v>656</v>
      </c>
      <c r="L88" s="413"/>
      <c r="M88" s="442"/>
      <c r="N88" s="413"/>
      <c r="O88" s="440"/>
      <c r="P88" s="413"/>
      <c r="Q88" s="444"/>
      <c r="R88" s="413"/>
    </row>
    <row r="89" customFormat="false" ht="15.75" hidden="false" customHeight="false" outlineLevel="0" collapsed="false">
      <c r="A89" s="445"/>
      <c r="B89" s="413"/>
      <c r="C89" s="446"/>
      <c r="D89" s="415"/>
      <c r="E89" s="448"/>
      <c r="F89" s="413"/>
      <c r="G89" s="435" t="s">
        <v>258</v>
      </c>
      <c r="H89" s="413"/>
      <c r="I89" s="428" t="s">
        <v>657</v>
      </c>
      <c r="J89" s="413"/>
      <c r="K89" s="428" t="s">
        <v>658</v>
      </c>
      <c r="L89" s="413"/>
      <c r="M89" s="442"/>
      <c r="N89" s="413"/>
      <c r="O89" s="440"/>
      <c r="P89" s="413"/>
      <c r="Q89" s="444"/>
      <c r="R89" s="413"/>
    </row>
    <row r="90" customFormat="false" ht="15.75" hidden="false" customHeight="false" outlineLevel="0" collapsed="false">
      <c r="A90" s="445"/>
      <c r="B90" s="413"/>
      <c r="C90" s="446"/>
      <c r="D90" s="415"/>
      <c r="E90" s="448"/>
      <c r="F90" s="413"/>
      <c r="G90" s="426" t="s">
        <v>659</v>
      </c>
      <c r="H90" s="413"/>
      <c r="I90" s="428" t="s">
        <v>660</v>
      </c>
      <c r="J90" s="413"/>
      <c r="K90" s="428" t="s">
        <v>661</v>
      </c>
      <c r="L90" s="413"/>
      <c r="M90" s="442"/>
      <c r="N90" s="413"/>
      <c r="O90" s="440"/>
      <c r="P90" s="413"/>
      <c r="Q90" s="444"/>
      <c r="R90" s="413"/>
    </row>
    <row r="91" customFormat="false" ht="15.75" hidden="false" customHeight="false" outlineLevel="0" collapsed="false">
      <c r="A91" s="445"/>
      <c r="B91" s="413"/>
      <c r="C91" s="446"/>
      <c r="D91" s="415"/>
      <c r="E91" s="448"/>
      <c r="F91" s="413"/>
      <c r="G91" s="435" t="s">
        <v>43</v>
      </c>
      <c r="H91" s="413"/>
      <c r="I91" s="428" t="s">
        <v>662</v>
      </c>
      <c r="J91" s="413"/>
      <c r="K91" s="428" t="s">
        <v>663</v>
      </c>
      <c r="L91" s="413"/>
      <c r="M91" s="442"/>
      <c r="N91" s="413"/>
      <c r="O91" s="440"/>
      <c r="P91" s="413"/>
      <c r="Q91" s="444"/>
      <c r="R91" s="413"/>
    </row>
    <row r="92" customFormat="false" ht="15.75" hidden="false" customHeight="false" outlineLevel="0" collapsed="false">
      <c r="A92" s="445"/>
      <c r="B92" s="413"/>
      <c r="C92" s="446"/>
      <c r="D92" s="415"/>
      <c r="E92" s="448"/>
      <c r="F92" s="413"/>
      <c r="G92" s="435" t="s">
        <v>78</v>
      </c>
      <c r="H92" s="413"/>
      <c r="I92" s="436" t="s">
        <v>86</v>
      </c>
      <c r="J92" s="413"/>
      <c r="K92" s="428" t="s">
        <v>664</v>
      </c>
      <c r="L92" s="413"/>
      <c r="M92" s="442"/>
      <c r="N92" s="413"/>
      <c r="O92" s="440"/>
      <c r="P92" s="413"/>
      <c r="Q92" s="444"/>
      <c r="R92" s="413"/>
    </row>
    <row r="93" customFormat="false" ht="15.75" hidden="false" customHeight="false" outlineLevel="0" collapsed="false">
      <c r="A93" s="445"/>
      <c r="B93" s="413"/>
      <c r="C93" s="446"/>
      <c r="D93" s="415"/>
      <c r="E93" s="448"/>
      <c r="F93" s="413"/>
      <c r="G93" s="426" t="s">
        <v>665</v>
      </c>
      <c r="H93" s="413"/>
      <c r="I93" s="436" t="s">
        <v>262</v>
      </c>
      <c r="J93" s="413"/>
      <c r="K93" s="428" t="s">
        <v>666</v>
      </c>
      <c r="L93" s="413"/>
      <c r="M93" s="442"/>
      <c r="N93" s="413"/>
      <c r="O93" s="440"/>
      <c r="P93" s="413"/>
      <c r="Q93" s="444"/>
      <c r="R93" s="413"/>
    </row>
    <row r="94" customFormat="false" ht="15.75" hidden="false" customHeight="false" outlineLevel="0" collapsed="false">
      <c r="A94" s="445"/>
      <c r="B94" s="413"/>
      <c r="C94" s="446"/>
      <c r="D94" s="415"/>
      <c r="E94" s="448"/>
      <c r="F94" s="413"/>
      <c r="G94" s="426" t="s">
        <v>667</v>
      </c>
      <c r="H94" s="413"/>
      <c r="I94" s="428" t="s">
        <v>668</v>
      </c>
      <c r="J94" s="413"/>
      <c r="K94" s="428" t="s">
        <v>669</v>
      </c>
      <c r="L94" s="413"/>
      <c r="M94" s="442"/>
      <c r="N94" s="413"/>
      <c r="O94" s="440"/>
      <c r="P94" s="413"/>
      <c r="Q94" s="444"/>
      <c r="R94" s="413"/>
    </row>
    <row r="95" customFormat="false" ht="15.75" hidden="false" customHeight="false" outlineLevel="0" collapsed="false">
      <c r="A95" s="445"/>
      <c r="B95" s="413"/>
      <c r="C95" s="446"/>
      <c r="D95" s="415"/>
      <c r="E95" s="448"/>
      <c r="F95" s="413"/>
      <c r="G95" s="426" t="s">
        <v>670</v>
      </c>
      <c r="H95" s="413"/>
      <c r="I95" s="428" t="s">
        <v>671</v>
      </c>
      <c r="J95" s="413"/>
      <c r="K95" s="428" t="s">
        <v>672</v>
      </c>
      <c r="L95" s="413"/>
      <c r="M95" s="442"/>
      <c r="N95" s="413"/>
      <c r="O95" s="440"/>
      <c r="P95" s="413"/>
      <c r="Q95" s="444"/>
      <c r="R95" s="413"/>
    </row>
    <row r="96" customFormat="false" ht="15.75" hidden="false" customHeight="false" outlineLevel="0" collapsed="false">
      <c r="A96" s="445"/>
      <c r="B96" s="413"/>
      <c r="C96" s="446"/>
      <c r="D96" s="415"/>
      <c r="E96" s="448"/>
      <c r="F96" s="413"/>
      <c r="G96" s="426" t="s">
        <v>673</v>
      </c>
      <c r="H96" s="413"/>
      <c r="I96" s="428" t="s">
        <v>674</v>
      </c>
      <c r="J96" s="413"/>
      <c r="K96" s="428" t="s">
        <v>675</v>
      </c>
      <c r="L96" s="413"/>
      <c r="M96" s="442"/>
      <c r="N96" s="413"/>
      <c r="O96" s="440"/>
      <c r="P96" s="413"/>
      <c r="Q96" s="444"/>
      <c r="R96" s="413"/>
    </row>
    <row r="97" customFormat="false" ht="15.75" hidden="false" customHeight="false" outlineLevel="0" collapsed="false">
      <c r="A97" s="445"/>
      <c r="B97" s="413"/>
      <c r="C97" s="446"/>
      <c r="D97" s="415"/>
      <c r="E97" s="448"/>
      <c r="F97" s="413"/>
      <c r="G97" s="426" t="s">
        <v>676</v>
      </c>
      <c r="H97" s="413"/>
      <c r="I97" s="428" t="s">
        <v>677</v>
      </c>
      <c r="J97" s="413"/>
      <c r="K97" s="428" t="s">
        <v>678</v>
      </c>
      <c r="L97" s="413"/>
      <c r="M97" s="442"/>
      <c r="N97" s="413"/>
      <c r="O97" s="440"/>
      <c r="P97" s="413"/>
      <c r="Q97" s="444"/>
      <c r="R97" s="413"/>
    </row>
    <row r="98" customFormat="false" ht="15.75" hidden="false" customHeight="false" outlineLevel="0" collapsed="false">
      <c r="A98" s="445"/>
      <c r="B98" s="413"/>
      <c r="C98" s="446"/>
      <c r="D98" s="415"/>
      <c r="E98" s="448"/>
      <c r="F98" s="413"/>
      <c r="G98" s="426" t="s">
        <v>679</v>
      </c>
      <c r="H98" s="413"/>
      <c r="I98" s="428" t="s">
        <v>680</v>
      </c>
      <c r="J98" s="413"/>
      <c r="K98" s="428" t="s">
        <v>681</v>
      </c>
      <c r="L98" s="413"/>
      <c r="M98" s="442"/>
      <c r="N98" s="413"/>
      <c r="O98" s="440"/>
      <c r="P98" s="413"/>
      <c r="Q98" s="444"/>
      <c r="R98" s="413"/>
    </row>
    <row r="99" customFormat="false" ht="15.75" hidden="false" customHeight="false" outlineLevel="0" collapsed="false">
      <c r="A99" s="445"/>
      <c r="B99" s="413"/>
      <c r="C99" s="446"/>
      <c r="D99" s="415"/>
      <c r="E99" s="448"/>
      <c r="F99" s="413"/>
      <c r="G99" s="426" t="s">
        <v>682</v>
      </c>
      <c r="H99" s="413"/>
      <c r="I99" s="428" t="s">
        <v>683</v>
      </c>
      <c r="J99" s="413"/>
      <c r="K99" s="428" t="s">
        <v>684</v>
      </c>
      <c r="L99" s="413"/>
      <c r="M99" s="442"/>
      <c r="N99" s="413"/>
      <c r="O99" s="440"/>
      <c r="P99" s="413"/>
      <c r="Q99" s="444"/>
      <c r="R99" s="413"/>
    </row>
    <row r="100" customFormat="false" ht="15.75" hidden="false" customHeight="false" outlineLevel="0" collapsed="false">
      <c r="A100" s="445"/>
      <c r="B100" s="413"/>
      <c r="C100" s="446"/>
      <c r="D100" s="415"/>
      <c r="E100" s="448"/>
      <c r="F100" s="413"/>
      <c r="G100" s="426" t="s">
        <v>685</v>
      </c>
      <c r="H100" s="413"/>
      <c r="I100" s="428" t="s">
        <v>686</v>
      </c>
      <c r="J100" s="413"/>
      <c r="K100" s="428" t="s">
        <v>687</v>
      </c>
      <c r="L100" s="413"/>
      <c r="M100" s="442"/>
      <c r="N100" s="413"/>
      <c r="O100" s="440"/>
      <c r="P100" s="413"/>
      <c r="Q100" s="444"/>
      <c r="R100" s="413"/>
    </row>
    <row r="101" customFormat="false" ht="15.75" hidden="false" customHeight="false" outlineLevel="0" collapsed="false">
      <c r="A101" s="445"/>
      <c r="B101" s="415"/>
      <c r="C101" s="446"/>
      <c r="D101" s="415"/>
      <c r="E101" s="448"/>
      <c r="F101" s="415"/>
      <c r="G101" s="426" t="s">
        <v>688</v>
      </c>
      <c r="H101" s="415"/>
      <c r="I101" s="428" t="s">
        <v>689</v>
      </c>
      <c r="J101" s="415"/>
      <c r="K101" s="428" t="s">
        <v>690</v>
      </c>
      <c r="L101" s="415"/>
      <c r="M101" s="442"/>
      <c r="N101" s="415"/>
      <c r="O101" s="440"/>
      <c r="P101" s="413"/>
      <c r="Q101" s="444"/>
      <c r="R101" s="413"/>
    </row>
    <row r="102" customFormat="false" ht="15.75" hidden="false" customHeight="false" outlineLevel="0" collapsed="false">
      <c r="A102" s="445"/>
      <c r="B102" s="415"/>
      <c r="C102" s="446"/>
      <c r="D102" s="415"/>
      <c r="E102" s="448"/>
      <c r="F102" s="415"/>
      <c r="G102" s="426" t="s">
        <v>691</v>
      </c>
      <c r="H102" s="415"/>
      <c r="I102" s="428" t="s">
        <v>692</v>
      </c>
      <c r="J102" s="415"/>
      <c r="K102" s="428" t="s">
        <v>693</v>
      </c>
      <c r="L102" s="415"/>
      <c r="M102" s="442"/>
      <c r="N102" s="415"/>
      <c r="O102" s="440"/>
      <c r="P102" s="413"/>
      <c r="Q102" s="444"/>
      <c r="R102" s="413"/>
    </row>
    <row r="103" customFormat="false" ht="15.75" hidden="false" customHeight="false" outlineLevel="0" collapsed="false">
      <c r="A103" s="445"/>
      <c r="B103" s="415"/>
      <c r="C103" s="446"/>
      <c r="D103" s="415"/>
      <c r="E103" s="448"/>
      <c r="F103" s="415"/>
      <c r="G103" s="449"/>
      <c r="H103" s="415"/>
      <c r="I103" s="436" t="s">
        <v>63</v>
      </c>
      <c r="J103" s="415"/>
      <c r="K103" s="428" t="s">
        <v>694</v>
      </c>
      <c r="L103" s="415"/>
      <c r="M103" s="442"/>
      <c r="N103" s="415"/>
      <c r="O103" s="440"/>
      <c r="P103" s="413"/>
      <c r="Q103" s="444"/>
      <c r="R103" s="413"/>
    </row>
    <row r="104" customFormat="false" ht="15.75" hidden="false" customHeight="false" outlineLevel="0" collapsed="false">
      <c r="A104" s="445"/>
      <c r="B104" s="415"/>
      <c r="C104" s="446"/>
      <c r="D104" s="415"/>
      <c r="E104" s="448"/>
      <c r="F104" s="415"/>
      <c r="G104" s="449"/>
      <c r="H104" s="415"/>
      <c r="I104" s="428" t="s">
        <v>695</v>
      </c>
      <c r="J104" s="415"/>
      <c r="K104" s="428" t="s">
        <v>696</v>
      </c>
      <c r="L104" s="415"/>
      <c r="M104" s="442"/>
      <c r="N104" s="415"/>
      <c r="O104" s="440"/>
      <c r="P104" s="413"/>
      <c r="Q104" s="444"/>
      <c r="R104" s="413"/>
    </row>
    <row r="105" customFormat="false" ht="15.75" hidden="false" customHeight="false" outlineLevel="0" collapsed="false">
      <c r="A105" s="445"/>
      <c r="B105" s="415"/>
      <c r="C105" s="446"/>
      <c r="D105" s="415"/>
      <c r="E105" s="448"/>
      <c r="F105" s="415"/>
      <c r="G105" s="449"/>
      <c r="H105" s="415"/>
      <c r="I105" s="450"/>
      <c r="J105" s="415"/>
      <c r="K105" s="428" t="s">
        <v>697</v>
      </c>
      <c r="L105" s="415"/>
      <c r="M105" s="442"/>
      <c r="N105" s="415"/>
      <c r="O105" s="440"/>
      <c r="P105" s="413"/>
      <c r="Q105" s="444"/>
      <c r="R105" s="413"/>
    </row>
    <row r="106" customFormat="false" ht="15.75" hidden="false" customHeight="false" outlineLevel="0" collapsed="false">
      <c r="A106" s="445"/>
      <c r="B106" s="415"/>
      <c r="C106" s="446"/>
      <c r="D106" s="415"/>
      <c r="E106" s="448"/>
      <c r="F106" s="415"/>
      <c r="G106" s="449"/>
      <c r="H106" s="415"/>
      <c r="I106" s="450"/>
      <c r="J106" s="415"/>
      <c r="K106" s="450"/>
      <c r="L106" s="415"/>
      <c r="M106" s="442"/>
      <c r="N106" s="415"/>
      <c r="O106" s="440"/>
      <c r="P106" s="413"/>
      <c r="Q106" s="444"/>
      <c r="R106" s="413"/>
    </row>
    <row r="107" customFormat="false" ht="15.75" hidden="false" customHeight="false" outlineLevel="0" collapsed="false">
      <c r="A107" s="445"/>
      <c r="B107" s="415"/>
      <c r="C107" s="446"/>
      <c r="D107" s="415"/>
      <c r="E107" s="448"/>
      <c r="F107" s="415"/>
      <c r="G107" s="449"/>
      <c r="H107" s="415"/>
      <c r="I107" s="450"/>
      <c r="J107" s="415"/>
      <c r="K107" s="450"/>
      <c r="L107" s="415"/>
      <c r="M107" s="442"/>
      <c r="N107" s="415"/>
      <c r="O107" s="440"/>
      <c r="P107" s="413"/>
      <c r="Q107" s="444"/>
      <c r="R107" s="413"/>
    </row>
    <row r="108" customFormat="false" ht="15.75" hidden="false" customHeight="false" outlineLevel="0" collapsed="false">
      <c r="A108" s="445"/>
      <c r="B108" s="415"/>
      <c r="C108" s="446"/>
      <c r="D108" s="415"/>
      <c r="E108" s="448"/>
      <c r="F108" s="415"/>
      <c r="G108" s="449"/>
      <c r="H108" s="415"/>
      <c r="I108" s="450"/>
      <c r="J108" s="415"/>
      <c r="K108" s="450"/>
      <c r="L108" s="415"/>
      <c r="M108" s="442"/>
      <c r="N108" s="415"/>
      <c r="O108" s="440"/>
      <c r="P108" s="413"/>
      <c r="Q108" s="444"/>
      <c r="R108" s="413"/>
    </row>
    <row r="109" customFormat="false" ht="15.75" hidden="false" customHeight="false" outlineLevel="0" collapsed="false">
      <c r="A109" s="451"/>
      <c r="B109" s="415"/>
      <c r="C109" s="446"/>
      <c r="D109" s="415"/>
      <c r="E109" s="448"/>
      <c r="F109" s="415"/>
      <c r="G109" s="449"/>
      <c r="H109" s="415"/>
      <c r="I109" s="450"/>
      <c r="J109" s="415"/>
      <c r="K109" s="450"/>
      <c r="L109" s="415"/>
      <c r="M109" s="442"/>
      <c r="N109" s="415"/>
      <c r="O109" s="440"/>
      <c r="P109" s="413"/>
      <c r="Q109" s="444"/>
      <c r="R109" s="413"/>
    </row>
    <row r="110" customFormat="false" ht="15.75" hidden="false" customHeight="false" outlineLevel="0" collapsed="false">
      <c r="A110" s="452"/>
      <c r="B110" s="415"/>
      <c r="C110" s="453"/>
      <c r="D110" s="415"/>
      <c r="E110" s="454"/>
      <c r="F110" s="415"/>
      <c r="G110" s="455"/>
      <c r="H110" s="415"/>
      <c r="I110" s="456"/>
      <c r="J110" s="415"/>
      <c r="K110" s="450"/>
      <c r="L110" s="415"/>
      <c r="M110" s="442"/>
      <c r="N110" s="415"/>
      <c r="O110" s="457"/>
      <c r="P110" s="413"/>
      <c r="Q110" s="444"/>
      <c r="R110" s="413"/>
    </row>
    <row r="111" customFormat="false" ht="15.75" hidden="false" customHeight="false" outlineLevel="0" collapsed="false">
      <c r="A111" s="458"/>
      <c r="B111" s="415"/>
      <c r="C111" s="459"/>
      <c r="D111" s="415"/>
      <c r="E111" s="460"/>
      <c r="F111" s="415"/>
      <c r="G111" s="461"/>
      <c r="H111" s="415"/>
      <c r="I111" s="462"/>
      <c r="J111" s="415"/>
      <c r="K111" s="462"/>
      <c r="L111" s="415"/>
      <c r="M111" s="463"/>
      <c r="N111" s="415"/>
      <c r="O111" s="464"/>
      <c r="P111" s="415"/>
      <c r="Q111" s="465"/>
      <c r="R111" s="415"/>
    </row>
  </sheetData>
  <printOptions headings="false" gridLines="false" gridLinesSet="true" horizontalCentered="false" verticalCentered="false"/>
  <pageMargins left="0.747916666666667" right="0.747916666666667" top="0.984027777777778" bottom="0.984027777777778" header="0.511805555555555" footer="0.511805555555555"/>
  <pageSetup paperSize="1" scale="100" firstPageNumber="0" fitToWidth="1" fitToHeight="1" pageOrder="downThenOver" orientation="portrait" usePrinterDefaults="false" blackAndWhite="false" draft="false" cellComments="none" useFirstPageNumber="false" horizontalDpi="300" verticalDpi="300" copies="1"/>
  <headerFooter differentFirst="false" differentOddEven="false">
    <oddHeader/>
    <oddFooter/>
  </headerFooter>
</worksheet>
</file>

<file path=xl/worksheets/sheet7.xml><?xml version="1.0" encoding="utf-8"?>
<worksheet xmlns="http://schemas.openxmlformats.org/spreadsheetml/2006/main" xmlns:r="http://schemas.openxmlformats.org/officeDocument/2006/relationships">
  <sheetPr filterMode="false">
    <pageSetUpPr fitToPage="false"/>
  </sheetPr>
  <dimension ref="A1:Z209"/>
  <sheetViews>
    <sheetView windowProtection="true" showFormulas="false" showGridLines="true" showRowColHeaders="true" showZeros="true" rightToLeft="false" tabSelected="false" showOutlineSymbols="true" defaultGridColor="true" view="normal" topLeftCell="A1" colorId="64" zoomScale="100" zoomScaleNormal="100" zoomScalePageLayoutView="100" workbookViewId="0">
      <pane xSplit="0" ySplit="1" topLeftCell="A2" activePane="bottomLeft" state="frozen"/>
      <selection pane="topLeft" activeCell="A1" activeCellId="0" sqref="A1"/>
      <selection pane="bottomLeft" activeCell="B3" activeCellId="0" sqref="B3"/>
    </sheetView>
  </sheetViews>
  <sheetFormatPr defaultRowHeight="15.75"/>
  <cols>
    <col collapsed="false" hidden="false" max="1" min="1" style="0" width="6.47959183673469"/>
    <col collapsed="false" hidden="false" max="2" min="2" style="0" width="13.6326530612245"/>
    <col collapsed="false" hidden="false" max="3" min="3" style="0" width="5.12755102040816"/>
    <col collapsed="false" hidden="false" max="4" min="4" style="0" width="6.47959183673469"/>
    <col collapsed="false" hidden="false" max="5" min="5" style="0" width="12.8265306122449"/>
    <col collapsed="false" hidden="false" max="6" min="6" style="0" width="5.12755102040816"/>
    <col collapsed="false" hidden="false" max="7" min="7" style="0" width="6.47959183673469"/>
    <col collapsed="false" hidden="false" max="8" min="8" style="0" width="14.5816326530612"/>
    <col collapsed="false" hidden="false" max="9" min="9" style="0" width="5.12755102040816"/>
    <col collapsed="false" hidden="false" max="10" min="10" style="0" width="6.47959183673469"/>
    <col collapsed="false" hidden="false" max="11" min="11" style="0" width="19.3061224489796"/>
    <col collapsed="false" hidden="false" max="12" min="12" style="0" width="4.05102040816327"/>
    <col collapsed="false" hidden="false" max="13" min="13" style="0" width="6.47959183673469"/>
    <col collapsed="false" hidden="false" max="14" min="14" style="0" width="15.6581632653061"/>
    <col collapsed="false" hidden="false" max="15" min="15" style="0" width="4.05102040816327"/>
    <col collapsed="false" hidden="false" max="16" min="16" style="0" width="6.47959183673469"/>
    <col collapsed="false" hidden="false" max="17" min="17" style="0" width="17.4132653061224"/>
    <col collapsed="false" hidden="false" max="18" min="18" style="0" width="4.05102040816327"/>
    <col collapsed="false" hidden="false" max="19" min="19" style="0" width="6.47959183673469"/>
    <col collapsed="false" hidden="false" max="20" min="20" style="0" width="16.6020408163265"/>
    <col collapsed="false" hidden="false" max="21" min="21" style="0" width="2.15816326530612"/>
    <col collapsed="false" hidden="false" max="22" min="22" style="0" width="6.47959183673469"/>
    <col collapsed="false" hidden="false" max="23" min="23" style="0" width="17.8214285714286"/>
    <col collapsed="false" hidden="false" max="24" min="24" style="0" width="3.37244897959184"/>
    <col collapsed="false" hidden="false" max="25" min="25" style="0" width="0.811224489795918"/>
    <col collapsed="false" hidden="true" max="26" min="26" style="0" width="0"/>
    <col collapsed="false" hidden="false" max="1025" min="27" style="0" width="14.1734693877551"/>
  </cols>
  <sheetData>
    <row r="1" customFormat="false" ht="15.75" hidden="false" customHeight="false" outlineLevel="0" collapsed="false">
      <c r="A1" s="363" t="s">
        <v>698</v>
      </c>
      <c r="B1" s="363"/>
      <c r="C1" s="408" t="n">
        <v>-180</v>
      </c>
      <c r="D1" s="363" t="s">
        <v>699</v>
      </c>
      <c r="E1" s="363"/>
      <c r="F1" s="408" t="n">
        <v>-120</v>
      </c>
      <c r="G1" s="363" t="s">
        <v>700</v>
      </c>
      <c r="H1" s="363"/>
      <c r="I1" s="408" t="n">
        <v>-100</v>
      </c>
      <c r="J1" s="363" t="s">
        <v>701</v>
      </c>
      <c r="K1" s="363"/>
      <c r="L1" s="408" t="n">
        <v>-60</v>
      </c>
      <c r="M1" s="363" t="s">
        <v>702</v>
      </c>
      <c r="N1" s="363"/>
      <c r="O1" s="408" t="n">
        <v>-40</v>
      </c>
      <c r="P1" s="466" t="s">
        <v>276</v>
      </c>
      <c r="Q1" s="466"/>
      <c r="R1" s="408" t="n">
        <v>-20</v>
      </c>
      <c r="S1" s="466" t="s">
        <v>278</v>
      </c>
      <c r="T1" s="466"/>
      <c r="U1" s="408" t="n">
        <v>0</v>
      </c>
      <c r="V1" s="466" t="s">
        <v>279</v>
      </c>
      <c r="W1" s="466"/>
      <c r="X1" s="408" t="n">
        <f aca="false">40</f>
        <v>40</v>
      </c>
      <c r="Y1" s="467"/>
      <c r="Z1" s="468" t="s">
        <v>703</v>
      </c>
    </row>
    <row r="2" customFormat="false" ht="15.75" hidden="false" customHeight="false" outlineLevel="0" collapsed="false">
      <c r="A2" s="469" t="str">
        <f aca="false">IFERROR(__xludf.dummyfunction("FILTER(Pokedex!$A$2:$B$609,Pokedex!$J$2:$J$609=A1)"),"LVC")</f>
        <v>LVC</v>
      </c>
      <c r="B2" s="469" t="s">
        <v>57</v>
      </c>
      <c r="C2" s="470"/>
      <c r="D2" s="469" t="str">
        <f aca="false">IFERROR(__xludf.dummyfunction("FILTER(Pokedex!$A$2:$B$609,Pokedex!$J$2:$J$609=D1)"),"FREE")</f>
        <v>FREE</v>
      </c>
      <c r="E2" s="469" t="s">
        <v>281</v>
      </c>
      <c r="F2" s="470"/>
      <c r="G2" s="469" t="str">
        <f aca="false">IFERROR(__xludf.dummyfunction("FILTER(Pokedex!$A$2:$B$609,Pokedex!$J$2:$J$609=G1)"),"FREE")</f>
        <v>FREE</v>
      </c>
      <c r="H2" s="469" t="s">
        <v>282</v>
      </c>
      <c r="I2" s="470"/>
      <c r="J2" s="469" t="str">
        <f aca="false">IFERROR(__xludf.dummyfunction("FILTER(Pokedex!$A$2:$B$609,Pokedex!$J$2:$J$609=J1)"),"FREE")</f>
        <v>FREE</v>
      </c>
      <c r="K2" s="469" t="s">
        <v>283</v>
      </c>
      <c r="L2" s="470"/>
      <c r="M2" s="469" t="str">
        <f aca="false">IFERROR(__xludf.dummyfunction("FILTER(Pokedex!$A$2:$B$609,Pokedex!$J$2:$J$609=M1)"),"LVC")</f>
        <v>LVC</v>
      </c>
      <c r="N2" s="469" t="s">
        <v>261</v>
      </c>
      <c r="O2" s="470"/>
      <c r="P2" s="469" t="str">
        <f aca="false">IFERROR(__xludf.dummyfunction("FILTER(Pokedex!$A$2:$B$609,Pokedex!$J$2:$J$609=P1)"),"BTB")</f>
        <v>BTB</v>
      </c>
      <c r="Q2" s="469" t="s">
        <v>61</v>
      </c>
      <c r="R2" s="471"/>
      <c r="S2" s="469" t="str">
        <f aca="false">IFERROR(__xludf.dummyfunction("FILTER(Pokedex!$A$2:$B$609,Pokedex!$J$2:$J$609=S1)"),"FTT")</f>
        <v>FTT</v>
      </c>
      <c r="T2" s="469" t="s">
        <v>80</v>
      </c>
      <c r="U2" s="471"/>
      <c r="V2" s="469" t="str">
        <f aca="false">IFERROR(__xludf.dummyfunction("FILTER(Pokedex!$A$2:$B$609,Pokedex!$J$2:$J$609=V1)"),"FREE")</f>
        <v>FREE</v>
      </c>
      <c r="W2" s="469" t="s">
        <v>704</v>
      </c>
      <c r="X2" s="472"/>
      <c r="Y2" s="473"/>
      <c r="Z2" s="474" t="str">
        <f aca="false">LVC!$L$1</f>
        <v>LVC</v>
      </c>
    </row>
    <row r="3" customFormat="false" ht="15.75" hidden="false" customHeight="false" outlineLevel="0" collapsed="false">
      <c r="A3" s="469" t="s">
        <v>705</v>
      </c>
      <c r="B3" s="469" t="s">
        <v>95</v>
      </c>
      <c r="C3" s="470"/>
      <c r="D3" s="469" t="s">
        <v>706</v>
      </c>
      <c r="E3" s="469" t="s">
        <v>244</v>
      </c>
      <c r="F3" s="470"/>
      <c r="G3" s="469" t="s">
        <v>255</v>
      </c>
      <c r="H3" s="469" t="s">
        <v>707</v>
      </c>
      <c r="I3" s="470"/>
      <c r="J3" s="469" t="s">
        <v>255</v>
      </c>
      <c r="K3" s="469" t="s">
        <v>290</v>
      </c>
      <c r="L3" s="470"/>
      <c r="M3" s="469" t="s">
        <v>255</v>
      </c>
      <c r="N3" s="469" t="s">
        <v>322</v>
      </c>
      <c r="O3" s="470"/>
      <c r="P3" s="469" t="s">
        <v>255</v>
      </c>
      <c r="Q3" s="469" t="s">
        <v>293</v>
      </c>
      <c r="R3" s="471"/>
      <c r="S3" s="469" t="s">
        <v>705</v>
      </c>
      <c r="T3" s="469" t="s">
        <v>32</v>
      </c>
      <c r="U3" s="471"/>
      <c r="V3" s="469" t="s">
        <v>255</v>
      </c>
      <c r="W3" s="469" t="s">
        <v>295</v>
      </c>
      <c r="X3" s="472"/>
      <c r="Y3" s="473"/>
      <c r="Z3" s="474" t="str">
        <f aca="false">BTB!$L$1</f>
        <v>BTB</v>
      </c>
    </row>
    <row r="4" customFormat="false" ht="15.75" hidden="false" customHeight="false" outlineLevel="0" collapsed="false">
      <c r="A4" s="469" t="s">
        <v>255</v>
      </c>
      <c r="B4" s="469" t="s">
        <v>296</v>
      </c>
      <c r="C4" s="470"/>
      <c r="D4" s="469" t="s">
        <v>255</v>
      </c>
      <c r="E4" s="469" t="s">
        <v>297</v>
      </c>
      <c r="F4" s="470"/>
      <c r="G4" s="469" t="s">
        <v>255</v>
      </c>
      <c r="H4" s="469" t="s">
        <v>314</v>
      </c>
      <c r="I4" s="470"/>
      <c r="J4" s="469" t="s">
        <v>705</v>
      </c>
      <c r="K4" s="469" t="s">
        <v>24</v>
      </c>
      <c r="L4" s="470"/>
      <c r="M4" s="469" t="s">
        <v>255</v>
      </c>
      <c r="N4" s="469" t="s">
        <v>329</v>
      </c>
      <c r="O4" s="470"/>
      <c r="P4" s="469" t="s">
        <v>255</v>
      </c>
      <c r="Q4" s="469" t="s">
        <v>708</v>
      </c>
      <c r="R4" s="471"/>
      <c r="S4" s="469" t="s">
        <v>255</v>
      </c>
      <c r="T4" s="469" t="s">
        <v>709</v>
      </c>
      <c r="U4" s="471"/>
      <c r="V4" s="469" t="s">
        <v>255</v>
      </c>
      <c r="W4" s="469" t="s">
        <v>710</v>
      </c>
      <c r="X4" s="472"/>
      <c r="Y4" s="473"/>
      <c r="Z4" s="474" t="str">
        <f aca="false">SGP!$L$1</f>
        <v>SGP</v>
      </c>
    </row>
    <row r="5" customFormat="false" ht="15.75" hidden="false" customHeight="false" outlineLevel="0" collapsed="false">
      <c r="A5" s="469" t="s">
        <v>255</v>
      </c>
      <c r="B5" s="469" t="s">
        <v>303</v>
      </c>
      <c r="C5" s="470"/>
      <c r="D5" s="469" t="s">
        <v>255</v>
      </c>
      <c r="E5" s="469" t="s">
        <v>304</v>
      </c>
      <c r="F5" s="470"/>
      <c r="G5" s="469" t="s">
        <v>711</v>
      </c>
      <c r="H5" s="469" t="s">
        <v>87</v>
      </c>
      <c r="I5" s="470"/>
      <c r="J5" s="469" t="s">
        <v>255</v>
      </c>
      <c r="K5" s="469" t="s">
        <v>306</v>
      </c>
      <c r="L5" s="470"/>
      <c r="M5" s="469" t="s">
        <v>255</v>
      </c>
      <c r="N5" s="469" t="s">
        <v>337</v>
      </c>
      <c r="O5" s="470"/>
      <c r="P5" s="469" t="s">
        <v>255</v>
      </c>
      <c r="Q5" s="469" t="s">
        <v>712</v>
      </c>
      <c r="R5" s="471"/>
      <c r="S5" s="469" t="s">
        <v>713</v>
      </c>
      <c r="T5" s="469" t="s">
        <v>101</v>
      </c>
      <c r="U5" s="471"/>
      <c r="V5" s="469" t="s">
        <v>714</v>
      </c>
      <c r="W5" s="469" t="s">
        <v>52</v>
      </c>
      <c r="X5" s="472"/>
      <c r="Y5" s="473"/>
      <c r="Z5" s="474" t="str">
        <f aca="false">FTT!$L$1</f>
        <v>FTT</v>
      </c>
    </row>
    <row r="6" customFormat="false" ht="15.75" hidden="false" customHeight="false" outlineLevel="0" collapsed="false">
      <c r="A6" s="469" t="s">
        <v>255</v>
      </c>
      <c r="B6" s="469" t="s">
        <v>312</v>
      </c>
      <c r="C6" s="470"/>
      <c r="D6" s="469" t="s">
        <v>255</v>
      </c>
      <c r="E6" s="469" t="s">
        <v>313</v>
      </c>
      <c r="F6" s="470"/>
      <c r="G6" s="469" t="s">
        <v>715</v>
      </c>
      <c r="H6" s="469" t="s">
        <v>81</v>
      </c>
      <c r="I6" s="470"/>
      <c r="J6" s="469" t="s">
        <v>706</v>
      </c>
      <c r="K6" s="469" t="s">
        <v>64</v>
      </c>
      <c r="L6" s="470"/>
      <c r="M6" s="469" t="s">
        <v>255</v>
      </c>
      <c r="N6" s="469" t="s">
        <v>344</v>
      </c>
      <c r="O6" s="470"/>
      <c r="P6" s="469" t="s">
        <v>255</v>
      </c>
      <c r="Q6" s="469" t="s">
        <v>716</v>
      </c>
      <c r="R6" s="471"/>
      <c r="S6" s="469" t="s">
        <v>255</v>
      </c>
      <c r="T6" s="469" t="s">
        <v>717</v>
      </c>
      <c r="U6" s="471"/>
      <c r="V6" s="469" t="s">
        <v>706</v>
      </c>
      <c r="W6" s="469" t="s">
        <v>62</v>
      </c>
      <c r="X6" s="472"/>
      <c r="Y6" s="473"/>
      <c r="Z6" s="475" t="str">
        <f aca="false">KKS!$L$1</f>
        <v>KKS</v>
      </c>
    </row>
    <row r="7" customFormat="false" ht="15.75" hidden="false" customHeight="false" outlineLevel="0" collapsed="false">
      <c r="A7" s="469" t="s">
        <v>255</v>
      </c>
      <c r="B7" s="469" t="s">
        <v>320</v>
      </c>
      <c r="C7" s="470"/>
      <c r="D7" s="469" t="s">
        <v>718</v>
      </c>
      <c r="E7" s="469" t="s">
        <v>67</v>
      </c>
      <c r="F7" s="470"/>
      <c r="G7" s="469" t="s">
        <v>255</v>
      </c>
      <c r="H7" s="469" t="s">
        <v>335</v>
      </c>
      <c r="I7" s="470"/>
      <c r="J7" s="469" t="s">
        <v>718</v>
      </c>
      <c r="K7" s="469" t="s">
        <v>251</v>
      </c>
      <c r="L7" s="470"/>
      <c r="M7" s="469" t="s">
        <v>255</v>
      </c>
      <c r="N7" s="469" t="s">
        <v>352</v>
      </c>
      <c r="O7" s="470"/>
      <c r="P7" s="469" t="s">
        <v>255</v>
      </c>
      <c r="Q7" s="469" t="s">
        <v>719</v>
      </c>
      <c r="R7" s="471"/>
      <c r="S7" s="469" t="s">
        <v>255</v>
      </c>
      <c r="T7" s="469" t="s">
        <v>720</v>
      </c>
      <c r="U7" s="471"/>
      <c r="V7" s="469" t="s">
        <v>255</v>
      </c>
      <c r="W7" s="469" t="s">
        <v>721</v>
      </c>
      <c r="X7" s="472"/>
      <c r="Y7" s="473"/>
      <c r="Z7" s="475" t="str">
        <f aca="false">SEA!$L$1</f>
        <v>SEA</v>
      </c>
    </row>
    <row r="8" customFormat="false" ht="15.75" hidden="false" customHeight="false" outlineLevel="0" collapsed="false">
      <c r="A8" s="469" t="s">
        <v>711</v>
      </c>
      <c r="B8" s="469" t="s">
        <v>88</v>
      </c>
      <c r="C8" s="470"/>
      <c r="D8" s="469" t="s">
        <v>255</v>
      </c>
      <c r="E8" s="469" t="s">
        <v>327</v>
      </c>
      <c r="F8" s="470"/>
      <c r="G8" s="469" t="s">
        <v>718</v>
      </c>
      <c r="H8" s="469" t="s">
        <v>247</v>
      </c>
      <c r="I8" s="470"/>
      <c r="J8" s="469" t="s">
        <v>255</v>
      </c>
      <c r="K8" s="469" t="s">
        <v>358</v>
      </c>
      <c r="L8" s="470"/>
      <c r="M8" s="469" t="s">
        <v>255</v>
      </c>
      <c r="N8" s="469" t="s">
        <v>359</v>
      </c>
      <c r="O8" s="470"/>
      <c r="P8" s="469" t="s">
        <v>255</v>
      </c>
      <c r="Q8" s="469" t="s">
        <v>722</v>
      </c>
      <c r="R8" s="471"/>
      <c r="S8" s="469" t="s">
        <v>255</v>
      </c>
      <c r="T8" s="469" t="s">
        <v>723</v>
      </c>
      <c r="U8" s="471"/>
      <c r="V8" s="469" t="s">
        <v>255</v>
      </c>
      <c r="W8" s="469" t="s">
        <v>724</v>
      </c>
      <c r="X8" s="472"/>
      <c r="Y8" s="473"/>
      <c r="Z8" s="475" t="str">
        <f aca="false">JVJ!$L$1</f>
        <v>JVJ</v>
      </c>
    </row>
    <row r="9" customFormat="false" ht="15.75" hidden="false" customHeight="false" outlineLevel="0" collapsed="false">
      <c r="A9" s="469" t="s">
        <v>718</v>
      </c>
      <c r="B9" s="469" t="s">
        <v>58</v>
      </c>
      <c r="C9" s="470"/>
      <c r="D9" s="469" t="s">
        <v>255</v>
      </c>
      <c r="E9" s="469" t="s">
        <v>334</v>
      </c>
      <c r="F9" s="470"/>
      <c r="G9" s="469" t="s">
        <v>255</v>
      </c>
      <c r="H9" s="469" t="s">
        <v>351</v>
      </c>
      <c r="I9" s="470"/>
      <c r="J9" s="469" t="s">
        <v>255</v>
      </c>
      <c r="K9" s="469" t="s">
        <v>364</v>
      </c>
      <c r="L9" s="470"/>
      <c r="M9" s="469" t="s">
        <v>725</v>
      </c>
      <c r="N9" s="469" t="s">
        <v>253</v>
      </c>
      <c r="O9" s="470"/>
      <c r="P9" s="469" t="s">
        <v>711</v>
      </c>
      <c r="Q9" s="469" t="s">
        <v>23</v>
      </c>
      <c r="R9" s="471"/>
      <c r="S9" s="469" t="s">
        <v>255</v>
      </c>
      <c r="T9" s="469" t="s">
        <v>726</v>
      </c>
      <c r="U9" s="471"/>
      <c r="V9" s="469" t="s">
        <v>255</v>
      </c>
      <c r="W9" s="469" t="s">
        <v>727</v>
      </c>
      <c r="X9" s="472"/>
      <c r="Y9" s="473"/>
      <c r="Z9" s="476" t="str">
        <f aca="false">BBG!$L$1</f>
        <v>BBG</v>
      </c>
    </row>
    <row r="10" customFormat="false" ht="15.75" hidden="false" customHeight="false" outlineLevel="0" collapsed="false">
      <c r="A10" s="469" t="s">
        <v>255</v>
      </c>
      <c r="B10" s="469" t="s">
        <v>342</v>
      </c>
      <c r="C10" s="470"/>
      <c r="D10" s="469" t="s">
        <v>255</v>
      </c>
      <c r="E10" s="469" t="s">
        <v>343</v>
      </c>
      <c r="F10" s="470"/>
      <c r="G10" s="469" t="s">
        <v>706</v>
      </c>
      <c r="H10" s="469" t="s">
        <v>246</v>
      </c>
      <c r="I10" s="470"/>
      <c r="J10" s="469" t="s">
        <v>255</v>
      </c>
      <c r="K10" s="469" t="s">
        <v>369</v>
      </c>
      <c r="L10" s="470"/>
      <c r="M10" s="469" t="s">
        <v>255</v>
      </c>
      <c r="N10" s="469" t="s">
        <v>370</v>
      </c>
      <c r="O10" s="470"/>
      <c r="P10" s="469" t="s">
        <v>255</v>
      </c>
      <c r="Q10" s="469" t="s">
        <v>728</v>
      </c>
      <c r="R10" s="471"/>
      <c r="S10" s="469" t="s">
        <v>255</v>
      </c>
      <c r="T10" s="469" t="s">
        <v>729</v>
      </c>
      <c r="U10" s="471"/>
      <c r="V10" s="469" t="s">
        <v>255</v>
      </c>
      <c r="W10" s="469" t="s">
        <v>730</v>
      </c>
      <c r="X10" s="472"/>
      <c r="Y10" s="473"/>
      <c r="Z10" s="477"/>
    </row>
    <row r="11" customFormat="false" ht="15.75" hidden="false" customHeight="false" outlineLevel="0" collapsed="false">
      <c r="A11" s="469" t="s">
        <v>255</v>
      </c>
      <c r="B11" s="469" t="s">
        <v>349</v>
      </c>
      <c r="C11" s="470"/>
      <c r="D11" s="469" t="s">
        <v>255</v>
      </c>
      <c r="E11" s="469" t="s">
        <v>350</v>
      </c>
      <c r="F11" s="470"/>
      <c r="G11" s="469" t="s">
        <v>255</v>
      </c>
      <c r="H11" s="469" t="s">
        <v>363</v>
      </c>
      <c r="I11" s="470"/>
      <c r="J11" s="469" t="s">
        <v>255</v>
      </c>
      <c r="K11" s="469" t="s">
        <v>731</v>
      </c>
      <c r="L11" s="470"/>
      <c r="M11" s="469" t="s">
        <v>255</v>
      </c>
      <c r="N11" s="469" t="s">
        <v>732</v>
      </c>
      <c r="O11" s="470"/>
      <c r="P11" s="469" t="s">
        <v>715</v>
      </c>
      <c r="Q11" s="469" t="s">
        <v>79</v>
      </c>
      <c r="R11" s="471"/>
      <c r="S11" s="469"/>
      <c r="T11" s="469"/>
      <c r="U11" s="471"/>
      <c r="V11" s="469" t="s">
        <v>255</v>
      </c>
      <c r="W11" s="469" t="s">
        <v>733</v>
      </c>
      <c r="X11" s="472"/>
      <c r="Y11" s="473"/>
      <c r="Z11" s="478"/>
    </row>
    <row r="12" customFormat="false" ht="15.75" hidden="false" customHeight="false" outlineLevel="0" collapsed="false">
      <c r="A12" s="469" t="s">
        <v>255</v>
      </c>
      <c r="B12" s="469" t="s">
        <v>356</v>
      </c>
      <c r="C12" s="470"/>
      <c r="D12" s="469" t="s">
        <v>255</v>
      </c>
      <c r="E12" s="469" t="s">
        <v>357</v>
      </c>
      <c r="F12" s="470"/>
      <c r="G12" s="469" t="s">
        <v>718</v>
      </c>
      <c r="H12" s="469" t="s">
        <v>65</v>
      </c>
      <c r="I12" s="470"/>
      <c r="J12" s="469" t="s">
        <v>255</v>
      </c>
      <c r="K12" s="469" t="s">
        <v>380</v>
      </c>
      <c r="L12" s="470"/>
      <c r="M12" s="469" t="s">
        <v>255</v>
      </c>
      <c r="N12" s="469" t="s">
        <v>375</v>
      </c>
      <c r="O12" s="470"/>
      <c r="P12" s="469" t="s">
        <v>255</v>
      </c>
      <c r="Q12" s="469" t="s">
        <v>734</v>
      </c>
      <c r="R12" s="471"/>
      <c r="S12" s="469"/>
      <c r="T12" s="469"/>
      <c r="U12" s="471"/>
      <c r="V12" s="469" t="s">
        <v>255</v>
      </c>
      <c r="W12" s="469" t="s">
        <v>735</v>
      </c>
      <c r="X12" s="472"/>
      <c r="Y12" s="473"/>
      <c r="Z12" s="478"/>
    </row>
    <row r="13" customFormat="false" ht="15.75" hidden="false" customHeight="false" outlineLevel="0" collapsed="false">
      <c r="A13" s="469" t="s">
        <v>715</v>
      </c>
      <c r="B13" s="469" t="s">
        <v>71</v>
      </c>
      <c r="C13" s="470"/>
      <c r="D13" s="469" t="s">
        <v>255</v>
      </c>
      <c r="E13" s="469" t="s">
        <v>362</v>
      </c>
      <c r="F13" s="470"/>
      <c r="G13" s="469" t="s">
        <v>715</v>
      </c>
      <c r="H13" s="469" t="s">
        <v>97</v>
      </c>
      <c r="I13" s="470"/>
      <c r="J13" s="469" t="s">
        <v>255</v>
      </c>
      <c r="K13" s="469" t="s">
        <v>385</v>
      </c>
      <c r="L13" s="470"/>
      <c r="M13" s="469" t="s">
        <v>255</v>
      </c>
      <c r="N13" s="469" t="s">
        <v>381</v>
      </c>
      <c r="O13" s="470"/>
      <c r="P13" s="469" t="s">
        <v>255</v>
      </c>
      <c r="Q13" s="469" t="s">
        <v>736</v>
      </c>
      <c r="R13" s="471"/>
      <c r="S13" s="469"/>
      <c r="T13" s="469"/>
      <c r="U13" s="471"/>
      <c r="V13" s="469"/>
      <c r="W13" s="469"/>
      <c r="X13" s="472"/>
      <c r="Y13" s="473"/>
      <c r="Z13" s="478"/>
    </row>
    <row r="14" customFormat="false" ht="15.75" hidden="false" customHeight="false" outlineLevel="0" collapsed="false">
      <c r="A14" s="469" t="s">
        <v>255</v>
      </c>
      <c r="B14" s="469" t="s">
        <v>367</v>
      </c>
      <c r="C14" s="470"/>
      <c r="D14" s="469" t="s">
        <v>255</v>
      </c>
      <c r="E14" s="469" t="s">
        <v>368</v>
      </c>
      <c r="F14" s="470"/>
      <c r="G14" s="469" t="s">
        <v>714</v>
      </c>
      <c r="H14" s="469" t="s">
        <v>91</v>
      </c>
      <c r="I14" s="470"/>
      <c r="J14" s="469" t="s">
        <v>255</v>
      </c>
      <c r="K14" s="469" t="s">
        <v>267</v>
      </c>
      <c r="L14" s="470"/>
      <c r="M14" s="469" t="s">
        <v>255</v>
      </c>
      <c r="N14" s="469" t="s">
        <v>386</v>
      </c>
      <c r="O14" s="470"/>
      <c r="P14" s="469" t="s">
        <v>255</v>
      </c>
      <c r="Q14" s="469" t="s">
        <v>737</v>
      </c>
      <c r="R14" s="471"/>
      <c r="S14" s="469"/>
      <c r="T14" s="469"/>
      <c r="U14" s="471"/>
      <c r="V14" s="469"/>
      <c r="W14" s="469"/>
      <c r="X14" s="472"/>
      <c r="Y14" s="473"/>
      <c r="Z14" s="478"/>
    </row>
    <row r="15" customFormat="false" ht="15.75" hidden="false" customHeight="false" outlineLevel="0" collapsed="false">
      <c r="A15" s="469" t="s">
        <v>255</v>
      </c>
      <c r="B15" s="469" t="s">
        <v>738</v>
      </c>
      <c r="C15" s="470"/>
      <c r="D15" s="469" t="s">
        <v>714</v>
      </c>
      <c r="E15" s="469" t="s">
        <v>90</v>
      </c>
      <c r="F15" s="470"/>
      <c r="G15" s="469" t="s">
        <v>255</v>
      </c>
      <c r="H15" s="469" t="s">
        <v>384</v>
      </c>
      <c r="I15" s="470"/>
      <c r="J15" s="469" t="s">
        <v>713</v>
      </c>
      <c r="K15" s="469" t="s">
        <v>99</v>
      </c>
      <c r="L15" s="470"/>
      <c r="M15" s="469" t="s">
        <v>725</v>
      </c>
      <c r="N15" s="469" t="s">
        <v>263</v>
      </c>
      <c r="O15" s="470"/>
      <c r="P15" s="469" t="s">
        <v>255</v>
      </c>
      <c r="Q15" s="469" t="s">
        <v>739</v>
      </c>
      <c r="R15" s="471"/>
      <c r="S15" s="469"/>
      <c r="T15" s="469"/>
      <c r="U15" s="471"/>
      <c r="V15" s="469"/>
      <c r="W15" s="469"/>
      <c r="X15" s="472"/>
      <c r="Y15" s="473"/>
      <c r="Z15" s="478"/>
    </row>
    <row r="16" customFormat="false" ht="15.75" hidden="false" customHeight="false" outlineLevel="0" collapsed="false">
      <c r="A16" s="469" t="s">
        <v>255</v>
      </c>
      <c r="B16" s="469" t="s">
        <v>378</v>
      </c>
      <c r="C16" s="470"/>
      <c r="D16" s="469" t="s">
        <v>255</v>
      </c>
      <c r="E16" s="469" t="s">
        <v>379</v>
      </c>
      <c r="F16" s="470"/>
      <c r="G16" s="469" t="s">
        <v>255</v>
      </c>
      <c r="H16" s="469" t="s">
        <v>389</v>
      </c>
      <c r="I16" s="470"/>
      <c r="J16" s="469" t="s">
        <v>255</v>
      </c>
      <c r="K16" s="469" t="s">
        <v>396</v>
      </c>
      <c r="L16" s="470"/>
      <c r="M16" s="469" t="s">
        <v>255</v>
      </c>
      <c r="N16" s="469" t="s">
        <v>393</v>
      </c>
      <c r="O16" s="470"/>
      <c r="P16" s="469" t="s">
        <v>255</v>
      </c>
      <c r="Q16" s="469" t="s">
        <v>740</v>
      </c>
      <c r="R16" s="471"/>
      <c r="S16" s="469"/>
      <c r="T16" s="469"/>
      <c r="U16" s="471"/>
      <c r="V16" s="469"/>
      <c r="W16" s="469"/>
      <c r="X16" s="472"/>
      <c r="Y16" s="473"/>
      <c r="Z16" s="478"/>
    </row>
    <row r="17" customFormat="false" ht="15.75" hidden="false" customHeight="false" outlineLevel="0" collapsed="false">
      <c r="A17" s="469" t="s">
        <v>725</v>
      </c>
      <c r="B17" s="469" t="s">
        <v>72</v>
      </c>
      <c r="C17" s="470"/>
      <c r="D17" s="469" t="s">
        <v>714</v>
      </c>
      <c r="E17" s="469" t="s">
        <v>49</v>
      </c>
      <c r="F17" s="470"/>
      <c r="G17" s="469" t="s">
        <v>714</v>
      </c>
      <c r="H17" s="469" t="s">
        <v>89</v>
      </c>
      <c r="I17" s="470"/>
      <c r="J17" s="469" t="s">
        <v>255</v>
      </c>
      <c r="K17" s="469" t="s">
        <v>401</v>
      </c>
      <c r="L17" s="470"/>
      <c r="M17" s="469" t="s">
        <v>255</v>
      </c>
      <c r="N17" s="469" t="s">
        <v>741</v>
      </c>
      <c r="O17" s="470"/>
      <c r="P17" s="469"/>
      <c r="Q17" s="469"/>
      <c r="R17" s="471"/>
      <c r="S17" s="469"/>
      <c r="T17" s="469"/>
      <c r="U17" s="471"/>
      <c r="V17" s="469"/>
      <c r="W17" s="469"/>
      <c r="X17" s="472"/>
      <c r="Y17" s="473"/>
      <c r="Z17" s="478"/>
    </row>
    <row r="18" customFormat="false" ht="15.75" hidden="false" customHeight="false" outlineLevel="0" collapsed="false">
      <c r="A18" s="469" t="s">
        <v>711</v>
      </c>
      <c r="B18" s="469" t="s">
        <v>85</v>
      </c>
      <c r="C18" s="470"/>
      <c r="D18" s="469" t="s">
        <v>255</v>
      </c>
      <c r="E18" s="469" t="s">
        <v>388</v>
      </c>
      <c r="F18" s="470"/>
      <c r="G18" s="469" t="s">
        <v>255</v>
      </c>
      <c r="H18" s="469" t="s">
        <v>395</v>
      </c>
      <c r="I18" s="470"/>
      <c r="J18" s="469" t="s">
        <v>255</v>
      </c>
      <c r="K18" s="469" t="s">
        <v>406</v>
      </c>
      <c r="L18" s="470"/>
      <c r="M18" s="469" t="s">
        <v>255</v>
      </c>
      <c r="N18" s="469" t="s">
        <v>397</v>
      </c>
      <c r="O18" s="470"/>
      <c r="P18" s="469"/>
      <c r="Q18" s="469"/>
      <c r="R18" s="471"/>
      <c r="S18" s="469"/>
      <c r="T18" s="469"/>
      <c r="U18" s="471"/>
      <c r="V18" s="469"/>
      <c r="W18" s="469"/>
      <c r="X18" s="472"/>
      <c r="Y18" s="473"/>
      <c r="Z18" s="478"/>
    </row>
    <row r="19" customFormat="false" ht="15.75" hidden="false" customHeight="false" outlineLevel="0" collapsed="false">
      <c r="A19" s="469" t="s">
        <v>255</v>
      </c>
      <c r="B19" s="469" t="s">
        <v>391</v>
      </c>
      <c r="C19" s="470"/>
      <c r="D19" s="469" t="s">
        <v>255</v>
      </c>
      <c r="E19" s="469" t="s">
        <v>392</v>
      </c>
      <c r="F19" s="470"/>
      <c r="G19" s="469" t="s">
        <v>713</v>
      </c>
      <c r="H19" s="469" t="s">
        <v>120</v>
      </c>
      <c r="I19" s="470"/>
      <c r="J19" s="469" t="s">
        <v>255</v>
      </c>
      <c r="K19" s="469" t="s">
        <v>412</v>
      </c>
      <c r="L19" s="470"/>
      <c r="M19" s="469" t="s">
        <v>255</v>
      </c>
      <c r="N19" s="469" t="s">
        <v>402</v>
      </c>
      <c r="O19" s="470"/>
      <c r="P19" s="469"/>
      <c r="Q19" s="469"/>
      <c r="R19" s="471"/>
      <c r="S19" s="469"/>
      <c r="T19" s="469"/>
      <c r="U19" s="471"/>
      <c r="V19" s="469"/>
      <c r="W19" s="469"/>
      <c r="X19" s="472"/>
      <c r="Y19" s="473"/>
      <c r="Z19" s="478"/>
    </row>
    <row r="20" customFormat="false" ht="15.75" hidden="false" customHeight="false" outlineLevel="0" collapsed="false">
      <c r="A20" s="469" t="s">
        <v>714</v>
      </c>
      <c r="B20" s="469" t="s">
        <v>40</v>
      </c>
      <c r="C20" s="470"/>
      <c r="D20" s="469" t="s">
        <v>715</v>
      </c>
      <c r="E20" s="469" t="s">
        <v>75</v>
      </c>
      <c r="F20" s="470"/>
      <c r="G20" s="469" t="s">
        <v>255</v>
      </c>
      <c r="H20" s="469" t="s">
        <v>405</v>
      </c>
      <c r="I20" s="470"/>
      <c r="J20" s="469" t="s">
        <v>255</v>
      </c>
      <c r="K20" s="469" t="s">
        <v>416</v>
      </c>
      <c r="L20" s="470"/>
      <c r="M20" s="469" t="s">
        <v>255</v>
      </c>
      <c r="N20" s="469" t="s">
        <v>407</v>
      </c>
      <c r="O20" s="470"/>
      <c r="P20" s="469"/>
      <c r="Q20" s="469"/>
      <c r="R20" s="471"/>
      <c r="S20" s="469"/>
      <c r="T20" s="469"/>
      <c r="U20" s="471"/>
      <c r="V20" s="469"/>
      <c r="W20" s="469"/>
      <c r="X20" s="472"/>
      <c r="Y20" s="473"/>
      <c r="Z20" s="478"/>
    </row>
    <row r="21" customFormat="false" ht="15.75" hidden="false" customHeight="false" outlineLevel="0" collapsed="false">
      <c r="A21" s="469" t="s">
        <v>255</v>
      </c>
      <c r="B21" s="469" t="s">
        <v>399</v>
      </c>
      <c r="C21" s="470"/>
      <c r="D21" s="469" t="s">
        <v>255</v>
      </c>
      <c r="E21" s="469" t="s">
        <v>400</v>
      </c>
      <c r="F21" s="470"/>
      <c r="G21" s="469" t="s">
        <v>255</v>
      </c>
      <c r="H21" s="469" t="s">
        <v>411</v>
      </c>
      <c r="I21" s="470"/>
      <c r="J21" s="469" t="s">
        <v>255</v>
      </c>
      <c r="K21" s="469" t="s">
        <v>419</v>
      </c>
      <c r="L21" s="470"/>
      <c r="M21" s="469" t="s">
        <v>255</v>
      </c>
      <c r="N21" s="469" t="s">
        <v>413</v>
      </c>
      <c r="O21" s="470"/>
      <c r="P21" s="469"/>
      <c r="Q21" s="469"/>
      <c r="R21" s="471"/>
      <c r="S21" s="469"/>
      <c r="T21" s="469"/>
      <c r="U21" s="471"/>
      <c r="V21" s="469"/>
      <c r="W21" s="469"/>
      <c r="X21" s="472"/>
      <c r="Y21" s="473"/>
      <c r="Z21" s="478"/>
    </row>
    <row r="22" customFormat="false" ht="15.75" hidden="false" customHeight="false" outlineLevel="0" collapsed="false">
      <c r="A22" s="469" t="s">
        <v>255</v>
      </c>
      <c r="B22" s="469" t="s">
        <v>404</v>
      </c>
      <c r="C22" s="470"/>
      <c r="D22" s="469" t="s">
        <v>714</v>
      </c>
      <c r="E22" s="469" t="s">
        <v>46</v>
      </c>
      <c r="F22" s="470"/>
      <c r="G22" s="469" t="s">
        <v>706</v>
      </c>
      <c r="H22" s="469" t="s">
        <v>68</v>
      </c>
      <c r="I22" s="470"/>
      <c r="J22" s="469" t="s">
        <v>255</v>
      </c>
      <c r="K22" s="469" t="s">
        <v>423</v>
      </c>
      <c r="L22" s="470"/>
      <c r="M22" s="469" t="s">
        <v>255</v>
      </c>
      <c r="N22" s="469" t="s">
        <v>417</v>
      </c>
      <c r="O22" s="470"/>
      <c r="P22" s="469"/>
      <c r="Q22" s="469"/>
      <c r="R22" s="471"/>
      <c r="S22" s="469"/>
      <c r="T22" s="469"/>
      <c r="U22" s="471"/>
      <c r="V22" s="469"/>
      <c r="W22" s="469"/>
      <c r="X22" s="472"/>
      <c r="Y22" s="473"/>
      <c r="Z22" s="478"/>
    </row>
    <row r="23" customFormat="false" ht="15.75" hidden="false" customHeight="false" outlineLevel="0" collapsed="false">
      <c r="A23" s="469" t="s">
        <v>255</v>
      </c>
      <c r="B23" s="469" t="s">
        <v>409</v>
      </c>
      <c r="C23" s="470"/>
      <c r="D23" s="469" t="s">
        <v>255</v>
      </c>
      <c r="E23" s="469" t="s">
        <v>410</v>
      </c>
      <c r="F23" s="470"/>
      <c r="G23" s="469" t="s">
        <v>711</v>
      </c>
      <c r="H23" s="469" t="s">
        <v>19</v>
      </c>
      <c r="I23" s="470"/>
      <c r="J23" s="469" t="s">
        <v>255</v>
      </c>
      <c r="K23" s="469" t="s">
        <v>428</v>
      </c>
      <c r="L23" s="470"/>
      <c r="M23" s="469" t="s">
        <v>255</v>
      </c>
      <c r="N23" s="469" t="s">
        <v>420</v>
      </c>
      <c r="O23" s="470"/>
      <c r="P23" s="469"/>
      <c r="Q23" s="469"/>
      <c r="R23" s="471"/>
      <c r="S23" s="469"/>
      <c r="T23" s="469"/>
      <c r="U23" s="471"/>
      <c r="V23" s="469"/>
      <c r="W23" s="469"/>
      <c r="X23" s="472"/>
      <c r="Y23" s="473"/>
      <c r="Z23" s="478"/>
    </row>
    <row r="24" customFormat="false" ht="15.75" hidden="false" customHeight="false" outlineLevel="0" collapsed="false">
      <c r="A24" s="469" t="s">
        <v>255</v>
      </c>
      <c r="B24" s="469" t="s">
        <v>415</v>
      </c>
      <c r="C24" s="470"/>
      <c r="D24" s="469" t="s">
        <v>713</v>
      </c>
      <c r="E24" s="469" t="s">
        <v>100</v>
      </c>
      <c r="F24" s="470"/>
      <c r="G24" s="469" t="s">
        <v>255</v>
      </c>
      <c r="H24" s="469" t="s">
        <v>422</v>
      </c>
      <c r="I24" s="470"/>
      <c r="J24" s="469" t="s">
        <v>255</v>
      </c>
      <c r="K24" s="469" t="s">
        <v>434</v>
      </c>
      <c r="L24" s="470"/>
      <c r="M24" s="469" t="s">
        <v>255</v>
      </c>
      <c r="N24" s="469" t="s">
        <v>424</v>
      </c>
      <c r="O24" s="470"/>
      <c r="P24" s="469"/>
      <c r="Q24" s="469"/>
      <c r="R24" s="471"/>
      <c r="S24" s="469"/>
      <c r="T24" s="469"/>
      <c r="U24" s="471"/>
      <c r="V24" s="469"/>
      <c r="W24" s="469"/>
      <c r="X24" s="472"/>
      <c r="Y24" s="473"/>
      <c r="Z24" s="478"/>
    </row>
    <row r="25" customFormat="false" ht="15.75" hidden="false" customHeight="false" outlineLevel="0" collapsed="false">
      <c r="A25" s="469" t="s">
        <v>713</v>
      </c>
      <c r="B25" s="469" t="s">
        <v>53</v>
      </c>
      <c r="C25" s="470"/>
      <c r="D25" s="469" t="s">
        <v>725</v>
      </c>
      <c r="E25" s="469" t="s">
        <v>110</v>
      </c>
      <c r="F25" s="470"/>
      <c r="G25" s="469" t="s">
        <v>255</v>
      </c>
      <c r="H25" s="469" t="s">
        <v>427</v>
      </c>
      <c r="I25" s="470"/>
      <c r="J25" s="469" t="s">
        <v>255</v>
      </c>
      <c r="K25" s="469" t="s">
        <v>742</v>
      </c>
      <c r="L25" s="470"/>
      <c r="M25" s="469" t="s">
        <v>255</v>
      </c>
      <c r="N25" s="469" t="s">
        <v>429</v>
      </c>
      <c r="O25" s="470"/>
      <c r="P25" s="469"/>
      <c r="Q25" s="469"/>
      <c r="R25" s="471"/>
      <c r="S25" s="469"/>
      <c r="T25" s="469"/>
      <c r="U25" s="471"/>
      <c r="V25" s="469"/>
      <c r="W25" s="469"/>
      <c r="X25" s="472"/>
      <c r="Y25" s="473"/>
      <c r="Z25" s="478"/>
    </row>
    <row r="26" customFormat="false" ht="15.75" hidden="false" customHeight="false" outlineLevel="0" collapsed="false">
      <c r="A26" s="469" t="s">
        <v>255</v>
      </c>
      <c r="B26" s="469" t="s">
        <v>27</v>
      </c>
      <c r="C26" s="470"/>
      <c r="D26" s="469" t="s">
        <v>255</v>
      </c>
      <c r="E26" s="469" t="s">
        <v>421</v>
      </c>
      <c r="F26" s="470"/>
      <c r="G26" s="469" t="s">
        <v>255</v>
      </c>
      <c r="H26" s="469" t="s">
        <v>433</v>
      </c>
      <c r="I26" s="470"/>
      <c r="J26" s="469" t="s">
        <v>255</v>
      </c>
      <c r="K26" s="469" t="s">
        <v>439</v>
      </c>
      <c r="L26" s="470"/>
      <c r="M26" s="469" t="s">
        <v>255</v>
      </c>
      <c r="N26" s="469" t="s">
        <v>435</v>
      </c>
      <c r="O26" s="470"/>
      <c r="P26" s="469"/>
      <c r="Q26" s="469"/>
      <c r="R26" s="471"/>
      <c r="S26" s="469"/>
      <c r="T26" s="469"/>
      <c r="U26" s="471"/>
      <c r="V26" s="469"/>
      <c r="W26" s="469"/>
      <c r="X26" s="472"/>
      <c r="Y26" s="473"/>
      <c r="Z26" s="478"/>
    </row>
    <row r="27" customFormat="false" ht="15.75" hidden="false" customHeight="false" outlineLevel="0" collapsed="false">
      <c r="A27" s="469" t="s">
        <v>706</v>
      </c>
      <c r="B27" s="469" t="s">
        <v>60</v>
      </c>
      <c r="C27" s="470"/>
      <c r="D27" s="469" t="s">
        <v>713</v>
      </c>
      <c r="E27" s="469" t="s">
        <v>38</v>
      </c>
      <c r="F27" s="470"/>
      <c r="G27" s="469" t="s">
        <v>255</v>
      </c>
      <c r="H27" s="469" t="s">
        <v>743</v>
      </c>
      <c r="I27" s="470"/>
      <c r="J27" s="469" t="s">
        <v>255</v>
      </c>
      <c r="K27" s="469" t="s">
        <v>443</v>
      </c>
      <c r="L27" s="470"/>
      <c r="M27" s="469" t="s">
        <v>255</v>
      </c>
      <c r="N27" s="469" t="s">
        <v>440</v>
      </c>
      <c r="O27" s="470"/>
      <c r="P27" s="469"/>
      <c r="Q27" s="469"/>
      <c r="R27" s="471"/>
      <c r="S27" s="469"/>
      <c r="T27" s="469"/>
      <c r="U27" s="471"/>
      <c r="V27" s="469"/>
      <c r="W27" s="469"/>
      <c r="X27" s="472"/>
      <c r="Y27" s="473"/>
      <c r="Z27" s="478"/>
    </row>
    <row r="28" customFormat="false" ht="15.75" hidden="false" customHeight="false" outlineLevel="0" collapsed="false">
      <c r="A28" s="469" t="s">
        <v>255</v>
      </c>
      <c r="B28" s="469" t="s">
        <v>431</v>
      </c>
      <c r="C28" s="470"/>
      <c r="D28" s="469" t="s">
        <v>255</v>
      </c>
      <c r="E28" s="469" t="s">
        <v>432</v>
      </c>
      <c r="F28" s="470"/>
      <c r="G28" s="469" t="s">
        <v>714</v>
      </c>
      <c r="H28" s="469" t="s">
        <v>119</v>
      </c>
      <c r="I28" s="470"/>
      <c r="J28" s="469" t="s">
        <v>255</v>
      </c>
      <c r="K28" s="469" t="s">
        <v>31</v>
      </c>
      <c r="L28" s="470"/>
      <c r="M28" s="469" t="s">
        <v>255</v>
      </c>
      <c r="N28" s="469" t="s">
        <v>444</v>
      </c>
      <c r="O28" s="470"/>
      <c r="P28" s="469"/>
      <c r="Q28" s="469"/>
      <c r="R28" s="471"/>
      <c r="S28" s="469"/>
      <c r="T28" s="469"/>
      <c r="U28" s="471"/>
      <c r="V28" s="469"/>
      <c r="W28" s="469"/>
      <c r="X28" s="472"/>
      <c r="Y28" s="473"/>
      <c r="Z28" s="478"/>
    </row>
    <row r="29" customFormat="false" ht="15.75" hidden="false" customHeight="false" outlineLevel="0" collapsed="false">
      <c r="A29" s="469" t="s">
        <v>255</v>
      </c>
      <c r="B29" s="469" t="s">
        <v>437</v>
      </c>
      <c r="C29" s="470"/>
      <c r="D29" s="469" t="s">
        <v>255</v>
      </c>
      <c r="E29" s="469" t="s">
        <v>116</v>
      </c>
      <c r="F29" s="470"/>
      <c r="G29" s="469" t="s">
        <v>255</v>
      </c>
      <c r="H29" s="469" t="s">
        <v>448</v>
      </c>
      <c r="I29" s="470"/>
      <c r="J29" s="469" t="s">
        <v>255</v>
      </c>
      <c r="K29" s="469" t="s">
        <v>451</v>
      </c>
      <c r="L29" s="470"/>
      <c r="M29" s="469" t="s">
        <v>714</v>
      </c>
      <c r="N29" s="469" t="s">
        <v>92</v>
      </c>
      <c r="O29" s="470"/>
      <c r="P29" s="469"/>
      <c r="Q29" s="469"/>
      <c r="R29" s="471"/>
      <c r="S29" s="469"/>
      <c r="T29" s="469"/>
      <c r="U29" s="471"/>
      <c r="V29" s="469"/>
      <c r="W29" s="469"/>
      <c r="X29" s="472"/>
      <c r="Y29" s="473"/>
      <c r="Z29" s="478"/>
    </row>
    <row r="30" customFormat="false" ht="15.75" hidden="false" customHeight="false" outlineLevel="0" collapsed="false">
      <c r="A30" s="469" t="s">
        <v>255</v>
      </c>
      <c r="B30" s="469" t="s">
        <v>442</v>
      </c>
      <c r="C30" s="470"/>
      <c r="D30" s="469" t="s">
        <v>715</v>
      </c>
      <c r="E30" s="469" t="s">
        <v>16</v>
      </c>
      <c r="F30" s="470"/>
      <c r="G30" s="469" t="s">
        <v>255</v>
      </c>
      <c r="H30" s="469" t="s">
        <v>450</v>
      </c>
      <c r="I30" s="470"/>
      <c r="J30" s="469" t="s">
        <v>255</v>
      </c>
      <c r="K30" s="469" t="s">
        <v>456</v>
      </c>
      <c r="L30" s="470"/>
      <c r="M30" s="469" t="s">
        <v>255</v>
      </c>
      <c r="N30" s="469" t="s">
        <v>452</v>
      </c>
      <c r="O30" s="470"/>
      <c r="P30" s="469"/>
      <c r="Q30" s="469"/>
      <c r="R30" s="471"/>
      <c r="S30" s="469"/>
      <c r="T30" s="469"/>
      <c r="U30" s="471"/>
      <c r="V30" s="469"/>
      <c r="W30" s="469"/>
      <c r="X30" s="472"/>
      <c r="Y30" s="473"/>
      <c r="Z30" s="478"/>
    </row>
    <row r="31" customFormat="false" ht="15.75" hidden="false" customHeight="false" outlineLevel="0" collapsed="false">
      <c r="A31" s="469" t="s">
        <v>255</v>
      </c>
      <c r="B31" s="469" t="s">
        <v>446</v>
      </c>
      <c r="C31" s="470"/>
      <c r="D31" s="469" t="s">
        <v>255</v>
      </c>
      <c r="E31" s="469" t="s">
        <v>447</v>
      </c>
      <c r="F31" s="470"/>
      <c r="G31" s="469" t="s">
        <v>255</v>
      </c>
      <c r="H31" s="469" t="s">
        <v>455</v>
      </c>
      <c r="I31" s="470"/>
      <c r="J31" s="469" t="s">
        <v>255</v>
      </c>
      <c r="K31" s="469" t="s">
        <v>461</v>
      </c>
      <c r="L31" s="470"/>
      <c r="M31" s="469" t="s">
        <v>255</v>
      </c>
      <c r="N31" s="469" t="s">
        <v>457</v>
      </c>
      <c r="O31" s="470"/>
      <c r="P31" s="469"/>
      <c r="Q31" s="469"/>
      <c r="R31" s="471"/>
      <c r="S31" s="469"/>
      <c r="T31" s="469"/>
      <c r="U31" s="471"/>
      <c r="V31" s="469"/>
      <c r="W31" s="469"/>
      <c r="X31" s="472"/>
      <c r="Y31" s="473"/>
      <c r="Z31" s="478"/>
    </row>
    <row r="32" customFormat="false" ht="15.75" hidden="false" customHeight="false" outlineLevel="0" collapsed="false">
      <c r="A32" s="469" t="s">
        <v>718</v>
      </c>
      <c r="B32" s="469" t="s">
        <v>256</v>
      </c>
      <c r="C32" s="470"/>
      <c r="D32" s="469" t="s">
        <v>715</v>
      </c>
      <c r="E32" s="469" t="s">
        <v>107</v>
      </c>
      <c r="F32" s="470"/>
      <c r="G32" s="469" t="s">
        <v>255</v>
      </c>
      <c r="H32" s="469" t="s">
        <v>460</v>
      </c>
      <c r="I32" s="470"/>
      <c r="J32" s="469" t="s">
        <v>255</v>
      </c>
      <c r="K32" s="469" t="s">
        <v>467</v>
      </c>
      <c r="L32" s="470"/>
      <c r="M32" s="469" t="s">
        <v>255</v>
      </c>
      <c r="N32" s="469" t="s">
        <v>462</v>
      </c>
      <c r="O32" s="470"/>
      <c r="P32" s="469"/>
      <c r="Q32" s="469"/>
      <c r="R32" s="471"/>
      <c r="S32" s="469"/>
      <c r="T32" s="469"/>
      <c r="U32" s="471"/>
      <c r="V32" s="469"/>
      <c r="W32" s="469"/>
      <c r="X32" s="472"/>
      <c r="Y32" s="473"/>
      <c r="Z32" s="478"/>
    </row>
    <row r="33" customFormat="false" ht="15.75" hidden="false" customHeight="false" outlineLevel="0" collapsed="false">
      <c r="A33" s="469" t="s">
        <v>255</v>
      </c>
      <c r="B33" s="469" t="s">
        <v>454</v>
      </c>
      <c r="C33" s="470"/>
      <c r="D33" s="469" t="s">
        <v>725</v>
      </c>
      <c r="E33" s="469" t="s">
        <v>74</v>
      </c>
      <c r="F33" s="470"/>
      <c r="G33" s="469" t="s">
        <v>255</v>
      </c>
      <c r="H33" s="469" t="s">
        <v>465</v>
      </c>
      <c r="I33" s="470"/>
      <c r="J33" s="469" t="s">
        <v>255</v>
      </c>
      <c r="K33" s="469" t="s">
        <v>268</v>
      </c>
      <c r="L33" s="470"/>
      <c r="M33" s="469" t="s">
        <v>255</v>
      </c>
      <c r="N33" s="469" t="s">
        <v>468</v>
      </c>
      <c r="O33" s="470"/>
      <c r="P33" s="469"/>
      <c r="Q33" s="469"/>
      <c r="R33" s="471"/>
      <c r="S33" s="469"/>
      <c r="T33" s="469"/>
      <c r="U33" s="471"/>
      <c r="V33" s="469"/>
      <c r="W33" s="469"/>
      <c r="X33" s="472"/>
      <c r="Y33" s="473"/>
      <c r="Z33" s="478"/>
    </row>
    <row r="34" customFormat="false" ht="15.75" hidden="false" customHeight="false" outlineLevel="0" collapsed="false">
      <c r="A34" s="469" t="s">
        <v>255</v>
      </c>
      <c r="B34" s="469" t="s">
        <v>459</v>
      </c>
      <c r="C34" s="470"/>
      <c r="D34" s="469" t="s">
        <v>725</v>
      </c>
      <c r="E34" s="469" t="s">
        <v>76</v>
      </c>
      <c r="F34" s="470"/>
      <c r="G34" s="469" t="s">
        <v>255</v>
      </c>
      <c r="H34" s="469" t="s">
        <v>472</v>
      </c>
      <c r="I34" s="470"/>
      <c r="J34" s="469" t="s">
        <v>705</v>
      </c>
      <c r="K34" s="469" t="s">
        <v>28</v>
      </c>
      <c r="L34" s="470"/>
      <c r="M34" s="469" t="s">
        <v>255</v>
      </c>
      <c r="N34" s="469" t="s">
        <v>744</v>
      </c>
      <c r="O34" s="470"/>
      <c r="P34" s="469"/>
      <c r="Q34" s="469"/>
      <c r="R34" s="471"/>
      <c r="S34" s="469"/>
      <c r="T34" s="469"/>
      <c r="U34" s="471"/>
      <c r="V34" s="469"/>
      <c r="W34" s="469"/>
      <c r="X34" s="472"/>
      <c r="Y34" s="473"/>
      <c r="Z34" s="478"/>
    </row>
    <row r="35" customFormat="false" ht="15.75" hidden="false" customHeight="false" outlineLevel="0" collapsed="false">
      <c r="A35" s="479" t="s">
        <v>255</v>
      </c>
      <c r="B35" s="50" t="s">
        <v>464</v>
      </c>
      <c r="C35" s="470"/>
      <c r="D35" s="469" t="s">
        <v>725</v>
      </c>
      <c r="E35" s="469" t="s">
        <v>82</v>
      </c>
      <c r="F35" s="470"/>
      <c r="G35" s="469" t="s">
        <v>255</v>
      </c>
      <c r="H35" s="469" t="s">
        <v>477</v>
      </c>
      <c r="I35" s="470"/>
      <c r="J35" s="469" t="s">
        <v>255</v>
      </c>
      <c r="K35" s="469" t="s">
        <v>482</v>
      </c>
      <c r="L35" s="470"/>
      <c r="M35" s="469" t="s">
        <v>255</v>
      </c>
      <c r="N35" s="469" t="s">
        <v>473</v>
      </c>
      <c r="O35" s="470"/>
      <c r="P35" s="469"/>
      <c r="Q35" s="469"/>
      <c r="R35" s="471"/>
      <c r="S35" s="469"/>
      <c r="T35" s="469"/>
      <c r="U35" s="471"/>
      <c r="V35" s="469"/>
      <c r="W35" s="469"/>
      <c r="X35" s="472"/>
      <c r="Y35" s="473"/>
      <c r="Z35" s="478"/>
    </row>
    <row r="36" customFormat="false" ht="15.75" hidden="false" customHeight="false" outlineLevel="0" collapsed="false">
      <c r="A36" s="479" t="s">
        <v>255</v>
      </c>
      <c r="B36" s="50" t="s">
        <v>470</v>
      </c>
      <c r="C36" s="470"/>
      <c r="D36" s="469" t="s">
        <v>255</v>
      </c>
      <c r="E36" s="469" t="s">
        <v>471</v>
      </c>
      <c r="F36" s="470"/>
      <c r="G36" s="469" t="s">
        <v>255</v>
      </c>
      <c r="H36" s="469" t="s">
        <v>745</v>
      </c>
      <c r="I36" s="470"/>
      <c r="J36" s="469" t="s">
        <v>255</v>
      </c>
      <c r="K36" s="469" t="s">
        <v>485</v>
      </c>
      <c r="L36" s="470"/>
      <c r="M36" s="469" t="s">
        <v>255</v>
      </c>
      <c r="N36" s="469" t="s">
        <v>478</v>
      </c>
      <c r="O36" s="470"/>
      <c r="P36" s="469"/>
      <c r="Q36" s="469"/>
      <c r="R36" s="471"/>
      <c r="S36" s="469"/>
      <c r="T36" s="469"/>
      <c r="U36" s="471"/>
      <c r="V36" s="469"/>
      <c r="W36" s="469"/>
      <c r="X36" s="472"/>
      <c r="Y36" s="473"/>
      <c r="Z36" s="478"/>
    </row>
    <row r="37" customFormat="false" ht="15.75" hidden="false" customHeight="false" outlineLevel="0" collapsed="false">
      <c r="A37" s="469" t="s">
        <v>255</v>
      </c>
      <c r="B37" s="469" t="s">
        <v>746</v>
      </c>
      <c r="C37" s="470"/>
      <c r="D37" s="469" t="s">
        <v>255</v>
      </c>
      <c r="E37" s="469" t="s">
        <v>476</v>
      </c>
      <c r="F37" s="470"/>
      <c r="G37" s="469" t="s">
        <v>255</v>
      </c>
      <c r="H37" s="469" t="s">
        <v>484</v>
      </c>
      <c r="I37" s="470"/>
      <c r="J37" s="469" t="s">
        <v>255</v>
      </c>
      <c r="K37" s="469" t="s">
        <v>490</v>
      </c>
      <c r="L37" s="470"/>
      <c r="M37" s="469" t="s">
        <v>713</v>
      </c>
      <c r="N37" s="469" t="s">
        <v>44</v>
      </c>
      <c r="O37" s="470"/>
      <c r="P37" s="469"/>
      <c r="Q37" s="469"/>
      <c r="R37" s="471"/>
      <c r="S37" s="469"/>
      <c r="T37" s="469"/>
      <c r="U37" s="471"/>
      <c r="V37" s="469"/>
      <c r="W37" s="469"/>
      <c r="X37" s="472"/>
      <c r="Y37" s="473"/>
      <c r="Z37" s="478"/>
    </row>
    <row r="38" customFormat="false" ht="15.75" hidden="false" customHeight="false" outlineLevel="0" collapsed="false">
      <c r="A38" s="479"/>
      <c r="B38" s="50"/>
      <c r="C38" s="470"/>
      <c r="D38" s="469" t="s">
        <v>705</v>
      </c>
      <c r="E38" s="469" t="s">
        <v>125</v>
      </c>
      <c r="F38" s="470"/>
      <c r="G38" s="469" t="s">
        <v>255</v>
      </c>
      <c r="H38" s="469" t="s">
        <v>489</v>
      </c>
      <c r="I38" s="470"/>
      <c r="J38" s="469" t="s">
        <v>255</v>
      </c>
      <c r="K38" s="469" t="s">
        <v>495</v>
      </c>
      <c r="L38" s="470"/>
      <c r="M38" s="469" t="s">
        <v>255</v>
      </c>
      <c r="N38" s="469" t="s">
        <v>486</v>
      </c>
      <c r="O38" s="470"/>
      <c r="P38" s="469"/>
      <c r="Q38" s="469"/>
      <c r="R38" s="471"/>
      <c r="S38" s="469"/>
      <c r="T38" s="469"/>
      <c r="U38" s="471"/>
      <c r="V38" s="469"/>
      <c r="W38" s="469"/>
      <c r="X38" s="472"/>
      <c r="Y38" s="473"/>
      <c r="Z38" s="478"/>
    </row>
    <row r="39" customFormat="false" ht="15.75" hidden="false" customHeight="false" outlineLevel="0" collapsed="false">
      <c r="A39" s="469"/>
      <c r="B39" s="469"/>
      <c r="C39" s="470"/>
      <c r="D39" s="469" t="s">
        <v>718</v>
      </c>
      <c r="E39" s="469" t="s">
        <v>69</v>
      </c>
      <c r="F39" s="470"/>
      <c r="G39" s="469" t="s">
        <v>255</v>
      </c>
      <c r="H39" s="469" t="s">
        <v>494</v>
      </c>
      <c r="I39" s="470"/>
      <c r="J39" s="469" t="s">
        <v>255</v>
      </c>
      <c r="K39" s="469" t="s">
        <v>499</v>
      </c>
      <c r="L39" s="470"/>
      <c r="M39" s="469" t="s">
        <v>255</v>
      </c>
      <c r="N39" s="469" t="s">
        <v>491</v>
      </c>
      <c r="O39" s="470"/>
      <c r="P39" s="469"/>
      <c r="Q39" s="469"/>
      <c r="R39" s="471"/>
      <c r="S39" s="469"/>
      <c r="T39" s="469"/>
      <c r="U39" s="471"/>
      <c r="V39" s="469"/>
      <c r="W39" s="469"/>
      <c r="X39" s="472"/>
      <c r="Y39" s="473"/>
      <c r="Z39" s="478"/>
    </row>
    <row r="40" customFormat="false" ht="15.75" hidden="false" customHeight="false" outlineLevel="0" collapsed="false">
      <c r="A40" s="469"/>
      <c r="B40" s="469"/>
      <c r="C40" s="470"/>
      <c r="D40" s="469" t="s">
        <v>706</v>
      </c>
      <c r="E40" s="469" t="s">
        <v>257</v>
      </c>
      <c r="F40" s="470"/>
      <c r="G40" s="469" t="s">
        <v>705</v>
      </c>
      <c r="H40" s="469" t="s">
        <v>94</v>
      </c>
      <c r="I40" s="470"/>
      <c r="J40" s="469" t="s">
        <v>255</v>
      </c>
      <c r="K40" s="469" t="s">
        <v>504</v>
      </c>
      <c r="L40" s="470"/>
      <c r="M40" s="469" t="s">
        <v>255</v>
      </c>
      <c r="N40" s="469" t="s">
        <v>496</v>
      </c>
      <c r="O40" s="470"/>
      <c r="P40" s="469"/>
      <c r="Q40" s="469"/>
      <c r="R40" s="471"/>
      <c r="S40" s="469"/>
      <c r="T40" s="469"/>
      <c r="U40" s="471"/>
      <c r="V40" s="469"/>
      <c r="W40" s="469"/>
      <c r="X40" s="472"/>
      <c r="Y40" s="473"/>
      <c r="Z40" s="478"/>
    </row>
    <row r="41" customFormat="false" ht="15.75" hidden="false" customHeight="false" outlineLevel="0" collapsed="false">
      <c r="A41" s="469"/>
      <c r="B41" s="469"/>
      <c r="C41" s="470"/>
      <c r="D41" s="469" t="s">
        <v>255</v>
      </c>
      <c r="E41" s="469" t="s">
        <v>493</v>
      </c>
      <c r="F41" s="470"/>
      <c r="G41" s="469" t="s">
        <v>255</v>
      </c>
      <c r="H41" s="469" t="s">
        <v>503</v>
      </c>
      <c r="I41" s="470"/>
      <c r="J41" s="469" t="s">
        <v>255</v>
      </c>
      <c r="K41" s="469" t="s">
        <v>508</v>
      </c>
      <c r="L41" s="470"/>
      <c r="M41" s="469" t="s">
        <v>255</v>
      </c>
      <c r="N41" s="469" t="s">
        <v>500</v>
      </c>
      <c r="O41" s="470"/>
      <c r="P41" s="469"/>
      <c r="Q41" s="469"/>
      <c r="R41" s="471"/>
      <c r="S41" s="469"/>
      <c r="T41" s="469"/>
      <c r="U41" s="471"/>
      <c r="V41" s="469"/>
      <c r="W41" s="469"/>
      <c r="X41" s="472"/>
      <c r="Y41" s="473"/>
      <c r="Z41" s="478"/>
    </row>
    <row r="42" customFormat="false" ht="15.75" hidden="false" customHeight="false" outlineLevel="0" collapsed="false">
      <c r="A42" s="469"/>
      <c r="B42" s="469"/>
      <c r="C42" s="470"/>
      <c r="D42" s="469" t="s">
        <v>255</v>
      </c>
      <c r="E42" s="469" t="s">
        <v>498</v>
      </c>
      <c r="F42" s="470"/>
      <c r="G42" s="469" t="s">
        <v>255</v>
      </c>
      <c r="H42" s="469" t="s">
        <v>507</v>
      </c>
      <c r="I42" s="470"/>
      <c r="J42" s="469" t="s">
        <v>255</v>
      </c>
      <c r="K42" s="469" t="s">
        <v>511</v>
      </c>
      <c r="L42" s="470"/>
      <c r="M42" s="469" t="s">
        <v>255</v>
      </c>
      <c r="N42" s="469" t="s">
        <v>505</v>
      </c>
      <c r="O42" s="470"/>
      <c r="P42" s="469"/>
      <c r="Q42" s="469"/>
      <c r="R42" s="471"/>
      <c r="S42" s="469"/>
      <c r="T42" s="469"/>
      <c r="U42" s="471"/>
      <c r="V42" s="469"/>
      <c r="W42" s="469"/>
      <c r="X42" s="472"/>
      <c r="Y42" s="473"/>
      <c r="Z42" s="478"/>
    </row>
    <row r="43" customFormat="false" ht="15.75" hidden="false" customHeight="false" outlineLevel="0" collapsed="false">
      <c r="A43" s="469"/>
      <c r="B43" s="469"/>
      <c r="C43" s="470"/>
      <c r="D43" s="469" t="s">
        <v>255</v>
      </c>
      <c r="E43" s="469" t="s">
        <v>502</v>
      </c>
      <c r="F43" s="470"/>
      <c r="G43" s="469" t="s">
        <v>705</v>
      </c>
      <c r="H43" s="469" t="s">
        <v>248</v>
      </c>
      <c r="I43" s="470"/>
      <c r="J43" s="469" t="s">
        <v>255</v>
      </c>
      <c r="K43" s="469" t="s">
        <v>515</v>
      </c>
      <c r="L43" s="470"/>
      <c r="M43" s="469" t="s">
        <v>255</v>
      </c>
      <c r="N43" s="469" t="s">
        <v>509</v>
      </c>
      <c r="O43" s="470"/>
      <c r="P43" s="469"/>
      <c r="Q43" s="469"/>
      <c r="R43" s="471"/>
      <c r="S43" s="469"/>
      <c r="T43" s="469"/>
      <c r="U43" s="471"/>
      <c r="V43" s="469"/>
      <c r="W43" s="469"/>
      <c r="X43" s="472"/>
      <c r="Y43" s="473"/>
      <c r="Z43" s="478"/>
    </row>
    <row r="44" customFormat="false" ht="15.75" hidden="false" customHeight="false" outlineLevel="0" collapsed="false">
      <c r="A44" s="469"/>
      <c r="B44" s="469"/>
      <c r="C44" s="470"/>
      <c r="D44" s="469" t="s">
        <v>711</v>
      </c>
      <c r="E44" s="469" t="s">
        <v>124</v>
      </c>
      <c r="F44" s="470"/>
      <c r="G44" s="469" t="s">
        <v>711</v>
      </c>
      <c r="H44" s="469" t="s">
        <v>118</v>
      </c>
      <c r="I44" s="470"/>
      <c r="J44" s="469" t="s">
        <v>255</v>
      </c>
      <c r="K44" s="469" t="s">
        <v>520</v>
      </c>
      <c r="L44" s="470"/>
      <c r="M44" s="469" t="s">
        <v>255</v>
      </c>
      <c r="N44" s="469" t="s">
        <v>512</v>
      </c>
      <c r="O44" s="470"/>
      <c r="P44" s="469"/>
      <c r="Q44" s="469"/>
      <c r="R44" s="471"/>
      <c r="S44" s="469"/>
      <c r="T44" s="469"/>
      <c r="U44" s="471"/>
      <c r="V44" s="469"/>
      <c r="W44" s="469"/>
      <c r="X44" s="472"/>
      <c r="Y44" s="473"/>
      <c r="Z44" s="478"/>
    </row>
    <row r="45" customFormat="false" ht="15.75" hidden="false" customHeight="false" outlineLevel="0" collapsed="false">
      <c r="A45" s="469"/>
      <c r="B45" s="469"/>
      <c r="C45" s="470"/>
      <c r="D45" s="469" t="s">
        <v>255</v>
      </c>
      <c r="E45" s="469" t="s">
        <v>77</v>
      </c>
      <c r="F45" s="470"/>
      <c r="G45" s="469" t="s">
        <v>255</v>
      </c>
      <c r="H45" s="469" t="s">
        <v>514</v>
      </c>
      <c r="I45" s="470"/>
      <c r="J45" s="469" t="s">
        <v>255</v>
      </c>
      <c r="K45" s="469" t="s">
        <v>523</v>
      </c>
      <c r="L45" s="470"/>
      <c r="M45" s="469" t="s">
        <v>718</v>
      </c>
      <c r="N45" s="469" t="s">
        <v>259</v>
      </c>
      <c r="O45" s="470"/>
      <c r="P45" s="469"/>
      <c r="Q45" s="469"/>
      <c r="R45" s="471"/>
      <c r="S45" s="469"/>
      <c r="T45" s="469"/>
      <c r="U45" s="471"/>
      <c r="V45" s="469"/>
      <c r="W45" s="469"/>
      <c r="X45" s="472"/>
      <c r="Y45" s="473"/>
      <c r="Z45" s="478"/>
    </row>
    <row r="46" customFormat="false" ht="15.75" hidden="false" customHeight="false" outlineLevel="0" collapsed="false">
      <c r="A46" s="469"/>
      <c r="B46" s="469"/>
      <c r="C46" s="470"/>
      <c r="D46" s="469" t="s">
        <v>255</v>
      </c>
      <c r="E46" s="469" t="s">
        <v>14</v>
      </c>
      <c r="F46" s="470"/>
      <c r="G46" s="469" t="s">
        <v>255</v>
      </c>
      <c r="H46" s="469" t="s">
        <v>519</v>
      </c>
      <c r="I46" s="470"/>
      <c r="J46" s="469" t="s">
        <v>255</v>
      </c>
      <c r="K46" s="469" t="s">
        <v>526</v>
      </c>
      <c r="L46" s="470"/>
      <c r="M46" s="469" t="s">
        <v>255</v>
      </c>
      <c r="N46" s="469" t="s">
        <v>524</v>
      </c>
      <c r="O46" s="470"/>
      <c r="P46" s="469"/>
      <c r="Q46" s="469"/>
      <c r="R46" s="471"/>
      <c r="S46" s="469"/>
      <c r="T46" s="469"/>
      <c r="U46" s="471"/>
      <c r="V46" s="469"/>
      <c r="W46" s="469"/>
      <c r="X46" s="472"/>
      <c r="Y46" s="473"/>
      <c r="Z46" s="478"/>
    </row>
    <row r="47" customFormat="false" ht="15.75" hidden="false" customHeight="false" outlineLevel="0" collapsed="false">
      <c r="A47" s="469"/>
      <c r="B47" s="469"/>
      <c r="C47" s="470"/>
      <c r="D47" s="469" t="s">
        <v>255</v>
      </c>
      <c r="E47" s="469" t="s">
        <v>518</v>
      </c>
      <c r="F47" s="470"/>
      <c r="G47" s="469" t="s">
        <v>255</v>
      </c>
      <c r="H47" s="469" t="s">
        <v>747</v>
      </c>
      <c r="I47" s="470"/>
      <c r="J47" s="469" t="s">
        <v>255</v>
      </c>
      <c r="K47" s="469" t="s">
        <v>530</v>
      </c>
      <c r="L47" s="470"/>
      <c r="M47" s="469" t="s">
        <v>255</v>
      </c>
      <c r="N47" s="469" t="s">
        <v>531</v>
      </c>
      <c r="O47" s="470"/>
      <c r="P47" s="469"/>
      <c r="Q47" s="469"/>
      <c r="R47" s="471"/>
      <c r="S47" s="469"/>
      <c r="T47" s="469"/>
      <c r="U47" s="471"/>
      <c r="V47" s="469"/>
      <c r="W47" s="469"/>
      <c r="X47" s="472"/>
      <c r="Y47" s="473"/>
      <c r="Z47" s="478"/>
    </row>
    <row r="48" customFormat="false" ht="15.75" hidden="false" customHeight="false" outlineLevel="0" collapsed="false">
      <c r="A48" s="469"/>
      <c r="B48" s="469"/>
      <c r="C48" s="470"/>
      <c r="D48" s="469" t="s">
        <v>713</v>
      </c>
      <c r="E48" s="469" t="s">
        <v>50</v>
      </c>
      <c r="F48" s="470"/>
      <c r="G48" s="469" t="s">
        <v>255</v>
      </c>
      <c r="H48" s="469" t="s">
        <v>522</v>
      </c>
      <c r="I48" s="470"/>
      <c r="J48" s="469" t="s">
        <v>255</v>
      </c>
      <c r="K48" s="469" t="s">
        <v>533</v>
      </c>
      <c r="L48" s="470"/>
      <c r="M48" s="469" t="s">
        <v>255</v>
      </c>
      <c r="N48" s="469" t="s">
        <v>534</v>
      </c>
      <c r="O48" s="470"/>
      <c r="P48" s="469"/>
      <c r="Q48" s="469"/>
      <c r="R48" s="471"/>
      <c r="S48" s="469"/>
      <c r="T48" s="469"/>
      <c r="U48" s="471"/>
      <c r="V48" s="469"/>
      <c r="W48" s="469"/>
      <c r="X48" s="472"/>
      <c r="Y48" s="473"/>
      <c r="Z48" s="478"/>
    </row>
    <row r="49" customFormat="false" ht="15.75" hidden="false" customHeight="false" outlineLevel="0" collapsed="false">
      <c r="A49" s="469"/>
      <c r="B49" s="469"/>
      <c r="C49" s="470"/>
      <c r="D49" s="469"/>
      <c r="E49" s="469"/>
      <c r="F49" s="470"/>
      <c r="G49" s="469" t="s">
        <v>715</v>
      </c>
      <c r="H49" s="469" t="s">
        <v>73</v>
      </c>
      <c r="I49" s="470"/>
      <c r="J49" s="469" t="s">
        <v>255</v>
      </c>
      <c r="K49" s="469" t="s">
        <v>537</v>
      </c>
      <c r="L49" s="470"/>
      <c r="M49" s="469" t="s">
        <v>255</v>
      </c>
      <c r="N49" s="469" t="s">
        <v>538</v>
      </c>
      <c r="O49" s="470"/>
      <c r="P49" s="469"/>
      <c r="Q49" s="469"/>
      <c r="R49" s="471"/>
      <c r="S49" s="469"/>
      <c r="T49" s="469"/>
      <c r="U49" s="471"/>
      <c r="V49" s="469"/>
      <c r="W49" s="469"/>
      <c r="X49" s="472"/>
      <c r="Y49" s="473"/>
      <c r="Z49" s="478"/>
    </row>
    <row r="50" customFormat="false" ht="15.75" hidden="false" customHeight="false" outlineLevel="0" collapsed="false">
      <c r="A50" s="469"/>
      <c r="B50" s="469"/>
      <c r="C50" s="470"/>
      <c r="D50" s="469"/>
      <c r="E50" s="469"/>
      <c r="F50" s="470"/>
      <c r="G50" s="469" t="s">
        <v>255</v>
      </c>
      <c r="H50" s="469" t="s">
        <v>529</v>
      </c>
      <c r="I50" s="470"/>
      <c r="J50" s="469" t="s">
        <v>255</v>
      </c>
      <c r="K50" s="469" t="s">
        <v>541</v>
      </c>
      <c r="L50" s="470"/>
      <c r="M50" s="469" t="s">
        <v>255</v>
      </c>
      <c r="N50" s="469" t="s">
        <v>542</v>
      </c>
      <c r="O50" s="470"/>
      <c r="P50" s="469"/>
      <c r="Q50" s="469"/>
      <c r="R50" s="471"/>
      <c r="S50" s="469"/>
      <c r="T50" s="469"/>
      <c r="U50" s="471"/>
      <c r="V50" s="469"/>
      <c r="W50" s="469"/>
      <c r="X50" s="472"/>
      <c r="Y50" s="473"/>
      <c r="Z50" s="478"/>
    </row>
    <row r="51" customFormat="false" ht="15.75" hidden="false" customHeight="false" outlineLevel="0" collapsed="false">
      <c r="A51" s="469"/>
      <c r="B51" s="469"/>
      <c r="C51" s="470"/>
      <c r="D51" s="469"/>
      <c r="E51" s="469"/>
      <c r="F51" s="470"/>
      <c r="G51" s="469" t="s">
        <v>705</v>
      </c>
      <c r="H51" s="469" t="s">
        <v>106</v>
      </c>
      <c r="I51" s="470"/>
      <c r="J51" s="469" t="s">
        <v>255</v>
      </c>
      <c r="K51" s="469" t="s">
        <v>545</v>
      </c>
      <c r="L51" s="470"/>
      <c r="M51" s="469" t="s">
        <v>255</v>
      </c>
      <c r="N51" s="469" t="s">
        <v>546</v>
      </c>
      <c r="O51" s="470"/>
      <c r="P51" s="469"/>
      <c r="Q51" s="469"/>
      <c r="R51" s="471"/>
      <c r="S51" s="469"/>
      <c r="T51" s="469"/>
      <c r="U51" s="471"/>
      <c r="V51" s="469"/>
      <c r="W51" s="469"/>
      <c r="X51" s="472"/>
      <c r="Y51" s="473"/>
      <c r="Z51" s="478"/>
    </row>
    <row r="52" customFormat="false" ht="15.75" hidden="false" customHeight="false" outlineLevel="0" collapsed="false">
      <c r="A52" s="469"/>
      <c r="B52" s="469"/>
      <c r="C52" s="470"/>
      <c r="D52" s="469"/>
      <c r="E52" s="469"/>
      <c r="F52" s="470"/>
      <c r="G52" s="469" t="s">
        <v>255</v>
      </c>
      <c r="H52" s="469" t="s">
        <v>536</v>
      </c>
      <c r="I52" s="470"/>
      <c r="J52" s="469" t="s">
        <v>255</v>
      </c>
      <c r="K52" s="469" t="s">
        <v>548</v>
      </c>
      <c r="L52" s="470"/>
      <c r="M52" s="469" t="s">
        <v>714</v>
      </c>
      <c r="N52" s="469" t="s">
        <v>113</v>
      </c>
      <c r="O52" s="470"/>
      <c r="P52" s="469"/>
      <c r="Q52" s="469"/>
      <c r="R52" s="471"/>
      <c r="S52" s="469"/>
      <c r="T52" s="469"/>
      <c r="U52" s="471"/>
      <c r="V52" s="469"/>
      <c r="W52" s="469"/>
      <c r="X52" s="472"/>
      <c r="Y52" s="473"/>
      <c r="Z52" s="478"/>
    </row>
    <row r="53" customFormat="false" ht="15.75" hidden="false" customHeight="false" outlineLevel="0" collapsed="false">
      <c r="A53" s="469"/>
      <c r="B53" s="469"/>
      <c r="C53" s="470"/>
      <c r="D53" s="469"/>
      <c r="E53" s="469"/>
      <c r="F53" s="470"/>
      <c r="G53" s="469" t="s">
        <v>255</v>
      </c>
      <c r="H53" s="469" t="s">
        <v>540</v>
      </c>
      <c r="I53" s="470"/>
      <c r="J53" s="469" t="s">
        <v>255</v>
      </c>
      <c r="K53" s="469" t="s">
        <v>552</v>
      </c>
      <c r="L53" s="470"/>
      <c r="M53" s="469" t="s">
        <v>255</v>
      </c>
      <c r="N53" s="469" t="s">
        <v>549</v>
      </c>
      <c r="O53" s="470"/>
      <c r="P53" s="469"/>
      <c r="Q53" s="469"/>
      <c r="R53" s="471"/>
      <c r="S53" s="469"/>
      <c r="T53" s="469"/>
      <c r="U53" s="471"/>
      <c r="V53" s="469"/>
      <c r="W53" s="469"/>
      <c r="X53" s="472"/>
      <c r="Y53" s="473"/>
      <c r="Z53" s="478"/>
    </row>
    <row r="54" customFormat="false" ht="15.75" hidden="false" customHeight="false" outlineLevel="0" collapsed="false">
      <c r="A54" s="469"/>
      <c r="B54" s="469"/>
      <c r="C54" s="470"/>
      <c r="D54" s="469"/>
      <c r="E54" s="469"/>
      <c r="F54" s="470"/>
      <c r="G54" s="469" t="s">
        <v>255</v>
      </c>
      <c r="H54" s="469" t="s">
        <v>98</v>
      </c>
      <c r="I54" s="470"/>
      <c r="J54" s="469" t="s">
        <v>255</v>
      </c>
      <c r="K54" s="469" t="s">
        <v>748</v>
      </c>
      <c r="L54" s="470"/>
      <c r="M54" s="469" t="s">
        <v>255</v>
      </c>
      <c r="N54" s="469" t="s">
        <v>553</v>
      </c>
      <c r="O54" s="470"/>
      <c r="P54" s="469"/>
      <c r="Q54" s="469"/>
      <c r="R54" s="471"/>
      <c r="S54" s="469"/>
      <c r="T54" s="469"/>
      <c r="U54" s="471"/>
      <c r="V54" s="469"/>
      <c r="W54" s="469"/>
      <c r="X54" s="472"/>
      <c r="Y54" s="473"/>
      <c r="Z54" s="478"/>
    </row>
    <row r="55" customFormat="false" ht="15.75" hidden="false" customHeight="false" outlineLevel="0" collapsed="false">
      <c r="A55" s="469"/>
      <c r="B55" s="469"/>
      <c r="C55" s="470"/>
      <c r="D55" s="469"/>
      <c r="E55" s="469"/>
      <c r="F55" s="470"/>
      <c r="G55" s="469" t="s">
        <v>255</v>
      </c>
      <c r="H55" s="469" t="s">
        <v>547</v>
      </c>
      <c r="I55" s="470"/>
      <c r="J55" s="469" t="s">
        <v>255</v>
      </c>
      <c r="K55" s="469" t="s">
        <v>559</v>
      </c>
      <c r="L55" s="470"/>
      <c r="M55" s="469" t="s">
        <v>255</v>
      </c>
      <c r="N55" s="469" t="s">
        <v>556</v>
      </c>
      <c r="O55" s="470"/>
      <c r="P55" s="469"/>
      <c r="Q55" s="469"/>
      <c r="R55" s="471"/>
      <c r="S55" s="469"/>
      <c r="T55" s="469"/>
      <c r="U55" s="471"/>
      <c r="V55" s="469"/>
      <c r="W55" s="469"/>
      <c r="X55" s="472"/>
      <c r="Y55" s="473"/>
      <c r="Z55" s="478"/>
    </row>
    <row r="56" customFormat="false" ht="15.75" hidden="false" customHeight="false" outlineLevel="0" collapsed="false">
      <c r="A56" s="469"/>
      <c r="B56" s="469"/>
      <c r="C56" s="470"/>
      <c r="D56" s="469"/>
      <c r="E56" s="469"/>
      <c r="F56" s="470"/>
      <c r="G56" s="469" t="s">
        <v>255</v>
      </c>
      <c r="H56" s="469" t="s">
        <v>551</v>
      </c>
      <c r="I56" s="470"/>
      <c r="J56" s="469" t="s">
        <v>255</v>
      </c>
      <c r="K56" s="469" t="s">
        <v>563</v>
      </c>
      <c r="L56" s="470"/>
      <c r="M56" s="469" t="s">
        <v>255</v>
      </c>
      <c r="N56" s="469" t="s">
        <v>560</v>
      </c>
      <c r="O56" s="470"/>
      <c r="P56" s="469"/>
      <c r="Q56" s="469"/>
      <c r="R56" s="471"/>
      <c r="S56" s="469"/>
      <c r="T56" s="469"/>
      <c r="U56" s="471"/>
      <c r="V56" s="469"/>
      <c r="W56" s="469"/>
      <c r="X56" s="472"/>
      <c r="Y56" s="473"/>
      <c r="Z56" s="478"/>
    </row>
    <row r="57" customFormat="false" ht="15.75" hidden="false" customHeight="false" outlineLevel="0" collapsed="false">
      <c r="A57" s="469"/>
      <c r="B57" s="469"/>
      <c r="C57" s="470"/>
      <c r="D57" s="469"/>
      <c r="E57" s="469"/>
      <c r="F57" s="470"/>
      <c r="G57" s="469" t="s">
        <v>706</v>
      </c>
      <c r="H57" s="469" t="s">
        <v>66</v>
      </c>
      <c r="I57" s="470"/>
      <c r="J57" s="469" t="s">
        <v>255</v>
      </c>
      <c r="K57" s="469" t="s">
        <v>567</v>
      </c>
      <c r="L57" s="470"/>
      <c r="M57" s="469" t="s">
        <v>255</v>
      </c>
      <c r="N57" s="469" t="s">
        <v>564</v>
      </c>
      <c r="O57" s="470"/>
      <c r="P57" s="469"/>
      <c r="Q57" s="469"/>
      <c r="R57" s="471"/>
      <c r="S57" s="469"/>
      <c r="T57" s="469"/>
      <c r="U57" s="471"/>
      <c r="V57" s="469"/>
      <c r="W57" s="469"/>
      <c r="X57" s="472"/>
      <c r="Y57" s="473"/>
      <c r="Z57" s="478"/>
    </row>
    <row r="58" customFormat="false" ht="15.75" hidden="false" customHeight="false" outlineLevel="0" collapsed="false">
      <c r="A58" s="469"/>
      <c r="B58" s="469"/>
      <c r="C58" s="470"/>
      <c r="D58" s="469"/>
      <c r="E58" s="469"/>
      <c r="F58" s="470"/>
      <c r="G58" s="469" t="s">
        <v>255</v>
      </c>
      <c r="H58" s="469" t="s">
        <v>558</v>
      </c>
      <c r="I58" s="470"/>
      <c r="J58" s="469" t="s">
        <v>255</v>
      </c>
      <c r="K58" s="469" t="s">
        <v>571</v>
      </c>
      <c r="L58" s="470"/>
      <c r="M58" s="469" t="s">
        <v>255</v>
      </c>
      <c r="N58" s="469" t="s">
        <v>568</v>
      </c>
      <c r="O58" s="470"/>
      <c r="P58" s="469"/>
      <c r="Q58" s="469"/>
      <c r="R58" s="471"/>
      <c r="S58" s="469"/>
      <c r="T58" s="469"/>
      <c r="U58" s="471"/>
      <c r="V58" s="469"/>
      <c r="W58" s="469"/>
      <c r="X58" s="472"/>
      <c r="Y58" s="473"/>
      <c r="Z58" s="478"/>
    </row>
    <row r="59" customFormat="false" ht="15.75" hidden="false" customHeight="false" outlineLevel="0" collapsed="false">
      <c r="A59" s="469"/>
      <c r="B59" s="469"/>
      <c r="C59" s="470"/>
      <c r="D59" s="469"/>
      <c r="E59" s="469"/>
      <c r="F59" s="470"/>
      <c r="G59" s="469" t="s">
        <v>255</v>
      </c>
      <c r="H59" s="469" t="s">
        <v>562</v>
      </c>
      <c r="I59" s="470"/>
      <c r="J59" s="469" t="s">
        <v>711</v>
      </c>
      <c r="K59" s="469" t="s">
        <v>84</v>
      </c>
      <c r="L59" s="470"/>
      <c r="M59" s="469" t="s">
        <v>255</v>
      </c>
      <c r="N59" s="469" t="s">
        <v>580</v>
      </c>
      <c r="O59" s="470"/>
      <c r="P59" s="469"/>
      <c r="Q59" s="469"/>
      <c r="R59" s="471"/>
      <c r="S59" s="469"/>
      <c r="T59" s="469"/>
      <c r="U59" s="471"/>
      <c r="V59" s="469"/>
      <c r="W59" s="469"/>
      <c r="X59" s="472"/>
      <c r="Y59" s="473"/>
      <c r="Z59" s="478"/>
    </row>
    <row r="60" customFormat="false" ht="15.75" hidden="false" customHeight="false" outlineLevel="0" collapsed="false">
      <c r="A60" s="469"/>
      <c r="B60" s="469"/>
      <c r="C60" s="470"/>
      <c r="D60" s="469"/>
      <c r="E60" s="469"/>
      <c r="F60" s="470"/>
      <c r="G60" s="469" t="s">
        <v>255</v>
      </c>
      <c r="H60" s="469" t="s">
        <v>566</v>
      </c>
      <c r="I60" s="470"/>
      <c r="J60" s="469" t="s">
        <v>255</v>
      </c>
      <c r="K60" s="469" t="s">
        <v>575</v>
      </c>
      <c r="L60" s="470"/>
      <c r="M60" s="469" t="s">
        <v>255</v>
      </c>
      <c r="N60" s="469" t="s">
        <v>584</v>
      </c>
      <c r="O60" s="470"/>
      <c r="P60" s="469"/>
      <c r="Q60" s="469"/>
      <c r="R60" s="471"/>
      <c r="S60" s="469"/>
      <c r="T60" s="469"/>
      <c r="U60" s="471"/>
      <c r="V60" s="469"/>
      <c r="W60" s="469"/>
      <c r="X60" s="472"/>
      <c r="Y60" s="473"/>
      <c r="Z60" s="478"/>
    </row>
    <row r="61" customFormat="false" ht="15.75" hidden="false" customHeight="false" outlineLevel="0" collapsed="false">
      <c r="A61" s="469"/>
      <c r="B61" s="469"/>
      <c r="C61" s="470"/>
      <c r="D61" s="469"/>
      <c r="E61" s="469"/>
      <c r="F61" s="470"/>
      <c r="G61" s="469" t="s">
        <v>255</v>
      </c>
      <c r="H61" s="469" t="s">
        <v>570</v>
      </c>
      <c r="I61" s="470"/>
      <c r="J61" s="469" t="s">
        <v>255</v>
      </c>
      <c r="K61" s="469" t="s">
        <v>579</v>
      </c>
      <c r="L61" s="470"/>
      <c r="M61" s="469" t="s">
        <v>255</v>
      </c>
      <c r="N61" s="469" t="s">
        <v>588</v>
      </c>
      <c r="O61" s="470"/>
      <c r="P61" s="469"/>
      <c r="Q61" s="469"/>
      <c r="R61" s="471"/>
      <c r="S61" s="469"/>
      <c r="T61" s="469"/>
      <c r="U61" s="471"/>
      <c r="V61" s="469"/>
      <c r="W61" s="469"/>
      <c r="X61" s="472"/>
      <c r="Y61" s="473"/>
      <c r="Z61" s="478"/>
    </row>
    <row r="62" customFormat="false" ht="15.75" hidden="false" customHeight="false" outlineLevel="0" collapsed="false">
      <c r="A62" s="469"/>
      <c r="B62" s="469"/>
      <c r="C62" s="470"/>
      <c r="D62" s="469"/>
      <c r="E62" s="469"/>
      <c r="F62" s="470"/>
      <c r="G62" s="469" t="s">
        <v>255</v>
      </c>
      <c r="H62" s="469" t="s">
        <v>574</v>
      </c>
      <c r="I62" s="470"/>
      <c r="J62" s="469" t="s">
        <v>255</v>
      </c>
      <c r="K62" s="469" t="s">
        <v>583</v>
      </c>
      <c r="L62" s="470"/>
      <c r="M62" s="469" t="s">
        <v>255</v>
      </c>
      <c r="N62" s="469" t="s">
        <v>591</v>
      </c>
      <c r="O62" s="470"/>
      <c r="P62" s="469"/>
      <c r="Q62" s="469"/>
      <c r="R62" s="471"/>
      <c r="S62" s="469"/>
      <c r="T62" s="469"/>
      <c r="U62" s="471"/>
      <c r="V62" s="469"/>
      <c r="W62" s="469"/>
      <c r="X62" s="472"/>
      <c r="Y62" s="473"/>
      <c r="Z62" s="478"/>
    </row>
    <row r="63" customFormat="false" ht="15.75" hidden="false" customHeight="false" outlineLevel="0" collapsed="false">
      <c r="A63" s="469"/>
      <c r="B63" s="469"/>
      <c r="C63" s="470"/>
      <c r="D63" s="469"/>
      <c r="E63" s="469"/>
      <c r="F63" s="470"/>
      <c r="G63" s="469" t="s">
        <v>255</v>
      </c>
      <c r="H63" s="469" t="s">
        <v>578</v>
      </c>
      <c r="I63" s="470"/>
      <c r="J63" s="469" t="s">
        <v>255</v>
      </c>
      <c r="K63" s="469" t="s">
        <v>587</v>
      </c>
      <c r="L63" s="470"/>
      <c r="M63" s="469" t="s">
        <v>255</v>
      </c>
      <c r="N63" s="469" t="s">
        <v>749</v>
      </c>
      <c r="O63" s="470"/>
      <c r="P63" s="469"/>
      <c r="Q63" s="469"/>
      <c r="R63" s="471"/>
      <c r="S63" s="469"/>
      <c r="T63" s="469"/>
      <c r="U63" s="471"/>
      <c r="V63" s="469"/>
      <c r="W63" s="469"/>
      <c r="X63" s="472"/>
      <c r="Y63" s="473"/>
      <c r="Z63" s="478"/>
    </row>
    <row r="64" customFormat="false" ht="15.75" hidden="false" customHeight="false" outlineLevel="0" collapsed="false">
      <c r="A64" s="469"/>
      <c r="B64" s="469"/>
      <c r="C64" s="470"/>
      <c r="D64" s="469"/>
      <c r="E64" s="469"/>
      <c r="F64" s="470"/>
      <c r="G64" s="469" t="s">
        <v>255</v>
      </c>
      <c r="H64" s="469" t="s">
        <v>582</v>
      </c>
      <c r="I64" s="470"/>
      <c r="J64" s="469" t="s">
        <v>255</v>
      </c>
      <c r="K64" s="469" t="s">
        <v>590</v>
      </c>
      <c r="L64" s="470"/>
      <c r="M64" s="469" t="s">
        <v>255</v>
      </c>
      <c r="N64" s="469" t="s">
        <v>750</v>
      </c>
      <c r="O64" s="470"/>
      <c r="P64" s="469"/>
      <c r="Q64" s="469"/>
      <c r="R64" s="471"/>
      <c r="S64" s="469"/>
      <c r="T64" s="469"/>
      <c r="U64" s="471"/>
      <c r="V64" s="469"/>
      <c r="W64" s="469"/>
      <c r="X64" s="472"/>
      <c r="Y64" s="473"/>
      <c r="Z64" s="478"/>
    </row>
    <row r="65" customFormat="false" ht="15.75" hidden="false" customHeight="false" outlineLevel="0" collapsed="false">
      <c r="A65" s="469"/>
      <c r="B65" s="469"/>
      <c r="C65" s="470"/>
      <c r="D65" s="469"/>
      <c r="E65" s="469"/>
      <c r="F65" s="470"/>
      <c r="G65" s="469" t="s">
        <v>255</v>
      </c>
      <c r="H65" s="469" t="s">
        <v>586</v>
      </c>
      <c r="I65" s="470"/>
      <c r="J65" s="469" t="s">
        <v>711</v>
      </c>
      <c r="K65" s="469" t="s">
        <v>103</v>
      </c>
      <c r="L65" s="470"/>
      <c r="M65" s="469" t="s">
        <v>255</v>
      </c>
      <c r="N65" s="469" t="s">
        <v>594</v>
      </c>
      <c r="O65" s="470"/>
      <c r="P65" s="469"/>
      <c r="Q65" s="469"/>
      <c r="R65" s="471"/>
      <c r="S65" s="469"/>
      <c r="T65" s="469"/>
      <c r="U65" s="471"/>
      <c r="V65" s="469"/>
      <c r="W65" s="469"/>
      <c r="X65" s="472"/>
      <c r="Y65" s="473"/>
      <c r="Z65" s="478"/>
    </row>
    <row r="66" customFormat="false" ht="15.75" hidden="false" customHeight="false" outlineLevel="0" collapsed="false">
      <c r="A66" s="469"/>
      <c r="B66" s="469"/>
      <c r="C66" s="470"/>
      <c r="D66" s="469"/>
      <c r="E66" s="469"/>
      <c r="F66" s="470"/>
      <c r="G66" s="469" t="s">
        <v>713</v>
      </c>
      <c r="H66" s="469" t="s">
        <v>47</v>
      </c>
      <c r="I66" s="470"/>
      <c r="J66" s="469" t="s">
        <v>255</v>
      </c>
      <c r="K66" s="469" t="s">
        <v>597</v>
      </c>
      <c r="L66" s="470"/>
      <c r="M66" s="469" t="s">
        <v>255</v>
      </c>
      <c r="N66" s="469" t="s">
        <v>598</v>
      </c>
      <c r="O66" s="470"/>
      <c r="P66" s="469"/>
      <c r="Q66" s="469"/>
      <c r="R66" s="471"/>
      <c r="S66" s="469"/>
      <c r="T66" s="469"/>
      <c r="U66" s="471"/>
      <c r="V66" s="469"/>
      <c r="W66" s="469"/>
      <c r="X66" s="472"/>
      <c r="Y66" s="473"/>
      <c r="Z66" s="478"/>
    </row>
    <row r="67" customFormat="false" ht="15.75" hidden="false" customHeight="false" outlineLevel="0" collapsed="false">
      <c r="A67" s="469"/>
      <c r="B67" s="469"/>
      <c r="C67" s="470"/>
      <c r="D67" s="469"/>
      <c r="E67" s="469"/>
      <c r="F67" s="470"/>
      <c r="G67" s="469" t="s">
        <v>255</v>
      </c>
      <c r="H67" s="469" t="s">
        <v>593</v>
      </c>
      <c r="I67" s="470"/>
      <c r="J67" s="469" t="s">
        <v>255</v>
      </c>
      <c r="K67" s="469" t="s">
        <v>600</v>
      </c>
      <c r="L67" s="470"/>
      <c r="M67" s="469" t="s">
        <v>255</v>
      </c>
      <c r="N67" s="469" t="s">
        <v>601</v>
      </c>
      <c r="O67" s="470"/>
      <c r="P67" s="469"/>
      <c r="Q67" s="469"/>
      <c r="R67" s="471"/>
      <c r="S67" s="469"/>
      <c r="T67" s="469"/>
      <c r="U67" s="471"/>
      <c r="V67" s="469"/>
      <c r="W67" s="469"/>
      <c r="X67" s="472"/>
      <c r="Y67" s="473"/>
      <c r="Z67" s="478"/>
    </row>
    <row r="68" customFormat="false" ht="15.75" hidden="false" customHeight="false" outlineLevel="0" collapsed="false">
      <c r="A68" s="469"/>
      <c r="B68" s="469"/>
      <c r="C68" s="470"/>
      <c r="D68" s="469"/>
      <c r="E68" s="469"/>
      <c r="F68" s="470"/>
      <c r="G68" s="469" t="s">
        <v>255</v>
      </c>
      <c r="H68" s="469" t="s">
        <v>596</v>
      </c>
      <c r="I68" s="470"/>
      <c r="J68" s="469" t="s">
        <v>255</v>
      </c>
      <c r="K68" s="469" t="s">
        <v>604</v>
      </c>
      <c r="L68" s="470"/>
      <c r="M68" s="469" t="s">
        <v>705</v>
      </c>
      <c r="N68" s="469" t="s">
        <v>105</v>
      </c>
      <c r="O68" s="470"/>
      <c r="P68" s="469"/>
      <c r="Q68" s="469"/>
      <c r="R68" s="471"/>
      <c r="S68" s="469"/>
      <c r="T68" s="469"/>
      <c r="U68" s="471"/>
      <c r="V68" s="469"/>
      <c r="W68" s="469"/>
      <c r="X68" s="472"/>
      <c r="Y68" s="473"/>
      <c r="Z68" s="478"/>
    </row>
    <row r="69" customFormat="false" ht="15.75" hidden="false" customHeight="false" outlineLevel="0" collapsed="false">
      <c r="A69" s="469"/>
      <c r="B69" s="469"/>
      <c r="C69" s="470"/>
      <c r="D69" s="469"/>
      <c r="E69" s="469"/>
      <c r="F69" s="470"/>
      <c r="G69" s="469" t="s">
        <v>725</v>
      </c>
      <c r="H69" s="469" t="s">
        <v>108</v>
      </c>
      <c r="I69" s="470"/>
      <c r="J69" s="469" t="s">
        <v>255</v>
      </c>
      <c r="K69" s="469" t="s">
        <v>607</v>
      </c>
      <c r="L69" s="470"/>
      <c r="M69" s="469" t="s">
        <v>255</v>
      </c>
      <c r="N69" s="469" t="s">
        <v>605</v>
      </c>
      <c r="O69" s="470"/>
      <c r="P69" s="469"/>
      <c r="Q69" s="469"/>
      <c r="R69" s="471"/>
      <c r="S69" s="469"/>
      <c r="T69" s="469"/>
      <c r="U69" s="471"/>
      <c r="V69" s="469"/>
      <c r="W69" s="469"/>
      <c r="X69" s="472"/>
      <c r="Y69" s="473"/>
      <c r="Z69" s="478"/>
    </row>
    <row r="70" customFormat="false" ht="15.75" hidden="false" customHeight="false" outlineLevel="0" collapsed="false">
      <c r="A70" s="469"/>
      <c r="B70" s="469"/>
      <c r="C70" s="470"/>
      <c r="D70" s="469"/>
      <c r="E70" s="469"/>
      <c r="F70" s="470"/>
      <c r="G70" s="469" t="s">
        <v>255</v>
      </c>
      <c r="H70" s="469" t="s">
        <v>603</v>
      </c>
      <c r="I70" s="470"/>
      <c r="J70" s="469" t="s">
        <v>255</v>
      </c>
      <c r="K70" s="469" t="s">
        <v>611</v>
      </c>
      <c r="L70" s="470"/>
      <c r="M70" s="469" t="s">
        <v>255</v>
      </c>
      <c r="N70" s="469" t="s">
        <v>608</v>
      </c>
      <c r="O70" s="470"/>
      <c r="P70" s="469"/>
      <c r="Q70" s="469"/>
      <c r="R70" s="471"/>
      <c r="S70" s="469"/>
      <c r="T70" s="469"/>
      <c r="U70" s="471"/>
      <c r="V70" s="469"/>
      <c r="W70" s="469"/>
      <c r="X70" s="472"/>
      <c r="Y70" s="473"/>
      <c r="Z70" s="478"/>
    </row>
    <row r="71" customFormat="false" ht="15.75" hidden="false" customHeight="false" outlineLevel="0" collapsed="false">
      <c r="A71" s="469"/>
      <c r="B71" s="469"/>
      <c r="C71" s="470"/>
      <c r="D71" s="469"/>
      <c r="E71" s="469"/>
      <c r="F71" s="470"/>
      <c r="G71" s="469" t="s">
        <v>705</v>
      </c>
      <c r="H71" s="469" t="s">
        <v>20</v>
      </c>
      <c r="I71" s="470"/>
      <c r="J71" s="469" t="s">
        <v>255</v>
      </c>
      <c r="K71" s="469" t="s">
        <v>751</v>
      </c>
      <c r="L71" s="470"/>
      <c r="M71" s="469" t="s">
        <v>255</v>
      </c>
      <c r="N71" s="469" t="s">
        <v>619</v>
      </c>
      <c r="O71" s="470"/>
      <c r="P71" s="469"/>
      <c r="Q71" s="469"/>
      <c r="R71" s="471"/>
      <c r="S71" s="469"/>
      <c r="T71" s="469"/>
      <c r="U71" s="471"/>
      <c r="V71" s="469"/>
      <c r="W71" s="469"/>
      <c r="X71" s="472"/>
      <c r="Y71" s="473"/>
      <c r="Z71" s="478"/>
    </row>
    <row r="72" customFormat="false" ht="15.75" hidden="false" customHeight="false" outlineLevel="0" collapsed="false">
      <c r="A72" s="469"/>
      <c r="B72" s="469"/>
      <c r="C72" s="470"/>
      <c r="D72" s="469"/>
      <c r="E72" s="469"/>
      <c r="F72" s="470"/>
      <c r="G72" s="469" t="s">
        <v>255</v>
      </c>
      <c r="H72" s="469" t="s">
        <v>610</v>
      </c>
      <c r="I72" s="470"/>
      <c r="J72" s="469" t="s">
        <v>255</v>
      </c>
      <c r="K72" s="469" t="s">
        <v>614</v>
      </c>
      <c r="L72" s="470"/>
      <c r="M72" s="469" t="s">
        <v>255</v>
      </c>
      <c r="N72" s="469" t="s">
        <v>622</v>
      </c>
      <c r="O72" s="470"/>
      <c r="P72" s="469"/>
      <c r="Q72" s="469"/>
      <c r="R72" s="471"/>
      <c r="S72" s="469"/>
      <c r="T72" s="469"/>
      <c r="U72" s="471"/>
      <c r="V72" s="469"/>
      <c r="W72" s="469"/>
      <c r="X72" s="472"/>
      <c r="Y72" s="473"/>
      <c r="Z72" s="478"/>
    </row>
    <row r="73" customFormat="false" ht="15.75" hidden="false" customHeight="false" outlineLevel="0" collapsed="false">
      <c r="A73" s="469"/>
      <c r="B73" s="469"/>
      <c r="C73" s="470"/>
      <c r="D73" s="469"/>
      <c r="E73" s="469"/>
      <c r="F73" s="470"/>
      <c r="G73" s="469" t="s">
        <v>255</v>
      </c>
      <c r="H73" s="469" t="s">
        <v>266</v>
      </c>
      <c r="I73" s="470"/>
      <c r="J73" s="469" t="s">
        <v>255</v>
      </c>
      <c r="K73" s="469" t="s">
        <v>618</v>
      </c>
      <c r="L73" s="470"/>
      <c r="M73" s="469" t="s">
        <v>255</v>
      </c>
      <c r="N73" s="469" t="s">
        <v>624</v>
      </c>
      <c r="O73" s="470"/>
      <c r="P73" s="469"/>
      <c r="Q73" s="469"/>
      <c r="R73" s="471"/>
      <c r="S73" s="469"/>
      <c r="T73" s="469"/>
      <c r="U73" s="471"/>
      <c r="V73" s="469"/>
      <c r="W73" s="469"/>
      <c r="X73" s="472"/>
      <c r="Y73" s="473"/>
      <c r="Z73" s="478"/>
    </row>
    <row r="74" customFormat="false" ht="15.75" hidden="false" customHeight="false" outlineLevel="0" collapsed="false">
      <c r="A74" s="469"/>
      <c r="B74" s="469"/>
      <c r="C74" s="470"/>
      <c r="D74" s="469"/>
      <c r="E74" s="469"/>
      <c r="F74" s="470"/>
      <c r="G74" s="469" t="s">
        <v>255</v>
      </c>
      <c r="H74" s="469" t="s">
        <v>617</v>
      </c>
      <c r="I74" s="470"/>
      <c r="J74" s="469" t="s">
        <v>255</v>
      </c>
      <c r="K74" s="469" t="s">
        <v>270</v>
      </c>
      <c r="L74" s="470"/>
      <c r="M74" s="469" t="s">
        <v>255</v>
      </c>
      <c r="N74" s="469" t="s">
        <v>627</v>
      </c>
      <c r="O74" s="470"/>
      <c r="P74" s="469"/>
      <c r="Q74" s="469"/>
      <c r="R74" s="471"/>
      <c r="S74" s="469"/>
      <c r="T74" s="469"/>
      <c r="U74" s="471"/>
      <c r="V74" s="469"/>
      <c r="W74" s="469"/>
      <c r="X74" s="472"/>
      <c r="Y74" s="473"/>
      <c r="Z74" s="478"/>
    </row>
    <row r="75" customFormat="false" ht="15.75" hidden="false" customHeight="false" outlineLevel="0" collapsed="false">
      <c r="A75" s="469"/>
      <c r="B75" s="469"/>
      <c r="C75" s="470"/>
      <c r="D75" s="469"/>
      <c r="E75" s="469"/>
      <c r="F75" s="470"/>
      <c r="G75" s="469" t="s">
        <v>725</v>
      </c>
      <c r="H75" s="469" t="s">
        <v>249</v>
      </c>
      <c r="I75" s="470"/>
      <c r="J75" s="469" t="s">
        <v>715</v>
      </c>
      <c r="K75" s="469" t="s">
        <v>93</v>
      </c>
      <c r="L75" s="470"/>
      <c r="M75" s="469" t="s">
        <v>255</v>
      </c>
      <c r="N75" s="469" t="s">
        <v>630</v>
      </c>
      <c r="O75" s="470"/>
      <c r="P75" s="469"/>
      <c r="Q75" s="469"/>
      <c r="R75" s="471"/>
      <c r="S75" s="469"/>
      <c r="T75" s="469"/>
      <c r="U75" s="471"/>
      <c r="V75" s="469"/>
      <c r="W75" s="469"/>
      <c r="X75" s="472"/>
      <c r="Y75" s="473"/>
      <c r="Z75" s="478"/>
    </row>
    <row r="76" customFormat="false" ht="15.75" hidden="false" customHeight="false" outlineLevel="0" collapsed="false">
      <c r="A76" s="469"/>
      <c r="B76" s="469"/>
      <c r="C76" s="470"/>
      <c r="D76" s="469"/>
      <c r="E76" s="469"/>
      <c r="F76" s="470"/>
      <c r="G76" s="469"/>
      <c r="H76" s="469"/>
      <c r="I76" s="470"/>
      <c r="J76" s="469" t="s">
        <v>255</v>
      </c>
      <c r="K76" s="469" t="s">
        <v>752</v>
      </c>
      <c r="L76" s="470"/>
      <c r="M76" s="469" t="s">
        <v>255</v>
      </c>
      <c r="N76" s="469" t="s">
        <v>633</v>
      </c>
      <c r="O76" s="470"/>
      <c r="P76" s="469"/>
      <c r="Q76" s="469"/>
      <c r="R76" s="471"/>
      <c r="S76" s="469"/>
      <c r="T76" s="469"/>
      <c r="U76" s="471"/>
      <c r="V76" s="469"/>
      <c r="W76" s="469"/>
      <c r="X76" s="472"/>
      <c r="Y76" s="473"/>
      <c r="Z76" s="478"/>
    </row>
    <row r="77" customFormat="false" ht="15.75" hidden="false" customHeight="false" outlineLevel="0" collapsed="false">
      <c r="A77" s="469"/>
      <c r="B77" s="469"/>
      <c r="C77" s="470"/>
      <c r="D77" s="469"/>
      <c r="E77" s="469"/>
      <c r="F77" s="470"/>
      <c r="G77" s="469"/>
      <c r="H77" s="469"/>
      <c r="I77" s="470"/>
      <c r="J77" s="469" t="s">
        <v>255</v>
      </c>
      <c r="K77" s="469" t="s">
        <v>753</v>
      </c>
      <c r="L77" s="470"/>
      <c r="M77" s="469" t="s">
        <v>255</v>
      </c>
      <c r="N77" s="469" t="s">
        <v>636</v>
      </c>
      <c r="O77" s="470"/>
      <c r="P77" s="469"/>
      <c r="Q77" s="469"/>
      <c r="R77" s="471"/>
      <c r="S77" s="469"/>
      <c r="T77" s="469"/>
      <c r="U77" s="471"/>
      <c r="V77" s="469"/>
      <c r="W77" s="469"/>
      <c r="X77" s="472"/>
      <c r="Y77" s="473"/>
      <c r="Z77" s="478"/>
    </row>
    <row r="78" customFormat="false" ht="15.75" hidden="false" customHeight="false" outlineLevel="0" collapsed="false">
      <c r="A78" s="469"/>
      <c r="B78" s="469"/>
      <c r="C78" s="470"/>
      <c r="D78" s="469"/>
      <c r="E78" s="469"/>
      <c r="F78" s="470"/>
      <c r="G78" s="469"/>
      <c r="H78" s="469"/>
      <c r="I78" s="470"/>
      <c r="J78" s="469" t="s">
        <v>255</v>
      </c>
      <c r="K78" s="469" t="s">
        <v>629</v>
      </c>
      <c r="L78" s="470"/>
      <c r="M78" s="469" t="s">
        <v>255</v>
      </c>
      <c r="N78" s="469" t="s">
        <v>638</v>
      </c>
      <c r="O78" s="470"/>
      <c r="P78" s="469"/>
      <c r="Q78" s="469"/>
      <c r="R78" s="471"/>
      <c r="S78" s="469"/>
      <c r="T78" s="469"/>
      <c r="U78" s="471"/>
      <c r="V78" s="469"/>
      <c r="W78" s="469"/>
      <c r="X78" s="472"/>
      <c r="Y78" s="473"/>
      <c r="Z78" s="478"/>
    </row>
    <row r="79" customFormat="false" ht="15.75" hidden="false" customHeight="false" outlineLevel="0" collapsed="false">
      <c r="A79" s="469"/>
      <c r="B79" s="469"/>
      <c r="C79" s="470"/>
      <c r="D79" s="469"/>
      <c r="E79" s="469"/>
      <c r="F79" s="470"/>
      <c r="G79" s="469"/>
      <c r="H79" s="469"/>
      <c r="I79" s="470"/>
      <c r="J79" s="469" t="s">
        <v>255</v>
      </c>
      <c r="K79" s="469" t="s">
        <v>632</v>
      </c>
      <c r="L79" s="470"/>
      <c r="M79" s="469" t="s">
        <v>255</v>
      </c>
      <c r="N79" s="469" t="s">
        <v>640</v>
      </c>
      <c r="O79" s="470"/>
      <c r="P79" s="469"/>
      <c r="Q79" s="469"/>
      <c r="R79" s="471"/>
      <c r="S79" s="469"/>
      <c r="T79" s="469"/>
      <c r="U79" s="471"/>
      <c r="V79" s="469"/>
      <c r="W79" s="469"/>
      <c r="X79" s="472"/>
      <c r="Y79" s="473"/>
      <c r="Z79" s="478"/>
    </row>
    <row r="80" customFormat="false" ht="15.75" hidden="false" customHeight="false" outlineLevel="0" collapsed="false">
      <c r="A80" s="469"/>
      <c r="B80" s="469"/>
      <c r="C80" s="470"/>
      <c r="D80" s="469"/>
      <c r="E80" s="469"/>
      <c r="F80" s="470"/>
      <c r="G80" s="469"/>
      <c r="H80" s="469"/>
      <c r="I80" s="470"/>
      <c r="J80" s="469" t="s">
        <v>255</v>
      </c>
      <c r="K80" s="469" t="s">
        <v>635</v>
      </c>
      <c r="L80" s="470"/>
      <c r="M80" s="469" t="s">
        <v>255</v>
      </c>
      <c r="N80" s="469" t="s">
        <v>642</v>
      </c>
      <c r="O80" s="470"/>
      <c r="P80" s="469"/>
      <c r="Q80" s="469"/>
      <c r="R80" s="471"/>
      <c r="S80" s="469"/>
      <c r="T80" s="469"/>
      <c r="U80" s="471"/>
      <c r="V80" s="469"/>
      <c r="W80" s="469"/>
      <c r="X80" s="472"/>
      <c r="Y80" s="473"/>
      <c r="Z80" s="478"/>
    </row>
    <row r="81" customFormat="false" ht="15.75" hidden="false" customHeight="false" outlineLevel="0" collapsed="false">
      <c r="A81" s="469"/>
      <c r="B81" s="469"/>
      <c r="C81" s="470"/>
      <c r="D81" s="469"/>
      <c r="E81" s="469"/>
      <c r="F81" s="470"/>
      <c r="G81" s="469"/>
      <c r="H81" s="469"/>
      <c r="I81" s="470"/>
      <c r="J81" s="469" t="s">
        <v>713</v>
      </c>
      <c r="K81" s="469" t="s">
        <v>260</v>
      </c>
      <c r="L81" s="470"/>
      <c r="M81" s="469" t="s">
        <v>255</v>
      </c>
      <c r="N81" s="469" t="s">
        <v>645</v>
      </c>
      <c r="O81" s="470"/>
      <c r="P81" s="469"/>
      <c r="Q81" s="469"/>
      <c r="R81" s="471"/>
      <c r="S81" s="469"/>
      <c r="T81" s="469"/>
      <c r="U81" s="471"/>
      <c r="V81" s="469"/>
      <c r="W81" s="469"/>
      <c r="X81" s="472"/>
      <c r="Y81" s="473"/>
      <c r="Z81" s="478"/>
    </row>
    <row r="82" customFormat="false" ht="15.75" hidden="false" customHeight="false" outlineLevel="0" collapsed="false">
      <c r="A82" s="469"/>
      <c r="B82" s="469"/>
      <c r="C82" s="470"/>
      <c r="D82" s="469"/>
      <c r="E82" s="469"/>
      <c r="F82" s="470"/>
      <c r="G82" s="469"/>
      <c r="H82" s="469"/>
      <c r="I82" s="470"/>
      <c r="J82" s="469" t="s">
        <v>255</v>
      </c>
      <c r="K82" s="469" t="s">
        <v>639</v>
      </c>
      <c r="L82" s="470"/>
      <c r="M82" s="469" t="s">
        <v>255</v>
      </c>
      <c r="N82" s="469" t="s">
        <v>648</v>
      </c>
      <c r="O82" s="470"/>
      <c r="P82" s="469"/>
      <c r="Q82" s="469"/>
      <c r="R82" s="471"/>
      <c r="S82" s="469"/>
      <c r="T82" s="469"/>
      <c r="U82" s="471"/>
      <c r="V82" s="469"/>
      <c r="W82" s="469"/>
      <c r="X82" s="472"/>
      <c r="Y82" s="473"/>
      <c r="Z82" s="478"/>
    </row>
    <row r="83" customFormat="false" ht="15.75" hidden="false" customHeight="false" outlineLevel="0" collapsed="false">
      <c r="A83" s="469"/>
      <c r="B83" s="469"/>
      <c r="C83" s="470"/>
      <c r="D83" s="469"/>
      <c r="E83" s="469"/>
      <c r="F83" s="470"/>
      <c r="G83" s="469"/>
      <c r="H83" s="469"/>
      <c r="I83" s="470"/>
      <c r="J83" s="469" t="s">
        <v>255</v>
      </c>
      <c r="K83" s="469" t="s">
        <v>96</v>
      </c>
      <c r="L83" s="470"/>
      <c r="M83" s="469" t="s">
        <v>255</v>
      </c>
      <c r="N83" s="469" t="s">
        <v>650</v>
      </c>
      <c r="O83" s="470"/>
      <c r="P83" s="469"/>
      <c r="Q83" s="469"/>
      <c r="R83" s="471"/>
      <c r="S83" s="469"/>
      <c r="T83" s="469"/>
      <c r="U83" s="471"/>
      <c r="V83" s="469"/>
      <c r="W83" s="469"/>
      <c r="X83" s="472"/>
      <c r="Y83" s="473"/>
      <c r="Z83" s="478"/>
    </row>
    <row r="84" customFormat="false" ht="15.75" hidden="false" customHeight="false" outlineLevel="0" collapsed="false">
      <c r="A84" s="469"/>
      <c r="B84" s="469"/>
      <c r="C84" s="470"/>
      <c r="D84" s="469"/>
      <c r="E84" s="469"/>
      <c r="F84" s="470"/>
      <c r="G84" s="469"/>
      <c r="H84" s="469"/>
      <c r="I84" s="470"/>
      <c r="J84" s="469" t="s">
        <v>255</v>
      </c>
      <c r="K84" s="469" t="s">
        <v>644</v>
      </c>
      <c r="L84" s="470"/>
      <c r="M84" s="469" t="s">
        <v>255</v>
      </c>
      <c r="N84" s="469" t="s">
        <v>269</v>
      </c>
      <c r="O84" s="470"/>
      <c r="P84" s="469"/>
      <c r="Q84" s="469"/>
      <c r="R84" s="471"/>
      <c r="S84" s="469"/>
      <c r="T84" s="469"/>
      <c r="U84" s="471"/>
      <c r="V84" s="469"/>
      <c r="W84" s="469"/>
      <c r="X84" s="472"/>
      <c r="Y84" s="473"/>
      <c r="Z84" s="478"/>
    </row>
    <row r="85" customFormat="false" ht="15.75" hidden="false" customHeight="false" outlineLevel="0" collapsed="false">
      <c r="A85" s="469"/>
      <c r="B85" s="469"/>
      <c r="C85" s="470"/>
      <c r="D85" s="469"/>
      <c r="E85" s="469"/>
      <c r="F85" s="470"/>
      <c r="G85" s="469"/>
      <c r="H85" s="469"/>
      <c r="I85" s="470"/>
      <c r="J85" s="469" t="s">
        <v>255</v>
      </c>
      <c r="K85" s="469" t="s">
        <v>647</v>
      </c>
      <c r="L85" s="470"/>
      <c r="M85" s="469" t="s">
        <v>255</v>
      </c>
      <c r="N85" s="469" t="s">
        <v>655</v>
      </c>
      <c r="O85" s="470"/>
      <c r="P85" s="469"/>
      <c r="Q85" s="469"/>
      <c r="R85" s="471"/>
      <c r="S85" s="469"/>
      <c r="T85" s="469"/>
      <c r="U85" s="471"/>
      <c r="V85" s="469"/>
      <c r="W85" s="469"/>
      <c r="X85" s="472"/>
      <c r="Y85" s="473"/>
      <c r="Z85" s="478"/>
    </row>
    <row r="86" customFormat="false" ht="15.75" hidden="false" customHeight="false" outlineLevel="0" collapsed="false">
      <c r="A86" s="469"/>
      <c r="B86" s="469"/>
      <c r="C86" s="470"/>
      <c r="D86" s="469"/>
      <c r="E86" s="469"/>
      <c r="F86" s="470"/>
      <c r="G86" s="469"/>
      <c r="H86" s="469"/>
      <c r="I86" s="470"/>
      <c r="J86" s="469" t="s">
        <v>255</v>
      </c>
      <c r="K86" s="469" t="s">
        <v>649</v>
      </c>
      <c r="L86" s="470"/>
      <c r="M86" s="469" t="s">
        <v>255</v>
      </c>
      <c r="N86" s="469" t="s">
        <v>657</v>
      </c>
      <c r="O86" s="470"/>
      <c r="P86" s="469"/>
      <c r="Q86" s="469"/>
      <c r="R86" s="471"/>
      <c r="S86" s="469"/>
      <c r="T86" s="469"/>
      <c r="U86" s="471"/>
      <c r="V86" s="469"/>
      <c r="W86" s="469"/>
      <c r="X86" s="472"/>
      <c r="Y86" s="473"/>
      <c r="Z86" s="478"/>
    </row>
    <row r="87" customFormat="false" ht="15.75" hidden="false" customHeight="false" outlineLevel="0" collapsed="false">
      <c r="A87" s="469"/>
      <c r="B87" s="469"/>
      <c r="C87" s="470"/>
      <c r="D87" s="469"/>
      <c r="E87" s="469"/>
      <c r="F87" s="470"/>
      <c r="G87" s="469"/>
      <c r="H87" s="469"/>
      <c r="I87" s="470"/>
      <c r="J87" s="469" t="s">
        <v>255</v>
      </c>
      <c r="K87" s="469" t="s">
        <v>652</v>
      </c>
      <c r="L87" s="470"/>
      <c r="M87" s="469" t="s">
        <v>255</v>
      </c>
      <c r="N87" s="469" t="s">
        <v>660</v>
      </c>
      <c r="O87" s="470"/>
      <c r="P87" s="469"/>
      <c r="Q87" s="469"/>
      <c r="R87" s="471"/>
      <c r="S87" s="469"/>
      <c r="T87" s="469"/>
      <c r="U87" s="471"/>
      <c r="V87" s="469"/>
      <c r="W87" s="469"/>
      <c r="X87" s="472"/>
      <c r="Y87" s="473"/>
      <c r="Z87" s="478"/>
    </row>
    <row r="88" customFormat="false" ht="15.75" hidden="false" customHeight="false" outlineLevel="0" collapsed="false">
      <c r="A88" s="469"/>
      <c r="B88" s="469"/>
      <c r="C88" s="470"/>
      <c r="D88" s="469"/>
      <c r="E88" s="469"/>
      <c r="F88" s="470"/>
      <c r="G88" s="469"/>
      <c r="H88" s="469"/>
      <c r="I88" s="470"/>
      <c r="J88" s="469" t="s">
        <v>255</v>
      </c>
      <c r="K88" s="469" t="s">
        <v>654</v>
      </c>
      <c r="L88" s="470"/>
      <c r="M88" s="469" t="s">
        <v>706</v>
      </c>
      <c r="N88" s="469" t="s">
        <v>86</v>
      </c>
      <c r="O88" s="470"/>
      <c r="P88" s="469"/>
      <c r="Q88" s="469"/>
      <c r="R88" s="471"/>
      <c r="S88" s="469"/>
      <c r="T88" s="469"/>
      <c r="U88" s="471"/>
      <c r="V88" s="469"/>
      <c r="W88" s="469"/>
      <c r="X88" s="472"/>
      <c r="Y88" s="473"/>
      <c r="Z88" s="478"/>
    </row>
    <row r="89" customFormat="false" ht="15.75" hidden="false" customHeight="false" outlineLevel="0" collapsed="false">
      <c r="A89" s="469"/>
      <c r="B89" s="469"/>
      <c r="C89" s="470"/>
      <c r="D89" s="469"/>
      <c r="E89" s="469"/>
      <c r="F89" s="470"/>
      <c r="G89" s="469"/>
      <c r="H89" s="469"/>
      <c r="I89" s="470"/>
      <c r="J89" s="469" t="s">
        <v>705</v>
      </c>
      <c r="K89" s="469" t="s">
        <v>258</v>
      </c>
      <c r="L89" s="470"/>
      <c r="M89" s="469" t="s">
        <v>718</v>
      </c>
      <c r="N89" s="469" t="s">
        <v>262</v>
      </c>
      <c r="O89" s="470"/>
      <c r="P89" s="469"/>
      <c r="Q89" s="469"/>
      <c r="R89" s="471"/>
      <c r="S89" s="469"/>
      <c r="T89" s="469"/>
      <c r="U89" s="471"/>
      <c r="V89" s="469"/>
      <c r="W89" s="469"/>
      <c r="X89" s="472"/>
      <c r="Y89" s="473"/>
      <c r="Z89" s="478"/>
    </row>
    <row r="90" customFormat="false" ht="15.75" hidden="false" customHeight="false" outlineLevel="0" collapsed="false">
      <c r="A90" s="469"/>
      <c r="B90" s="469"/>
      <c r="C90" s="470"/>
      <c r="D90" s="469"/>
      <c r="E90" s="469"/>
      <c r="F90" s="470"/>
      <c r="G90" s="469"/>
      <c r="H90" s="469"/>
      <c r="I90" s="470"/>
      <c r="J90" s="469" t="s">
        <v>255</v>
      </c>
      <c r="K90" s="469" t="s">
        <v>659</v>
      </c>
      <c r="L90" s="470"/>
      <c r="M90" s="469" t="s">
        <v>255</v>
      </c>
      <c r="N90" s="469" t="s">
        <v>668</v>
      </c>
      <c r="O90" s="470"/>
      <c r="P90" s="469"/>
      <c r="Q90" s="469"/>
      <c r="R90" s="471"/>
      <c r="S90" s="469"/>
      <c r="T90" s="469"/>
      <c r="U90" s="471"/>
      <c r="V90" s="469"/>
      <c r="W90" s="469"/>
      <c r="X90" s="472"/>
      <c r="Y90" s="473"/>
      <c r="Z90" s="478"/>
    </row>
    <row r="91" customFormat="false" ht="15.75" hidden="false" customHeight="false" outlineLevel="0" collapsed="false">
      <c r="A91" s="469"/>
      <c r="B91" s="469"/>
      <c r="C91" s="470"/>
      <c r="D91" s="469"/>
      <c r="E91" s="469"/>
      <c r="F91" s="470"/>
      <c r="G91" s="469"/>
      <c r="H91" s="469"/>
      <c r="I91" s="470"/>
      <c r="J91" s="469" t="s">
        <v>714</v>
      </c>
      <c r="K91" s="469" t="s">
        <v>43</v>
      </c>
      <c r="L91" s="470"/>
      <c r="M91" s="469" t="s">
        <v>255</v>
      </c>
      <c r="N91" s="469" t="s">
        <v>671</v>
      </c>
      <c r="O91" s="470"/>
      <c r="P91" s="469"/>
      <c r="Q91" s="469"/>
      <c r="R91" s="471"/>
      <c r="S91" s="469"/>
      <c r="T91" s="469"/>
      <c r="U91" s="471"/>
      <c r="V91" s="469"/>
      <c r="W91" s="469"/>
      <c r="X91" s="472"/>
      <c r="Y91" s="473"/>
      <c r="Z91" s="478"/>
    </row>
    <row r="92" customFormat="false" ht="15.75" hidden="false" customHeight="false" outlineLevel="0" collapsed="false">
      <c r="A92" s="469"/>
      <c r="B92" s="469"/>
      <c r="C92" s="470"/>
      <c r="D92" s="469"/>
      <c r="E92" s="469"/>
      <c r="F92" s="470"/>
      <c r="G92" s="469"/>
      <c r="H92" s="469"/>
      <c r="I92" s="470"/>
      <c r="J92" s="469" t="s">
        <v>725</v>
      </c>
      <c r="K92" s="469" t="s">
        <v>78</v>
      </c>
      <c r="L92" s="470"/>
      <c r="M92" s="469" t="s">
        <v>255</v>
      </c>
      <c r="N92" s="469" t="s">
        <v>674</v>
      </c>
      <c r="O92" s="470"/>
      <c r="P92" s="469"/>
      <c r="Q92" s="469"/>
      <c r="R92" s="471"/>
      <c r="S92" s="469"/>
      <c r="T92" s="469"/>
      <c r="U92" s="471"/>
      <c r="V92" s="469"/>
      <c r="W92" s="469"/>
      <c r="X92" s="472"/>
      <c r="Y92" s="473"/>
      <c r="Z92" s="478"/>
    </row>
    <row r="93" customFormat="false" ht="15.75" hidden="false" customHeight="false" outlineLevel="0" collapsed="false">
      <c r="A93" s="469"/>
      <c r="B93" s="469"/>
      <c r="C93" s="470"/>
      <c r="D93" s="469"/>
      <c r="E93" s="469"/>
      <c r="F93" s="470"/>
      <c r="G93" s="469"/>
      <c r="H93" s="469"/>
      <c r="I93" s="470"/>
      <c r="J93" s="469" t="s">
        <v>255</v>
      </c>
      <c r="K93" s="469" t="s">
        <v>754</v>
      </c>
      <c r="L93" s="470"/>
      <c r="M93" s="469" t="s">
        <v>255</v>
      </c>
      <c r="N93" s="469" t="s">
        <v>680</v>
      </c>
      <c r="O93" s="470"/>
      <c r="P93" s="469"/>
      <c r="Q93" s="469"/>
      <c r="R93" s="471"/>
      <c r="S93" s="469"/>
      <c r="T93" s="469"/>
      <c r="U93" s="471"/>
      <c r="V93" s="469"/>
      <c r="W93" s="469"/>
      <c r="X93" s="472"/>
      <c r="Y93" s="473"/>
      <c r="Z93" s="478"/>
    </row>
    <row r="94" customFormat="false" ht="15.75" hidden="false" customHeight="false" outlineLevel="0" collapsed="false">
      <c r="A94" s="469"/>
      <c r="B94" s="469"/>
      <c r="C94" s="470"/>
      <c r="D94" s="469"/>
      <c r="E94" s="469"/>
      <c r="F94" s="470"/>
      <c r="G94" s="469"/>
      <c r="H94" s="469"/>
      <c r="I94" s="470"/>
      <c r="J94" s="469" t="s">
        <v>255</v>
      </c>
      <c r="K94" s="469" t="s">
        <v>667</v>
      </c>
      <c r="L94" s="470"/>
      <c r="M94" s="469" t="s">
        <v>255</v>
      </c>
      <c r="N94" s="469" t="s">
        <v>683</v>
      </c>
      <c r="O94" s="470"/>
      <c r="P94" s="469"/>
      <c r="Q94" s="469"/>
      <c r="R94" s="471"/>
      <c r="S94" s="469"/>
      <c r="T94" s="469"/>
      <c r="U94" s="471"/>
      <c r="V94" s="469"/>
      <c r="W94" s="469"/>
      <c r="X94" s="472"/>
      <c r="Y94" s="473"/>
      <c r="Z94" s="478"/>
    </row>
    <row r="95" customFormat="false" ht="15.75" hidden="false" customHeight="false" outlineLevel="0" collapsed="false">
      <c r="A95" s="469"/>
      <c r="B95" s="469"/>
      <c r="C95" s="470"/>
      <c r="D95" s="469"/>
      <c r="E95" s="469"/>
      <c r="F95" s="470"/>
      <c r="G95" s="469"/>
      <c r="H95" s="469"/>
      <c r="I95" s="470"/>
      <c r="J95" s="469" t="s">
        <v>255</v>
      </c>
      <c r="K95" s="469" t="s">
        <v>670</v>
      </c>
      <c r="L95" s="470"/>
      <c r="M95" s="469" t="s">
        <v>255</v>
      </c>
      <c r="N95" s="469" t="s">
        <v>755</v>
      </c>
      <c r="O95" s="470"/>
      <c r="P95" s="469"/>
      <c r="Q95" s="469"/>
      <c r="R95" s="471"/>
      <c r="S95" s="469"/>
      <c r="T95" s="469"/>
      <c r="U95" s="471"/>
      <c r="V95" s="469"/>
      <c r="W95" s="469"/>
      <c r="X95" s="472"/>
      <c r="Y95" s="473"/>
      <c r="Z95" s="478"/>
    </row>
    <row r="96" customFormat="false" ht="15.75" hidden="false" customHeight="false" outlineLevel="0" collapsed="false">
      <c r="A96" s="469"/>
      <c r="B96" s="469"/>
      <c r="C96" s="470"/>
      <c r="D96" s="469"/>
      <c r="E96" s="469"/>
      <c r="F96" s="470"/>
      <c r="G96" s="469"/>
      <c r="H96" s="469"/>
      <c r="I96" s="470"/>
      <c r="J96" s="469" t="s">
        <v>255</v>
      </c>
      <c r="K96" s="469" t="s">
        <v>673</v>
      </c>
      <c r="L96" s="470"/>
      <c r="M96" s="469" t="s">
        <v>255</v>
      </c>
      <c r="N96" s="469" t="s">
        <v>686</v>
      </c>
      <c r="O96" s="470"/>
      <c r="P96" s="469"/>
      <c r="Q96" s="469"/>
      <c r="R96" s="471"/>
      <c r="S96" s="469"/>
      <c r="T96" s="469"/>
      <c r="U96" s="471"/>
      <c r="V96" s="469"/>
      <c r="W96" s="469"/>
      <c r="X96" s="472"/>
      <c r="Y96" s="473"/>
      <c r="Z96" s="478"/>
    </row>
    <row r="97" customFormat="false" ht="15.75" hidden="false" customHeight="false" outlineLevel="0" collapsed="false">
      <c r="A97" s="469"/>
      <c r="B97" s="469"/>
      <c r="C97" s="470"/>
      <c r="D97" s="469"/>
      <c r="E97" s="469"/>
      <c r="F97" s="470"/>
      <c r="G97" s="469"/>
      <c r="H97" s="469"/>
      <c r="I97" s="470"/>
      <c r="J97" s="469" t="s">
        <v>255</v>
      </c>
      <c r="K97" s="469" t="s">
        <v>676</v>
      </c>
      <c r="L97" s="470"/>
      <c r="M97" s="469" t="s">
        <v>255</v>
      </c>
      <c r="N97" s="469" t="s">
        <v>689</v>
      </c>
      <c r="O97" s="470"/>
      <c r="P97" s="469"/>
      <c r="Q97" s="469"/>
      <c r="R97" s="471"/>
      <c r="S97" s="469"/>
      <c r="T97" s="469"/>
      <c r="U97" s="471"/>
      <c r="V97" s="469"/>
      <c r="W97" s="469"/>
      <c r="X97" s="472"/>
      <c r="Y97" s="473"/>
      <c r="Z97" s="478"/>
    </row>
    <row r="98" customFormat="false" ht="15.75" hidden="false" customHeight="false" outlineLevel="0" collapsed="false">
      <c r="A98" s="469"/>
      <c r="B98" s="469"/>
      <c r="C98" s="470"/>
      <c r="D98" s="469"/>
      <c r="E98" s="469"/>
      <c r="F98" s="470"/>
      <c r="G98" s="469"/>
      <c r="H98" s="469"/>
      <c r="I98" s="470"/>
      <c r="J98" s="469" t="s">
        <v>255</v>
      </c>
      <c r="K98" s="469" t="s">
        <v>679</v>
      </c>
      <c r="L98" s="470"/>
      <c r="M98" s="469" t="s">
        <v>255</v>
      </c>
      <c r="N98" s="469" t="s">
        <v>692</v>
      </c>
      <c r="O98" s="470"/>
      <c r="P98" s="469"/>
      <c r="Q98" s="469"/>
      <c r="R98" s="471"/>
      <c r="S98" s="469"/>
      <c r="T98" s="469"/>
      <c r="U98" s="471"/>
      <c r="V98" s="469"/>
      <c r="W98" s="469"/>
      <c r="X98" s="472"/>
      <c r="Y98" s="473"/>
      <c r="Z98" s="478"/>
    </row>
    <row r="99" customFormat="false" ht="15.75" hidden="false" customHeight="false" outlineLevel="0" collapsed="false">
      <c r="A99" s="469"/>
      <c r="B99" s="469"/>
      <c r="C99" s="470"/>
      <c r="D99" s="469"/>
      <c r="E99" s="469"/>
      <c r="F99" s="470"/>
      <c r="G99" s="469"/>
      <c r="H99" s="469"/>
      <c r="I99" s="470"/>
      <c r="J99" s="469" t="s">
        <v>255</v>
      </c>
      <c r="K99" s="469" t="s">
        <v>682</v>
      </c>
      <c r="L99" s="470"/>
      <c r="M99" s="469" t="s">
        <v>718</v>
      </c>
      <c r="N99" s="469" t="s">
        <v>63</v>
      </c>
      <c r="O99" s="470"/>
      <c r="P99" s="469"/>
      <c r="Q99" s="469"/>
      <c r="R99" s="471"/>
      <c r="S99" s="469"/>
      <c r="T99" s="469"/>
      <c r="U99" s="471"/>
      <c r="V99" s="469"/>
      <c r="W99" s="469"/>
      <c r="X99" s="472"/>
      <c r="Y99" s="473"/>
      <c r="Z99" s="478"/>
    </row>
    <row r="100" customFormat="false" ht="15.75" hidden="false" customHeight="false" outlineLevel="0" collapsed="false">
      <c r="A100" s="469"/>
      <c r="B100" s="469"/>
      <c r="C100" s="470"/>
      <c r="D100" s="469"/>
      <c r="E100" s="469"/>
      <c r="F100" s="470"/>
      <c r="G100" s="469"/>
      <c r="H100" s="469"/>
      <c r="I100" s="470"/>
      <c r="J100" s="469" t="s">
        <v>255</v>
      </c>
      <c r="K100" s="469" t="s">
        <v>685</v>
      </c>
      <c r="L100" s="470"/>
      <c r="M100" s="469" t="s">
        <v>255</v>
      </c>
      <c r="N100" s="469" t="s">
        <v>695</v>
      </c>
      <c r="O100" s="470"/>
      <c r="P100" s="469"/>
      <c r="Q100" s="469"/>
      <c r="R100" s="471"/>
      <c r="S100" s="469"/>
      <c r="T100" s="469"/>
      <c r="U100" s="471"/>
      <c r="V100" s="469"/>
      <c r="W100" s="469"/>
      <c r="X100" s="472"/>
      <c r="Y100" s="473"/>
      <c r="Z100" s="478"/>
    </row>
    <row r="101" customFormat="false" ht="15.75" hidden="false" customHeight="false" outlineLevel="0" collapsed="false">
      <c r="A101" s="477"/>
      <c r="B101" s="469"/>
      <c r="C101" s="470"/>
      <c r="D101" s="469"/>
      <c r="E101" s="469"/>
      <c r="F101" s="470"/>
      <c r="G101" s="469"/>
      <c r="H101" s="469"/>
      <c r="I101" s="470"/>
      <c r="J101" s="469" t="s">
        <v>255</v>
      </c>
      <c r="K101" s="469" t="s">
        <v>756</v>
      </c>
      <c r="L101" s="470"/>
      <c r="M101" s="469" t="s">
        <v>255</v>
      </c>
      <c r="N101" s="469" t="s">
        <v>285</v>
      </c>
      <c r="O101" s="470"/>
      <c r="P101" s="469"/>
      <c r="Q101" s="469"/>
      <c r="R101" s="480"/>
      <c r="S101" s="469"/>
      <c r="T101" s="469"/>
      <c r="U101" s="480"/>
      <c r="V101" s="469"/>
      <c r="W101" s="469"/>
      <c r="X101" s="481"/>
      <c r="Y101" s="473"/>
      <c r="Z101" s="478"/>
    </row>
    <row r="102" customFormat="false" ht="15.75" hidden="false" customHeight="false" outlineLevel="0" collapsed="false">
      <c r="A102" s="477"/>
      <c r="B102" s="469"/>
      <c r="C102" s="470"/>
      <c r="D102" s="469"/>
      <c r="E102" s="469"/>
      <c r="F102" s="470"/>
      <c r="G102" s="469"/>
      <c r="H102" s="469"/>
      <c r="I102" s="470"/>
      <c r="J102" s="469" t="s">
        <v>255</v>
      </c>
      <c r="K102" s="469" t="s">
        <v>691</v>
      </c>
      <c r="L102" s="470"/>
      <c r="M102" s="469" t="s">
        <v>255</v>
      </c>
      <c r="N102" s="469" t="s">
        <v>292</v>
      </c>
      <c r="O102" s="470"/>
      <c r="P102" s="469"/>
      <c r="Q102" s="469"/>
      <c r="R102" s="480"/>
      <c r="S102" s="469"/>
      <c r="T102" s="469"/>
      <c r="U102" s="480"/>
      <c r="V102" s="469"/>
      <c r="W102" s="469"/>
      <c r="X102" s="481"/>
      <c r="Y102" s="473"/>
      <c r="Z102" s="478"/>
    </row>
    <row r="103" customFormat="false" ht="15.75" hidden="false" customHeight="false" outlineLevel="0" collapsed="false">
      <c r="A103" s="477"/>
      <c r="B103" s="469"/>
      <c r="C103" s="470"/>
      <c r="D103" s="469"/>
      <c r="E103" s="469"/>
      <c r="F103" s="470"/>
      <c r="G103" s="469"/>
      <c r="H103" s="469"/>
      <c r="I103" s="470"/>
      <c r="J103" s="469"/>
      <c r="K103" s="469"/>
      <c r="L103" s="470"/>
      <c r="M103" s="469" t="s">
        <v>255</v>
      </c>
      <c r="N103" s="469" t="s">
        <v>308</v>
      </c>
      <c r="O103" s="470"/>
      <c r="P103" s="469"/>
      <c r="Q103" s="469"/>
      <c r="R103" s="480"/>
      <c r="S103" s="469"/>
      <c r="T103" s="469"/>
      <c r="U103" s="480"/>
      <c r="V103" s="469"/>
      <c r="W103" s="469"/>
      <c r="X103" s="481"/>
      <c r="Y103" s="473"/>
      <c r="Z103" s="478"/>
    </row>
    <row r="104" customFormat="false" ht="15.75" hidden="false" customHeight="false" outlineLevel="0" collapsed="false">
      <c r="A104" s="477"/>
      <c r="B104" s="469"/>
      <c r="C104" s="470"/>
      <c r="D104" s="469"/>
      <c r="E104" s="469"/>
      <c r="F104" s="470"/>
      <c r="G104" s="469"/>
      <c r="H104" s="469"/>
      <c r="I104" s="470"/>
      <c r="J104" s="469"/>
      <c r="K104" s="469"/>
      <c r="L104" s="470"/>
      <c r="M104" s="469" t="s">
        <v>711</v>
      </c>
      <c r="N104" s="469" t="s">
        <v>122</v>
      </c>
      <c r="O104" s="470"/>
      <c r="P104" s="469"/>
      <c r="Q104" s="469"/>
      <c r="R104" s="480"/>
      <c r="S104" s="469"/>
      <c r="T104" s="469"/>
      <c r="U104" s="480"/>
      <c r="V104" s="469"/>
      <c r="W104" s="469"/>
      <c r="X104" s="481"/>
      <c r="Y104" s="473"/>
      <c r="Z104" s="478"/>
    </row>
    <row r="105" customFormat="false" ht="15.75" hidden="false" customHeight="false" outlineLevel="0" collapsed="false">
      <c r="A105" s="477"/>
      <c r="B105" s="469"/>
      <c r="C105" s="470"/>
      <c r="D105" s="469"/>
      <c r="E105" s="469"/>
      <c r="F105" s="470"/>
      <c r="G105" s="469"/>
      <c r="H105" s="469"/>
      <c r="I105" s="470"/>
      <c r="J105" s="469"/>
      <c r="K105" s="469"/>
      <c r="L105" s="470"/>
      <c r="M105" s="469" t="s">
        <v>255</v>
      </c>
      <c r="N105" s="469" t="s">
        <v>316</v>
      </c>
      <c r="O105" s="470"/>
      <c r="P105" s="469"/>
      <c r="Q105" s="469"/>
      <c r="R105" s="480"/>
      <c r="S105" s="469"/>
      <c r="T105" s="469"/>
      <c r="U105" s="480"/>
      <c r="V105" s="469"/>
      <c r="W105" s="469"/>
      <c r="X105" s="481"/>
      <c r="Y105" s="473"/>
      <c r="Z105" s="478"/>
    </row>
    <row r="106" customFormat="false" ht="15.75" hidden="false" customHeight="false" outlineLevel="0" collapsed="false">
      <c r="A106" s="477"/>
      <c r="B106" s="469"/>
      <c r="C106" s="470"/>
      <c r="D106" s="469"/>
      <c r="E106" s="469"/>
      <c r="F106" s="470"/>
      <c r="G106" s="469"/>
      <c r="H106" s="469"/>
      <c r="I106" s="470"/>
      <c r="J106" s="469"/>
      <c r="K106" s="469"/>
      <c r="L106" s="470"/>
      <c r="M106" s="469" t="s">
        <v>255</v>
      </c>
      <c r="N106" s="469" t="s">
        <v>323</v>
      </c>
      <c r="O106" s="470"/>
      <c r="P106" s="469"/>
      <c r="Q106" s="469"/>
      <c r="R106" s="480"/>
      <c r="S106" s="469"/>
      <c r="T106" s="469"/>
      <c r="U106" s="480"/>
      <c r="V106" s="469"/>
      <c r="W106" s="469"/>
      <c r="X106" s="481"/>
      <c r="Y106" s="473"/>
      <c r="Z106" s="478"/>
    </row>
    <row r="107" customFormat="false" ht="15.75" hidden="false" customHeight="false" outlineLevel="0" collapsed="false">
      <c r="A107" s="477"/>
      <c r="B107" s="469"/>
      <c r="C107" s="470"/>
      <c r="D107" s="469"/>
      <c r="E107" s="469"/>
      <c r="F107" s="470"/>
      <c r="G107" s="469"/>
      <c r="H107" s="469"/>
      <c r="I107" s="470"/>
      <c r="J107" s="469"/>
      <c r="K107" s="469"/>
      <c r="L107" s="470"/>
      <c r="M107" s="469" t="s">
        <v>255</v>
      </c>
      <c r="N107" s="469" t="s">
        <v>330</v>
      </c>
      <c r="O107" s="470"/>
      <c r="P107" s="469"/>
      <c r="Q107" s="469"/>
      <c r="R107" s="480"/>
      <c r="S107" s="469"/>
      <c r="T107" s="469"/>
      <c r="U107" s="480"/>
      <c r="V107" s="469"/>
      <c r="W107" s="469"/>
      <c r="X107" s="481"/>
      <c r="Y107" s="473"/>
      <c r="Z107" s="478"/>
    </row>
    <row r="108" customFormat="false" ht="15.75" hidden="false" customHeight="false" outlineLevel="0" collapsed="false">
      <c r="A108" s="477"/>
      <c r="B108" s="469"/>
      <c r="C108" s="470"/>
      <c r="D108" s="469"/>
      <c r="E108" s="469"/>
      <c r="F108" s="470"/>
      <c r="G108" s="469"/>
      <c r="H108" s="469"/>
      <c r="I108" s="470"/>
      <c r="J108" s="469"/>
      <c r="K108" s="469"/>
      <c r="L108" s="470"/>
      <c r="M108" s="469" t="s">
        <v>255</v>
      </c>
      <c r="N108" s="469" t="s">
        <v>338</v>
      </c>
      <c r="O108" s="470"/>
      <c r="P108" s="469"/>
      <c r="Q108" s="469"/>
      <c r="R108" s="480"/>
      <c r="S108" s="469"/>
      <c r="T108" s="469"/>
      <c r="U108" s="480"/>
      <c r="V108" s="469"/>
      <c r="W108" s="469"/>
      <c r="X108" s="481"/>
      <c r="Y108" s="473"/>
      <c r="Z108" s="478"/>
    </row>
    <row r="109" customFormat="false" ht="15.75" hidden="false" customHeight="false" outlineLevel="0" collapsed="false">
      <c r="A109" s="477"/>
      <c r="B109" s="469"/>
      <c r="C109" s="470"/>
      <c r="D109" s="469"/>
      <c r="E109" s="469"/>
      <c r="F109" s="470"/>
      <c r="G109" s="469"/>
      <c r="H109" s="469"/>
      <c r="I109" s="470"/>
      <c r="J109" s="469"/>
      <c r="K109" s="469"/>
      <c r="L109" s="470"/>
      <c r="M109" s="469" t="s">
        <v>255</v>
      </c>
      <c r="N109" s="469" t="s">
        <v>757</v>
      </c>
      <c r="O109" s="470"/>
      <c r="P109" s="469"/>
      <c r="Q109" s="469"/>
      <c r="R109" s="480"/>
      <c r="S109" s="469"/>
      <c r="T109" s="469"/>
      <c r="U109" s="480"/>
      <c r="V109" s="469"/>
      <c r="W109" s="469"/>
      <c r="X109" s="481"/>
      <c r="Y109" s="473"/>
      <c r="Z109" s="478"/>
    </row>
    <row r="110" customFormat="false" ht="15.75" hidden="false" customHeight="false" outlineLevel="0" collapsed="false">
      <c r="A110" s="477"/>
      <c r="B110" s="469"/>
      <c r="C110" s="470"/>
      <c r="D110" s="469"/>
      <c r="E110" s="469"/>
      <c r="F110" s="470"/>
      <c r="G110" s="469"/>
      <c r="H110" s="469"/>
      <c r="I110" s="470"/>
      <c r="J110" s="469"/>
      <c r="K110" s="469"/>
      <c r="L110" s="470"/>
      <c r="M110" s="469" t="s">
        <v>255</v>
      </c>
      <c r="N110" s="469" t="s">
        <v>353</v>
      </c>
      <c r="O110" s="470"/>
      <c r="P110" s="469"/>
      <c r="Q110" s="469"/>
      <c r="R110" s="480"/>
      <c r="S110" s="469"/>
      <c r="T110" s="469"/>
      <c r="U110" s="480"/>
      <c r="V110" s="469"/>
      <c r="W110" s="469"/>
      <c r="X110" s="481"/>
      <c r="Y110" s="473"/>
      <c r="Z110" s="478"/>
    </row>
    <row r="111" customFormat="false" ht="15.75" hidden="false" customHeight="false" outlineLevel="0" collapsed="false">
      <c r="A111" s="477"/>
      <c r="B111" s="469"/>
      <c r="C111" s="470"/>
      <c r="D111" s="469"/>
      <c r="E111" s="469"/>
      <c r="F111" s="470"/>
      <c r="G111" s="469"/>
      <c r="H111" s="469"/>
      <c r="I111" s="470"/>
      <c r="J111" s="469"/>
      <c r="K111" s="469"/>
      <c r="L111" s="470"/>
      <c r="M111" s="469" t="s">
        <v>255</v>
      </c>
      <c r="N111" s="469" t="s">
        <v>360</v>
      </c>
      <c r="O111" s="470"/>
      <c r="P111" s="469"/>
      <c r="Q111" s="469"/>
      <c r="R111" s="480"/>
      <c r="S111" s="469"/>
      <c r="T111" s="469"/>
      <c r="U111" s="480"/>
      <c r="V111" s="469"/>
      <c r="W111" s="469"/>
      <c r="X111" s="481"/>
      <c r="Y111" s="473"/>
      <c r="Z111" s="478"/>
    </row>
    <row r="112" customFormat="false" ht="15.75" hidden="false" customHeight="false" outlineLevel="0" collapsed="false">
      <c r="A112" s="477"/>
      <c r="B112" s="469"/>
      <c r="C112" s="470"/>
      <c r="D112" s="469"/>
      <c r="E112" s="469"/>
      <c r="F112" s="470"/>
      <c r="G112" s="469"/>
      <c r="H112" s="469"/>
      <c r="I112" s="470"/>
      <c r="J112" s="469"/>
      <c r="K112" s="469"/>
      <c r="L112" s="470"/>
      <c r="M112" s="469" t="s">
        <v>255</v>
      </c>
      <c r="N112" s="469" t="s">
        <v>365</v>
      </c>
      <c r="O112" s="470"/>
      <c r="P112" s="469"/>
      <c r="Q112" s="469"/>
      <c r="R112" s="480"/>
      <c r="S112" s="469"/>
      <c r="T112" s="469"/>
      <c r="U112" s="480"/>
      <c r="V112" s="469"/>
      <c r="W112" s="469"/>
      <c r="X112" s="481"/>
      <c r="Y112" s="473"/>
      <c r="Z112" s="478"/>
    </row>
    <row r="113" customFormat="false" ht="15.75" hidden="false" customHeight="false" outlineLevel="0" collapsed="false">
      <c r="A113" s="477"/>
      <c r="B113" s="469"/>
      <c r="C113" s="470"/>
      <c r="D113" s="469"/>
      <c r="E113" s="469"/>
      <c r="F113" s="470"/>
      <c r="G113" s="469"/>
      <c r="H113" s="469"/>
      <c r="I113" s="470"/>
      <c r="J113" s="469"/>
      <c r="K113" s="469"/>
      <c r="L113" s="470"/>
      <c r="M113" s="469" t="s">
        <v>255</v>
      </c>
      <c r="N113" s="469" t="s">
        <v>758</v>
      </c>
      <c r="O113" s="470"/>
      <c r="P113" s="469"/>
      <c r="Q113" s="469"/>
      <c r="R113" s="480"/>
      <c r="S113" s="469"/>
      <c r="T113" s="469"/>
      <c r="U113" s="480"/>
      <c r="V113" s="469"/>
      <c r="W113" s="469"/>
      <c r="X113" s="481"/>
      <c r="Y113" s="473"/>
      <c r="Z113" s="478"/>
    </row>
    <row r="114" customFormat="false" ht="15.75" hidden="false" customHeight="false" outlineLevel="0" collapsed="false">
      <c r="A114" s="469"/>
      <c r="B114" s="469"/>
      <c r="C114" s="470"/>
      <c r="D114" s="469"/>
      <c r="E114" s="469"/>
      <c r="F114" s="470"/>
      <c r="G114" s="469"/>
      <c r="H114" s="469"/>
      <c r="I114" s="470"/>
      <c r="J114" s="469"/>
      <c r="K114" s="469"/>
      <c r="L114" s="470"/>
      <c r="M114" s="469" t="s">
        <v>255</v>
      </c>
      <c r="N114" s="469" t="s">
        <v>759</v>
      </c>
      <c r="O114" s="470"/>
      <c r="P114" s="469"/>
      <c r="Q114" s="469"/>
      <c r="R114" s="480"/>
      <c r="S114" s="469"/>
      <c r="T114" s="469"/>
      <c r="U114" s="480"/>
      <c r="V114" s="469"/>
      <c r="W114" s="469"/>
      <c r="X114" s="470"/>
      <c r="Y114" s="473"/>
      <c r="Z114" s="478"/>
    </row>
    <row r="115" customFormat="false" ht="15.75" hidden="false" customHeight="false" outlineLevel="0" collapsed="false">
      <c r="A115" s="469"/>
      <c r="B115" s="469"/>
      <c r="C115" s="470"/>
      <c r="D115" s="469"/>
      <c r="E115" s="469"/>
      <c r="F115" s="470"/>
      <c r="G115" s="469"/>
      <c r="H115" s="469"/>
      <c r="I115" s="470"/>
      <c r="J115" s="469"/>
      <c r="K115" s="469"/>
      <c r="L115" s="470"/>
      <c r="M115" s="469" t="s">
        <v>255</v>
      </c>
      <c r="N115" s="469" t="s">
        <v>371</v>
      </c>
      <c r="O115" s="470"/>
      <c r="P115" s="469"/>
      <c r="Q115" s="469"/>
      <c r="R115" s="480"/>
      <c r="S115" s="469"/>
      <c r="T115" s="469"/>
      <c r="U115" s="480"/>
      <c r="V115" s="469"/>
      <c r="W115" s="469"/>
      <c r="X115" s="470"/>
      <c r="Y115" s="473"/>
      <c r="Z115" s="478"/>
    </row>
    <row r="116" customFormat="false" ht="15.75" hidden="false" customHeight="false" outlineLevel="0" collapsed="false">
      <c r="A116" s="469"/>
      <c r="B116" s="469"/>
      <c r="C116" s="470"/>
      <c r="D116" s="469"/>
      <c r="E116" s="469"/>
      <c r="F116" s="470"/>
      <c r="G116" s="469"/>
      <c r="H116" s="469"/>
      <c r="I116" s="470"/>
      <c r="J116" s="469"/>
      <c r="K116" s="469"/>
      <c r="L116" s="470"/>
      <c r="M116" s="469" t="s">
        <v>255</v>
      </c>
      <c r="N116" s="469" t="s">
        <v>376</v>
      </c>
      <c r="O116" s="470"/>
      <c r="P116" s="469"/>
      <c r="Q116" s="469"/>
      <c r="R116" s="480"/>
      <c r="S116" s="469"/>
      <c r="T116" s="469"/>
      <c r="U116" s="480"/>
      <c r="V116" s="469"/>
      <c r="W116" s="469"/>
      <c r="X116" s="470"/>
      <c r="Y116" s="473"/>
      <c r="Z116" s="478"/>
    </row>
    <row r="117" customFormat="false" ht="15.75" hidden="false" customHeight="false" outlineLevel="0" collapsed="false">
      <c r="A117" s="469"/>
      <c r="B117" s="469"/>
      <c r="C117" s="470"/>
      <c r="D117" s="469"/>
      <c r="E117" s="469"/>
      <c r="F117" s="470"/>
      <c r="G117" s="469"/>
      <c r="H117" s="469"/>
      <c r="I117" s="470"/>
      <c r="J117" s="469"/>
      <c r="K117" s="469"/>
      <c r="L117" s="470"/>
      <c r="M117" s="469" t="s">
        <v>255</v>
      </c>
      <c r="N117" s="469" t="s">
        <v>382</v>
      </c>
      <c r="O117" s="470"/>
      <c r="P117" s="469"/>
      <c r="Q117" s="469"/>
      <c r="R117" s="480"/>
      <c r="S117" s="469"/>
      <c r="T117" s="469"/>
      <c r="U117" s="480"/>
      <c r="V117" s="469"/>
      <c r="W117" s="469"/>
      <c r="X117" s="470"/>
      <c r="Y117" s="473"/>
      <c r="Z117" s="478"/>
    </row>
    <row r="118" customFormat="false" ht="15.75" hidden="false" customHeight="false" outlineLevel="0" collapsed="false">
      <c r="A118" s="469"/>
      <c r="B118" s="469"/>
      <c r="C118" s="470"/>
      <c r="D118" s="469"/>
      <c r="E118" s="469"/>
      <c r="F118" s="470"/>
      <c r="G118" s="469"/>
      <c r="H118" s="469"/>
      <c r="I118" s="470"/>
      <c r="J118" s="469"/>
      <c r="K118" s="469"/>
      <c r="L118" s="470"/>
      <c r="M118" s="469" t="s">
        <v>255</v>
      </c>
      <c r="N118" s="469" t="s">
        <v>387</v>
      </c>
      <c r="O118" s="470"/>
      <c r="P118" s="469"/>
      <c r="Q118" s="469"/>
      <c r="R118" s="480"/>
      <c r="S118" s="469"/>
      <c r="T118" s="469"/>
      <c r="U118" s="480"/>
      <c r="V118" s="469"/>
      <c r="W118" s="469"/>
      <c r="X118" s="470"/>
      <c r="Y118" s="473"/>
      <c r="Z118" s="478"/>
    </row>
    <row r="119" customFormat="false" ht="15.75" hidden="false" customHeight="false" outlineLevel="0" collapsed="false">
      <c r="A119" s="469"/>
      <c r="B119" s="469"/>
      <c r="C119" s="470"/>
      <c r="D119" s="469"/>
      <c r="E119" s="469"/>
      <c r="F119" s="470"/>
      <c r="G119" s="469"/>
      <c r="H119" s="469"/>
      <c r="I119" s="470"/>
      <c r="J119" s="469"/>
      <c r="K119" s="469"/>
      <c r="L119" s="470"/>
      <c r="M119" s="469" t="s">
        <v>255</v>
      </c>
      <c r="N119" s="469" t="s">
        <v>390</v>
      </c>
      <c r="O119" s="470"/>
      <c r="P119" s="469"/>
      <c r="Q119" s="469"/>
      <c r="R119" s="480"/>
      <c r="S119" s="469"/>
      <c r="T119" s="469"/>
      <c r="U119" s="480"/>
      <c r="V119" s="469"/>
      <c r="W119" s="469"/>
      <c r="X119" s="470"/>
      <c r="Y119" s="473"/>
      <c r="Z119" s="478"/>
    </row>
    <row r="120" customFormat="false" ht="15.75" hidden="false" customHeight="false" outlineLevel="0" collapsed="false">
      <c r="A120" s="469"/>
      <c r="B120" s="469"/>
      <c r="C120" s="470"/>
      <c r="D120" s="469"/>
      <c r="E120" s="469"/>
      <c r="F120" s="470"/>
      <c r="G120" s="469"/>
      <c r="H120" s="469"/>
      <c r="I120" s="470"/>
      <c r="J120" s="469"/>
      <c r="K120" s="469"/>
      <c r="L120" s="470"/>
      <c r="M120" s="469" t="s">
        <v>255</v>
      </c>
      <c r="N120" s="469" t="s">
        <v>394</v>
      </c>
      <c r="O120" s="470"/>
      <c r="P120" s="469"/>
      <c r="Q120" s="469"/>
      <c r="R120" s="480"/>
      <c r="S120" s="469"/>
      <c r="T120" s="469"/>
      <c r="U120" s="480"/>
      <c r="V120" s="469"/>
      <c r="W120" s="469"/>
      <c r="X120" s="470"/>
      <c r="Y120" s="473"/>
      <c r="Z120" s="478"/>
    </row>
    <row r="121" customFormat="false" ht="15.75" hidden="false" customHeight="false" outlineLevel="0" collapsed="false">
      <c r="A121" s="469"/>
      <c r="B121" s="469"/>
      <c r="C121" s="470"/>
      <c r="D121" s="469"/>
      <c r="E121" s="469"/>
      <c r="F121" s="470"/>
      <c r="G121" s="469"/>
      <c r="H121" s="469"/>
      <c r="I121" s="470"/>
      <c r="J121" s="469"/>
      <c r="K121" s="469"/>
      <c r="L121" s="470"/>
      <c r="M121" s="469" t="s">
        <v>255</v>
      </c>
      <c r="N121" s="469" t="s">
        <v>398</v>
      </c>
      <c r="O121" s="470"/>
      <c r="P121" s="469"/>
      <c r="Q121" s="469"/>
      <c r="R121" s="480"/>
      <c r="S121" s="469"/>
      <c r="T121" s="469"/>
      <c r="U121" s="480"/>
      <c r="V121" s="469"/>
      <c r="W121" s="469"/>
      <c r="X121" s="470"/>
      <c r="Y121" s="473"/>
      <c r="Z121" s="478"/>
    </row>
    <row r="122" customFormat="false" ht="15.75" hidden="false" customHeight="false" outlineLevel="0" collapsed="false">
      <c r="A122" s="469"/>
      <c r="B122" s="469"/>
      <c r="C122" s="470"/>
      <c r="D122" s="469"/>
      <c r="E122" s="469"/>
      <c r="F122" s="470"/>
      <c r="G122" s="469"/>
      <c r="H122" s="469"/>
      <c r="I122" s="470"/>
      <c r="J122" s="469"/>
      <c r="K122" s="469"/>
      <c r="L122" s="470"/>
      <c r="M122" s="469" t="s">
        <v>255</v>
      </c>
      <c r="N122" s="469" t="s">
        <v>403</v>
      </c>
      <c r="O122" s="470"/>
      <c r="P122" s="469"/>
      <c r="Q122" s="469"/>
      <c r="R122" s="480"/>
      <c r="S122" s="469"/>
      <c r="T122" s="469"/>
      <c r="U122" s="480"/>
      <c r="V122" s="469"/>
      <c r="W122" s="469"/>
      <c r="X122" s="470"/>
      <c r="Y122" s="473"/>
      <c r="Z122" s="478"/>
    </row>
    <row r="123" customFormat="false" ht="15.75" hidden="false" customHeight="false" outlineLevel="0" collapsed="false">
      <c r="A123" s="469"/>
      <c r="B123" s="469"/>
      <c r="C123" s="470"/>
      <c r="D123" s="469"/>
      <c r="E123" s="469"/>
      <c r="F123" s="470"/>
      <c r="G123" s="469"/>
      <c r="H123" s="469"/>
      <c r="I123" s="470"/>
      <c r="J123" s="469"/>
      <c r="K123" s="469"/>
      <c r="L123" s="470"/>
      <c r="M123" s="469" t="s">
        <v>255</v>
      </c>
      <c r="N123" s="469" t="s">
        <v>408</v>
      </c>
      <c r="O123" s="470"/>
      <c r="P123" s="469"/>
      <c r="Q123" s="469"/>
      <c r="R123" s="480"/>
      <c r="S123" s="469"/>
      <c r="T123" s="469"/>
      <c r="U123" s="480"/>
      <c r="V123" s="469"/>
      <c r="W123" s="469"/>
      <c r="X123" s="470"/>
      <c r="Y123" s="473"/>
      <c r="Z123" s="478"/>
    </row>
    <row r="124" customFormat="false" ht="15.75" hidden="false" customHeight="false" outlineLevel="0" collapsed="false">
      <c r="A124" s="469"/>
      <c r="B124" s="469"/>
      <c r="C124" s="470"/>
      <c r="D124" s="469"/>
      <c r="E124" s="469"/>
      <c r="F124" s="470"/>
      <c r="G124" s="469"/>
      <c r="H124" s="469"/>
      <c r="I124" s="470"/>
      <c r="J124" s="469"/>
      <c r="K124" s="469"/>
      <c r="L124" s="470"/>
      <c r="M124" s="469" t="s">
        <v>255</v>
      </c>
      <c r="N124" s="469" t="s">
        <v>760</v>
      </c>
      <c r="O124" s="470"/>
      <c r="P124" s="469"/>
      <c r="Q124" s="469"/>
      <c r="R124" s="480"/>
      <c r="S124" s="469"/>
      <c r="T124" s="469"/>
      <c r="U124" s="480"/>
      <c r="V124" s="469"/>
      <c r="W124" s="469"/>
      <c r="X124" s="470"/>
      <c r="Y124" s="473"/>
      <c r="Z124" s="478"/>
    </row>
    <row r="125" customFormat="false" ht="15.75" hidden="false" customHeight="false" outlineLevel="0" collapsed="false">
      <c r="A125" s="469"/>
      <c r="B125" s="469"/>
      <c r="C125" s="470"/>
      <c r="D125" s="469"/>
      <c r="E125" s="469"/>
      <c r="F125" s="470"/>
      <c r="G125" s="469"/>
      <c r="H125" s="469"/>
      <c r="I125" s="470"/>
      <c r="J125" s="469"/>
      <c r="K125" s="469"/>
      <c r="L125" s="470"/>
      <c r="M125" s="469" t="s">
        <v>255</v>
      </c>
      <c r="N125" s="469" t="s">
        <v>418</v>
      </c>
      <c r="O125" s="470"/>
      <c r="P125" s="469"/>
      <c r="Q125" s="469"/>
      <c r="R125" s="480"/>
      <c r="S125" s="469"/>
      <c r="T125" s="469"/>
      <c r="U125" s="480"/>
      <c r="V125" s="469"/>
      <c r="W125" s="469"/>
      <c r="X125" s="470"/>
      <c r="Y125" s="473"/>
      <c r="Z125" s="478"/>
    </row>
    <row r="126" customFormat="false" ht="15.75" hidden="false" customHeight="false" outlineLevel="0" collapsed="false">
      <c r="A126" s="469"/>
      <c r="B126" s="469"/>
      <c r="C126" s="470"/>
      <c r="D126" s="469"/>
      <c r="E126" s="469"/>
      <c r="F126" s="470"/>
      <c r="G126" s="469"/>
      <c r="H126" s="469"/>
      <c r="I126" s="470"/>
      <c r="J126" s="469"/>
      <c r="K126" s="469"/>
      <c r="L126" s="470"/>
      <c r="M126" s="469" t="s">
        <v>715</v>
      </c>
      <c r="N126" s="469" t="s">
        <v>126</v>
      </c>
      <c r="O126" s="470"/>
      <c r="P126" s="469"/>
      <c r="Q126" s="469"/>
      <c r="R126" s="480"/>
      <c r="S126" s="469"/>
      <c r="T126" s="469"/>
      <c r="U126" s="480"/>
      <c r="V126" s="469"/>
      <c r="W126" s="469"/>
      <c r="X126" s="470"/>
      <c r="Y126" s="473"/>
      <c r="Z126" s="478"/>
    </row>
    <row r="127" customFormat="false" ht="15.75" hidden="false" customHeight="false" outlineLevel="0" collapsed="false">
      <c r="A127" s="469"/>
      <c r="B127" s="469"/>
      <c r="C127" s="470"/>
      <c r="D127" s="469"/>
      <c r="E127" s="469"/>
      <c r="F127" s="470"/>
      <c r="G127" s="469"/>
      <c r="H127" s="469"/>
      <c r="I127" s="470"/>
      <c r="J127" s="469"/>
      <c r="K127" s="469"/>
      <c r="L127" s="470"/>
      <c r="M127" s="469" t="s">
        <v>255</v>
      </c>
      <c r="N127" s="469" t="s">
        <v>425</v>
      </c>
      <c r="O127" s="470"/>
      <c r="P127" s="469"/>
      <c r="Q127" s="469"/>
      <c r="R127" s="480"/>
      <c r="S127" s="469"/>
      <c r="T127" s="469"/>
      <c r="U127" s="480"/>
      <c r="V127" s="469"/>
      <c r="W127" s="469"/>
      <c r="X127" s="470"/>
      <c r="Y127" s="473"/>
      <c r="Z127" s="478"/>
    </row>
    <row r="128" customFormat="false" ht="15.75" hidden="false" customHeight="false" outlineLevel="0" collapsed="false">
      <c r="A128" s="469"/>
      <c r="B128" s="469"/>
      <c r="C128" s="470"/>
      <c r="D128" s="469"/>
      <c r="E128" s="469"/>
      <c r="F128" s="470"/>
      <c r="G128" s="469"/>
      <c r="H128" s="469"/>
      <c r="I128" s="470"/>
      <c r="J128" s="469"/>
      <c r="K128" s="469"/>
      <c r="L128" s="470"/>
      <c r="M128" s="469" t="s">
        <v>255</v>
      </c>
      <c r="N128" s="469" t="s">
        <v>430</v>
      </c>
      <c r="O128" s="470"/>
      <c r="P128" s="469"/>
      <c r="Q128" s="469"/>
      <c r="R128" s="480"/>
      <c r="S128" s="469"/>
      <c r="T128" s="469"/>
      <c r="U128" s="480"/>
      <c r="V128" s="469"/>
      <c r="W128" s="469"/>
      <c r="X128" s="470"/>
      <c r="Y128" s="473"/>
      <c r="Z128" s="478"/>
    </row>
    <row r="129" customFormat="false" ht="15.75" hidden="false" customHeight="false" outlineLevel="0" collapsed="false">
      <c r="A129" s="469"/>
      <c r="B129" s="469"/>
      <c r="C129" s="470"/>
      <c r="D129" s="469"/>
      <c r="E129" s="469"/>
      <c r="F129" s="470"/>
      <c r="G129" s="469"/>
      <c r="H129" s="469"/>
      <c r="I129" s="470"/>
      <c r="J129" s="469"/>
      <c r="K129" s="469"/>
      <c r="L129" s="470"/>
      <c r="M129" s="469" t="s">
        <v>255</v>
      </c>
      <c r="N129" s="469" t="s">
        <v>761</v>
      </c>
      <c r="O129" s="470"/>
      <c r="P129" s="469"/>
      <c r="Q129" s="469"/>
      <c r="R129" s="480"/>
      <c r="S129" s="469"/>
      <c r="T129" s="469"/>
      <c r="U129" s="480"/>
      <c r="V129" s="469"/>
      <c r="W129" s="469"/>
      <c r="X129" s="470"/>
      <c r="Y129" s="473"/>
      <c r="Z129" s="478"/>
    </row>
    <row r="130" customFormat="false" ht="15.75" hidden="false" customHeight="false" outlineLevel="0" collapsed="false">
      <c r="A130" s="469"/>
      <c r="B130" s="469"/>
      <c r="C130" s="470"/>
      <c r="D130" s="469"/>
      <c r="E130" s="469"/>
      <c r="F130" s="470"/>
      <c r="G130" s="469"/>
      <c r="H130" s="469"/>
      <c r="I130" s="470"/>
      <c r="J130" s="469"/>
      <c r="K130" s="469"/>
      <c r="L130" s="470"/>
      <c r="M130" s="469" t="s">
        <v>255</v>
      </c>
      <c r="N130" s="469" t="s">
        <v>436</v>
      </c>
      <c r="O130" s="470"/>
      <c r="P130" s="469"/>
      <c r="Q130" s="469"/>
      <c r="R130" s="480"/>
      <c r="S130" s="469"/>
      <c r="T130" s="469"/>
      <c r="U130" s="480"/>
      <c r="V130" s="469"/>
      <c r="W130" s="469"/>
      <c r="X130" s="470"/>
      <c r="Y130" s="473"/>
      <c r="Z130" s="478"/>
    </row>
    <row r="131" customFormat="false" ht="15.75" hidden="false" customHeight="false" outlineLevel="0" collapsed="false">
      <c r="A131" s="469"/>
      <c r="B131" s="469"/>
      <c r="C131" s="470"/>
      <c r="D131" s="469"/>
      <c r="E131" s="469"/>
      <c r="F131" s="470"/>
      <c r="G131" s="469"/>
      <c r="H131" s="469"/>
      <c r="I131" s="470"/>
      <c r="J131" s="469"/>
      <c r="K131" s="469"/>
      <c r="L131" s="470"/>
      <c r="M131" s="469" t="s">
        <v>255</v>
      </c>
      <c r="N131" s="469" t="s">
        <v>762</v>
      </c>
      <c r="O131" s="470"/>
      <c r="P131" s="469"/>
      <c r="Q131" s="469"/>
      <c r="R131" s="480"/>
      <c r="S131" s="469"/>
      <c r="T131" s="469"/>
      <c r="U131" s="480"/>
      <c r="V131" s="469"/>
      <c r="W131" s="469"/>
      <c r="X131" s="470"/>
      <c r="Y131" s="473"/>
      <c r="Z131" s="478"/>
    </row>
    <row r="132" customFormat="false" ht="15.75" hidden="false" customHeight="false" outlineLevel="0" collapsed="false">
      <c r="A132" s="469"/>
      <c r="B132" s="469"/>
      <c r="C132" s="470"/>
      <c r="D132" s="469"/>
      <c r="E132" s="469"/>
      <c r="F132" s="470"/>
      <c r="G132" s="469"/>
      <c r="H132" s="469"/>
      <c r="I132" s="470"/>
      <c r="J132" s="469"/>
      <c r="K132" s="469"/>
      <c r="L132" s="470"/>
      <c r="M132" s="469" t="s">
        <v>255</v>
      </c>
      <c r="N132" s="469" t="s">
        <v>441</v>
      </c>
      <c r="O132" s="470"/>
      <c r="P132" s="469"/>
      <c r="Q132" s="469"/>
      <c r="R132" s="480"/>
      <c r="S132" s="469"/>
      <c r="T132" s="469"/>
      <c r="U132" s="480"/>
      <c r="V132" s="469"/>
      <c r="W132" s="469"/>
      <c r="X132" s="470"/>
      <c r="Y132" s="473"/>
      <c r="Z132" s="478"/>
    </row>
    <row r="133" customFormat="false" ht="15.75" hidden="false" customHeight="false" outlineLevel="0" collapsed="false">
      <c r="A133" s="469"/>
      <c r="B133" s="469"/>
      <c r="C133" s="470"/>
      <c r="D133" s="469"/>
      <c r="E133" s="469"/>
      <c r="F133" s="470"/>
      <c r="G133" s="469"/>
      <c r="H133" s="469"/>
      <c r="I133" s="470"/>
      <c r="J133" s="469"/>
      <c r="K133" s="469"/>
      <c r="L133" s="470"/>
      <c r="M133" s="469" t="s">
        <v>255</v>
      </c>
      <c r="N133" s="469" t="s">
        <v>445</v>
      </c>
      <c r="O133" s="470"/>
      <c r="P133" s="469"/>
      <c r="Q133" s="469"/>
      <c r="R133" s="480"/>
      <c r="S133" s="469"/>
      <c r="T133" s="469"/>
      <c r="U133" s="480"/>
      <c r="V133" s="469"/>
      <c r="W133" s="469"/>
      <c r="X133" s="470"/>
      <c r="Y133" s="473"/>
      <c r="Z133" s="478"/>
    </row>
    <row r="134" customFormat="false" ht="15.75" hidden="false" customHeight="false" outlineLevel="0" collapsed="false">
      <c r="A134" s="469"/>
      <c r="B134" s="469"/>
      <c r="C134" s="470"/>
      <c r="D134" s="469"/>
      <c r="E134" s="469"/>
      <c r="F134" s="470"/>
      <c r="G134" s="469"/>
      <c r="H134" s="469"/>
      <c r="I134" s="470"/>
      <c r="J134" s="469"/>
      <c r="K134" s="469"/>
      <c r="L134" s="470"/>
      <c r="M134" s="469" t="s">
        <v>255</v>
      </c>
      <c r="N134" s="469" t="s">
        <v>449</v>
      </c>
      <c r="O134" s="470"/>
      <c r="P134" s="469"/>
      <c r="Q134" s="469"/>
      <c r="R134" s="480"/>
      <c r="S134" s="469"/>
      <c r="T134" s="469"/>
      <c r="U134" s="480"/>
      <c r="V134" s="469"/>
      <c r="W134" s="469"/>
      <c r="X134" s="470"/>
      <c r="Y134" s="473"/>
      <c r="Z134" s="478"/>
    </row>
    <row r="135" customFormat="false" ht="15.75" hidden="false" customHeight="false" outlineLevel="0" collapsed="false">
      <c r="A135" s="469"/>
      <c r="B135" s="469"/>
      <c r="C135" s="470"/>
      <c r="D135" s="469"/>
      <c r="E135" s="469"/>
      <c r="F135" s="470"/>
      <c r="G135" s="469"/>
      <c r="H135" s="469"/>
      <c r="I135" s="470"/>
      <c r="J135" s="469"/>
      <c r="K135" s="469"/>
      <c r="L135" s="470"/>
      <c r="M135" s="469" t="s">
        <v>255</v>
      </c>
      <c r="N135" s="469" t="s">
        <v>453</v>
      </c>
      <c r="O135" s="470"/>
      <c r="P135" s="469"/>
      <c r="Q135" s="469"/>
      <c r="R135" s="480"/>
      <c r="S135" s="469"/>
      <c r="T135" s="469"/>
      <c r="U135" s="480"/>
      <c r="V135" s="469"/>
      <c r="W135" s="469"/>
      <c r="X135" s="470"/>
      <c r="Y135" s="473"/>
      <c r="Z135" s="478"/>
    </row>
    <row r="136" customFormat="false" ht="15.75" hidden="false" customHeight="false" outlineLevel="0" collapsed="false">
      <c r="A136" s="469"/>
      <c r="B136" s="469"/>
      <c r="C136" s="470"/>
      <c r="D136" s="469"/>
      <c r="E136" s="469"/>
      <c r="F136" s="470"/>
      <c r="G136" s="469"/>
      <c r="H136" s="469"/>
      <c r="I136" s="470"/>
      <c r="J136" s="469"/>
      <c r="K136" s="469"/>
      <c r="L136" s="470"/>
      <c r="M136" s="469" t="s">
        <v>255</v>
      </c>
      <c r="N136" s="469" t="s">
        <v>458</v>
      </c>
      <c r="O136" s="470"/>
      <c r="P136" s="469"/>
      <c r="Q136" s="469"/>
      <c r="R136" s="480"/>
      <c r="S136" s="469"/>
      <c r="T136" s="469"/>
      <c r="U136" s="480"/>
      <c r="V136" s="469"/>
      <c r="W136" s="469"/>
      <c r="X136" s="470"/>
      <c r="Y136" s="473"/>
      <c r="Z136" s="478"/>
    </row>
    <row r="137" customFormat="false" ht="15.75" hidden="false" customHeight="false" outlineLevel="0" collapsed="false">
      <c r="A137" s="469"/>
      <c r="B137" s="469"/>
      <c r="C137" s="470"/>
      <c r="D137" s="469"/>
      <c r="E137" s="469"/>
      <c r="F137" s="470"/>
      <c r="G137" s="469"/>
      <c r="H137" s="469"/>
      <c r="I137" s="470"/>
      <c r="J137" s="469"/>
      <c r="K137" s="469"/>
      <c r="L137" s="470"/>
      <c r="M137" s="469" t="s">
        <v>255</v>
      </c>
      <c r="N137" s="469" t="s">
        <v>763</v>
      </c>
      <c r="O137" s="470"/>
      <c r="P137" s="469"/>
      <c r="Q137" s="469"/>
      <c r="R137" s="480"/>
      <c r="S137" s="469"/>
      <c r="T137" s="469"/>
      <c r="U137" s="480"/>
      <c r="V137" s="469"/>
      <c r="W137" s="469"/>
      <c r="X137" s="470"/>
      <c r="Y137" s="473"/>
      <c r="Z137" s="478"/>
    </row>
    <row r="138" customFormat="false" ht="15.75" hidden="false" customHeight="false" outlineLevel="0" collapsed="false">
      <c r="A138" s="469"/>
      <c r="B138" s="469"/>
      <c r="C138" s="470"/>
      <c r="D138" s="469"/>
      <c r="E138" s="469"/>
      <c r="F138" s="470"/>
      <c r="G138" s="469"/>
      <c r="H138" s="469"/>
      <c r="I138" s="470"/>
      <c r="J138" s="469"/>
      <c r="K138" s="469"/>
      <c r="L138" s="470"/>
      <c r="M138" s="469" t="s">
        <v>255</v>
      </c>
      <c r="N138" s="469" t="s">
        <v>463</v>
      </c>
      <c r="O138" s="470"/>
      <c r="P138" s="469"/>
      <c r="Q138" s="469"/>
      <c r="R138" s="480"/>
      <c r="S138" s="469"/>
      <c r="T138" s="469"/>
      <c r="U138" s="480"/>
      <c r="V138" s="469"/>
      <c r="W138" s="469"/>
      <c r="X138" s="470"/>
      <c r="Y138" s="473"/>
      <c r="Z138" s="478"/>
    </row>
    <row r="139" customFormat="false" ht="15.75" hidden="false" customHeight="false" outlineLevel="0" collapsed="false">
      <c r="A139" s="469"/>
      <c r="B139" s="469"/>
      <c r="C139" s="470"/>
      <c r="D139" s="469"/>
      <c r="E139" s="469"/>
      <c r="F139" s="470"/>
      <c r="G139" s="469"/>
      <c r="H139" s="469"/>
      <c r="I139" s="470"/>
      <c r="J139" s="469"/>
      <c r="K139" s="469"/>
      <c r="L139" s="470"/>
      <c r="M139" s="469" t="s">
        <v>255</v>
      </c>
      <c r="N139" s="469" t="s">
        <v>469</v>
      </c>
      <c r="O139" s="470"/>
      <c r="P139" s="469"/>
      <c r="Q139" s="469"/>
      <c r="R139" s="480"/>
      <c r="S139" s="469"/>
      <c r="T139" s="469"/>
      <c r="U139" s="480"/>
      <c r="V139" s="469"/>
      <c r="W139" s="469"/>
      <c r="X139" s="470"/>
      <c r="Y139" s="473"/>
      <c r="Z139" s="478"/>
    </row>
    <row r="140" customFormat="false" ht="15.75" hidden="false" customHeight="false" outlineLevel="0" collapsed="false">
      <c r="A140" s="469"/>
      <c r="B140" s="469"/>
      <c r="C140" s="470"/>
      <c r="D140" s="469"/>
      <c r="E140" s="469"/>
      <c r="F140" s="470"/>
      <c r="G140" s="469"/>
      <c r="H140" s="469"/>
      <c r="I140" s="470"/>
      <c r="J140" s="469"/>
      <c r="K140" s="469"/>
      <c r="L140" s="470"/>
      <c r="M140" s="469" t="s">
        <v>255</v>
      </c>
      <c r="N140" s="469" t="s">
        <v>479</v>
      </c>
      <c r="O140" s="470"/>
      <c r="P140" s="469"/>
      <c r="Q140" s="469"/>
      <c r="R140" s="480"/>
      <c r="S140" s="469"/>
      <c r="T140" s="469"/>
      <c r="U140" s="480"/>
      <c r="V140" s="469"/>
      <c r="W140" s="469"/>
      <c r="X140" s="470"/>
      <c r="Y140" s="473"/>
      <c r="Z140" s="478"/>
    </row>
    <row r="141" customFormat="false" ht="15.75" hidden="false" customHeight="false" outlineLevel="0" collapsed="false">
      <c r="A141" s="469"/>
      <c r="B141" s="469"/>
      <c r="C141" s="470"/>
      <c r="D141" s="469"/>
      <c r="E141" s="469"/>
      <c r="F141" s="470"/>
      <c r="G141" s="469"/>
      <c r="H141" s="469"/>
      <c r="I141" s="470"/>
      <c r="J141" s="469"/>
      <c r="K141" s="469"/>
      <c r="L141" s="470"/>
      <c r="M141" s="469" t="s">
        <v>255</v>
      </c>
      <c r="N141" s="469" t="s">
        <v>483</v>
      </c>
      <c r="O141" s="470"/>
      <c r="P141" s="469"/>
      <c r="Q141" s="469"/>
      <c r="R141" s="480"/>
      <c r="S141" s="469"/>
      <c r="T141" s="469"/>
      <c r="U141" s="480"/>
      <c r="V141" s="469"/>
      <c r="W141" s="469"/>
      <c r="X141" s="470"/>
      <c r="Y141" s="473"/>
      <c r="Z141" s="478"/>
    </row>
    <row r="142" customFormat="false" ht="15.75" hidden="false" customHeight="false" outlineLevel="0" collapsed="false">
      <c r="A142" s="469"/>
      <c r="B142" s="469"/>
      <c r="C142" s="470"/>
      <c r="D142" s="469"/>
      <c r="E142" s="469"/>
      <c r="F142" s="470"/>
      <c r="G142" s="469"/>
      <c r="H142" s="469"/>
      <c r="I142" s="470"/>
      <c r="J142" s="469"/>
      <c r="K142" s="469"/>
      <c r="L142" s="470"/>
      <c r="M142" s="469" t="s">
        <v>255</v>
      </c>
      <c r="N142" s="469" t="s">
        <v>487</v>
      </c>
      <c r="O142" s="470"/>
      <c r="P142" s="469"/>
      <c r="Q142" s="469"/>
      <c r="R142" s="480"/>
      <c r="S142" s="469"/>
      <c r="T142" s="469"/>
      <c r="U142" s="480"/>
      <c r="V142" s="469"/>
      <c r="W142" s="469"/>
      <c r="X142" s="470"/>
      <c r="Y142" s="473"/>
      <c r="Z142" s="478"/>
    </row>
    <row r="143" customFormat="false" ht="15.75" hidden="false" customHeight="false" outlineLevel="0" collapsed="false">
      <c r="A143" s="469"/>
      <c r="B143" s="469"/>
      <c r="C143" s="470"/>
      <c r="D143" s="469"/>
      <c r="E143" s="469"/>
      <c r="F143" s="470"/>
      <c r="G143" s="469"/>
      <c r="H143" s="469"/>
      <c r="I143" s="470"/>
      <c r="J143" s="469"/>
      <c r="K143" s="469"/>
      <c r="L143" s="470"/>
      <c r="M143" s="469" t="s">
        <v>255</v>
      </c>
      <c r="N143" s="469" t="s">
        <v>492</v>
      </c>
      <c r="O143" s="470"/>
      <c r="P143" s="469"/>
      <c r="Q143" s="469"/>
      <c r="R143" s="480"/>
      <c r="S143" s="469"/>
      <c r="T143" s="469"/>
      <c r="U143" s="480"/>
      <c r="V143" s="469"/>
      <c r="W143" s="469"/>
      <c r="X143" s="470"/>
      <c r="Y143" s="473"/>
      <c r="Z143" s="478"/>
    </row>
    <row r="144" customFormat="false" ht="15.75" hidden="false" customHeight="false" outlineLevel="0" collapsed="false">
      <c r="A144" s="469"/>
      <c r="B144" s="469"/>
      <c r="C144" s="470"/>
      <c r="D144" s="469"/>
      <c r="E144" s="469"/>
      <c r="F144" s="470"/>
      <c r="G144" s="469"/>
      <c r="H144" s="469"/>
      <c r="I144" s="470"/>
      <c r="J144" s="469"/>
      <c r="K144" s="469"/>
      <c r="L144" s="470"/>
      <c r="M144" s="469" t="s">
        <v>255</v>
      </c>
      <c r="N144" s="469" t="s">
        <v>497</v>
      </c>
      <c r="O144" s="470"/>
      <c r="P144" s="469"/>
      <c r="Q144" s="469"/>
      <c r="R144" s="480"/>
      <c r="S144" s="469"/>
      <c r="T144" s="469"/>
      <c r="U144" s="480"/>
      <c r="V144" s="469"/>
      <c r="W144" s="469"/>
      <c r="X144" s="470"/>
      <c r="Y144" s="473"/>
      <c r="Z144" s="478"/>
    </row>
    <row r="145" customFormat="false" ht="15.75" hidden="false" customHeight="false" outlineLevel="0" collapsed="false">
      <c r="A145" s="469"/>
      <c r="B145" s="469"/>
      <c r="C145" s="470"/>
      <c r="D145" s="469"/>
      <c r="E145" s="469"/>
      <c r="F145" s="470"/>
      <c r="G145" s="469"/>
      <c r="H145" s="469"/>
      <c r="I145" s="470"/>
      <c r="J145" s="469"/>
      <c r="K145" s="469"/>
      <c r="L145" s="470"/>
      <c r="M145" s="469" t="s">
        <v>255</v>
      </c>
      <c r="N145" s="469" t="s">
        <v>501</v>
      </c>
      <c r="O145" s="470"/>
      <c r="P145" s="469"/>
      <c r="Q145" s="469"/>
      <c r="R145" s="480"/>
      <c r="S145" s="469"/>
      <c r="T145" s="469"/>
      <c r="U145" s="480"/>
      <c r="V145" s="469"/>
      <c r="W145" s="469"/>
      <c r="X145" s="470"/>
      <c r="Y145" s="473"/>
      <c r="Z145" s="478"/>
    </row>
    <row r="146" customFormat="false" ht="15.75" hidden="false" customHeight="false" outlineLevel="0" collapsed="false">
      <c r="A146" s="469"/>
      <c r="B146" s="469"/>
      <c r="C146" s="470"/>
      <c r="D146" s="469"/>
      <c r="E146" s="469"/>
      <c r="F146" s="470"/>
      <c r="G146" s="469"/>
      <c r="H146" s="469"/>
      <c r="I146" s="470"/>
      <c r="J146" s="469"/>
      <c r="K146" s="469"/>
      <c r="L146" s="470"/>
      <c r="M146" s="469" t="s">
        <v>255</v>
      </c>
      <c r="N146" s="469" t="s">
        <v>506</v>
      </c>
      <c r="O146" s="470"/>
      <c r="P146" s="469"/>
      <c r="Q146" s="469"/>
      <c r="R146" s="480"/>
      <c r="S146" s="469"/>
      <c r="T146" s="469"/>
      <c r="U146" s="480"/>
      <c r="V146" s="469"/>
      <c r="W146" s="469"/>
      <c r="X146" s="470"/>
      <c r="Y146" s="473"/>
      <c r="Z146" s="478"/>
    </row>
    <row r="147" customFormat="false" ht="15.75" hidden="false" customHeight="false" outlineLevel="0" collapsed="false">
      <c r="A147" s="469"/>
      <c r="B147" s="469"/>
      <c r="C147" s="470"/>
      <c r="D147" s="469"/>
      <c r="E147" s="469"/>
      <c r="F147" s="470"/>
      <c r="G147" s="469"/>
      <c r="H147" s="469"/>
      <c r="I147" s="470"/>
      <c r="J147" s="469"/>
      <c r="K147" s="469"/>
      <c r="L147" s="470"/>
      <c r="M147" s="469" t="s">
        <v>255</v>
      </c>
      <c r="N147" s="469" t="s">
        <v>510</v>
      </c>
      <c r="O147" s="470"/>
      <c r="P147" s="469"/>
      <c r="Q147" s="469"/>
      <c r="R147" s="480"/>
      <c r="S147" s="469"/>
      <c r="T147" s="469"/>
      <c r="U147" s="480"/>
      <c r="V147" s="469"/>
      <c r="W147" s="469"/>
      <c r="X147" s="470"/>
      <c r="Y147" s="473"/>
      <c r="Z147" s="478"/>
    </row>
    <row r="148" customFormat="false" ht="15.75" hidden="false" customHeight="false" outlineLevel="0" collapsed="false">
      <c r="A148" s="469"/>
      <c r="B148" s="469"/>
      <c r="C148" s="470"/>
      <c r="D148" s="469"/>
      <c r="E148" s="469"/>
      <c r="F148" s="470"/>
      <c r="G148" s="469"/>
      <c r="H148" s="469"/>
      <c r="I148" s="470"/>
      <c r="J148" s="469"/>
      <c r="K148" s="469"/>
      <c r="L148" s="470"/>
      <c r="M148" s="469" t="s">
        <v>255</v>
      </c>
      <c r="N148" s="469" t="s">
        <v>764</v>
      </c>
      <c r="O148" s="470"/>
      <c r="P148" s="469"/>
      <c r="Q148" s="469"/>
      <c r="R148" s="480"/>
      <c r="S148" s="469"/>
      <c r="T148" s="469"/>
      <c r="U148" s="480"/>
      <c r="V148" s="469"/>
      <c r="W148" s="469"/>
      <c r="X148" s="470"/>
      <c r="Y148" s="473"/>
      <c r="Z148" s="478"/>
    </row>
    <row r="149" customFormat="false" ht="15.75" hidden="false" customHeight="false" outlineLevel="0" collapsed="false">
      <c r="A149" s="469"/>
      <c r="B149" s="469"/>
      <c r="C149" s="470"/>
      <c r="D149" s="469"/>
      <c r="E149" s="469"/>
      <c r="F149" s="470"/>
      <c r="G149" s="469"/>
      <c r="H149" s="469"/>
      <c r="I149" s="470"/>
      <c r="J149" s="469"/>
      <c r="K149" s="469"/>
      <c r="L149" s="470"/>
      <c r="M149" s="469" t="s">
        <v>255</v>
      </c>
      <c r="N149" s="469" t="s">
        <v>513</v>
      </c>
      <c r="O149" s="470"/>
      <c r="P149" s="469"/>
      <c r="Q149" s="469"/>
      <c r="R149" s="480"/>
      <c r="S149" s="469"/>
      <c r="T149" s="469"/>
      <c r="U149" s="480"/>
      <c r="V149" s="469"/>
      <c r="W149" s="469"/>
      <c r="X149" s="470"/>
      <c r="Y149" s="473"/>
      <c r="Z149" s="478"/>
    </row>
    <row r="150" customFormat="false" ht="15.75" hidden="false" customHeight="false" outlineLevel="0" collapsed="false">
      <c r="A150" s="469"/>
      <c r="B150" s="469"/>
      <c r="C150" s="470"/>
      <c r="D150" s="469"/>
      <c r="E150" s="469"/>
      <c r="F150" s="470"/>
      <c r="G150" s="469"/>
      <c r="H150" s="469"/>
      <c r="I150" s="470"/>
      <c r="J150" s="469"/>
      <c r="K150" s="469"/>
      <c r="L150" s="470"/>
      <c r="M150" s="469" t="s">
        <v>255</v>
      </c>
      <c r="N150" s="469" t="s">
        <v>517</v>
      </c>
      <c r="O150" s="470"/>
      <c r="P150" s="469"/>
      <c r="Q150" s="469"/>
      <c r="R150" s="480"/>
      <c r="S150" s="469"/>
      <c r="T150" s="469"/>
      <c r="U150" s="480"/>
      <c r="V150" s="469"/>
      <c r="W150" s="469"/>
      <c r="X150" s="470"/>
      <c r="Y150" s="473"/>
      <c r="Z150" s="478"/>
    </row>
    <row r="151" customFormat="false" ht="15.75" hidden="false" customHeight="false" outlineLevel="0" collapsed="false">
      <c r="A151" s="469"/>
      <c r="B151" s="469"/>
      <c r="C151" s="470"/>
      <c r="D151" s="469"/>
      <c r="E151" s="469"/>
      <c r="F151" s="470"/>
      <c r="G151" s="469"/>
      <c r="H151" s="469"/>
      <c r="I151" s="470"/>
      <c r="J151" s="469"/>
      <c r="K151" s="469"/>
      <c r="L151" s="470"/>
      <c r="M151" s="469" t="s">
        <v>255</v>
      </c>
      <c r="N151" s="469" t="s">
        <v>521</v>
      </c>
      <c r="O151" s="470"/>
      <c r="P151" s="469"/>
      <c r="Q151" s="469"/>
      <c r="R151" s="480"/>
      <c r="S151" s="469"/>
      <c r="T151" s="469"/>
      <c r="U151" s="480"/>
      <c r="V151" s="469"/>
      <c r="W151" s="469"/>
      <c r="X151" s="470"/>
      <c r="Y151" s="473"/>
      <c r="Z151" s="478"/>
    </row>
    <row r="152" customFormat="false" ht="15.75" hidden="false" customHeight="false" outlineLevel="0" collapsed="false">
      <c r="A152" s="469"/>
      <c r="B152" s="469"/>
      <c r="C152" s="470"/>
      <c r="D152" s="469"/>
      <c r="E152" s="469"/>
      <c r="F152" s="470"/>
      <c r="G152" s="469"/>
      <c r="H152" s="469"/>
      <c r="I152" s="470"/>
      <c r="J152" s="469"/>
      <c r="K152" s="469"/>
      <c r="L152" s="470"/>
      <c r="M152" s="469" t="s">
        <v>255</v>
      </c>
      <c r="N152" s="469" t="s">
        <v>525</v>
      </c>
      <c r="O152" s="470"/>
      <c r="P152" s="469"/>
      <c r="Q152" s="469"/>
      <c r="R152" s="480"/>
      <c r="S152" s="469"/>
      <c r="T152" s="469"/>
      <c r="U152" s="480"/>
      <c r="V152" s="469"/>
      <c r="W152" s="469"/>
      <c r="X152" s="470"/>
      <c r="Y152" s="473"/>
      <c r="Z152" s="478"/>
    </row>
    <row r="153" customFormat="false" ht="15.75" hidden="false" customHeight="false" outlineLevel="0" collapsed="false">
      <c r="A153" s="469"/>
      <c r="B153" s="469"/>
      <c r="C153" s="470"/>
      <c r="D153" s="469"/>
      <c r="E153" s="469"/>
      <c r="F153" s="470"/>
      <c r="G153" s="469"/>
      <c r="H153" s="469"/>
      <c r="I153" s="470"/>
      <c r="J153" s="469"/>
      <c r="K153" s="469"/>
      <c r="L153" s="470"/>
      <c r="M153" s="469" t="s">
        <v>255</v>
      </c>
      <c r="N153" s="469" t="s">
        <v>528</v>
      </c>
      <c r="O153" s="470"/>
      <c r="P153" s="469"/>
      <c r="Q153" s="469"/>
      <c r="R153" s="480"/>
      <c r="S153" s="469"/>
      <c r="T153" s="469"/>
      <c r="U153" s="480"/>
      <c r="V153" s="469"/>
      <c r="W153" s="469"/>
      <c r="X153" s="470"/>
      <c r="Y153" s="473"/>
      <c r="Z153" s="478"/>
    </row>
    <row r="154" customFormat="false" ht="15.75" hidden="false" customHeight="false" outlineLevel="0" collapsed="false">
      <c r="A154" s="469"/>
      <c r="B154" s="469"/>
      <c r="C154" s="470"/>
      <c r="D154" s="469"/>
      <c r="E154" s="469"/>
      <c r="F154" s="470"/>
      <c r="G154" s="469"/>
      <c r="H154" s="469"/>
      <c r="I154" s="470"/>
      <c r="J154" s="469"/>
      <c r="K154" s="469"/>
      <c r="L154" s="470"/>
      <c r="M154" s="469" t="s">
        <v>255</v>
      </c>
      <c r="N154" s="469" t="s">
        <v>532</v>
      </c>
      <c r="O154" s="470"/>
      <c r="P154" s="469"/>
      <c r="Q154" s="469"/>
      <c r="R154" s="480"/>
      <c r="S154" s="469"/>
      <c r="T154" s="469"/>
      <c r="U154" s="480"/>
      <c r="V154" s="469"/>
      <c r="W154" s="469"/>
      <c r="X154" s="470"/>
      <c r="Y154" s="473"/>
      <c r="Z154" s="478"/>
    </row>
    <row r="155" customFormat="false" ht="15.75" hidden="false" customHeight="false" outlineLevel="0" collapsed="false">
      <c r="A155" s="469"/>
      <c r="B155" s="469"/>
      <c r="C155" s="470"/>
      <c r="D155" s="469"/>
      <c r="E155" s="469"/>
      <c r="F155" s="470"/>
      <c r="G155" s="469"/>
      <c r="H155" s="469"/>
      <c r="I155" s="470"/>
      <c r="J155" s="469"/>
      <c r="K155" s="469"/>
      <c r="L155" s="470"/>
      <c r="M155" s="469" t="s">
        <v>255</v>
      </c>
      <c r="N155" s="469" t="s">
        <v>765</v>
      </c>
      <c r="O155" s="470"/>
      <c r="P155" s="469"/>
      <c r="Q155" s="469"/>
      <c r="R155" s="480"/>
      <c r="S155" s="469"/>
      <c r="T155" s="469"/>
      <c r="U155" s="480"/>
      <c r="V155" s="469"/>
      <c r="W155" s="469"/>
      <c r="X155" s="470"/>
      <c r="Y155" s="473"/>
      <c r="Z155" s="478"/>
    </row>
    <row r="156" customFormat="false" ht="15.75" hidden="false" customHeight="false" outlineLevel="0" collapsed="false">
      <c r="A156" s="469"/>
      <c r="B156" s="469"/>
      <c r="C156" s="470"/>
      <c r="D156" s="469"/>
      <c r="E156" s="469"/>
      <c r="F156" s="470"/>
      <c r="G156" s="469"/>
      <c r="H156" s="469"/>
      <c r="I156" s="470"/>
      <c r="J156" s="469"/>
      <c r="K156" s="469"/>
      <c r="L156" s="470"/>
      <c r="M156" s="469" t="s">
        <v>255</v>
      </c>
      <c r="N156" s="469" t="s">
        <v>766</v>
      </c>
      <c r="O156" s="470"/>
      <c r="P156" s="469"/>
      <c r="Q156" s="469"/>
      <c r="R156" s="480"/>
      <c r="S156" s="469"/>
      <c r="T156" s="469"/>
      <c r="U156" s="480"/>
      <c r="V156" s="469"/>
      <c r="W156" s="469"/>
      <c r="X156" s="470"/>
      <c r="Y156" s="473"/>
      <c r="Z156" s="478"/>
    </row>
    <row r="157" customFormat="false" ht="15.75" hidden="false" customHeight="false" outlineLevel="0" collapsed="false">
      <c r="A157" s="469"/>
      <c r="B157" s="469"/>
      <c r="C157" s="470"/>
      <c r="D157" s="469"/>
      <c r="E157" s="469"/>
      <c r="F157" s="470"/>
      <c r="G157" s="469"/>
      <c r="H157" s="469"/>
      <c r="I157" s="470"/>
      <c r="J157" s="469"/>
      <c r="K157" s="469"/>
      <c r="L157" s="470"/>
      <c r="M157" s="469" t="s">
        <v>255</v>
      </c>
      <c r="N157" s="469" t="s">
        <v>543</v>
      </c>
      <c r="O157" s="470"/>
      <c r="P157" s="469"/>
      <c r="Q157" s="469"/>
      <c r="R157" s="480"/>
      <c r="S157" s="469"/>
      <c r="T157" s="469"/>
      <c r="U157" s="480"/>
      <c r="V157" s="469"/>
      <c r="W157" s="469"/>
      <c r="X157" s="470"/>
      <c r="Y157" s="473"/>
      <c r="Z157" s="478"/>
    </row>
    <row r="158" customFormat="false" ht="15.75" hidden="false" customHeight="false" outlineLevel="0" collapsed="false">
      <c r="A158" s="469"/>
      <c r="B158" s="469"/>
      <c r="C158" s="470"/>
      <c r="D158" s="469"/>
      <c r="E158" s="469"/>
      <c r="F158" s="470"/>
      <c r="G158" s="469"/>
      <c r="H158" s="469"/>
      <c r="I158" s="470"/>
      <c r="J158" s="469"/>
      <c r="K158" s="469"/>
      <c r="L158" s="470"/>
      <c r="M158" s="469" t="s">
        <v>711</v>
      </c>
      <c r="N158" s="469" t="s">
        <v>111</v>
      </c>
      <c r="O158" s="470"/>
      <c r="P158" s="469"/>
      <c r="Q158" s="469"/>
      <c r="R158" s="480"/>
      <c r="S158" s="469"/>
      <c r="T158" s="469"/>
      <c r="U158" s="480"/>
      <c r="V158" s="469"/>
      <c r="W158" s="469"/>
      <c r="X158" s="470"/>
      <c r="Y158" s="473"/>
      <c r="Z158" s="478"/>
    </row>
    <row r="159" customFormat="false" ht="15.75" hidden="false" customHeight="false" outlineLevel="0" collapsed="false">
      <c r="A159" s="469"/>
      <c r="B159" s="469"/>
      <c r="C159" s="470"/>
      <c r="D159" s="469"/>
      <c r="E159" s="469"/>
      <c r="F159" s="470"/>
      <c r="G159" s="469"/>
      <c r="H159" s="469"/>
      <c r="I159" s="470"/>
      <c r="J159" s="469"/>
      <c r="K159" s="469"/>
      <c r="L159" s="470"/>
      <c r="M159" s="469" t="s">
        <v>255</v>
      </c>
      <c r="N159" s="469" t="s">
        <v>550</v>
      </c>
      <c r="O159" s="470"/>
      <c r="P159" s="469"/>
      <c r="Q159" s="469"/>
      <c r="R159" s="480"/>
      <c r="S159" s="469"/>
      <c r="T159" s="469"/>
      <c r="U159" s="480"/>
      <c r="V159" s="469"/>
      <c r="W159" s="469"/>
      <c r="X159" s="470"/>
      <c r="Y159" s="473"/>
      <c r="Z159" s="478"/>
    </row>
    <row r="160" customFormat="false" ht="15.75" hidden="false" customHeight="false" outlineLevel="0" collapsed="false">
      <c r="A160" s="469"/>
      <c r="B160" s="469"/>
      <c r="C160" s="470"/>
      <c r="D160" s="469"/>
      <c r="E160" s="469"/>
      <c r="F160" s="470"/>
      <c r="G160" s="469"/>
      <c r="H160" s="469"/>
      <c r="I160" s="470"/>
      <c r="J160" s="469"/>
      <c r="K160" s="469"/>
      <c r="L160" s="470"/>
      <c r="M160" s="469" t="s">
        <v>255</v>
      </c>
      <c r="N160" s="469" t="s">
        <v>554</v>
      </c>
      <c r="O160" s="470"/>
      <c r="P160" s="469"/>
      <c r="Q160" s="469"/>
      <c r="R160" s="480"/>
      <c r="S160" s="469"/>
      <c r="T160" s="469"/>
      <c r="U160" s="480"/>
      <c r="V160" s="469"/>
      <c r="W160" s="469"/>
      <c r="X160" s="470"/>
      <c r="Y160" s="473"/>
      <c r="Z160" s="478"/>
    </row>
    <row r="161" customFormat="false" ht="15.75" hidden="false" customHeight="false" outlineLevel="0" collapsed="false">
      <c r="A161" s="469"/>
      <c r="B161" s="469"/>
      <c r="C161" s="470"/>
      <c r="D161" s="469"/>
      <c r="E161" s="469"/>
      <c r="F161" s="470"/>
      <c r="G161" s="469"/>
      <c r="H161" s="469"/>
      <c r="I161" s="470"/>
      <c r="J161" s="469"/>
      <c r="K161" s="469"/>
      <c r="L161" s="470"/>
      <c r="M161" s="469" t="s">
        <v>255</v>
      </c>
      <c r="N161" s="469" t="s">
        <v>557</v>
      </c>
      <c r="O161" s="470"/>
      <c r="P161" s="469"/>
      <c r="Q161" s="469"/>
      <c r="R161" s="480"/>
      <c r="S161" s="469"/>
      <c r="T161" s="469"/>
      <c r="U161" s="480"/>
      <c r="V161" s="469"/>
      <c r="W161" s="469"/>
      <c r="X161" s="470"/>
      <c r="Y161" s="473"/>
      <c r="Z161" s="478"/>
    </row>
    <row r="162" customFormat="false" ht="15.75" hidden="false" customHeight="false" outlineLevel="0" collapsed="false">
      <c r="A162" s="469"/>
      <c r="B162" s="469"/>
      <c r="C162" s="470"/>
      <c r="D162" s="469"/>
      <c r="E162" s="469"/>
      <c r="F162" s="470"/>
      <c r="G162" s="469"/>
      <c r="H162" s="469"/>
      <c r="I162" s="470"/>
      <c r="J162" s="469"/>
      <c r="K162" s="469"/>
      <c r="L162" s="470"/>
      <c r="M162" s="469" t="s">
        <v>255</v>
      </c>
      <c r="N162" s="469" t="s">
        <v>561</v>
      </c>
      <c r="O162" s="470"/>
      <c r="P162" s="469"/>
      <c r="Q162" s="469"/>
      <c r="R162" s="480"/>
      <c r="S162" s="469"/>
      <c r="T162" s="469"/>
      <c r="U162" s="480"/>
      <c r="V162" s="469"/>
      <c r="W162" s="469"/>
      <c r="X162" s="470"/>
      <c r="Y162" s="473"/>
      <c r="Z162" s="478"/>
    </row>
    <row r="163" customFormat="false" ht="15.75" hidden="false" customHeight="false" outlineLevel="0" collapsed="false">
      <c r="A163" s="469"/>
      <c r="B163" s="469"/>
      <c r="C163" s="470"/>
      <c r="D163" s="469"/>
      <c r="E163" s="469"/>
      <c r="F163" s="470"/>
      <c r="G163" s="469"/>
      <c r="H163" s="469"/>
      <c r="I163" s="470"/>
      <c r="J163" s="469"/>
      <c r="K163" s="469"/>
      <c r="L163" s="470"/>
      <c r="M163" s="469" t="s">
        <v>255</v>
      </c>
      <c r="N163" s="469" t="s">
        <v>569</v>
      </c>
      <c r="O163" s="470"/>
      <c r="P163" s="469"/>
      <c r="Q163" s="469"/>
      <c r="R163" s="480"/>
      <c r="S163" s="469"/>
      <c r="T163" s="469"/>
      <c r="U163" s="480"/>
      <c r="V163" s="469"/>
      <c r="W163" s="469"/>
      <c r="X163" s="470"/>
      <c r="Y163" s="473"/>
      <c r="Z163" s="478"/>
    </row>
    <row r="164" customFormat="false" ht="15.75" hidden="false" customHeight="false" outlineLevel="0" collapsed="false">
      <c r="A164" s="469"/>
      <c r="B164" s="469"/>
      <c r="C164" s="470"/>
      <c r="D164" s="469"/>
      <c r="E164" s="469"/>
      <c r="F164" s="470"/>
      <c r="G164" s="469"/>
      <c r="H164" s="469"/>
      <c r="I164" s="470"/>
      <c r="J164" s="469"/>
      <c r="K164" s="469"/>
      <c r="L164" s="470"/>
      <c r="M164" s="469" t="s">
        <v>255</v>
      </c>
      <c r="N164" s="469" t="s">
        <v>573</v>
      </c>
      <c r="O164" s="470"/>
      <c r="P164" s="469"/>
      <c r="Q164" s="469"/>
      <c r="R164" s="480"/>
      <c r="S164" s="469"/>
      <c r="T164" s="469"/>
      <c r="U164" s="480"/>
      <c r="V164" s="469"/>
      <c r="W164" s="469"/>
      <c r="X164" s="470"/>
      <c r="Y164" s="473"/>
      <c r="Z164" s="478"/>
    </row>
    <row r="165" customFormat="false" ht="15.75" hidden="false" customHeight="false" outlineLevel="0" collapsed="false">
      <c r="A165" s="469"/>
      <c r="B165" s="469"/>
      <c r="C165" s="470"/>
      <c r="D165" s="469"/>
      <c r="E165" s="469"/>
      <c r="F165" s="470"/>
      <c r="G165" s="469"/>
      <c r="H165" s="469"/>
      <c r="I165" s="470"/>
      <c r="J165" s="469"/>
      <c r="K165" s="469"/>
      <c r="L165" s="470"/>
      <c r="M165" s="469" t="s">
        <v>255</v>
      </c>
      <c r="N165" s="469" t="s">
        <v>581</v>
      </c>
      <c r="O165" s="470"/>
      <c r="P165" s="469"/>
      <c r="Q165" s="469"/>
      <c r="R165" s="480"/>
      <c r="S165" s="469"/>
      <c r="T165" s="469"/>
      <c r="U165" s="480"/>
      <c r="V165" s="469"/>
      <c r="W165" s="469"/>
      <c r="X165" s="470"/>
      <c r="Y165" s="473"/>
      <c r="Z165" s="478"/>
    </row>
    <row r="166" customFormat="false" ht="15.75" hidden="false" customHeight="false" outlineLevel="0" collapsed="false">
      <c r="A166" s="469"/>
      <c r="B166" s="469"/>
      <c r="C166" s="470"/>
      <c r="D166" s="469"/>
      <c r="E166" s="469"/>
      <c r="F166" s="470"/>
      <c r="G166" s="469"/>
      <c r="H166" s="469"/>
      <c r="I166" s="470"/>
      <c r="J166" s="469"/>
      <c r="K166" s="469"/>
      <c r="L166" s="470"/>
      <c r="M166" s="469" t="s">
        <v>255</v>
      </c>
      <c r="N166" s="469" t="s">
        <v>585</v>
      </c>
      <c r="O166" s="470"/>
      <c r="P166" s="469"/>
      <c r="Q166" s="469"/>
      <c r="R166" s="480"/>
      <c r="S166" s="469"/>
      <c r="T166" s="469"/>
      <c r="U166" s="480"/>
      <c r="V166" s="469"/>
      <c r="W166" s="469"/>
      <c r="X166" s="470"/>
      <c r="Y166" s="473"/>
      <c r="Z166" s="478"/>
    </row>
    <row r="167" customFormat="false" ht="15.75" hidden="false" customHeight="false" outlineLevel="0" collapsed="false">
      <c r="A167" s="469"/>
      <c r="B167" s="469"/>
      <c r="C167" s="470"/>
      <c r="D167" s="469"/>
      <c r="E167" s="469"/>
      <c r="F167" s="470"/>
      <c r="G167" s="469"/>
      <c r="H167" s="469"/>
      <c r="I167" s="470"/>
      <c r="J167" s="469"/>
      <c r="K167" s="469"/>
      <c r="L167" s="470"/>
      <c r="M167" s="469" t="s">
        <v>255</v>
      </c>
      <c r="N167" s="469" t="s">
        <v>589</v>
      </c>
      <c r="O167" s="470"/>
      <c r="P167" s="469"/>
      <c r="Q167" s="469"/>
      <c r="R167" s="480"/>
      <c r="S167" s="469"/>
      <c r="T167" s="469"/>
      <c r="U167" s="480"/>
      <c r="V167" s="469"/>
      <c r="W167" s="469"/>
      <c r="X167" s="470"/>
      <c r="Y167" s="473"/>
      <c r="Z167" s="478"/>
    </row>
    <row r="168" customFormat="false" ht="15.75" hidden="false" customHeight="false" outlineLevel="0" collapsed="false">
      <c r="A168" s="469"/>
      <c r="B168" s="469"/>
      <c r="C168" s="470"/>
      <c r="D168" s="469"/>
      <c r="E168" s="469"/>
      <c r="F168" s="470"/>
      <c r="G168" s="469"/>
      <c r="H168" s="469"/>
      <c r="I168" s="470"/>
      <c r="J168" s="469"/>
      <c r="K168" s="469"/>
      <c r="L168" s="470"/>
      <c r="M168" s="469" t="s">
        <v>255</v>
      </c>
      <c r="N168" s="469" t="s">
        <v>592</v>
      </c>
      <c r="O168" s="470"/>
      <c r="P168" s="469"/>
      <c r="Q168" s="469"/>
      <c r="R168" s="480"/>
      <c r="S168" s="469"/>
      <c r="T168" s="469"/>
      <c r="U168" s="480"/>
      <c r="V168" s="469"/>
      <c r="W168" s="469"/>
      <c r="X168" s="470"/>
      <c r="Y168" s="473"/>
      <c r="Z168" s="478"/>
    </row>
    <row r="169" customFormat="false" ht="15.75" hidden="false" customHeight="false" outlineLevel="0" collapsed="false">
      <c r="A169" s="469"/>
      <c r="B169" s="469"/>
      <c r="C169" s="470"/>
      <c r="D169" s="469"/>
      <c r="E169" s="469"/>
      <c r="F169" s="470"/>
      <c r="G169" s="469"/>
      <c r="H169" s="469"/>
      <c r="I169" s="470"/>
      <c r="J169" s="469"/>
      <c r="K169" s="469"/>
      <c r="L169" s="470"/>
      <c r="M169" s="469" t="s">
        <v>255</v>
      </c>
      <c r="N169" s="469" t="s">
        <v>599</v>
      </c>
      <c r="O169" s="470"/>
      <c r="P169" s="469"/>
      <c r="Q169" s="469"/>
      <c r="R169" s="480"/>
      <c r="S169" s="469"/>
      <c r="T169" s="469"/>
      <c r="U169" s="480"/>
      <c r="V169" s="469"/>
      <c r="W169" s="469"/>
      <c r="X169" s="470"/>
      <c r="Y169" s="473"/>
      <c r="Z169" s="478"/>
    </row>
    <row r="170" customFormat="false" ht="15.75" hidden="false" customHeight="false" outlineLevel="0" collapsed="false">
      <c r="A170" s="469"/>
      <c r="B170" s="469"/>
      <c r="C170" s="470"/>
      <c r="D170" s="469"/>
      <c r="E170" s="469"/>
      <c r="F170" s="470"/>
      <c r="G170" s="469"/>
      <c r="H170" s="469"/>
      <c r="I170" s="470"/>
      <c r="J170" s="469"/>
      <c r="K170" s="469"/>
      <c r="L170" s="470"/>
      <c r="M170" s="469" t="s">
        <v>255</v>
      </c>
      <c r="N170" s="469" t="s">
        <v>602</v>
      </c>
      <c r="O170" s="470"/>
      <c r="P170" s="469"/>
      <c r="Q170" s="469"/>
      <c r="R170" s="480"/>
      <c r="S170" s="469"/>
      <c r="T170" s="469"/>
      <c r="U170" s="480"/>
      <c r="V170" s="469"/>
      <c r="W170" s="469"/>
      <c r="X170" s="470"/>
      <c r="Y170" s="473"/>
      <c r="Z170" s="478"/>
    </row>
    <row r="171" customFormat="false" ht="15.75" hidden="false" customHeight="false" outlineLevel="0" collapsed="false">
      <c r="A171" s="469"/>
      <c r="B171" s="469"/>
      <c r="C171" s="470"/>
      <c r="D171" s="469"/>
      <c r="E171" s="469"/>
      <c r="F171" s="470"/>
      <c r="G171" s="469"/>
      <c r="H171" s="469"/>
      <c r="I171" s="470"/>
      <c r="J171" s="469"/>
      <c r="K171" s="469"/>
      <c r="L171" s="470"/>
      <c r="M171" s="469" t="s">
        <v>255</v>
      </c>
      <c r="N171" s="469" t="s">
        <v>606</v>
      </c>
      <c r="O171" s="470"/>
      <c r="P171" s="469"/>
      <c r="Q171" s="469"/>
      <c r="R171" s="480"/>
      <c r="S171" s="469"/>
      <c r="T171" s="469"/>
      <c r="U171" s="480"/>
      <c r="V171" s="469"/>
      <c r="W171" s="469"/>
      <c r="X171" s="470"/>
      <c r="Y171" s="473"/>
      <c r="Z171" s="478"/>
    </row>
    <row r="172" customFormat="false" ht="15.75" hidden="false" customHeight="false" outlineLevel="0" collapsed="false">
      <c r="A172" s="469"/>
      <c r="B172" s="469"/>
      <c r="C172" s="470"/>
      <c r="D172" s="469"/>
      <c r="E172" s="469"/>
      <c r="F172" s="470"/>
      <c r="G172" s="469"/>
      <c r="H172" s="469"/>
      <c r="I172" s="470"/>
      <c r="J172" s="469"/>
      <c r="K172" s="469"/>
      <c r="L172" s="470"/>
      <c r="M172" s="469" t="s">
        <v>255</v>
      </c>
      <c r="N172" s="469" t="s">
        <v>609</v>
      </c>
      <c r="O172" s="470"/>
      <c r="P172" s="469"/>
      <c r="Q172" s="469"/>
      <c r="R172" s="480"/>
      <c r="S172" s="469"/>
      <c r="T172" s="469"/>
      <c r="U172" s="480"/>
      <c r="V172" s="469"/>
      <c r="W172" s="469"/>
      <c r="X172" s="470"/>
      <c r="Y172" s="473"/>
      <c r="Z172" s="478"/>
    </row>
    <row r="173" customFormat="false" ht="15.75" hidden="false" customHeight="false" outlineLevel="0" collapsed="false">
      <c r="A173" s="469"/>
      <c r="B173" s="469"/>
      <c r="C173" s="470"/>
      <c r="D173" s="469"/>
      <c r="E173" s="469"/>
      <c r="F173" s="470"/>
      <c r="G173" s="469"/>
      <c r="H173" s="469"/>
      <c r="I173" s="470"/>
      <c r="J173" s="469"/>
      <c r="K173" s="469"/>
      <c r="L173" s="470"/>
      <c r="M173" s="469" t="s">
        <v>255</v>
      </c>
      <c r="N173" s="469" t="s">
        <v>613</v>
      </c>
      <c r="O173" s="470"/>
      <c r="P173" s="469"/>
      <c r="Q173" s="469"/>
      <c r="R173" s="480"/>
      <c r="S173" s="469"/>
      <c r="T173" s="469"/>
      <c r="U173" s="480"/>
      <c r="V173" s="469"/>
      <c r="W173" s="469"/>
      <c r="X173" s="470"/>
      <c r="Y173" s="473"/>
      <c r="Z173" s="478"/>
    </row>
    <row r="174" customFormat="false" ht="15.75" hidden="false" customHeight="false" outlineLevel="0" collapsed="false">
      <c r="A174" s="469"/>
      <c r="B174" s="469"/>
      <c r="C174" s="470"/>
      <c r="D174" s="469"/>
      <c r="E174" s="469"/>
      <c r="F174" s="470"/>
      <c r="G174" s="469"/>
      <c r="H174" s="469"/>
      <c r="I174" s="470"/>
      <c r="J174" s="469"/>
      <c r="K174" s="469"/>
      <c r="L174" s="470"/>
      <c r="M174" s="469" t="s">
        <v>255</v>
      </c>
      <c r="N174" s="469" t="s">
        <v>616</v>
      </c>
      <c r="O174" s="470"/>
      <c r="P174" s="469"/>
      <c r="Q174" s="469"/>
      <c r="R174" s="480"/>
      <c r="S174" s="469"/>
      <c r="T174" s="469"/>
      <c r="U174" s="480"/>
      <c r="V174" s="469"/>
      <c r="W174" s="469"/>
      <c r="X174" s="470"/>
      <c r="Y174" s="473"/>
      <c r="Z174" s="478"/>
    </row>
    <row r="175" customFormat="false" ht="15.75" hidden="false" customHeight="false" outlineLevel="0" collapsed="false">
      <c r="A175" s="469"/>
      <c r="B175" s="469"/>
      <c r="C175" s="470"/>
      <c r="D175" s="469"/>
      <c r="E175" s="469"/>
      <c r="F175" s="470"/>
      <c r="G175" s="469"/>
      <c r="H175" s="469"/>
      <c r="I175" s="470"/>
      <c r="J175" s="469"/>
      <c r="K175" s="469"/>
      <c r="L175" s="470"/>
      <c r="M175" s="469" t="s">
        <v>255</v>
      </c>
      <c r="N175" s="469" t="s">
        <v>620</v>
      </c>
      <c r="O175" s="470"/>
      <c r="P175" s="469"/>
      <c r="Q175" s="469"/>
      <c r="R175" s="480"/>
      <c r="S175" s="469"/>
      <c r="T175" s="469"/>
      <c r="U175" s="480"/>
      <c r="V175" s="469"/>
      <c r="W175" s="469"/>
      <c r="X175" s="470"/>
      <c r="Y175" s="473"/>
      <c r="Z175" s="478"/>
    </row>
    <row r="176" customFormat="false" ht="15.75" hidden="false" customHeight="false" outlineLevel="0" collapsed="false">
      <c r="A176" s="469"/>
      <c r="B176" s="469"/>
      <c r="C176" s="470"/>
      <c r="D176" s="469"/>
      <c r="E176" s="469"/>
      <c r="F176" s="470"/>
      <c r="G176" s="469"/>
      <c r="H176" s="469"/>
      <c r="I176" s="470"/>
      <c r="J176" s="469"/>
      <c r="K176" s="469"/>
      <c r="L176" s="470"/>
      <c r="M176" s="469" t="s">
        <v>255</v>
      </c>
      <c r="N176" s="469" t="s">
        <v>623</v>
      </c>
      <c r="O176" s="470"/>
      <c r="P176" s="469"/>
      <c r="Q176" s="469"/>
      <c r="R176" s="480"/>
      <c r="S176" s="469"/>
      <c r="T176" s="469"/>
      <c r="U176" s="480"/>
      <c r="V176" s="469"/>
      <c r="W176" s="469"/>
      <c r="X176" s="470"/>
      <c r="Y176" s="473"/>
      <c r="Z176" s="478"/>
    </row>
    <row r="177" customFormat="false" ht="15.75" hidden="false" customHeight="false" outlineLevel="0" collapsed="false">
      <c r="A177" s="469"/>
      <c r="B177" s="469"/>
      <c r="C177" s="470"/>
      <c r="D177" s="469"/>
      <c r="E177" s="469"/>
      <c r="F177" s="470"/>
      <c r="G177" s="469"/>
      <c r="H177" s="469"/>
      <c r="I177" s="470"/>
      <c r="J177" s="469"/>
      <c r="K177" s="469"/>
      <c r="L177" s="470"/>
      <c r="M177" s="469" t="s">
        <v>255</v>
      </c>
      <c r="N177" s="469" t="s">
        <v>625</v>
      </c>
      <c r="O177" s="470"/>
      <c r="P177" s="469"/>
      <c r="Q177" s="469"/>
      <c r="R177" s="480"/>
      <c r="S177" s="469"/>
      <c r="T177" s="469"/>
      <c r="U177" s="480"/>
      <c r="V177" s="469"/>
      <c r="W177" s="469"/>
      <c r="X177" s="470"/>
      <c r="Y177" s="473"/>
      <c r="Z177" s="478"/>
    </row>
    <row r="178" customFormat="false" ht="15.75" hidden="false" customHeight="false" outlineLevel="0" collapsed="false">
      <c r="A178" s="469"/>
      <c r="B178" s="469"/>
      <c r="C178" s="470"/>
      <c r="D178" s="469"/>
      <c r="E178" s="469"/>
      <c r="F178" s="470"/>
      <c r="G178" s="469"/>
      <c r="H178" s="469"/>
      <c r="I178" s="470"/>
      <c r="J178" s="469"/>
      <c r="K178" s="469"/>
      <c r="L178" s="470"/>
      <c r="M178" s="469" t="s">
        <v>255</v>
      </c>
      <c r="N178" s="469" t="s">
        <v>628</v>
      </c>
      <c r="O178" s="470"/>
      <c r="P178" s="469"/>
      <c r="Q178" s="469"/>
      <c r="R178" s="480"/>
      <c r="S178" s="469"/>
      <c r="T178" s="469"/>
      <c r="U178" s="480"/>
      <c r="V178" s="469"/>
      <c r="W178" s="469"/>
      <c r="X178" s="470"/>
      <c r="Y178" s="473"/>
      <c r="Z178" s="478"/>
    </row>
    <row r="179" customFormat="false" ht="15.75" hidden="false" customHeight="false" outlineLevel="0" collapsed="false">
      <c r="A179" s="469"/>
      <c r="B179" s="469"/>
      <c r="C179" s="470"/>
      <c r="D179" s="469"/>
      <c r="E179" s="469"/>
      <c r="F179" s="470"/>
      <c r="G179" s="469"/>
      <c r="H179" s="469"/>
      <c r="I179" s="470"/>
      <c r="J179" s="469"/>
      <c r="K179" s="469"/>
      <c r="L179" s="470"/>
      <c r="M179" s="469" t="s">
        <v>255</v>
      </c>
      <c r="N179" s="469" t="s">
        <v>631</v>
      </c>
      <c r="O179" s="470"/>
      <c r="P179" s="469"/>
      <c r="Q179" s="469"/>
      <c r="R179" s="480"/>
      <c r="S179" s="469"/>
      <c r="T179" s="469"/>
      <c r="U179" s="480"/>
      <c r="V179" s="469"/>
      <c r="W179" s="469"/>
      <c r="X179" s="470"/>
      <c r="Y179" s="473"/>
      <c r="Z179" s="478"/>
    </row>
    <row r="180" customFormat="false" ht="15.75" hidden="false" customHeight="false" outlineLevel="0" collapsed="false">
      <c r="A180" s="469"/>
      <c r="B180" s="469"/>
      <c r="C180" s="470"/>
      <c r="D180" s="469"/>
      <c r="E180" s="469"/>
      <c r="F180" s="470"/>
      <c r="G180" s="469"/>
      <c r="H180" s="469"/>
      <c r="I180" s="470"/>
      <c r="J180" s="469"/>
      <c r="K180" s="469"/>
      <c r="L180" s="470"/>
      <c r="M180" s="469" t="s">
        <v>255</v>
      </c>
      <c r="N180" s="469" t="s">
        <v>634</v>
      </c>
      <c r="O180" s="470"/>
      <c r="P180" s="469"/>
      <c r="Q180" s="469"/>
      <c r="R180" s="480"/>
      <c r="S180" s="469"/>
      <c r="T180" s="469"/>
      <c r="U180" s="480"/>
      <c r="V180" s="469"/>
      <c r="W180" s="469"/>
      <c r="X180" s="470"/>
      <c r="Y180" s="473"/>
      <c r="Z180" s="478"/>
    </row>
    <row r="181" customFormat="false" ht="15.75" hidden="false" customHeight="false" outlineLevel="0" collapsed="false">
      <c r="A181" s="469"/>
      <c r="B181" s="469"/>
      <c r="C181" s="470"/>
      <c r="D181" s="469"/>
      <c r="E181" s="469"/>
      <c r="F181" s="470"/>
      <c r="G181" s="469"/>
      <c r="H181" s="469"/>
      <c r="I181" s="470"/>
      <c r="J181" s="469"/>
      <c r="K181" s="469"/>
      <c r="L181" s="470"/>
      <c r="M181" s="469" t="s">
        <v>255</v>
      </c>
      <c r="N181" s="469" t="s">
        <v>637</v>
      </c>
      <c r="O181" s="470"/>
      <c r="P181" s="469"/>
      <c r="Q181" s="469"/>
      <c r="R181" s="480"/>
      <c r="S181" s="469"/>
      <c r="T181" s="469"/>
      <c r="U181" s="480"/>
      <c r="V181" s="469"/>
      <c r="W181" s="469"/>
      <c r="X181" s="470"/>
      <c r="Y181" s="473"/>
      <c r="Z181" s="478"/>
    </row>
    <row r="182" customFormat="false" ht="15.75" hidden="false" customHeight="false" outlineLevel="0" collapsed="false">
      <c r="A182" s="469"/>
      <c r="B182" s="469"/>
      <c r="C182" s="470"/>
      <c r="D182" s="469"/>
      <c r="E182" s="469"/>
      <c r="F182" s="470"/>
      <c r="G182" s="469"/>
      <c r="H182" s="469"/>
      <c r="I182" s="470"/>
      <c r="J182" s="469"/>
      <c r="K182" s="469"/>
      <c r="L182" s="470"/>
      <c r="M182" s="469" t="s">
        <v>715</v>
      </c>
      <c r="N182" s="469" t="s">
        <v>114</v>
      </c>
      <c r="O182" s="470"/>
      <c r="P182" s="469"/>
      <c r="Q182" s="469"/>
      <c r="R182" s="480"/>
      <c r="S182" s="469"/>
      <c r="T182" s="469"/>
      <c r="U182" s="480"/>
      <c r="V182" s="469"/>
      <c r="W182" s="469"/>
      <c r="X182" s="470"/>
      <c r="Y182" s="473"/>
      <c r="Z182" s="478"/>
    </row>
    <row r="183" customFormat="false" ht="15.75" hidden="false" customHeight="false" outlineLevel="0" collapsed="false">
      <c r="A183" s="469"/>
      <c r="B183" s="469"/>
      <c r="C183" s="470"/>
      <c r="D183" s="469"/>
      <c r="E183" s="469"/>
      <c r="F183" s="470"/>
      <c r="G183" s="469"/>
      <c r="H183" s="469"/>
      <c r="I183" s="470"/>
      <c r="J183" s="469"/>
      <c r="K183" s="469"/>
      <c r="L183" s="470"/>
      <c r="M183" s="469" t="s">
        <v>255</v>
      </c>
      <c r="N183" s="469" t="s">
        <v>641</v>
      </c>
      <c r="O183" s="470"/>
      <c r="P183" s="469"/>
      <c r="Q183" s="469"/>
      <c r="R183" s="480"/>
      <c r="S183" s="469"/>
      <c r="T183" s="469"/>
      <c r="U183" s="480"/>
      <c r="V183" s="469"/>
      <c r="W183" s="469"/>
      <c r="X183" s="470"/>
      <c r="Y183" s="473"/>
      <c r="Z183" s="478"/>
    </row>
    <row r="184" customFormat="false" ht="15.75" hidden="false" customHeight="false" outlineLevel="0" collapsed="false">
      <c r="A184" s="469"/>
      <c r="B184" s="469"/>
      <c r="C184" s="470"/>
      <c r="D184" s="469"/>
      <c r="E184" s="469"/>
      <c r="F184" s="470"/>
      <c r="G184" s="469"/>
      <c r="H184" s="469"/>
      <c r="I184" s="470"/>
      <c r="J184" s="469"/>
      <c r="K184" s="469"/>
      <c r="L184" s="470"/>
      <c r="M184" s="469" t="s">
        <v>255</v>
      </c>
      <c r="N184" s="469" t="s">
        <v>643</v>
      </c>
      <c r="O184" s="470"/>
      <c r="P184" s="469"/>
      <c r="Q184" s="469"/>
      <c r="R184" s="480"/>
      <c r="S184" s="469"/>
      <c r="T184" s="469"/>
      <c r="U184" s="480"/>
      <c r="V184" s="469"/>
      <c r="W184" s="469"/>
      <c r="X184" s="470"/>
      <c r="Y184" s="473"/>
      <c r="Z184" s="478"/>
    </row>
    <row r="185" customFormat="false" ht="15.75" hidden="false" customHeight="false" outlineLevel="0" collapsed="false">
      <c r="A185" s="469"/>
      <c r="B185" s="469"/>
      <c r="C185" s="470"/>
      <c r="D185" s="469"/>
      <c r="E185" s="469"/>
      <c r="F185" s="470"/>
      <c r="G185" s="469"/>
      <c r="H185" s="469"/>
      <c r="I185" s="470"/>
      <c r="J185" s="469"/>
      <c r="K185" s="469"/>
      <c r="L185" s="470"/>
      <c r="M185" s="469" t="s">
        <v>255</v>
      </c>
      <c r="N185" s="469" t="s">
        <v>646</v>
      </c>
      <c r="O185" s="470"/>
      <c r="P185" s="469"/>
      <c r="Q185" s="469"/>
      <c r="R185" s="480"/>
      <c r="S185" s="469"/>
      <c r="T185" s="469"/>
      <c r="U185" s="480"/>
      <c r="V185" s="469"/>
      <c r="W185" s="469"/>
      <c r="X185" s="470"/>
      <c r="Y185" s="473"/>
      <c r="Z185" s="478"/>
    </row>
    <row r="186" customFormat="false" ht="15.75" hidden="false" customHeight="false" outlineLevel="0" collapsed="false">
      <c r="A186" s="469"/>
      <c r="B186" s="469"/>
      <c r="C186" s="470"/>
      <c r="D186" s="469"/>
      <c r="E186" s="469"/>
      <c r="F186" s="470"/>
      <c r="G186" s="469"/>
      <c r="H186" s="469"/>
      <c r="I186" s="470"/>
      <c r="J186" s="469"/>
      <c r="K186" s="469"/>
      <c r="L186" s="470"/>
      <c r="M186" s="469" t="s">
        <v>713</v>
      </c>
      <c r="N186" s="469" t="s">
        <v>41</v>
      </c>
      <c r="O186" s="470"/>
      <c r="P186" s="469"/>
      <c r="Q186" s="469"/>
      <c r="R186" s="480"/>
      <c r="S186" s="469"/>
      <c r="T186" s="469"/>
      <c r="U186" s="480"/>
      <c r="V186" s="469"/>
      <c r="W186" s="469"/>
      <c r="X186" s="470"/>
      <c r="Y186" s="473"/>
      <c r="Z186" s="478"/>
    </row>
    <row r="187" customFormat="false" ht="15.75" hidden="false" customHeight="false" outlineLevel="0" collapsed="false">
      <c r="A187" s="469"/>
      <c r="B187" s="469"/>
      <c r="C187" s="470"/>
      <c r="D187" s="469"/>
      <c r="E187" s="469"/>
      <c r="F187" s="470"/>
      <c r="G187" s="469"/>
      <c r="H187" s="469"/>
      <c r="I187" s="470"/>
      <c r="J187" s="469"/>
      <c r="K187" s="469"/>
      <c r="L187" s="470"/>
      <c r="M187" s="469" t="s">
        <v>255</v>
      </c>
      <c r="N187" s="469" t="s">
        <v>651</v>
      </c>
      <c r="O187" s="470"/>
      <c r="P187" s="469"/>
      <c r="Q187" s="469"/>
      <c r="R187" s="480"/>
      <c r="S187" s="469"/>
      <c r="T187" s="469"/>
      <c r="U187" s="480"/>
      <c r="V187" s="469"/>
      <c r="W187" s="469"/>
      <c r="X187" s="470"/>
      <c r="Y187" s="473"/>
      <c r="Z187" s="478"/>
    </row>
    <row r="188" customFormat="false" ht="15.75" hidden="false" customHeight="false" outlineLevel="0" collapsed="false">
      <c r="A188" s="469"/>
      <c r="B188" s="469"/>
      <c r="C188" s="470"/>
      <c r="D188" s="469"/>
      <c r="E188" s="469"/>
      <c r="F188" s="470"/>
      <c r="G188" s="469"/>
      <c r="H188" s="469"/>
      <c r="I188" s="470"/>
      <c r="J188" s="469"/>
      <c r="K188" s="469"/>
      <c r="L188" s="470"/>
      <c r="M188" s="469" t="s">
        <v>255</v>
      </c>
      <c r="N188" s="469" t="s">
        <v>653</v>
      </c>
      <c r="O188" s="470"/>
      <c r="P188" s="469"/>
      <c r="Q188" s="469"/>
      <c r="R188" s="480"/>
      <c r="S188" s="469"/>
      <c r="T188" s="469"/>
      <c r="U188" s="480"/>
      <c r="V188" s="469"/>
      <c r="W188" s="469"/>
      <c r="X188" s="470"/>
      <c r="Y188" s="473"/>
      <c r="Z188" s="478"/>
    </row>
    <row r="189" customFormat="false" ht="15.75" hidden="false" customHeight="false" outlineLevel="0" collapsed="false">
      <c r="A189" s="469"/>
      <c r="B189" s="469"/>
      <c r="C189" s="470"/>
      <c r="D189" s="469"/>
      <c r="E189" s="469"/>
      <c r="F189" s="470"/>
      <c r="G189" s="469"/>
      <c r="H189" s="469"/>
      <c r="I189" s="470"/>
      <c r="J189" s="469"/>
      <c r="K189" s="469"/>
      <c r="L189" s="470"/>
      <c r="M189" s="469" t="s">
        <v>255</v>
      </c>
      <c r="N189" s="469" t="s">
        <v>656</v>
      </c>
      <c r="O189" s="470"/>
      <c r="P189" s="469"/>
      <c r="Q189" s="469"/>
      <c r="R189" s="480"/>
      <c r="S189" s="469"/>
      <c r="T189" s="469"/>
      <c r="U189" s="480"/>
      <c r="V189" s="469"/>
      <c r="W189" s="469"/>
      <c r="X189" s="470"/>
      <c r="Y189" s="473"/>
      <c r="Z189" s="478"/>
    </row>
    <row r="190" customFormat="false" ht="15.75" hidden="false" customHeight="false" outlineLevel="0" collapsed="false">
      <c r="A190" s="469"/>
      <c r="B190" s="469"/>
      <c r="C190" s="470"/>
      <c r="D190" s="469"/>
      <c r="E190" s="469"/>
      <c r="F190" s="470"/>
      <c r="G190" s="469"/>
      <c r="H190" s="469"/>
      <c r="I190" s="470"/>
      <c r="J190" s="469"/>
      <c r="K190" s="469"/>
      <c r="L190" s="470"/>
      <c r="M190" s="469" t="s">
        <v>255</v>
      </c>
      <c r="N190" s="469" t="s">
        <v>658</v>
      </c>
      <c r="O190" s="470"/>
      <c r="P190" s="469"/>
      <c r="Q190" s="469"/>
      <c r="R190" s="480"/>
      <c r="S190" s="469"/>
      <c r="T190" s="469"/>
      <c r="U190" s="480"/>
      <c r="V190" s="469"/>
      <c r="W190" s="469"/>
      <c r="X190" s="470"/>
      <c r="Y190" s="473"/>
      <c r="Z190" s="478"/>
    </row>
    <row r="191" customFormat="false" ht="15.75" hidden="false" customHeight="false" outlineLevel="0" collapsed="false">
      <c r="A191" s="469"/>
      <c r="B191" s="469"/>
      <c r="C191" s="470"/>
      <c r="D191" s="469"/>
      <c r="E191" s="469"/>
      <c r="F191" s="470"/>
      <c r="G191" s="469"/>
      <c r="H191" s="469"/>
      <c r="I191" s="470"/>
      <c r="J191" s="469"/>
      <c r="K191" s="469"/>
      <c r="L191" s="470"/>
      <c r="M191" s="469" t="s">
        <v>255</v>
      </c>
      <c r="N191" s="469" t="s">
        <v>661</v>
      </c>
      <c r="O191" s="470"/>
      <c r="P191" s="469"/>
      <c r="Q191" s="469"/>
      <c r="R191" s="480"/>
      <c r="S191" s="469"/>
      <c r="T191" s="469"/>
      <c r="U191" s="480"/>
      <c r="V191" s="469"/>
      <c r="W191" s="469"/>
      <c r="X191" s="470"/>
      <c r="Y191" s="473"/>
      <c r="Z191" s="478"/>
    </row>
    <row r="192" customFormat="false" ht="15.75" hidden="false" customHeight="false" outlineLevel="0" collapsed="false">
      <c r="A192" s="469"/>
      <c r="B192" s="469"/>
      <c r="C192" s="470"/>
      <c r="D192" s="469"/>
      <c r="E192" s="469"/>
      <c r="F192" s="470"/>
      <c r="G192" s="469"/>
      <c r="H192" s="469"/>
      <c r="I192" s="470"/>
      <c r="J192" s="469"/>
      <c r="K192" s="469"/>
      <c r="L192" s="470"/>
      <c r="M192" s="469" t="s">
        <v>255</v>
      </c>
      <c r="N192" s="469" t="s">
        <v>767</v>
      </c>
      <c r="O192" s="470"/>
      <c r="P192" s="469"/>
      <c r="Q192" s="469"/>
      <c r="R192" s="480"/>
      <c r="S192" s="469"/>
      <c r="T192" s="469"/>
      <c r="U192" s="480"/>
      <c r="V192" s="469"/>
      <c r="W192" s="469"/>
      <c r="X192" s="470"/>
      <c r="Y192" s="473"/>
      <c r="Z192" s="478"/>
    </row>
    <row r="193" customFormat="false" ht="15.75" hidden="false" customHeight="false" outlineLevel="0" collapsed="false">
      <c r="A193" s="469"/>
      <c r="B193" s="469"/>
      <c r="C193" s="470"/>
      <c r="D193" s="469"/>
      <c r="E193" s="469"/>
      <c r="F193" s="470"/>
      <c r="G193" s="469"/>
      <c r="H193" s="469"/>
      <c r="I193" s="470"/>
      <c r="J193" s="469"/>
      <c r="K193" s="469"/>
      <c r="L193" s="470"/>
      <c r="M193" s="469" t="s">
        <v>255</v>
      </c>
      <c r="N193" s="469" t="s">
        <v>663</v>
      </c>
      <c r="O193" s="470"/>
      <c r="P193" s="469"/>
      <c r="Q193" s="469"/>
      <c r="R193" s="480"/>
      <c r="S193" s="469"/>
      <c r="T193" s="469"/>
      <c r="U193" s="480"/>
      <c r="V193" s="469"/>
      <c r="W193" s="469"/>
      <c r="X193" s="470"/>
      <c r="Y193" s="473"/>
      <c r="Z193" s="478"/>
    </row>
    <row r="194" customFormat="false" ht="15.75" hidden="false" customHeight="false" outlineLevel="0" collapsed="false">
      <c r="A194" s="469"/>
      <c r="B194" s="469"/>
      <c r="C194" s="470"/>
      <c r="D194" s="469"/>
      <c r="E194" s="469"/>
      <c r="F194" s="470"/>
      <c r="G194" s="469"/>
      <c r="H194" s="469"/>
      <c r="I194" s="470"/>
      <c r="J194" s="469"/>
      <c r="K194" s="469"/>
      <c r="L194" s="470"/>
      <c r="M194" s="469" t="s">
        <v>255</v>
      </c>
      <c r="N194" s="469" t="s">
        <v>666</v>
      </c>
      <c r="O194" s="470"/>
      <c r="P194" s="469"/>
      <c r="Q194" s="469"/>
      <c r="R194" s="480"/>
      <c r="S194" s="469"/>
      <c r="T194" s="469"/>
      <c r="U194" s="480"/>
      <c r="V194" s="469"/>
      <c r="W194" s="469"/>
      <c r="X194" s="470"/>
      <c r="Y194" s="473"/>
      <c r="Z194" s="478"/>
    </row>
    <row r="195" customFormat="false" ht="15.75" hidden="false" customHeight="false" outlineLevel="0" collapsed="false">
      <c r="A195" s="469"/>
      <c r="B195" s="469"/>
      <c r="C195" s="470"/>
      <c r="D195" s="469"/>
      <c r="E195" s="469"/>
      <c r="F195" s="470"/>
      <c r="G195" s="469"/>
      <c r="H195" s="469"/>
      <c r="I195" s="470"/>
      <c r="J195" s="469"/>
      <c r="K195" s="469"/>
      <c r="L195" s="470"/>
      <c r="M195" s="469" t="s">
        <v>255</v>
      </c>
      <c r="N195" s="469" t="s">
        <v>669</v>
      </c>
      <c r="O195" s="470"/>
      <c r="P195" s="469"/>
      <c r="Q195" s="469"/>
      <c r="R195" s="480"/>
      <c r="S195" s="469"/>
      <c r="T195" s="469"/>
      <c r="U195" s="480"/>
      <c r="V195" s="469"/>
      <c r="W195" s="469"/>
      <c r="X195" s="470"/>
      <c r="Y195" s="473"/>
      <c r="Z195" s="478"/>
    </row>
    <row r="196" customFormat="false" ht="15.75" hidden="false" customHeight="false" outlineLevel="0" collapsed="false">
      <c r="A196" s="469"/>
      <c r="B196" s="469"/>
      <c r="C196" s="470"/>
      <c r="D196" s="469"/>
      <c r="E196" s="469"/>
      <c r="F196" s="470"/>
      <c r="G196" s="469"/>
      <c r="H196" s="469"/>
      <c r="I196" s="470"/>
      <c r="J196" s="469"/>
      <c r="K196" s="469"/>
      <c r="L196" s="470"/>
      <c r="M196" s="469" t="s">
        <v>255</v>
      </c>
      <c r="N196" s="469" t="s">
        <v>672</v>
      </c>
      <c r="O196" s="470"/>
      <c r="P196" s="469"/>
      <c r="Q196" s="469"/>
      <c r="R196" s="480"/>
      <c r="S196" s="469"/>
      <c r="T196" s="469"/>
      <c r="U196" s="480"/>
      <c r="V196" s="469"/>
      <c r="W196" s="469"/>
      <c r="X196" s="470"/>
      <c r="Y196" s="473"/>
      <c r="Z196" s="478"/>
    </row>
    <row r="197" customFormat="false" ht="15.75" hidden="false" customHeight="false" outlineLevel="0" collapsed="false">
      <c r="A197" s="469"/>
      <c r="B197" s="469"/>
      <c r="C197" s="470"/>
      <c r="D197" s="469"/>
      <c r="E197" s="469"/>
      <c r="F197" s="470"/>
      <c r="G197" s="469"/>
      <c r="H197" s="469"/>
      <c r="I197" s="470"/>
      <c r="J197" s="469"/>
      <c r="K197" s="469"/>
      <c r="L197" s="470"/>
      <c r="M197" s="469" t="s">
        <v>255</v>
      </c>
      <c r="N197" s="469" t="s">
        <v>768</v>
      </c>
      <c r="O197" s="470"/>
      <c r="P197" s="469"/>
      <c r="Q197" s="469"/>
      <c r="R197" s="480"/>
      <c r="S197" s="469"/>
      <c r="T197" s="469"/>
      <c r="U197" s="480"/>
      <c r="V197" s="469"/>
      <c r="W197" s="469"/>
      <c r="X197" s="470"/>
      <c r="Y197" s="473"/>
      <c r="Z197" s="478"/>
    </row>
    <row r="198" customFormat="false" ht="15.75" hidden="false" customHeight="false" outlineLevel="0" collapsed="false">
      <c r="A198" s="469"/>
      <c r="B198" s="469"/>
      <c r="C198" s="470"/>
      <c r="D198" s="469"/>
      <c r="E198" s="469"/>
      <c r="F198" s="470"/>
      <c r="G198" s="469"/>
      <c r="H198" s="469"/>
      <c r="I198" s="470"/>
      <c r="J198" s="469"/>
      <c r="K198" s="469"/>
      <c r="L198" s="470"/>
      <c r="M198" s="469" t="s">
        <v>255</v>
      </c>
      <c r="N198" s="469" t="s">
        <v>675</v>
      </c>
      <c r="O198" s="470"/>
      <c r="P198" s="469"/>
      <c r="Q198" s="469"/>
      <c r="R198" s="480"/>
      <c r="S198" s="469"/>
      <c r="T198" s="469"/>
      <c r="U198" s="480"/>
      <c r="V198" s="469"/>
      <c r="W198" s="469"/>
      <c r="X198" s="470"/>
      <c r="Y198" s="473"/>
      <c r="Z198" s="478"/>
    </row>
    <row r="199" customFormat="false" ht="15.75" hidden="false" customHeight="false" outlineLevel="0" collapsed="false">
      <c r="A199" s="469"/>
      <c r="B199" s="469"/>
      <c r="C199" s="470"/>
      <c r="D199" s="469"/>
      <c r="E199" s="469"/>
      <c r="F199" s="470"/>
      <c r="G199" s="469"/>
      <c r="H199" s="469"/>
      <c r="I199" s="470"/>
      <c r="J199" s="469"/>
      <c r="K199" s="469"/>
      <c r="L199" s="470"/>
      <c r="M199" s="469" t="s">
        <v>255</v>
      </c>
      <c r="N199" s="469" t="s">
        <v>678</v>
      </c>
      <c r="O199" s="470"/>
      <c r="P199" s="469"/>
      <c r="Q199" s="469"/>
      <c r="R199" s="480"/>
      <c r="S199" s="469"/>
      <c r="T199" s="469"/>
      <c r="U199" s="480"/>
      <c r="V199" s="469"/>
      <c r="W199" s="469"/>
      <c r="X199" s="470"/>
      <c r="Y199" s="473"/>
      <c r="Z199" s="478"/>
    </row>
    <row r="200" customFormat="false" ht="15.75" hidden="false" customHeight="false" outlineLevel="0" collapsed="false">
      <c r="A200" s="469"/>
      <c r="B200" s="469"/>
      <c r="C200" s="470"/>
      <c r="D200" s="469"/>
      <c r="E200" s="469"/>
      <c r="F200" s="470"/>
      <c r="G200" s="469"/>
      <c r="H200" s="469"/>
      <c r="I200" s="470"/>
      <c r="J200" s="469"/>
      <c r="K200" s="469"/>
      <c r="L200" s="470"/>
      <c r="M200" s="469" t="s">
        <v>255</v>
      </c>
      <c r="N200" s="469" t="s">
        <v>681</v>
      </c>
      <c r="O200" s="470"/>
      <c r="P200" s="469"/>
      <c r="Q200" s="469"/>
      <c r="R200" s="480"/>
      <c r="S200" s="469"/>
      <c r="T200" s="469"/>
      <c r="U200" s="480"/>
      <c r="V200" s="469"/>
      <c r="W200" s="469"/>
      <c r="X200" s="470"/>
      <c r="Y200" s="473"/>
      <c r="Z200" s="478"/>
    </row>
    <row r="201" customFormat="false" ht="15.75" hidden="false" customHeight="false" outlineLevel="0" collapsed="false">
      <c r="A201" s="469"/>
      <c r="B201" s="469"/>
      <c r="C201" s="470"/>
      <c r="D201" s="469"/>
      <c r="E201" s="469"/>
      <c r="F201" s="470"/>
      <c r="G201" s="469"/>
      <c r="H201" s="469"/>
      <c r="I201" s="470"/>
      <c r="J201" s="469"/>
      <c r="K201" s="469"/>
      <c r="L201" s="470"/>
      <c r="M201" s="469" t="s">
        <v>255</v>
      </c>
      <c r="N201" s="469" t="s">
        <v>684</v>
      </c>
      <c r="O201" s="470"/>
      <c r="P201" s="469"/>
      <c r="Q201" s="469"/>
      <c r="R201" s="480"/>
      <c r="S201" s="469"/>
      <c r="T201" s="469"/>
      <c r="U201" s="480"/>
      <c r="V201" s="469"/>
      <c r="W201" s="469"/>
      <c r="X201" s="470"/>
      <c r="Y201" s="473"/>
      <c r="Z201" s="478"/>
    </row>
    <row r="202" customFormat="false" ht="15.75" hidden="false" customHeight="false" outlineLevel="0" collapsed="false">
      <c r="A202" s="469"/>
      <c r="B202" s="469"/>
      <c r="C202" s="470"/>
      <c r="D202" s="469"/>
      <c r="E202" s="469"/>
      <c r="F202" s="470"/>
      <c r="G202" s="469"/>
      <c r="H202" s="469"/>
      <c r="I202" s="470"/>
      <c r="J202" s="469"/>
      <c r="K202" s="469"/>
      <c r="L202" s="470"/>
      <c r="M202" s="469" t="s">
        <v>255</v>
      </c>
      <c r="N202" s="469" t="s">
        <v>687</v>
      </c>
      <c r="O202" s="470"/>
      <c r="P202" s="469"/>
      <c r="Q202" s="469"/>
      <c r="R202" s="480"/>
      <c r="S202" s="469"/>
      <c r="T202" s="469"/>
      <c r="U202" s="480"/>
      <c r="V202" s="469"/>
      <c r="W202" s="469"/>
      <c r="X202" s="470"/>
      <c r="Y202" s="473"/>
      <c r="Z202" s="478"/>
    </row>
    <row r="203" customFormat="false" ht="15.75" hidden="false" customHeight="false" outlineLevel="0" collapsed="false">
      <c r="A203" s="469"/>
      <c r="B203" s="469"/>
      <c r="C203" s="470"/>
      <c r="D203" s="469"/>
      <c r="E203" s="469"/>
      <c r="F203" s="470"/>
      <c r="G203" s="469"/>
      <c r="H203" s="469"/>
      <c r="I203" s="470"/>
      <c r="J203" s="469"/>
      <c r="K203" s="469"/>
      <c r="L203" s="470"/>
      <c r="M203" s="469" t="s">
        <v>255</v>
      </c>
      <c r="N203" s="469" t="s">
        <v>769</v>
      </c>
      <c r="O203" s="470"/>
      <c r="P203" s="469"/>
      <c r="Q203" s="469"/>
      <c r="R203" s="480"/>
      <c r="S203" s="469"/>
      <c r="T203" s="469"/>
      <c r="U203" s="480"/>
      <c r="V203" s="469"/>
      <c r="W203" s="469"/>
      <c r="X203" s="470"/>
      <c r="Y203" s="473"/>
      <c r="Z203" s="478"/>
    </row>
    <row r="204" customFormat="false" ht="15.75" hidden="false" customHeight="false" outlineLevel="0" collapsed="false">
      <c r="A204" s="469"/>
      <c r="B204" s="469"/>
      <c r="C204" s="470"/>
      <c r="D204" s="469"/>
      <c r="E204" s="469"/>
      <c r="F204" s="470"/>
      <c r="G204" s="469"/>
      <c r="H204" s="469"/>
      <c r="I204" s="470"/>
      <c r="J204" s="469"/>
      <c r="K204" s="469"/>
      <c r="L204" s="470"/>
      <c r="M204" s="469" t="s">
        <v>255</v>
      </c>
      <c r="N204" s="469" t="s">
        <v>770</v>
      </c>
      <c r="O204" s="470"/>
      <c r="P204" s="469"/>
      <c r="Q204" s="469"/>
      <c r="R204" s="480"/>
      <c r="S204" s="469"/>
      <c r="T204" s="469"/>
      <c r="U204" s="480"/>
      <c r="V204" s="469"/>
      <c r="W204" s="469"/>
      <c r="X204" s="470"/>
      <c r="Y204" s="473"/>
      <c r="Z204" s="478"/>
    </row>
    <row r="205" customFormat="false" ht="15.75" hidden="false" customHeight="false" outlineLevel="0" collapsed="false">
      <c r="A205" s="469"/>
      <c r="B205" s="469"/>
      <c r="C205" s="470"/>
      <c r="D205" s="469"/>
      <c r="E205" s="469"/>
      <c r="F205" s="470"/>
      <c r="G205" s="469"/>
      <c r="H205" s="469"/>
      <c r="I205" s="470"/>
      <c r="J205" s="469"/>
      <c r="K205" s="469"/>
      <c r="L205" s="470"/>
      <c r="M205" s="469" t="s">
        <v>255</v>
      </c>
      <c r="N205" s="469" t="s">
        <v>771</v>
      </c>
      <c r="O205" s="470"/>
      <c r="P205" s="469"/>
      <c r="Q205" s="469"/>
      <c r="R205" s="480"/>
      <c r="S205" s="469"/>
      <c r="T205" s="469"/>
      <c r="U205" s="480"/>
      <c r="V205" s="469"/>
      <c r="W205" s="469"/>
      <c r="X205" s="470"/>
      <c r="Y205" s="473"/>
      <c r="Z205" s="478"/>
    </row>
    <row r="206" customFormat="false" ht="15.75" hidden="false" customHeight="false" outlineLevel="0" collapsed="false">
      <c r="A206" s="469"/>
      <c r="B206" s="469"/>
      <c r="C206" s="470"/>
      <c r="D206" s="469"/>
      <c r="E206" s="469"/>
      <c r="F206" s="470"/>
      <c r="G206" s="469"/>
      <c r="H206" s="469"/>
      <c r="I206" s="470"/>
      <c r="J206" s="469"/>
      <c r="K206" s="469"/>
      <c r="L206" s="470"/>
      <c r="M206" s="469" t="s">
        <v>255</v>
      </c>
      <c r="N206" s="469" t="s">
        <v>772</v>
      </c>
      <c r="O206" s="470"/>
      <c r="P206" s="469"/>
      <c r="Q206" s="469"/>
      <c r="R206" s="480"/>
      <c r="S206" s="469"/>
      <c r="T206" s="469"/>
      <c r="U206" s="480"/>
      <c r="V206" s="469"/>
      <c r="W206" s="469"/>
      <c r="X206" s="470"/>
      <c r="Y206" s="473"/>
      <c r="Z206" s="478"/>
    </row>
    <row r="207" customFormat="false" ht="15.75" hidden="false" customHeight="false" outlineLevel="0" collapsed="false">
      <c r="A207" s="469"/>
      <c r="B207" s="469"/>
      <c r="C207" s="470"/>
      <c r="D207" s="469"/>
      <c r="E207" s="469"/>
      <c r="F207" s="470"/>
      <c r="G207" s="469"/>
      <c r="H207" s="469"/>
      <c r="I207" s="470"/>
      <c r="J207" s="469"/>
      <c r="K207" s="469"/>
      <c r="L207" s="470"/>
      <c r="M207" s="469" t="s">
        <v>255</v>
      </c>
      <c r="N207" s="469" t="s">
        <v>694</v>
      </c>
      <c r="O207" s="470"/>
      <c r="P207" s="469"/>
      <c r="Q207" s="469"/>
      <c r="R207" s="480"/>
      <c r="S207" s="469"/>
      <c r="T207" s="469"/>
      <c r="U207" s="480"/>
      <c r="V207" s="469"/>
      <c r="W207" s="469"/>
      <c r="X207" s="470"/>
      <c r="Y207" s="473"/>
      <c r="Z207" s="478"/>
    </row>
    <row r="208" customFormat="false" ht="15.75" hidden="false" customHeight="false" outlineLevel="0" collapsed="false">
      <c r="A208" s="469"/>
      <c r="B208" s="469"/>
      <c r="C208" s="470"/>
      <c r="D208" s="469"/>
      <c r="E208" s="469"/>
      <c r="F208" s="470"/>
      <c r="G208" s="469"/>
      <c r="H208" s="469"/>
      <c r="I208" s="470"/>
      <c r="J208" s="469"/>
      <c r="K208" s="469"/>
      <c r="L208" s="470"/>
      <c r="M208" s="469" t="s">
        <v>255</v>
      </c>
      <c r="N208" s="469" t="s">
        <v>696</v>
      </c>
      <c r="O208" s="470"/>
      <c r="P208" s="469"/>
      <c r="Q208" s="469"/>
      <c r="R208" s="480"/>
      <c r="S208" s="469"/>
      <c r="T208" s="469"/>
      <c r="U208" s="480"/>
      <c r="V208" s="469"/>
      <c r="W208" s="469"/>
      <c r="X208" s="470"/>
      <c r="Y208" s="473"/>
      <c r="Z208" s="478"/>
    </row>
    <row r="209" customFormat="false" ht="15.75" hidden="false" customHeight="false" outlineLevel="0" collapsed="false">
      <c r="A209" s="469"/>
      <c r="B209" s="469"/>
      <c r="C209" s="470"/>
      <c r="D209" s="469"/>
      <c r="E209" s="469"/>
      <c r="F209" s="470"/>
      <c r="G209" s="469"/>
      <c r="H209" s="469"/>
      <c r="I209" s="470"/>
      <c r="J209" s="469"/>
      <c r="K209" s="469"/>
      <c r="L209" s="470"/>
      <c r="M209" s="469" t="s">
        <v>255</v>
      </c>
      <c r="N209" s="469" t="s">
        <v>697</v>
      </c>
      <c r="O209" s="470"/>
      <c r="P209" s="469"/>
      <c r="Q209" s="469"/>
      <c r="R209" s="480"/>
      <c r="S209" s="469"/>
      <c r="T209" s="469"/>
      <c r="U209" s="480"/>
      <c r="V209" s="469"/>
      <c r="W209" s="469"/>
      <c r="X209" s="470"/>
      <c r="Y209" s="473"/>
      <c r="Z209" s="478"/>
    </row>
  </sheetData>
  <mergeCells count="8">
    <mergeCell ref="A1:B1"/>
    <mergeCell ref="D1:E1"/>
    <mergeCell ref="G1:H1"/>
    <mergeCell ref="J1:K1"/>
    <mergeCell ref="M1:N1"/>
    <mergeCell ref="P1:Q1"/>
    <mergeCell ref="S1:T1"/>
    <mergeCell ref="V1:W1"/>
  </mergeCells>
  <conditionalFormatting sqref="A1:B400">
    <cfRule type="expression" priority="2" aboveAverage="0" equalAverage="0" bottom="0" percent="0" rank="0" text="" dxfId="9">
      <formula>$A:$A=$Z$3</formula>
    </cfRule>
  </conditionalFormatting>
  <conditionalFormatting sqref="A1:B400">
    <cfRule type="expression" priority="3" aboveAverage="0" equalAverage="0" bottom="0" percent="0" rank="0" text="" dxfId="9">
      <formula>$A:$A=$Z$4</formula>
    </cfRule>
  </conditionalFormatting>
  <conditionalFormatting sqref="A1:B400">
    <cfRule type="expression" priority="4" aboveAverage="0" equalAverage="0" bottom="0" percent="0" rank="0" text="" dxfId="9">
      <formula>$A:$A=$Z$5</formula>
    </cfRule>
  </conditionalFormatting>
  <conditionalFormatting sqref="A1:B400">
    <cfRule type="expression" priority="5" aboveAverage="0" equalAverage="0" bottom="0" percent="0" rank="0" text="" dxfId="6">
      <formula>$A:$A=$Z$6</formula>
    </cfRule>
  </conditionalFormatting>
  <conditionalFormatting sqref="A1:B400">
    <cfRule type="expression" priority="6" aboveAverage="0" equalAverage="0" bottom="0" percent="0" rank="0" text="" dxfId="6">
      <formula>$A:$A=$Z$7</formula>
    </cfRule>
  </conditionalFormatting>
  <conditionalFormatting sqref="A1:B400">
    <cfRule type="expression" priority="7" aboveAverage="0" equalAverage="0" bottom="0" percent="0" rank="0" text="" dxfId="6">
      <formula>$A:$A=$Z$8</formula>
    </cfRule>
  </conditionalFormatting>
  <conditionalFormatting sqref="A1:B400">
    <cfRule type="expression" priority="8" aboveAverage="0" equalAverage="0" bottom="0" percent="0" rank="0" text="" dxfId="6">
      <formula>$A:$A=$Z$9</formula>
    </cfRule>
  </conditionalFormatting>
  <conditionalFormatting sqref="A1:B400">
    <cfRule type="expression" priority="9" aboveAverage="0" equalAverage="0" bottom="0" percent="0" rank="0" text="" dxfId="9">
      <formula>$A:$A=$Z$2</formula>
    </cfRule>
  </conditionalFormatting>
  <conditionalFormatting sqref="D2:E400">
    <cfRule type="expression" priority="10" aboveAverage="0" equalAverage="0" bottom="0" percent="0" rank="0" text="" dxfId="7">
      <formula>$D:$D=$Z$2</formula>
    </cfRule>
  </conditionalFormatting>
  <conditionalFormatting sqref="D2:E400">
    <cfRule type="expression" priority="11" aboveAverage="0" equalAverage="0" bottom="0" percent="0" rank="0" text="" dxfId="9">
      <formula>$D:$D=$Z$3</formula>
    </cfRule>
  </conditionalFormatting>
  <conditionalFormatting sqref="D2:E400">
    <cfRule type="expression" priority="12" aboveAverage="0" equalAverage="0" bottom="0" percent="0" rank="0" text="" dxfId="9">
      <formula>$D:$D=$Z$4</formula>
    </cfRule>
  </conditionalFormatting>
  <conditionalFormatting sqref="D2:E400">
    <cfRule type="expression" priority="13" aboveAverage="0" equalAverage="0" bottom="0" percent="0" rank="0" text="" dxfId="9">
      <formula>$D:$D=$Z$5</formula>
    </cfRule>
  </conditionalFormatting>
  <conditionalFormatting sqref="D2:E400">
    <cfRule type="expression" priority="14" aboveAverage="0" equalAverage="0" bottom="0" percent="0" rank="0" text="" dxfId="6">
      <formula>$D:$D=$Z$6</formula>
    </cfRule>
  </conditionalFormatting>
  <conditionalFormatting sqref="D2:E400">
    <cfRule type="expression" priority="15" aboveAverage="0" equalAverage="0" bottom="0" percent="0" rank="0" text="" dxfId="6">
      <formula>$D:$D=$Z$7</formula>
    </cfRule>
  </conditionalFormatting>
  <conditionalFormatting sqref="D2:E400">
    <cfRule type="expression" priority="16" aboveAverage="0" equalAverage="0" bottom="0" percent="0" rank="0" text="" dxfId="6">
      <formula>$D:$D=$Z$8</formula>
    </cfRule>
  </conditionalFormatting>
  <conditionalFormatting sqref="D2:E400">
    <cfRule type="expression" priority="17" aboveAverage="0" equalAverage="0" bottom="0" percent="0" rank="0" text="" dxfId="6">
      <formula>$D:$D=$Z$9</formula>
    </cfRule>
  </conditionalFormatting>
  <conditionalFormatting sqref="D2:E400">
    <cfRule type="expression" priority="18" aboveAverage="0" equalAverage="0" bottom="0" percent="0" rank="0" text="" dxfId="3">
      <formula>$D:$D="FREE"</formula>
    </cfRule>
  </conditionalFormatting>
  <conditionalFormatting sqref="A1:B400">
    <cfRule type="expression" priority="19" aboveAverage="0" equalAverage="0" bottom="0" percent="0" rank="0" text="" dxfId="0">
      <formula>$A:$A="FREE"</formula>
    </cfRule>
  </conditionalFormatting>
  <conditionalFormatting sqref="G2:H400">
    <cfRule type="expression" priority="20" aboveAverage="0" equalAverage="0" bottom="0" percent="0" rank="0" text="" dxfId="7">
      <formula>$G:$G=$Z$2</formula>
    </cfRule>
  </conditionalFormatting>
  <conditionalFormatting sqref="G2:H400">
    <cfRule type="expression" priority="21" aboveAverage="0" equalAverage="0" bottom="0" percent="0" rank="0" text="" dxfId="7">
      <formula>$G:$G=$Z$3</formula>
    </cfRule>
  </conditionalFormatting>
  <conditionalFormatting sqref="G2:H400">
    <cfRule type="expression" priority="22" aboveAverage="0" equalAverage="0" bottom="0" percent="0" rank="0" text="" dxfId="7">
      <formula>$G:$G=$Z$4</formula>
    </cfRule>
  </conditionalFormatting>
  <conditionalFormatting sqref="G2:H400">
    <cfRule type="expression" priority="23" aboveAverage="0" equalAverage="0" bottom="0" percent="0" rank="0" text="" dxfId="7">
      <formula>$G:$G=$Z$5</formula>
    </cfRule>
  </conditionalFormatting>
  <conditionalFormatting sqref="G2:H400">
    <cfRule type="expression" priority="24" aboveAverage="0" equalAverage="0" bottom="0" percent="0" rank="0" text="" dxfId="6">
      <formula>$G:$G=$Z$6</formula>
    </cfRule>
  </conditionalFormatting>
  <conditionalFormatting sqref="G2:H400">
    <cfRule type="expression" priority="25" aboveAverage="0" equalAverage="0" bottom="0" percent="0" rank="0" text="" dxfId="6">
      <formula>$G:$G=$Z$7</formula>
    </cfRule>
  </conditionalFormatting>
  <conditionalFormatting sqref="G2:H400">
    <cfRule type="expression" priority="26" aboveAverage="0" equalAverage="0" bottom="0" percent="0" rank="0" text="" dxfId="6">
      <formula>$G:$G=$Z$8</formula>
    </cfRule>
  </conditionalFormatting>
  <conditionalFormatting sqref="G2:H400">
    <cfRule type="expression" priority="27" aboveAverage="0" equalAverage="0" bottom="0" percent="0" rank="0" text="" dxfId="6">
      <formula>$G:$G=$Z$9</formula>
    </cfRule>
  </conditionalFormatting>
  <conditionalFormatting sqref="G2:H400">
    <cfRule type="expression" priority="28" aboveAverage="0" equalAverage="0" bottom="0" percent="0" rank="0" text="" dxfId="3">
      <formula>$G:$G="FREE"</formula>
    </cfRule>
  </conditionalFormatting>
  <conditionalFormatting sqref="J2:K400">
    <cfRule type="expression" priority="29" aboveAverage="0" equalAverage="0" bottom="0" percent="0" rank="0" text="" dxfId="9">
      <formula>$J:$J=$Z$2</formula>
    </cfRule>
  </conditionalFormatting>
  <conditionalFormatting sqref="J2:K400">
    <cfRule type="expression" priority="30" aboveAverage="0" equalAverage="0" bottom="0" percent="0" rank="0" text="" dxfId="9">
      <formula>$J:$J=$Z$3</formula>
    </cfRule>
  </conditionalFormatting>
  <conditionalFormatting sqref="J2:K400">
    <cfRule type="expression" priority="31" aboveAverage="0" equalAverage="0" bottom="0" percent="0" rank="0" text="" dxfId="9">
      <formula>$J:$J=$Z$4</formula>
    </cfRule>
  </conditionalFormatting>
  <conditionalFormatting sqref="J2:K400">
    <cfRule type="expression" priority="32" aboveAverage="0" equalAverage="0" bottom="0" percent="0" rank="0" text="" dxfId="9">
      <formula>$J:$J=$Z$5</formula>
    </cfRule>
  </conditionalFormatting>
  <conditionalFormatting sqref="J2:K400">
    <cfRule type="expression" priority="33" aboveAverage="0" equalAverage="0" bottom="0" percent="0" rank="0" text="" dxfId="6">
      <formula>$J:$J=$Z$6</formula>
    </cfRule>
  </conditionalFormatting>
  <conditionalFormatting sqref="J2:K400">
    <cfRule type="expression" priority="34" aboveAverage="0" equalAverage="0" bottom="0" percent="0" rank="0" text="" dxfId="6">
      <formula>$J:$J=$Z$7</formula>
    </cfRule>
  </conditionalFormatting>
  <conditionalFormatting sqref="J2:K400">
    <cfRule type="expression" priority="35" aboveAverage="0" equalAverage="0" bottom="0" percent="0" rank="0" text="" dxfId="6">
      <formula>$J:$J=$Z$8</formula>
    </cfRule>
  </conditionalFormatting>
  <conditionalFormatting sqref="J2:K400">
    <cfRule type="expression" priority="36" aboveAverage="0" equalAverage="0" bottom="0" percent="0" rank="0" text="" dxfId="6">
      <formula>$J:$J=$Z$9</formula>
    </cfRule>
  </conditionalFormatting>
  <conditionalFormatting sqref="J2:K400">
    <cfRule type="expression" priority="37" aboveAverage="0" equalAverage="0" bottom="0" percent="0" rank="0" text="" dxfId="3">
      <formula>$J:$J="FREE"</formula>
    </cfRule>
  </conditionalFormatting>
  <conditionalFormatting sqref="M2:N400">
    <cfRule type="expression" priority="38" aboveAverage="0" equalAverage="0" bottom="0" percent="0" rank="0" text="" dxfId="9">
      <formula>$M:$M=$Z$2</formula>
    </cfRule>
  </conditionalFormatting>
  <conditionalFormatting sqref="M2:N400">
    <cfRule type="expression" priority="39" aboveAverage="0" equalAverage="0" bottom="0" percent="0" rank="0" text="" dxfId="9">
      <formula>$M:$M=$Z$3</formula>
    </cfRule>
  </conditionalFormatting>
  <conditionalFormatting sqref="M2:N400">
    <cfRule type="expression" priority="40" aboveAverage="0" equalAverage="0" bottom="0" percent="0" rank="0" text="" dxfId="9">
      <formula>$M:$M=$Z$4</formula>
    </cfRule>
  </conditionalFormatting>
  <conditionalFormatting sqref="M2:N400">
    <cfRule type="expression" priority="41" aboveAverage="0" equalAverage="0" bottom="0" percent="0" rank="0" text="" dxfId="9">
      <formula>$M:$M=$Z$5</formula>
    </cfRule>
  </conditionalFormatting>
  <conditionalFormatting sqref="M2:N400">
    <cfRule type="expression" priority="42" aboveAverage="0" equalAverage="0" bottom="0" percent="0" rank="0" text="" dxfId="6">
      <formula>$M:$M=$Z$6</formula>
    </cfRule>
  </conditionalFormatting>
  <conditionalFormatting sqref="M2:N400">
    <cfRule type="expression" priority="43" aboveAverage="0" equalAverage="0" bottom="0" percent="0" rank="0" text="" dxfId="6">
      <formula>$M:$M=$Z$7</formula>
    </cfRule>
  </conditionalFormatting>
  <conditionalFormatting sqref="M2:N400">
    <cfRule type="expression" priority="44" aboveAverage="0" equalAverage="0" bottom="0" percent="0" rank="0" text="" dxfId="6">
      <formula>$M:$M=$Z$8</formula>
    </cfRule>
  </conditionalFormatting>
  <conditionalFormatting sqref="M2:N400">
    <cfRule type="expression" priority="45" aboveAverage="0" equalAverage="0" bottom="0" percent="0" rank="0" text="" dxfId="6">
      <formula>$M:$M=$Z$9</formula>
    </cfRule>
  </conditionalFormatting>
  <conditionalFormatting sqref="M2:N400">
    <cfRule type="expression" priority="46" aboveAverage="0" equalAverage="0" bottom="0" percent="0" rank="0" text="" dxfId="3">
      <formula>$M:$M="FREE"</formula>
    </cfRule>
  </conditionalFormatting>
  <conditionalFormatting sqref="P2:Q400">
    <cfRule type="expression" priority="47" aboveAverage="0" equalAverage="0" bottom="0" percent="0" rank="0" text="" dxfId="9">
      <formula>$P:$P=$Z$2</formula>
    </cfRule>
  </conditionalFormatting>
  <conditionalFormatting sqref="P2:Q400">
    <cfRule type="expression" priority="48" aboveAverage="0" equalAverage="0" bottom="0" percent="0" rank="0" text="" dxfId="9">
      <formula>$P:$P=$Z$3</formula>
    </cfRule>
  </conditionalFormatting>
  <conditionalFormatting sqref="P2:Q400">
    <cfRule type="expression" priority="49" aboveAverage="0" equalAverage="0" bottom="0" percent="0" rank="0" text="" dxfId="9">
      <formula>$P:$P=$Z$4</formula>
    </cfRule>
  </conditionalFormatting>
  <conditionalFormatting sqref="P2:Q400">
    <cfRule type="expression" priority="50" aboveAverage="0" equalAverage="0" bottom="0" percent="0" rank="0" text="" dxfId="9">
      <formula>$P:$P=$Z$5</formula>
    </cfRule>
  </conditionalFormatting>
  <conditionalFormatting sqref="P2:Q400">
    <cfRule type="expression" priority="51" aboveAverage="0" equalAverage="0" bottom="0" percent="0" rank="0" text="" dxfId="6">
      <formula>$P:$P=$Z$6</formula>
    </cfRule>
  </conditionalFormatting>
  <conditionalFormatting sqref="P2:Q400">
    <cfRule type="expression" priority="52" aboveAverage="0" equalAverage="0" bottom="0" percent="0" rank="0" text="" dxfId="6">
      <formula>$P:$P=$Z$7</formula>
    </cfRule>
  </conditionalFormatting>
  <conditionalFormatting sqref="P2:Q400">
    <cfRule type="expression" priority="53" aboveAverage="0" equalAverage="0" bottom="0" percent="0" rank="0" text="" dxfId="6">
      <formula>$P:$P=$Z$9</formula>
    </cfRule>
  </conditionalFormatting>
  <conditionalFormatting sqref="P2:Q400">
    <cfRule type="expression" priority="54" aboveAverage="0" equalAverage="0" bottom="0" percent="0" rank="0" text="" dxfId="3">
      <formula>$P:$P="FREE"</formula>
    </cfRule>
  </conditionalFormatting>
  <conditionalFormatting sqref="S2:T400">
    <cfRule type="expression" priority="55" aboveAverage="0" equalAverage="0" bottom="0" percent="0" rank="0" text="" dxfId="9">
      <formula>$S:$S=$Z$2</formula>
    </cfRule>
  </conditionalFormatting>
  <conditionalFormatting sqref="S2:T400">
    <cfRule type="expression" priority="56" aboveAverage="0" equalAverage="0" bottom="0" percent="0" rank="0" text="" dxfId="7">
      <formula>$S:$S=$Z$3</formula>
    </cfRule>
  </conditionalFormatting>
  <conditionalFormatting sqref="S2:T400">
    <cfRule type="expression" priority="57" aboveAverage="0" equalAverage="0" bottom="0" percent="0" rank="0" text="" dxfId="9">
      <formula>$S:$S=$Z$4</formula>
    </cfRule>
  </conditionalFormatting>
  <conditionalFormatting sqref="S2:T400">
    <cfRule type="expression" priority="58" aboveAverage="0" equalAverage="0" bottom="0" percent="0" rank="0" text="" dxfId="9">
      <formula>$S:$S=$Z$5</formula>
    </cfRule>
  </conditionalFormatting>
  <conditionalFormatting sqref="S2:T400">
    <cfRule type="expression" priority="59" aboveAverage="0" equalAverage="0" bottom="0" percent="0" rank="0" text="" dxfId="6">
      <formula>$S:$S=$Z$6</formula>
    </cfRule>
  </conditionalFormatting>
  <conditionalFormatting sqref="S2:T400">
    <cfRule type="expression" priority="60" aboveAverage="0" equalAverage="0" bottom="0" percent="0" rank="0" text="" dxfId="6">
      <formula>$S:$S=$Z$7</formula>
    </cfRule>
  </conditionalFormatting>
  <conditionalFormatting sqref="S2:T400">
    <cfRule type="expression" priority="61" aboveAverage="0" equalAverage="0" bottom="0" percent="0" rank="0" text="" dxfId="6">
      <formula>$S:$S=$Z$8</formula>
    </cfRule>
  </conditionalFormatting>
  <conditionalFormatting sqref="S2:T400">
    <cfRule type="expression" priority="62" aboveAverage="0" equalAverage="0" bottom="0" percent="0" rank="0" text="" dxfId="6">
      <formula>$S:$S=$Z$9</formula>
    </cfRule>
  </conditionalFormatting>
  <conditionalFormatting sqref="S2:T400">
    <cfRule type="expression" priority="63" aboveAverage="0" equalAverage="0" bottom="0" percent="0" rank="0" text="" dxfId="3">
      <formula>$S:$S="FREE"</formula>
    </cfRule>
  </conditionalFormatting>
  <conditionalFormatting sqref="A1:B400,D1:D400,E1:E400,G1:G400,H1:H400,J1:J400,K1:K400,M1:M400,N1:N400,P1:P400,Q1:Q400,S1:S400,T1:T400,V1:V400,W1:W400">
    <cfRule type="expression" priority="64" aboveAverage="0" equalAverage="0" bottom="0" percent="0" rank="0" text="" dxfId="1">
      <formula>LEN(TRIM(A1))=0</formula>
    </cfRule>
  </conditionalFormatting>
  <conditionalFormatting sqref="V2:W400">
    <cfRule type="expression" priority="65" aboveAverage="0" equalAverage="0" bottom="0" percent="0" rank="0" text="" dxfId="3">
      <formula>$V:$V="FREE"</formula>
    </cfRule>
  </conditionalFormatting>
  <conditionalFormatting sqref="V2:W400">
    <cfRule type="expression" priority="66" aboveAverage="0" equalAverage="0" bottom="0" percent="0" rank="0" text="" dxfId="9">
      <formula>$V:$V=$Z$2</formula>
    </cfRule>
  </conditionalFormatting>
  <conditionalFormatting sqref="V2:W400">
    <cfRule type="expression" priority="67" aboveAverage="0" equalAverage="0" bottom="0" percent="0" rank="0" text="" dxfId="9">
      <formula>$V:$V=$Z$3</formula>
    </cfRule>
  </conditionalFormatting>
  <conditionalFormatting sqref="V2:W400">
    <cfRule type="expression" priority="68" aboveAverage="0" equalAverage="0" bottom="0" percent="0" rank="0" text="" dxfId="9">
      <formula>$V:$V=$Z$4</formula>
    </cfRule>
  </conditionalFormatting>
  <conditionalFormatting sqref="V2:W400">
    <cfRule type="expression" priority="69" aboveAverage="0" equalAverage="0" bottom="0" percent="0" rank="0" text="" dxfId="9">
      <formula>$V:$V=$Z$5</formula>
    </cfRule>
  </conditionalFormatting>
  <conditionalFormatting sqref="V2:W400">
    <cfRule type="expression" priority="70" aboveAverage="0" equalAverage="0" bottom="0" percent="0" rank="0" text="" dxfId="8">
      <formula>$V:$V=$Z$6</formula>
    </cfRule>
  </conditionalFormatting>
  <conditionalFormatting sqref="V2:W400">
    <cfRule type="expression" priority="71" aboveAverage="0" equalAverage="0" bottom="0" percent="0" rank="0" text="" dxfId="8">
      <formula>$V:$V=$Z$7</formula>
    </cfRule>
  </conditionalFormatting>
  <conditionalFormatting sqref="V2:W400">
    <cfRule type="expression" priority="72" aboveAverage="0" equalAverage="0" bottom="0" percent="0" rank="0" text="" dxfId="8">
      <formula>$V:$V=$Z$8</formula>
    </cfRule>
  </conditionalFormatting>
  <conditionalFormatting sqref="V2:W400">
    <cfRule type="expression" priority="73" aboveAverage="0" equalAverage="0" bottom="0" percent="0" rank="0" text="" dxfId="8">
      <formula>$V:$V=$Z$9</formula>
    </cfRule>
  </conditionalFormatting>
  <printOptions headings="false" gridLines="false" gridLinesSet="true" horizontalCentered="false" verticalCentered="false"/>
  <pageMargins left="0.747916666666667" right="0.747916666666667" top="0.984027777777778" bottom="0.984027777777778" header="0.511805555555555" footer="0.511805555555555"/>
  <pageSetup paperSize="1" scale="100" firstPageNumber="0" fitToWidth="1" fitToHeight="1" pageOrder="downThenOver" orientation="portrait" usePrinterDefaults="false" blackAndWhite="false" draft="false" cellComments="none" useFirstPageNumber="false" horizontalDpi="300" verticalDpi="300" copies="1"/>
  <headerFooter differentFirst="false" differentOddEven="false">
    <oddHeader/>
    <oddFooter/>
  </headerFooter>
</worksheet>
</file>

<file path=xl/worksheets/sheet8.xml><?xml version="1.0" encoding="utf-8"?>
<worksheet xmlns="http://schemas.openxmlformats.org/spreadsheetml/2006/main" xmlns:r="http://schemas.openxmlformats.org/officeDocument/2006/relationships">
  <sheetPr filterMode="false">
    <pageSetUpPr fitToPage="false"/>
  </sheetPr>
  <dimension ref="A1:AU534"/>
  <sheetViews>
    <sheetView windowProtection="true" showFormulas="false" showGridLines="true" showRowColHeaders="true" showZeros="true" rightToLeft="false" tabSelected="false" showOutlineSymbols="true" defaultGridColor="true" view="normal" topLeftCell="A1" colorId="64" zoomScale="100" zoomScaleNormal="100" zoomScalePageLayoutView="100" workbookViewId="0">
      <pane xSplit="4" ySplit="1" topLeftCell="E2" activePane="bottomRight" state="frozen"/>
      <selection pane="topLeft" activeCell="A1" activeCellId="0" sqref="A1"/>
      <selection pane="topRight" activeCell="E1" activeCellId="0" sqref="E1"/>
      <selection pane="bottomLeft" activeCell="A2" activeCellId="0" sqref="A2"/>
      <selection pane="bottomRight" activeCell="E2" activeCellId="0" sqref="E2"/>
    </sheetView>
  </sheetViews>
  <sheetFormatPr defaultRowHeight="15.75"/>
  <cols>
    <col collapsed="false" hidden="false" max="17" min="1" style="0" width="7.1530612244898"/>
    <col collapsed="false" hidden="false" max="22" min="18" style="0" width="11.3418367346939"/>
    <col collapsed="false" hidden="false" max="46" min="23" style="0" width="3.64285714285714"/>
    <col collapsed="false" hidden="true" max="47" min="47" style="0" width="0"/>
    <col collapsed="false" hidden="false" max="1025" min="48" style="0" width="14.1734693877551"/>
  </cols>
  <sheetData>
    <row r="1" customFormat="false" ht="15.75" hidden="false" customHeight="false" outlineLevel="0" collapsed="false">
      <c r="A1" s="368" t="s">
        <v>175</v>
      </c>
      <c r="B1" s="482" t="s">
        <v>773</v>
      </c>
      <c r="C1" s="482"/>
      <c r="D1" s="482"/>
      <c r="E1" s="483" t="s">
        <v>774</v>
      </c>
      <c r="F1" s="484" t="s">
        <v>775</v>
      </c>
      <c r="G1" s="485" t="s">
        <v>170</v>
      </c>
      <c r="H1" s="283" t="s">
        <v>191</v>
      </c>
      <c r="I1" s="284" t="s">
        <v>7</v>
      </c>
      <c r="J1" s="486" t="s">
        <v>776</v>
      </c>
      <c r="K1" s="486" t="s">
        <v>192</v>
      </c>
      <c r="L1" s="172" t="s">
        <v>777</v>
      </c>
      <c r="M1" s="172" t="s">
        <v>778</v>
      </c>
      <c r="N1" s="172" t="s">
        <v>779</v>
      </c>
      <c r="O1" s="172" t="s">
        <v>780</v>
      </c>
      <c r="P1" s="172" t="s">
        <v>781</v>
      </c>
      <c r="Q1" s="172" t="s">
        <v>782</v>
      </c>
      <c r="R1" s="487" t="s">
        <v>783</v>
      </c>
      <c r="S1" s="487" t="s">
        <v>784</v>
      </c>
      <c r="T1" s="488" t="s">
        <v>785</v>
      </c>
      <c r="U1" s="489" t="s">
        <v>786</v>
      </c>
      <c r="V1" s="490" t="s">
        <v>787</v>
      </c>
      <c r="W1" s="491" t="s">
        <v>788</v>
      </c>
      <c r="X1" s="492" t="s">
        <v>789</v>
      </c>
      <c r="Y1" s="492" t="s">
        <v>790</v>
      </c>
      <c r="Z1" s="492" t="s">
        <v>791</v>
      </c>
      <c r="AA1" s="492" t="s">
        <v>792</v>
      </c>
      <c r="AB1" s="493" t="s">
        <v>793</v>
      </c>
      <c r="AC1" s="494" t="s">
        <v>794</v>
      </c>
      <c r="AD1" s="494" t="s">
        <v>795</v>
      </c>
      <c r="AE1" s="494" t="s">
        <v>796</v>
      </c>
      <c r="AF1" s="494" t="s">
        <v>797</v>
      </c>
      <c r="AG1" s="494" t="s">
        <v>798</v>
      </c>
      <c r="AH1" s="494" t="s">
        <v>799</v>
      </c>
      <c r="AI1" s="494" t="s">
        <v>800</v>
      </c>
      <c r="AJ1" s="494" t="s">
        <v>801</v>
      </c>
      <c r="AK1" s="494" t="s">
        <v>802</v>
      </c>
      <c r="AL1" s="494" t="s">
        <v>803</v>
      </c>
      <c r="AM1" s="494" t="s">
        <v>804</v>
      </c>
      <c r="AN1" s="494" t="s">
        <v>805</v>
      </c>
      <c r="AO1" s="494" t="s">
        <v>806</v>
      </c>
      <c r="AP1" s="494" t="s">
        <v>807</v>
      </c>
      <c r="AQ1" s="494" t="s">
        <v>808</v>
      </c>
      <c r="AR1" s="494" t="s">
        <v>809</v>
      </c>
      <c r="AS1" s="494" t="s">
        <v>810</v>
      </c>
      <c r="AT1" s="495" t="s">
        <v>811</v>
      </c>
      <c r="AU1" s="496" t="s">
        <v>812</v>
      </c>
    </row>
    <row r="2" customFormat="false" ht="15.75" hidden="false" customHeight="false" outlineLevel="0" collapsed="false">
      <c r="A2" s="497" t="str">
        <f aca="false" t="array" ref="A2:A2">IF(ISNA(INDEX(Source!$U$7:$U$95,MATCH(B2,Source!$V$7:$V$95,0))),"FREE",INDEX(Source!$U$7:$U$95,MATCH(B2,Source!$V$7:$V$95,0)))</f>
        <v>FREE</v>
      </c>
      <c r="B2" s="498" t="s">
        <v>283</v>
      </c>
      <c r="C2" s="498"/>
      <c r="D2" s="498"/>
      <c r="E2" s="499" t="str">
        <f aca="false">IF(SUM($W2:$X2)&gt;0,SUM($W2:$X2),IF($H2&gt;0,0,IF($H2&gt;0,0,"-")))</f>
        <v>-</v>
      </c>
      <c r="F2" s="499" t="str">
        <f aca="false">IF(SUM($Y2:$Z2)&gt;0,SUM($Y2:$Z2),IF($H2&gt;0,0,"-"))</f>
        <v>-</v>
      </c>
      <c r="G2" s="499" t="str">
        <f aca="false">IF($H2&gt;0,minus(E2,F2),"-")</f>
        <v>-</v>
      </c>
      <c r="H2" s="500" t="n">
        <f aca="false">SUM(COUNTIF(MatchSource!$A:$A,$B2),COUNTIF(MatchSource!$H:$H,$B2))</f>
        <v>0</v>
      </c>
      <c r="I2" s="501" t="n">
        <f aca="false">SUM($AA2:$AB2)</f>
        <v>0</v>
      </c>
      <c r="J2" s="502" t="s">
        <v>701</v>
      </c>
      <c r="K2" s="502" t="str">
        <f aca="false" t="array" ref="K2:K2">IF(ISNA(INDEX(DraftRosters!$AA$3:$AA$199,MATCH($B2,DraftRosters!$AB$3:$AB$199,0))),"FA",IF(INDEX(DraftRosters!$AA$3:$AA$199,MATCH($B2,DraftRosters!$AB$3:$AB$199,0))="Franchise","Franch",INDEX(DraftRosters!$AA$3:$AA$199,MATCH($B2,DraftRosters!$AB$3:$AB$199,0))))</f>
        <v>FA</v>
      </c>
      <c r="L2" s="503" t="n">
        <v>90</v>
      </c>
      <c r="M2" s="503" t="n">
        <v>92</v>
      </c>
      <c r="N2" s="503" t="n">
        <v>75</v>
      </c>
      <c r="O2" s="503" t="n">
        <v>92</v>
      </c>
      <c r="P2" s="503" t="n">
        <v>85</v>
      </c>
      <c r="Q2" s="502" t="n">
        <v>60</v>
      </c>
      <c r="R2" s="503" t="s">
        <v>803</v>
      </c>
      <c r="S2" s="502" t="s">
        <v>805</v>
      </c>
      <c r="T2" s="504" t="s">
        <v>813</v>
      </c>
      <c r="U2" s="505" t="s">
        <v>814</v>
      </c>
      <c r="V2" s="506"/>
      <c r="W2" s="500" t="str">
        <f aca="false">IFERROR(__xludf.dummyfunction("if(isna(SUM(FILTER(MatchSource!$A:$D,MatchSource!$A:$A=$B2))),0,SUM(FILTER(MatchSource!$A:$D,MatchSource!$A:$A=$B2)))"),"0")</f>
        <v>0</v>
      </c>
      <c r="X2" s="499" t="str">
        <f aca="false">IFERROR(__xludf.dummyfunction("if(isna(SUM(FILTER(MatchSource!$H:$K,MatchSource!$H:$H=$B2))),0,SUM(FILTER(MatchSource!$H:$K,MatchSource!$H:$H=$B2)))"),"0")</f>
        <v>0</v>
      </c>
      <c r="Y2" s="499" t="str">
        <f aca="false">IFERROR(__xludf.dummyfunction("if(isna(ABS(MINUS(SUM(FILTER(MatchSource!$A:$E,MatchSource!$A:$A=$B2)),SUM($W2)))),0,ABS(MINUS(SUM(FILTER(MatchSource!$A:$E,MatchSource!$A:$A=$B2)),SUM($W2))))"),"0")</f>
        <v>0</v>
      </c>
      <c r="Z2" s="499" t="str">
        <f aca="false">IFERROR(__xludf.dummyfunction("if(isna(ABS(MINUS(SUM(FILTER(MatchSource!$H:$L,MatchSource!$H:$H=$B2)),SUM($X2)))),0,ABS(MINUS(SUM(FILTER(MatchSource!$H:$L,MatchSource!$H:$H=$B2)),SUM($X2))))"),"0")</f>
        <v>0</v>
      </c>
      <c r="AA2" s="499" t="str">
        <f aca="false">IFERROR(__xludf.dummyfunction("if(isna(ABS(MINUS(SUM(FILTER(MatchSource!$A:$F,MatchSource!$A:$A=$B2)),SUM($W2,$Y2)))),0,ABS(MINUS(SUM(FILTER(MatchSource!$A:$F,MatchSource!$A:$A=$B2)),SUM($W2, $Y2,))))"),"0")</f>
        <v>0</v>
      </c>
      <c r="AB2" s="501" t="str">
        <f aca="false">IFERROR(__xludf.dummyfunction("if(isna(ABS(MINUS(SUM(FILTER(MatchSource!$H:$M,MatchSource!$H:$H=$B2)),SUM($X2,$Z2)))),0,ABS(MINUS(SUM(FILTER(MatchSource!$H:$M,MatchSource!$H:$H=$B2)),SUM($X2,$Z2))))"),"0")</f>
        <v>0</v>
      </c>
      <c r="AC2" s="507" t="n">
        <f aca="false">SUM(IF(OR($R2="Grass",$R2="Psychic",$R2="Dark"),0-1,IF(OR($R2="Fighting",$R2="Flying",$R2="Fire",$R2="Ghost",$R2="Poison",$R2="Steel",$R2="Fairy"),1,0)),IF(OR($S2="Grass",$S2="Psychic",$S2="Dark"),0-1,IF(OR($S2="Fighting",$S2="Flying",$S2="Fire",$S2="Ghost",$S2="Poison",$S2="Steel",$S2="Fairy"),1,0)))</f>
        <v>-1</v>
      </c>
      <c r="AD2" s="507" t="n">
        <f aca="false">SUM(IF(OR($R2="Ghost",$R2="Psychic"),0-1,IF(OR($R2="Fighting",$R2="Dark",$R2="Fairy"),1,0)),IF(OR($S2="Ghost",$S2="Psychic"),0-1,IF(OR($S2="Fighting",$S2="Dark",$S2="Fairy"),1,0)))</f>
        <v>0</v>
      </c>
      <c r="AE2" s="507" t="n">
        <f aca="false">IF(OR($R2="Fairy",$S2="Fairy"),4,SUM(IF($R2="Dragon",0-1,IF($R2="Steel",1,0)),IF($S2="Dragon",0-1,IF($S2="Steel",1,0))))</f>
        <v>0</v>
      </c>
      <c r="AF2" s="507" t="n">
        <f aca="false">IF(OR($R2="Ground",$S2="Ground"),4,SUM(IF(OR($R2="Flying",$R2="Water"),0-1,IF(OR($R2="Dragon",$R2="Electric",$R2="Grass"),1,0)),IF(OR($S2="Flying",$S2="Water"),0-1,IF(OR($S2="Dragon",$S2="Electric",$S2="Grass"),1,0))))</f>
        <v>1</v>
      </c>
      <c r="AG2" s="507" t="n">
        <f aca="false">SUM(IF(OR($R2="Dark",$R2="Dragon",$R2="Fighting"),0-1,IF(OR($R2="Steel",$R2="Poison",$R2="Fire"),1,0)),IF(OR($S2="Dark",$S2="Dragon",$S2="Fighting"),0-1,IF(OR($S2="Steel",$S2="Poison",$S2="Fire"),1,0)))</f>
        <v>0</v>
      </c>
      <c r="AH2" s="507" t="n">
        <f aca="false">IF(OR($R2="Ghost",$S2="Ghost"),4,SUM(IF(OR($R2="Dark",$R2="Ice",$R2="Normal",$R2="Rock",$R2="Steel"),0-1,IF(OR($R2="Bug",$R2="Fairy",$R2="Flying",$R2="Poison",$R2="Psychic"),1,0)),IF(OR($S2="Dark",$S2="Ice",$S2="Normal",$S2="Rock",$S2="Steel"),0-1,IF(OR($S2="Bug",$S2="Fairy",$S2="Flying",$S2="Poison",$S2="Psychic"),1,0))))</f>
        <v>-1</v>
      </c>
      <c r="AI2" s="507" t="n">
        <f aca="false">SUM(IF(OR($R2="Bug",$R2="Grass",$R2="Ice",$R2="Steel"),0-1,IF(OR($R2="Dragon",$R2="Fire",$R2="Rock",$R2="Water"),1,0)),IF(OR($S2="Bug",$S2="Grass",$S2="Ice",$S2="Steel"),0-1,IF(OR($S2="Dragon",$S2="Fire",$S2="Rock",$S2="Water"),1,0)))</f>
        <v>-2</v>
      </c>
      <c r="AJ2" s="507" t="n">
        <f aca="false">SUM(IF(OR($R2="Bug",$R2="Grass",$R2="Fighting"),0-1,IF(OR($R2="Electric",$R2="Rock",$R2="Steel"),1,0)),IF(OR($S2="Bug",$S2="Grass",$S2="Fighting"),0-1,IF(OR($S2="Electric",$S2="Rock",$S2="Steel"),1,0)))</f>
        <v>-1</v>
      </c>
      <c r="AK2" s="507" t="n">
        <f aca="false">IF(OR($R2="Normal",$S2="Normal"),4,SUM(IF(OR($R2="Ghost",$R2="Psychic"),0-1,IF($R2="Dark",1,0)),IF(OR($S2="Ghost",$S2="Psychic"),0-1,IF($S2="Dark",1,0))))</f>
        <v>0</v>
      </c>
      <c r="AL2" s="507" t="n">
        <f aca="false">SUM(IF(OR($R2="Ground",$R2="Rock",$R2="Water"),0-1,IF(OR($R2="Bug",$R2="Flying",$R2="Fire",$R2="Dragon",$R2="Poison",$R2="Steel",$R2="Grass"),1,0)),IF(OR($S2="Ground",$S2="Rock",$S2="Water"),0-1,IF(OR($S2="Bug",$S2="Flying",$S2="Fire",$S2="Dragon",$S2="Poison",$S2="Steel",$S2="Grass"),1,0)))</f>
        <v>1</v>
      </c>
      <c r="AM2" s="507" t="n">
        <f aca="false">IF(OR($R2="Flying",$S2="Flying"),4,SUM(IF(OR($R2="Electric",$R2="Fire",$R2="Rock",$R2="Steel",$R2="Poison"),0-1,IF(OR($R2="Bug",$R2="Grass"),1,0)),IF(OR($S2="Electric",$S2="Fire",$S2="Rock",$S2="Steel",$S2="Poison"),0-1,IF(OR($S2="Bug",$S2="Grass"),1,0))))</f>
        <v>1</v>
      </c>
      <c r="AN2" s="507" t="n">
        <f aca="false">SUM(IF(OR($R2="Flying",$R2="Dragon",$R2="Grass",$R2="Ground"),0-1,IF(OR($R2="Steel",$R2="Ice",$R2="Fire",$R2="Water"),1,0)),IF(OR($S2="Flying",$S2="Dragon",$S2="Grass",$S2="Ground"),0-1,IF(OR($S2="Steel",$S2="Ice",$S2="Fire",$S2="Water"),1,0)))</f>
        <v>0</v>
      </c>
      <c r="AO2" s="507" t="n">
        <f aca="false">IF(OR($R2="Ghost",$S2="Ghost"),4,SUM(IF(OR($R2="Steel",$R2="Rock"),1,0),IF(OR($S2="Steel",$S2="Rock"),1,0)))</f>
        <v>0</v>
      </c>
      <c r="AP2" s="507" t="n">
        <f aca="false">IF(OR($R2="Steel",$S2="Steel"),4,SUM(IF(OR($R2="Fairy",$R2="Grass"),0-1,IF(OR($R2="Ghost",$R2="Rock",$R2="Ground",$R2="Poison"),1,0)),IF(OR($S2="Fairy",$S2="Grass"),0-1,IF(OR($S2="Ghost",$S2="Rock",$S2="Ground",$S2="Poison"),1,0))))</f>
        <v>-1</v>
      </c>
      <c r="AQ2" s="507" t="n">
        <f aca="false">IF(OR($R2="Dark",$S2="Dark"),4,SUM(IF(OR($R2="Fighting",$R2="Poison"),0-1,IF(OR($R2="Psychic",$R2="Steel"),1,0)),IF(OR($S2="Fighting",$S2="Poison"),0-1,IF(OR($S2="Psychic",$S2="Steel"),1,0))))</f>
        <v>0</v>
      </c>
      <c r="AR2" s="507" t="n">
        <f aca="false">SUM(IF(OR($R2="Bug",$R2="Fire",$R2="Flying",$R2="Ice"),0-1,IF(OR($R2="Steel",$R2="Fighting",$R2="Ground"),1,0)),IF(OR($S2="Bug",$S2="Fire",$S2="Flying",$S2="Ice"),0-1,IF(OR($S2="Steel",$S2="Fighting",$S2="Ground"),1,0)))</f>
        <v>-1</v>
      </c>
      <c r="AS2" s="507" t="n">
        <f aca="false">SUM(IF(OR($R2="Fairy",$R2="Ice",$R2="Rock"),0-1,IF(OR($R2="Steel",$R2="Electric",$R2="Fire",$R2="Water"),1,0)),IF(OR($S2="Fairy",$S2="Ice",$S2="Rock"),0-1,IF(OR($S2="Steel",$S2="Electric",$S2="Fire",$S2="Water"),1,0)))</f>
        <v>-1</v>
      </c>
      <c r="AT2" s="508" t="n">
        <f aca="false">SUM(IF(OR($R2="Fire",$R2="Ground",$R2="Rock"),0-1,IF(OR($R2="Dragon",$R2="Grass",$R2="Water"),1,0)),IF(OR($S2="Fire",$S2="Ground",$S2="Rock"),0-1,IF(OR($S2="Dragon",$S2="Grass",$S2="Water"),1,0)))</f>
        <v>1</v>
      </c>
      <c r="AU2" s="509" t="str">
        <f aca="false">BBG!$L$1</f>
        <v>BBG</v>
      </c>
    </row>
    <row r="3" customFormat="false" ht="15.75" hidden="false" customHeight="false" outlineLevel="0" collapsed="false">
      <c r="A3" s="510" t="str">
        <f aca="false" t="array" ref="A3:A3">IF(ISNA(INDEX(Source!$U$7:$U$95,MATCH(B3,Source!$V$7:$V$95,0))),"FREE",INDEX(Source!$U$7:$U$95,MATCH(B3,Source!$V$7:$V$95,0)))</f>
        <v>FREE</v>
      </c>
      <c r="B3" s="511" t="s">
        <v>704</v>
      </c>
      <c r="C3" s="511"/>
      <c r="D3" s="511"/>
      <c r="E3" s="499" t="str">
        <f aca="false">IF(SUM($W3:$X3)&gt;0,SUM($W3:$X3),IF($H3&gt;0,0,IF($H3&gt;0,0,"-")))</f>
        <v>-</v>
      </c>
      <c r="F3" s="499" t="str">
        <f aca="false">IF(SUM($Y3:$Z3)&gt;0,SUM($Y3:$Z3),IF($H3&gt;0,0,"-"))</f>
        <v>-</v>
      </c>
      <c r="G3" s="499" t="str">
        <f aca="false">IF($H3&gt;0,minus(E3,F3),"-")</f>
        <v>-</v>
      </c>
      <c r="H3" s="500" t="n">
        <f aca="false">SUM(COUNTIF(MatchSource!$A:$A,$B3),COUNTIF(MatchSource!$H:$H,$B3))</f>
        <v>0</v>
      </c>
      <c r="I3" s="501" t="n">
        <f aca="false">SUM($AA3:$AB3)</f>
        <v>0</v>
      </c>
      <c r="J3" s="499" t="s">
        <v>279</v>
      </c>
      <c r="K3" s="512" t="str">
        <f aca="false" t="array" ref="K3:K3">IF(ISNA(INDEX(DraftRosters!$AA$3:$AA$199,MATCH($B3,DraftRosters!$AB$3:$AB$199,0))),"FA",IF(INDEX(DraftRosters!$AA$3:$AA$199,MATCH($B3,DraftRosters!$AB$3:$AB$199,0))="Franchise","Franch",INDEX(DraftRosters!$AA$3:$AA$199,MATCH($B3,DraftRosters!$AB$3:$AB$199,0))))</f>
        <v>FA</v>
      </c>
      <c r="L3" s="499" t="n">
        <v>90</v>
      </c>
      <c r="M3" s="499" t="n">
        <v>132</v>
      </c>
      <c r="N3" s="499" t="n">
        <v>105</v>
      </c>
      <c r="O3" s="499" t="n">
        <v>132</v>
      </c>
      <c r="P3" s="499" t="n">
        <v>105</v>
      </c>
      <c r="Q3" s="501" t="n">
        <v>30</v>
      </c>
      <c r="R3" s="499" t="s">
        <v>803</v>
      </c>
      <c r="S3" s="501" t="s">
        <v>805</v>
      </c>
      <c r="T3" s="504" t="s">
        <v>813</v>
      </c>
      <c r="U3" s="513"/>
      <c r="V3" s="514"/>
      <c r="W3" s="500" t="str">
        <f aca="false">IFERROR(__xludf.dummyfunction("if(isna(SUM(FILTER(MatchSource!$A:$D,MatchSource!$A:$A=$B3))),0,SUM(FILTER(MatchSource!$A:$D,MatchSource!$A:$A=$B3)))"),"0")</f>
        <v>0</v>
      </c>
      <c r="X3" s="499" t="str">
        <f aca="false">IFERROR(__xludf.dummyfunction("if(isna(SUM(FILTER(MatchSource!$H:$K,MatchSource!$H:$H=$B3))),0,SUM(FILTER(MatchSource!$H:$K,MatchSource!$H:$H=$B3)))"),"0")</f>
        <v>0</v>
      </c>
      <c r="Y3" s="499" t="str">
        <f aca="false">IFERROR(__xludf.dummyfunction("if(isna(ABS(MINUS(SUM(FILTER(MatchSource!$A:$E,MatchSource!$A:$A=$B3)),SUM($W3)))),0,ABS(MINUS(SUM(FILTER(MatchSource!$A:$E,MatchSource!$A:$A=$B3)),SUM($W3))))"),"0")</f>
        <v>0</v>
      </c>
      <c r="Z3" s="499" t="str">
        <f aca="false">IFERROR(__xludf.dummyfunction("if(isna(ABS(MINUS(SUM(FILTER(MatchSource!$H:$L,MatchSource!$H:$H=$B3)),SUM($X3)))),0,ABS(MINUS(SUM(FILTER(MatchSource!$H:$L,MatchSource!$H:$H=$B3)),SUM($X3))))"),"0")</f>
        <v>0</v>
      </c>
      <c r="AA3" s="499" t="str">
        <f aca="false">IFERROR(__xludf.dummyfunction("if(isna(ABS(MINUS(SUM(FILTER(MatchSource!$A:$F,MatchSource!$A:$A=$B3)),SUM($W3,$Y3)))),0,ABS(MINUS(SUM(FILTER(MatchSource!$A:$F,MatchSource!$A:$A=$B3)),SUM($W3, $Y3,))))"),"0")</f>
        <v>0</v>
      </c>
      <c r="AB3" s="501" t="str">
        <f aca="false">IFERROR(__xludf.dummyfunction("if(isna(ABS(MINUS(SUM(FILTER(MatchSource!$H:$M,MatchSource!$H:$H=$B3)),SUM($X3,$Z3)))),0,ABS(MINUS(SUM(FILTER(MatchSource!$H:$M,MatchSource!$H:$H=$B3)),SUM($X3,$Z3))))"),"0")</f>
        <v>0</v>
      </c>
      <c r="AC3" s="507" t="n">
        <f aca="false">SUM(IF(OR($R3="Grass",$R3="Psychic",$R3="Dark"),0-1,IF(OR($R3="Fighting",$R3="Flying",$R3="Fire",$R3="Ghost",$R3="Poison",$R3="Steel",$R3="Fairy"),1,0)),IF(OR($S3="Grass",$S3="Psychic",$S3="Dark"),0-1,IF(OR($S3="Fighting",$S3="Flying",$S3="Fire",$S3="Ghost",$S3="Poison",$S3="Steel",$S3="Fairy"),1,0)))</f>
        <v>-1</v>
      </c>
      <c r="AD3" s="507" t="n">
        <f aca="false">SUM(IF(OR($R3="Ghost",$R3="Psychic"),0-1,IF(OR($R3="Fighting",$R3="Dark",$R3="Fairy"),1,0)),IF(OR($S3="Ghost",$S3="Psychic"),0-1,IF(OR($S3="Fighting",$S3="Dark",$S3="Fairy"),1,0)))</f>
        <v>0</v>
      </c>
      <c r="AE3" s="507" t="n">
        <f aca="false">IF(OR($R3="Fairy",$S3="Fairy"),4,SUM(IF($R3="Dragon",0-1,IF($R3="Steel",1,0)),IF($S3="Dragon",0-1,IF($S3="Steel",1,0))))</f>
        <v>0</v>
      </c>
      <c r="AF3" s="507" t="n">
        <f aca="false">IF(OR($R3="Ground",$S3="Ground"),4,SUM(IF(OR($R3="Flying",$R3="Water"),0-1,IF(OR($R3="Dragon",$R3="Electric",$R3="Grass"),1,0)),IF(OR($S3="Flying",$S3="Water"),0-1,IF(OR($S3="Dragon",$S3="Electric",$S3="Grass"),1,0))))</f>
        <v>1</v>
      </c>
      <c r="AG3" s="507" t="n">
        <f aca="false">SUM(IF(OR($R3="Dark",$R3="Dragon",$R3="Fighting"),0-1,IF(OR($R3="Steel",$R3="Poison",$R3="Fire"),1,0)),IF(OR($S3="Dark",$S3="Dragon",$S3="Fighting"),0-1,IF(OR($S3="Steel",$S3="Poison",$S3="Fire"),1,0)))</f>
        <v>0</v>
      </c>
      <c r="AH3" s="507" t="n">
        <f aca="false">IF(OR($R3="Ghost",$S3="Ghost"),4,SUM(IF(OR($R3="Dark",$R3="Ice",$R3="Normal",$R3="Rock",$R3="Steel"),0-1,IF(OR($R3="Bug",$R3="Fairy",$R3="Flying",$R3="Poison",$R3="Psychic"),1,0)),IF(OR($S3="Dark",$S3="Ice",$S3="Normal",$S3="Rock",$S3="Steel"),0-1,IF(OR($S3="Bug",$S3="Fairy",$S3="Flying",$S3="Poison",$S3="Psychic"),1,0))))</f>
        <v>-1</v>
      </c>
      <c r="AI3" s="507" t="n">
        <f aca="false">SUM(IF(OR($R3="Bug",$R3="Grass",$R3="Ice",$R3="Steel"),0-1,IF(OR($R3="Dragon",$R3="Fire",$R3="Rock",$R3="Water"),1,0)),IF(OR($S3="Bug",$S3="Grass",$S3="Ice",$S3="Steel"),0-1,IF(OR($S3="Dragon",$S3="Fire",$S3="Rock",$S3="Water"),1,0)))</f>
        <v>-2</v>
      </c>
      <c r="AJ3" s="507" t="n">
        <f aca="false">SUM(IF(OR($R3="Bug",$R3="Grass",$R3="Fighting"),0-1,IF(OR($R3="Electric",$R3="Rock",$R3="Steel"),1,0)),IF(OR($S3="Bug",$S3="Grass",$S3="Fighting"),0-1,IF(OR($S3="Electric",$S3="Rock",$S3="Steel"),1,0)))</f>
        <v>-1</v>
      </c>
      <c r="AK3" s="507" t="n">
        <f aca="false">IF(OR($R3="Normal",$S3="Normal"),4,SUM(IF(OR($R3="Ghost",$R3="Psychic"),0-1,IF($R3="Dark",1,0)),IF(OR($S3="Ghost",$S3="Psychic"),0-1,IF($S3="Dark",1,0))))</f>
        <v>0</v>
      </c>
      <c r="AL3" s="507" t="n">
        <f aca="false">SUM(IF(OR($R3="Ground",$R3="Rock",$R3="Water"),0-1,IF(OR($R3="Bug",$R3="Flying",$R3="Fire",$R3="Dragon",$R3="Poison",$R3="Steel",$R3="Grass"),1,0)),IF(OR($S3="Ground",$S3="Rock",$S3="Water"),0-1,IF(OR($S3="Bug",$S3="Flying",$S3="Fire",$S3="Dragon",$S3="Poison",$S3="Steel",$S3="Grass"),1,0)))</f>
        <v>1</v>
      </c>
      <c r="AM3" s="507" t="n">
        <f aca="false">IF(OR($R3="Flying",$S3="Flying"),4,SUM(IF(OR($R3="Electric",$R3="Fire",$R3="Rock",$R3="Steel",$R3="Poison"),0-1,IF(OR($R3="Bug",$R3="Grass"),1,0)),IF(OR($S3="Electric",$S3="Fire",$S3="Rock",$S3="Steel",$S3="Poison"),0-1,IF(OR($S3="Bug",$S3="Grass"),1,0))))</f>
        <v>1</v>
      </c>
      <c r="AN3" s="507" t="n">
        <f aca="false">SUM(IF(OR($R3="Flying",$R3="Dragon",$R3="Grass",$R3="Ground"),0-1,IF(OR($R3="Steel",$R3="Ice",$R3="Fire",$R3="Water"),1,0)),IF(OR($S3="Flying",$S3="Dragon",$S3="Grass",$S3="Ground"),0-1,IF(OR($S3="Steel",$S3="Ice",$S3="Fire",$S3="Water"),1,0)))</f>
        <v>0</v>
      </c>
      <c r="AO3" s="507" t="n">
        <f aca="false">IF(OR($R3="Ghost",$S3="Ghost"),4,SUM(IF(OR($R3="Steel",$R3="Rock"),1,0),IF(OR($S3="Steel",$S3="Rock"),1,0)))</f>
        <v>0</v>
      </c>
      <c r="AP3" s="507" t="n">
        <f aca="false">IF(OR($R3="Steel",$S3="Steel"),4,SUM(IF(OR($R3="Fairy",$R3="Grass"),0-1,IF(OR($R3="Ghost",$R3="Rock",$R3="Ground",$R3="Poison"),1,0)),IF(OR($S3="Fairy",$S3="Grass"),0-1,IF(OR($S3="Ghost",$S3="Rock",$S3="Ground",$S3="Poison"),1,0))))</f>
        <v>-1</v>
      </c>
      <c r="AQ3" s="507" t="n">
        <f aca="false">IF(OR($R3="Dark",$S3="Dark"),4,SUM(IF(OR($R3="Fighting",$R3="Poison"),0-1,IF(OR($R3="Psychic",$R3="Steel"),1,0)),IF(OR($S3="Fighting",$S3="Poison"),0-1,IF(OR($S3="Psychic",$S3="Steel"),1,0))))</f>
        <v>0</v>
      </c>
      <c r="AR3" s="507" t="n">
        <f aca="false">SUM(IF(OR($R3="Bug",$R3="Fire",$R3="Flying",$R3="Ice"),0-1,IF(OR($R3="Steel",$R3="Fighting",$R3="Ground"),1,0)),IF(OR($S3="Bug",$S3="Fire",$S3="Flying",$S3="Ice"),0-1,IF(OR($S3="Steel",$S3="Fighting",$S3="Ground"),1,0)))</f>
        <v>-1</v>
      </c>
      <c r="AS3" s="507" t="n">
        <f aca="false">SUM(IF(OR($R3="Fairy",$R3="Ice",$R3="Rock"),0-1,IF(OR($R3="Steel",$R3="Electric",$R3="Fire",$R3="Water"),1,0)),IF(OR($S3="Fairy",$S3="Ice",$S3="Rock"),0-1,IF(OR($S3="Steel",$S3="Electric",$S3="Fire",$S3="Water"),1,0)))</f>
        <v>-1</v>
      </c>
      <c r="AT3" s="508" t="n">
        <f aca="false">SUM(IF(OR($R3="Fire",$R3="Ground",$R3="Rock"),0-1,IF(OR($R3="Dragon",$R3="Grass",$R3="Water"),1,0)),IF(OR($S3="Fire",$S3="Ground",$S3="Rock"),0-1,IF(OR($S3="Dragon",$S3="Grass",$S3="Water"),1,0)))</f>
        <v>1</v>
      </c>
      <c r="AU3" s="509" t="str">
        <f aca="false">SEA!$L$1</f>
        <v>SEA</v>
      </c>
    </row>
    <row r="4" customFormat="false" ht="15.75" hidden="false" customHeight="false" outlineLevel="0" collapsed="false">
      <c r="A4" s="510" t="str">
        <f aca="false" t="array" ref="A4:A4">IF(ISNA(INDEX(Source!$U$7:$U$95,MATCH(B4,Source!$V$7:$V$95,0))),"FREE",INDEX(Source!$U$7:$U$95,MATCH(B4,Source!$V$7:$V$95,0)))</f>
        <v>FREE</v>
      </c>
      <c r="B4" s="511" t="s">
        <v>290</v>
      </c>
      <c r="C4" s="511"/>
      <c r="D4" s="511"/>
      <c r="E4" s="499" t="str">
        <f aca="false">IF(SUM($W4:$X4)&gt;0,SUM($W4:$X4),IF($H4&gt;0,0,IF($H4&gt;0,0,"-")))</f>
        <v>-</v>
      </c>
      <c r="F4" s="499" t="str">
        <f aca="false">IF(SUM($Y4:$Z4)&gt;0,SUM($Y4:$Z4),IF($H4&gt;0,0,"-"))</f>
        <v>-</v>
      </c>
      <c r="G4" s="499" t="str">
        <f aca="false">IF($H4&gt;0,minus(E4,F4),"-")</f>
        <v>-</v>
      </c>
      <c r="H4" s="500" t="n">
        <f aca="false">SUM(COUNTIF(MatchSource!$A:$A,$B4),COUNTIF(MatchSource!$H:$H,$B4))</f>
        <v>0</v>
      </c>
      <c r="I4" s="501" t="n">
        <f aca="false">SUM($AA4:$AB4)</f>
        <v>0</v>
      </c>
      <c r="J4" s="501" t="s">
        <v>701</v>
      </c>
      <c r="K4" s="512" t="str">
        <f aca="false" t="array" ref="K4:K4">IF(ISNA(INDEX(DraftRosters!$AA$3:$AA$199,MATCH($B4,DraftRosters!$AB$3:$AB$199,0))),"FA",IF(INDEX(DraftRosters!$AA$3:$AA$199,MATCH($B4,DraftRosters!$AB$3:$AB$199,0))="Franchise","Franch",INDEX(DraftRosters!$AA$3:$AA$199,MATCH($B4,DraftRosters!$AB$3:$AB$199,0))))</f>
        <v>FA</v>
      </c>
      <c r="L4" s="499" t="n">
        <v>65</v>
      </c>
      <c r="M4" s="499" t="n">
        <v>130</v>
      </c>
      <c r="N4" s="499" t="n">
        <v>60</v>
      </c>
      <c r="O4" s="499" t="n">
        <v>75</v>
      </c>
      <c r="P4" s="499" t="n">
        <v>60</v>
      </c>
      <c r="Q4" s="501" t="n">
        <v>75</v>
      </c>
      <c r="R4" s="499" t="s">
        <v>795</v>
      </c>
      <c r="S4" s="501"/>
      <c r="T4" s="504" t="s">
        <v>815</v>
      </c>
      <c r="U4" s="505" t="s">
        <v>816</v>
      </c>
      <c r="V4" s="506" t="s">
        <v>817</v>
      </c>
      <c r="W4" s="500" t="str">
        <f aca="false">IFERROR(__xludf.dummyfunction("if(isna(SUM(FILTER(MatchSource!$A:$D,MatchSource!$A:$A=$B4))),0,SUM(FILTER(MatchSource!$A:$D,MatchSource!$A:$A=$B4)))"),"0")</f>
        <v>0</v>
      </c>
      <c r="X4" s="499" t="str">
        <f aca="false">IFERROR(__xludf.dummyfunction("if(isna(SUM(FILTER(MatchSource!$H:$K,MatchSource!$H:$H=$B4))),0,SUM(FILTER(MatchSource!$H:$K,MatchSource!$H:$H=$B4)))"),"0")</f>
        <v>0</v>
      </c>
      <c r="Y4" s="499" t="str">
        <f aca="false">IFERROR(__xludf.dummyfunction("if(isna(ABS(MINUS(SUM(FILTER(MatchSource!$A:$E,MatchSource!$A:$A=$B4)),SUM($W4)))),0,ABS(MINUS(SUM(FILTER(MatchSource!$A:$E,MatchSource!$A:$A=$B4)),SUM($W4))))"),"0")</f>
        <v>0</v>
      </c>
      <c r="Z4" s="499" t="str">
        <f aca="false">IFERROR(__xludf.dummyfunction("if(isna(ABS(MINUS(SUM(FILTER(MatchSource!$H:$L,MatchSource!$H:$H=$B4)),SUM($X4)))),0,ABS(MINUS(SUM(FILTER(MatchSource!$H:$L,MatchSource!$H:$H=$B4)),SUM($X4))))"),"0")</f>
        <v>0</v>
      </c>
      <c r="AA4" s="499" t="str">
        <f aca="false">IFERROR(__xludf.dummyfunction("if(isna(ABS(MINUS(SUM(FILTER(MatchSource!$A:$F,MatchSource!$A:$A=$B4)),SUM($W4,$Y4)))),0,ABS(MINUS(SUM(FILTER(MatchSource!$A:$F,MatchSource!$A:$A=$B4)),SUM($W4, $Y4,))))"),"0")</f>
        <v>0</v>
      </c>
      <c r="AB4" s="501" t="str">
        <f aca="false">IFERROR(__xludf.dummyfunction("if(isna(ABS(MINUS(SUM(FILTER(MatchSource!$H:$M,MatchSource!$H:$H=$B4)),SUM($X4,$Z4)))),0,ABS(MINUS(SUM(FILTER(MatchSource!$H:$M,MatchSource!$H:$H=$B4)),SUM($X4,$Z4))))"),"0")</f>
        <v>0</v>
      </c>
      <c r="AC4" s="507" t="n">
        <f aca="false">SUM(IF(OR($R4="Grass",$R4="Psychic",$R4="Dark"),0-1,IF(OR($R4="Fighting",$R4="Flying",$R4="Fire",$R4="Ghost",$R4="Poison",$R4="Steel",$R4="Fairy"),1,0)),IF(OR($S4="Grass",$S4="Psychic",$S4="Dark"),0-1,IF(OR($S4="Fighting",$S4="Flying",$S4="Fire",$S4="Ghost",$S4="Poison",$S4="Steel",$S4="Fairy"),1,0)))</f>
        <v>-1</v>
      </c>
      <c r="AD4" s="507" t="n">
        <f aca="false">SUM(IF(OR($R4="Ghost",$R4="Psychic"),0-1,IF(OR($R4="Fighting",$R4="Dark",$R4="Fairy"),1,0)),IF(OR($S4="Ghost",$S4="Psychic"),0-1,IF(OR($S4="Fighting",$S4="Dark",$S4="Fairy"),1,0)))</f>
        <v>1</v>
      </c>
      <c r="AE4" s="507" t="n">
        <f aca="false">IF(OR($R4="Fairy",$S4="Fairy"),4,SUM(IF($R4="Dragon",0-1,IF($R4="Steel",1,0)),IF($S4="Dragon",0-1,IF($S4="Steel",1,0))))</f>
        <v>0</v>
      </c>
      <c r="AF4" s="507" t="n">
        <f aca="false">IF(OR($R4="Ground",$S4="Ground"),4,SUM(IF(OR($R4="Flying",$R4="Water"),0-1,IF(OR($R4="Dragon",$R4="Electric",$R4="Grass"),1,0)),IF(OR($S4="Flying",$S4="Water"),0-1,IF(OR($S4="Dragon",$S4="Electric",$S4="Grass"),1,0))))</f>
        <v>0</v>
      </c>
      <c r="AG4" s="507" t="n">
        <f aca="false">SUM(IF(OR($R4="Dark",$R4="Dragon",$R4="Fighting"),0-1,IF(OR($R4="Steel",$R4="Poison",$R4="Fire"),1,0)),IF(OR($S4="Dark",$S4="Dragon",$S4="Fighting"),0-1,IF(OR($S4="Steel",$S4="Poison",$S4="Fire"),1,0)))</f>
        <v>-1</v>
      </c>
      <c r="AH4" s="507" t="n">
        <f aca="false">IF(OR($R4="Ghost",$S4="Ghost"),4,SUM(IF(OR($R4="Dark",$R4="Ice",$R4="Normal",$R4="Rock",$R4="Steel"),0-1,IF(OR($R4="Bug",$R4="Fairy",$R4="Flying",$R4="Poison",$R4="Psychic"),1,0)),IF(OR($S4="Dark",$S4="Ice",$S4="Normal",$S4="Rock",$S4="Steel"),0-1,IF(OR($S4="Bug",$S4="Fairy",$S4="Flying",$S4="Poison",$S4="Psychic"),1,0))))</f>
        <v>-1</v>
      </c>
      <c r="AI4" s="507" t="n">
        <f aca="false">SUM(IF(OR($R4="Bug",$R4="Grass",$R4="Ice",$R4="Steel"),0-1,IF(OR($R4="Dragon",$R4="Fire",$R4="Rock",$R4="Water"),1,0)),IF(OR($S4="Bug",$S4="Grass",$S4="Ice",$S4="Steel"),0-1,IF(OR($S4="Dragon",$S4="Fire",$S4="Rock",$S4="Water"),1,0)))</f>
        <v>0</v>
      </c>
      <c r="AJ4" s="507" t="n">
        <f aca="false">SUM(IF(OR($R4="Bug",$R4="Grass",$R4="Fighting"),0-1,IF(OR($R4="Electric",$R4="Rock",$R4="Steel"),1,0)),IF(OR($S4="Bug",$S4="Grass",$S4="Fighting"),0-1,IF(OR($S4="Electric",$S4="Rock",$S4="Steel"),1,0)))</f>
        <v>0</v>
      </c>
      <c r="AK4" s="507" t="n">
        <f aca="false">IF(OR($R4="Normal",$S4="Normal"),4,SUM(IF(OR($R4="Ghost",$R4="Psychic"),0-1,IF($R4="Dark",1,0)),IF(OR($S4="Ghost",$S4="Psychic"),0-1,IF($S4="Dark",1,0))))</f>
        <v>1</v>
      </c>
      <c r="AL4" s="507" t="n">
        <f aca="false">SUM(IF(OR($R4="Ground",$R4="Rock",$R4="Water"),0-1,IF(OR($R4="Bug",$R4="Flying",$R4="Fire",$R4="Dragon",$R4="Poison",$R4="Steel",$R4="Grass"),1,0)),IF(OR($S4="Ground",$S4="Rock",$S4="Water"),0-1,IF(OR($S4="Bug",$S4="Flying",$S4="Fire",$S4="Dragon",$S4="Poison",$S4="Steel",$S4="Grass"),1,0)))</f>
        <v>0</v>
      </c>
      <c r="AM4" s="507" t="n">
        <f aca="false">IF(OR($R4="Flying",$S4="Flying"),4,SUM(IF(OR($R4="Electric",$R4="Fire",$R4="Rock",$R4="Steel",$R4="Poison"),0-1,IF(OR($R4="Bug",$R4="Grass"),1,0)),IF(OR($S4="Electric",$S4="Fire",$S4="Rock",$S4="Steel",$S4="Poison"),0-1,IF(OR($S4="Bug",$S4="Grass"),1,0))))</f>
        <v>0</v>
      </c>
      <c r="AN4" s="507" t="n">
        <f aca="false">SUM(IF(OR($R4="Flying",$R4="Dragon",$R4="Grass",$R4="Ground"),0-1,IF(OR($R4="Steel",$R4="Ice",$R4="Fire",$R4="Water"),1,0)),IF(OR($S4="Flying",$S4="Dragon",$S4="Grass",$S4="Ground"),0-1,IF(OR($S4="Steel",$S4="Ice",$S4="Fire",$S4="Water"),1,0)))</f>
        <v>0</v>
      </c>
      <c r="AO4" s="507" t="n">
        <f aca="false">IF(OR($R4="Ghost",$S4="Ghost"),4,SUM(IF(OR($R4="Steel",$R4="Rock"),1,0),IF(OR($S4="Steel",$S4="Rock"),1,0)))</f>
        <v>0</v>
      </c>
      <c r="AP4" s="507" t="n">
        <f aca="false">IF(OR($R4="Steel",$S4="Steel"),4,SUM(IF(OR($R4="Fairy",$R4="Grass"),0-1,IF(OR($R4="Ghost",$R4="Rock",$R4="Ground",$R4="Poison"),1,0)),IF(OR($S4="Fairy",$S4="Grass"),0-1,IF(OR($S4="Ghost",$S4="Rock",$S4="Ground",$S4="Poison"),1,0))))</f>
        <v>0</v>
      </c>
      <c r="AQ4" s="507" t="n">
        <f aca="false">IF(OR($R4="Dark",$S4="Dark"),4,SUM(IF(OR($R4="Fighting",$R4="Poison"),0-1,IF(OR($R4="Psychic",$R4="Steel"),1,0)),IF(OR($S4="Fighting",$S4="Poison"),0-1,IF(OR($S4="Psychic",$S4="Steel"),1,0))))</f>
        <v>4</v>
      </c>
      <c r="AR4" s="507" t="n">
        <f aca="false">SUM(IF(OR($R4="Bug",$R4="Fire",$R4="Flying",$R4="Ice"),0-1,IF(OR($R4="Steel",$R4="Fighting",$R4="Ground"),1,0)),IF(OR($S4="Bug",$S4="Fire",$S4="Flying",$S4="Ice"),0-1,IF(OR($S4="Steel",$S4="Fighting",$S4="Ground"),1,0)))</f>
        <v>0</v>
      </c>
      <c r="AS4" s="507" t="n">
        <f aca="false">SUM(IF(OR($R4="Fairy",$R4="Ice",$R4="Rock"),0-1,IF(OR($R4="Steel",$R4="Electric",$R4="Fire",$R4="Water"),1,0)),IF(OR($S4="Fairy",$S4="Ice",$S4="Rock"),0-1,IF(OR($S4="Steel",$S4="Electric",$S4="Fire",$S4="Water"),1,0)))</f>
        <v>0</v>
      </c>
      <c r="AT4" s="508" t="n">
        <f aca="false">SUM(IF(OR($R4="Fire",$R4="Ground",$R4="Rock"),0-1,IF(OR($R4="Dragon",$R4="Grass",$R4="Water"),1,0)),IF(OR($S4="Fire",$S4="Ground",$S4="Rock"),0-1,IF(OR($S4="Dragon",$S4="Grass",$S4="Water"),1,0)))</f>
        <v>0</v>
      </c>
      <c r="AU4" s="509" t="str">
        <f aca="false">JVJ!$L$1</f>
        <v>JVJ</v>
      </c>
    </row>
    <row r="5" customFormat="false" ht="15.75" hidden="false" customHeight="false" outlineLevel="0" collapsed="false">
      <c r="A5" s="515" t="str">
        <f aca="false" t="array" ref="A5:A5">IF(ISNA(INDEX(Source!$U$7:$U$95,MATCH(B5,Source!$V$7:$V$95,0))),"FREE",INDEX(Source!$U$7:$U$95,MATCH(B5,Source!$V$7:$V$95,0)))</f>
        <v>FTT</v>
      </c>
      <c r="B5" s="511" t="s">
        <v>80</v>
      </c>
      <c r="C5" s="511"/>
      <c r="D5" s="511"/>
      <c r="E5" s="499" t="n">
        <f aca="false">IF(SUM($W5:$X5)&gt;0,SUM($W5:$X5),IF($H5&gt;0,0,IF($H5&gt;0,0,"-")))</f>
        <v>0</v>
      </c>
      <c r="F5" s="499" t="n">
        <f aca="false">IF(SUM($Y5:$Z5)&gt;0,SUM($Y5:$Z5),IF($H5&gt;0,0,"-"))</f>
        <v>0</v>
      </c>
      <c r="G5" s="499" t="e">
        <f aca="false">IF($H5&gt;0,minus(E5,F5),"-")</f>
        <v>#NAME?</v>
      </c>
      <c r="H5" s="500" t="n">
        <f aca="false">SUM(COUNTIF(MatchSource!$A:$A,$B5),COUNTIF(MatchSource!$H:$H,$B5))</f>
        <v>5</v>
      </c>
      <c r="I5" s="501" t="n">
        <f aca="false">SUM($AA5:$AB5)</f>
        <v>0</v>
      </c>
      <c r="J5" s="501" t="s">
        <v>278</v>
      </c>
      <c r="K5" s="512" t="n">
        <f aca="false" t="array" ref="K5:K5">IF(ISNA(INDEX(DraftRosters!$AA$3:$AA$199,MATCH($B5,DraftRosters!$AB$3:$AB$199,0))),"FA",IF(INDEX(DraftRosters!$AA$3:$AA$199,MATCH($B5,DraftRosters!$AB$3:$AB$199,0))="Franchise","Franch",INDEX(DraftRosters!$AA$3:$AA$199,MATCH($B5,DraftRosters!$AB$3:$AB$199,0))))</f>
        <v>88</v>
      </c>
      <c r="L5" s="499" t="n">
        <v>65</v>
      </c>
      <c r="M5" s="499" t="n">
        <v>165</v>
      </c>
      <c r="N5" s="499" t="n">
        <v>60</v>
      </c>
      <c r="O5" s="499" t="n">
        <v>115</v>
      </c>
      <c r="P5" s="499" t="n">
        <v>60</v>
      </c>
      <c r="Q5" s="501" t="n">
        <v>115</v>
      </c>
      <c r="R5" s="499" t="s">
        <v>795</v>
      </c>
      <c r="S5" s="501"/>
      <c r="T5" s="504" t="s">
        <v>818</v>
      </c>
      <c r="U5" s="513"/>
      <c r="V5" s="514"/>
      <c r="W5" s="500" t="str">
        <f aca="false">IFERROR(__xludf.dummyfunction("if(isna(SUM(FILTER(MatchSource!$A:$D,MatchSource!$A:$A=$B5))),0,SUM(FILTER(MatchSource!$A:$D,MatchSource!$A:$A=$B5)))"),"0")</f>
        <v>0</v>
      </c>
      <c r="X5" s="499" t="str">
        <f aca="false">IFERROR(__xludf.dummyfunction("if(isna(SUM(FILTER(MatchSource!$H:$K,MatchSource!$H:$H=$B5))),0,SUM(FILTER(MatchSource!$H:$K,MatchSource!$H:$H=$B5)))"),"3")</f>
        <v>3</v>
      </c>
      <c r="Y5" s="499" t="str">
        <f aca="false">IFERROR(__xludf.dummyfunction("if(isna(ABS(MINUS(SUM(FILTER(MatchSource!$A:$E,MatchSource!$A:$A=$B5)),SUM($W5)))),0,ABS(MINUS(SUM(FILTER(MatchSource!$A:$E,MatchSource!$A:$A=$B5)),SUM($W5))))"),"2")</f>
        <v>2</v>
      </c>
      <c r="Z5" s="499" t="str">
        <f aca="false">IFERROR(__xludf.dummyfunction("if(isna(ABS(MINUS(SUM(FILTER(MatchSource!$H:$L,MatchSource!$H:$H=$B5)),SUM($X5)))),0,ABS(MINUS(SUM(FILTER(MatchSource!$H:$L,MatchSource!$H:$H=$B5)),SUM($X5))))"),"2")</f>
        <v>2</v>
      </c>
      <c r="AA5" s="499" t="str">
        <f aca="false">IFERROR(__xludf.dummyfunction("if(isna(ABS(MINUS(SUM(FILTER(MatchSource!$A:$F,MatchSource!$A:$A=$B5)),SUM($W5,$Y5)))),0,ABS(MINUS(SUM(FILTER(MatchSource!$A:$F,MatchSource!$A:$A=$B5)),SUM($W5, $Y5,))))"),"0")</f>
        <v>0</v>
      </c>
      <c r="AB5" s="501" t="str">
        <f aca="false">IFERROR(__xludf.dummyfunction("if(isna(ABS(MINUS(SUM(FILTER(MatchSource!$H:$M,MatchSource!$H:$H=$B5)),SUM($X5,$Z5)))),0,ABS(MINUS(SUM(FILTER(MatchSource!$H:$M,MatchSource!$H:$H=$B5)),SUM($X5,$Z5))))"),"1")</f>
        <v>1</v>
      </c>
      <c r="AC5" s="507" t="n">
        <f aca="false">SUM(IF(OR($R5="Grass",$R5="Psychic",$R5="Dark"),0-1,IF(OR($R5="Fighting",$R5="Flying",$R5="Fire",$R5="Ghost",$R5="Poison",$R5="Steel",$R5="Fairy"),1,0)),IF(OR($S5="Grass",$S5="Psychic",$S5="Dark"),0-1,IF(OR($S5="Fighting",$S5="Flying",$S5="Fire",$S5="Ghost",$S5="Poison",$S5="Steel",$S5="Fairy"),1,0)))</f>
        <v>-1</v>
      </c>
      <c r="AD5" s="507" t="n">
        <f aca="false">SUM(IF(OR($R5="Ghost",$R5="Psychic"),0-1,IF(OR($R5="Fighting",$R5="Dark",$R5="Fairy"),1,0)),IF(OR($S5="Ghost",$S5="Psychic"),0-1,IF(OR($S5="Fighting",$S5="Dark",$S5="Fairy"),1,0)))</f>
        <v>1</v>
      </c>
      <c r="AE5" s="507" t="n">
        <f aca="false">IF(OR($R5="Fairy",$S5="Fairy"),4,SUM(IF($R5="Dragon",0-1,IF($R5="Steel",1,0)),IF($S5="Dragon",0-1,IF($S5="Steel",1,0))))</f>
        <v>0</v>
      </c>
      <c r="AF5" s="507" t="n">
        <f aca="false">IF(OR($R5="Ground",$S5="Ground"),4,SUM(IF(OR($R5="Flying",$R5="Water"),0-1,IF(OR($R5="Dragon",$R5="Electric",$R5="Grass"),1,0)),IF(OR($S5="Flying",$S5="Water"),0-1,IF(OR($S5="Dragon",$S5="Electric",$S5="Grass"),1,0))))</f>
        <v>0</v>
      </c>
      <c r="AG5" s="507" t="n">
        <f aca="false">SUM(IF(OR($R5="Dark",$R5="Dragon",$R5="Fighting"),0-1,IF(OR($R5="Steel",$R5="Poison",$R5="Fire"),1,0)),IF(OR($S5="Dark",$S5="Dragon",$S5="Fighting"),0-1,IF(OR($S5="Steel",$S5="Poison",$S5="Fire"),1,0)))</f>
        <v>-1</v>
      </c>
      <c r="AH5" s="507" t="n">
        <f aca="false">IF(OR($R5="Ghost",$S5="Ghost"),4,SUM(IF(OR($R5="Dark",$R5="Ice",$R5="Normal",$R5="Rock",$R5="Steel"),0-1,IF(OR($R5="Bug",$R5="Fairy",$R5="Flying",$R5="Poison",$R5="Psychic"),1,0)),IF(OR($S5="Dark",$S5="Ice",$S5="Normal",$S5="Rock",$S5="Steel"),0-1,IF(OR($S5="Bug",$S5="Fairy",$S5="Flying",$S5="Poison",$S5="Psychic"),1,0))))</f>
        <v>-1</v>
      </c>
      <c r="AI5" s="507" t="n">
        <f aca="false">SUM(IF(OR($R5="Bug",$R5="Grass",$R5="Ice",$R5="Steel"),0-1,IF(OR($R5="Dragon",$R5="Fire",$R5="Rock",$R5="Water"),1,0)),IF(OR($S5="Bug",$S5="Grass",$S5="Ice",$S5="Steel"),0-1,IF(OR($S5="Dragon",$S5="Fire",$S5="Rock",$S5="Water"),1,0)))</f>
        <v>0</v>
      </c>
      <c r="AJ5" s="507" t="n">
        <f aca="false">SUM(IF(OR($R5="Bug",$R5="Grass",$R5="Fighting"),0-1,IF(OR($R5="Electric",$R5="Rock",$R5="Steel"),1,0)),IF(OR($S5="Bug",$S5="Grass",$S5="Fighting"),0-1,IF(OR($S5="Electric",$S5="Rock",$S5="Steel"),1,0)))</f>
        <v>0</v>
      </c>
      <c r="AK5" s="507" t="n">
        <f aca="false">IF(OR($R5="Normal",$S5="Normal"),4,SUM(IF(OR($R5="Ghost",$R5="Psychic"),0-1,IF($R5="Dark",1,0)),IF(OR($S5="Ghost",$S5="Psychic"),0-1,IF($S5="Dark",1,0))))</f>
        <v>1</v>
      </c>
      <c r="AL5" s="507" t="n">
        <f aca="false">SUM(IF(OR($R5="Ground",$R5="Rock",$R5="Water"),0-1,IF(OR($R5="Bug",$R5="Flying",$R5="Fire",$R5="Dragon",$R5="Poison",$R5="Steel",$R5="Grass"),1,0)),IF(OR($S5="Ground",$S5="Rock",$S5="Water"),0-1,IF(OR($S5="Bug",$S5="Flying",$S5="Fire",$S5="Dragon",$S5="Poison",$S5="Steel",$S5="Grass"),1,0)))</f>
        <v>0</v>
      </c>
      <c r="AM5" s="507" t="n">
        <f aca="false">IF(OR($R5="Flying",$S5="Flying"),4,SUM(IF(OR($R5="Electric",$R5="Fire",$R5="Rock",$R5="Steel",$R5="Poison"),0-1,IF(OR($R5="Bug",$R5="Grass"),1,0)),IF(OR($S5="Electric",$S5="Fire",$S5="Rock",$S5="Steel",$S5="Poison"),0-1,IF(OR($S5="Bug",$S5="Grass"),1,0))))</f>
        <v>0</v>
      </c>
      <c r="AN5" s="507" t="n">
        <f aca="false">SUM(IF(OR($R5="Flying",$R5="Dragon",$R5="Grass",$R5="Ground"),0-1,IF(OR($R5="Steel",$R5="Ice",$R5="Fire",$R5="Water"),1,0)),IF(OR($S5="Flying",$S5="Dragon",$S5="Grass",$S5="Ground"),0-1,IF(OR($S5="Steel",$S5="Ice",$S5="Fire",$S5="Water"),1,0)))</f>
        <v>0</v>
      </c>
      <c r="AO5" s="507" t="n">
        <f aca="false">IF(OR($R5="Ghost",$S5="Ghost"),4,SUM(IF(OR($R5="Steel",$R5="Rock"),1,0),IF(OR($S5="Steel",$S5="Rock"),1,0)))</f>
        <v>0</v>
      </c>
      <c r="AP5" s="507" t="n">
        <f aca="false">IF(OR($R5="Steel",$S5="Steel"),4,SUM(IF(OR($R5="Fairy",$R5="Grass"),0-1,IF(OR($R5="Ghost",$R5="Rock",$R5="Ground",$R5="Poison"),1,0)),IF(OR($S5="Fairy",$S5="Grass"),0-1,IF(OR($S5="Ghost",$S5="Rock",$S5="Ground",$S5="Poison"),1,0))))</f>
        <v>0</v>
      </c>
      <c r="AQ5" s="507" t="n">
        <f aca="false">IF(OR($R5="Dark",$S5="Dark"),4,SUM(IF(OR($R5="Fighting",$R5="Poison"),0-1,IF(OR($R5="Psychic",$R5="Steel"),1,0)),IF(OR($S5="Fighting",$S5="Poison"),0-1,IF(OR($S5="Psychic",$S5="Steel"),1,0))))</f>
        <v>4</v>
      </c>
      <c r="AR5" s="507" t="n">
        <f aca="false">SUM(IF(OR($R5="Bug",$R5="Fire",$R5="Flying",$R5="Ice"),0-1,IF(OR($R5="Steel",$R5="Fighting",$R5="Ground"),1,0)),IF(OR($S5="Bug",$S5="Fire",$S5="Flying",$S5="Ice"),0-1,IF(OR($S5="Steel",$S5="Fighting",$S5="Ground"),1,0)))</f>
        <v>0</v>
      </c>
      <c r="AS5" s="507" t="n">
        <f aca="false">SUM(IF(OR($R5="Fairy",$R5="Ice",$R5="Rock"),0-1,IF(OR($R5="Steel",$R5="Electric",$R5="Fire",$R5="Water"),1,0)),IF(OR($S5="Fairy",$S5="Ice",$S5="Rock"),0-1,IF(OR($S5="Steel",$S5="Electric",$S5="Fire",$S5="Water"),1,0)))</f>
        <v>0</v>
      </c>
      <c r="AT5" s="508" t="n">
        <f aca="false">SUM(IF(OR($R5="Fire",$R5="Ground",$R5="Rock"),0-1,IF(OR($R5="Dragon",$R5="Grass",$R5="Water"),1,0)),IF(OR($S5="Fire",$S5="Ground",$S5="Rock"),0-1,IF(OR($S5="Dragon",$S5="Grass",$S5="Water"),1,0)))</f>
        <v>0</v>
      </c>
      <c r="AU5" s="509" t="str">
        <f aca="false">KKS!$L$1</f>
        <v>KKS</v>
      </c>
    </row>
    <row r="6" customFormat="false" ht="15.75" hidden="false" customHeight="false" outlineLevel="0" collapsed="false">
      <c r="A6" s="510" t="str">
        <f aca="false" t="array" ref="A6:A6">IF(ISNA(INDEX(Source!$U$7:$U$95,MATCH(B6,Source!$V$7:$V$95,0))),"FREE",INDEX(Source!$U$7:$U$95,MATCH(B6,Source!$V$7:$V$95,0)))</f>
        <v>JVJ</v>
      </c>
      <c r="B6" s="511" t="s">
        <v>24</v>
      </c>
      <c r="C6" s="511"/>
      <c r="D6" s="511"/>
      <c r="E6" s="499" t="n">
        <f aca="false">IF(SUM($W6:$X6)&gt;0,SUM($W6:$X6),IF($H6&gt;0,0,IF($H6&gt;0,0,"-")))</f>
        <v>0</v>
      </c>
      <c r="F6" s="499" t="n">
        <f aca="false">IF(SUM($Y6:$Z6)&gt;0,SUM($Y6:$Z6),IF($H6&gt;0,0,"-"))</f>
        <v>0</v>
      </c>
      <c r="G6" s="499" t="e">
        <f aca="false">IF($H6&gt;0,minus(E6,F6),"-")</f>
        <v>#NAME?</v>
      </c>
      <c r="H6" s="500" t="n">
        <f aca="false">SUM(COUNTIF(MatchSource!$A:$A,$B6),COUNTIF(MatchSource!$H:$H,$B6))</f>
        <v>2</v>
      </c>
      <c r="I6" s="501" t="n">
        <f aca="false">SUM($AA6:$AB6)</f>
        <v>0</v>
      </c>
      <c r="J6" s="501" t="s">
        <v>701</v>
      </c>
      <c r="K6" s="512" t="n">
        <f aca="false" t="array" ref="K6:K6">IF(ISNA(INDEX(DraftRosters!$AA$3:$AA$199,MATCH($B6,DraftRosters!$AB$3:$AB$199,0))),"FA",IF(INDEX(DraftRosters!$AA$3:$AA$199,MATCH($B6,DraftRosters!$AB$3:$AB$199,0))="Franchise","Franch",INDEX(DraftRosters!$AA$3:$AA$199,MATCH($B6,DraftRosters!$AB$3:$AB$199,0))))</f>
        <v>69</v>
      </c>
      <c r="L6" s="499" t="n">
        <v>80</v>
      </c>
      <c r="M6" s="499" t="n">
        <v>70</v>
      </c>
      <c r="N6" s="499" t="n">
        <v>40</v>
      </c>
      <c r="O6" s="499" t="n">
        <v>100</v>
      </c>
      <c r="P6" s="499" t="n">
        <v>60</v>
      </c>
      <c r="Q6" s="501" t="n">
        <v>145</v>
      </c>
      <c r="R6" s="499" t="s">
        <v>794</v>
      </c>
      <c r="S6" s="501"/>
      <c r="T6" s="504" t="s">
        <v>819</v>
      </c>
      <c r="U6" s="505" t="s">
        <v>820</v>
      </c>
      <c r="V6" s="506" t="s">
        <v>821</v>
      </c>
      <c r="W6" s="500" t="str">
        <f aca="false">IFERROR(__xludf.dummyfunction("if(isna(SUM(FILTER(MatchSource!$A:$D,MatchSource!$A:$A=$B6))),0,SUM(FILTER(MatchSource!$A:$D,MatchSource!$A:$A=$B6)))"),"1")</f>
        <v>1</v>
      </c>
      <c r="X6" s="499" t="str">
        <f aca="false">IFERROR(__xludf.dummyfunction("if(isna(SUM(FILTER(MatchSource!$H:$K,MatchSource!$H:$H=$B6))),0,SUM(FILTER(MatchSource!$H:$K,MatchSource!$H:$H=$B6)))"),"0")</f>
        <v>0</v>
      </c>
      <c r="Y6" s="499" t="str">
        <f aca="false">IFERROR(__xludf.dummyfunction("if(isna(ABS(MINUS(SUM(FILTER(MatchSource!$A:$E,MatchSource!$A:$A=$B6)),SUM($W6)))),0,ABS(MINUS(SUM(FILTER(MatchSource!$A:$E,MatchSource!$A:$A=$B6)),SUM($W6))))"),"1")</f>
        <v>1</v>
      </c>
      <c r="Z6" s="499" t="str">
        <f aca="false">IFERROR(__xludf.dummyfunction("if(isna(ABS(MINUS(SUM(FILTER(MatchSource!$H:$L,MatchSource!$H:$H=$B6)),SUM($X6)))),0,ABS(MINUS(SUM(FILTER(MatchSource!$H:$L,MatchSource!$H:$H=$B6)),SUM($X6))))"),"0")</f>
        <v>0</v>
      </c>
      <c r="AA6" s="499" t="str">
        <f aca="false">IFERROR(__xludf.dummyfunction("if(isna(ABS(MINUS(SUM(FILTER(MatchSource!$A:$F,MatchSource!$A:$A=$B6)),SUM($W6,$Y6)))),0,ABS(MINUS(SUM(FILTER(MatchSource!$A:$F,MatchSource!$A:$A=$B6)),SUM($W6, $Y6,))))"),"1")</f>
        <v>1</v>
      </c>
      <c r="AB6" s="501" t="str">
        <f aca="false">IFERROR(__xludf.dummyfunction("if(isna(ABS(MINUS(SUM(FILTER(MatchSource!$H:$M,MatchSource!$H:$H=$B6)),SUM($X6,$Z6)))),0,ABS(MINUS(SUM(FILTER(MatchSource!$H:$M,MatchSource!$H:$H=$B6)),SUM($X6,$Z6))))"),"1")</f>
        <v>1</v>
      </c>
      <c r="AC6" s="507" t="n">
        <f aca="false">SUM(IF(OR($R6="Grass",$R6="Psychic",$R6="Dark"),0-1,IF(OR($R6="Fighting",$R6="Flying",$R6="Fire",$R6="Ghost",$R6="Poison",$R6="Steel",$R6="Fairy"),1,0)),IF(OR($S6="Grass",$S6="Psychic",$S6="Dark"),0-1,IF(OR($S6="Fighting",$S6="Flying",$S6="Fire",$S6="Ghost",$S6="Poison",$S6="Steel",$S6="Fairy"),1,0)))</f>
        <v>0</v>
      </c>
      <c r="AD6" s="507" t="n">
        <f aca="false">SUM(IF(OR($R6="Ghost",$R6="Psychic"),0-1,IF(OR($R6="Fighting",$R6="Dark",$R6="Fairy"),1,0)),IF(OR($S6="Ghost",$S6="Psychic"),0-1,IF(OR($S6="Fighting",$S6="Dark",$S6="Fairy"),1,0)))</f>
        <v>0</v>
      </c>
      <c r="AE6" s="507" t="n">
        <f aca="false">IF(OR($R6="Fairy",$S6="Fairy"),4,SUM(IF($R6="Dragon",0-1,IF($R6="Steel",1,0)),IF($S6="Dragon",0-1,IF($S6="Steel",1,0))))</f>
        <v>0</v>
      </c>
      <c r="AF6" s="507" t="n">
        <f aca="false">IF(OR($R6="Ground",$S6="Ground"),4,SUM(IF(OR($R6="Flying",$R6="Water"),0-1,IF(OR($R6="Dragon",$R6="Electric",$R6="Grass"),1,0)),IF(OR($S6="Flying",$S6="Water"),0-1,IF(OR($S6="Dragon",$S6="Electric",$S6="Grass"),1,0))))</f>
        <v>0</v>
      </c>
      <c r="AG6" s="507" t="n">
        <f aca="false">SUM(IF(OR($R6="Dark",$R6="Dragon",$R6="Fighting"),0-1,IF(OR($R6="Steel",$R6="Poison",$R6="Fire"),1,0)),IF(OR($S6="Dark",$S6="Dragon",$S6="Fighting"),0-1,IF(OR($S6="Steel",$S6="Poison",$S6="Fire"),1,0)))</f>
        <v>0</v>
      </c>
      <c r="AH6" s="507" t="n">
        <f aca="false">IF(OR($R6="Ghost",$S6="Ghost"),4,SUM(IF(OR($R6="Dark",$R6="Ice",$R6="Normal",$R6="Rock",$R6="Steel"),0-1,IF(OR($R6="Bug",$R6="Fairy",$R6="Flying",$R6="Poison",$R6="Psychic"),1,0)),IF(OR($S6="Dark",$S6="Ice",$S6="Normal",$S6="Rock",$S6="Steel"),0-1,IF(OR($S6="Bug",$S6="Fairy",$S6="Flying",$S6="Poison",$S6="Psychic"),1,0))))</f>
        <v>1</v>
      </c>
      <c r="AI6" s="507" t="n">
        <f aca="false">SUM(IF(OR($R6="Bug",$R6="Grass",$R6="Ice",$R6="Steel"),0-1,IF(OR($R6="Dragon",$R6="Fire",$R6="Rock",$R6="Water"),1,0)),IF(OR($S6="Bug",$S6="Grass",$S6="Ice",$S6="Steel"),0-1,IF(OR($S6="Dragon",$S6="Fire",$S6="Rock",$S6="Water"),1,0)))</f>
        <v>-1</v>
      </c>
      <c r="AJ6" s="507" t="n">
        <f aca="false">SUM(IF(OR($R6="Bug",$R6="Grass",$R6="Fighting"),0-1,IF(OR($R6="Electric",$R6="Rock",$R6="Steel"),1,0)),IF(OR($S6="Bug",$S6="Grass",$S6="Fighting"),0-1,IF(OR($S6="Electric",$S6="Rock",$S6="Steel"),1,0)))</f>
        <v>-1</v>
      </c>
      <c r="AK6" s="507" t="n">
        <f aca="false">IF(OR($R6="Normal",$S6="Normal"),4,SUM(IF(OR($R6="Ghost",$R6="Psychic"),0-1,IF($R6="Dark",1,0)),IF(OR($S6="Ghost",$S6="Psychic"),0-1,IF($S6="Dark",1,0))))</f>
        <v>0</v>
      </c>
      <c r="AL6" s="507" t="n">
        <f aca="false">SUM(IF(OR($R6="Ground",$R6="Rock",$R6="Water"),0-1,IF(OR($R6="Bug",$R6="Flying",$R6="Fire",$R6="Dragon",$R6="Poison",$R6="Steel",$R6="Grass"),1,0)),IF(OR($S6="Ground",$S6="Rock",$S6="Water"),0-1,IF(OR($S6="Bug",$S6="Flying",$S6="Fire",$S6="Dragon",$S6="Poison",$S6="Steel",$S6="Grass"),1,0)))</f>
        <v>1</v>
      </c>
      <c r="AM6" s="507" t="n">
        <f aca="false">IF(OR($R6="Flying",$S6="Flying"),4,SUM(IF(OR($R6="Electric",$R6="Fire",$R6="Rock",$R6="Steel",$R6="Poison"),0-1,IF(OR($R6="Bug",$R6="Grass"),1,0)),IF(OR($S6="Electric",$S6="Fire",$S6="Rock",$S6="Steel",$S6="Poison"),0-1,IF(OR($S6="Bug",$S6="Grass"),1,0))))</f>
        <v>1</v>
      </c>
      <c r="AN6" s="507" t="n">
        <f aca="false">SUM(IF(OR($R6="Flying",$R6="Dragon",$R6="Grass",$R6="Ground"),0-1,IF(OR($R6="Steel",$R6="Ice",$R6="Fire",$R6="Water"),1,0)),IF(OR($S6="Flying",$S6="Dragon",$S6="Grass",$S6="Ground"),0-1,IF(OR($S6="Steel",$S6="Ice",$S6="Fire",$S6="Water"),1,0)))</f>
        <v>0</v>
      </c>
      <c r="AO6" s="507" t="n">
        <f aca="false">IF(OR($R6="Ghost",$S6="Ghost"),4,SUM(IF(OR($R6="Steel",$R6="Rock"),1,0),IF(OR($S6="Steel",$S6="Rock"),1,0)))</f>
        <v>0</v>
      </c>
      <c r="AP6" s="507" t="n">
        <f aca="false">IF(OR($R6="Steel",$S6="Steel"),4,SUM(IF(OR($R6="Fairy",$R6="Grass"),0-1,IF(OR($R6="Ghost",$R6="Rock",$R6="Ground",$R6="Poison"),1,0)),IF(OR($S6="Fairy",$S6="Grass"),0-1,IF(OR($S6="Ghost",$S6="Rock",$S6="Ground",$S6="Poison"),1,0))))</f>
        <v>0</v>
      </c>
      <c r="AQ6" s="507" t="n">
        <f aca="false">IF(OR($R6="Dark",$S6="Dark"),4,SUM(IF(OR($R6="Fighting",$R6="Poison"),0-1,IF(OR($R6="Psychic",$R6="Steel"),1,0)),IF(OR($S6="Fighting",$S6="Poison"),0-1,IF(OR($S6="Psychic",$S6="Steel"),1,0))))</f>
        <v>0</v>
      </c>
      <c r="AR6" s="507" t="n">
        <f aca="false">SUM(IF(OR($R6="Bug",$R6="Fire",$R6="Flying",$R6="Ice"),0-1,IF(OR($R6="Steel",$R6="Fighting",$R6="Ground"),1,0)),IF(OR($S6="Bug",$S6="Fire",$S6="Flying",$S6="Ice"),0-1,IF(OR($S6="Steel",$S6="Fighting",$S6="Ground"),1,0)))</f>
        <v>-1</v>
      </c>
      <c r="AS6" s="507" t="n">
        <f aca="false">SUM(IF(OR($R6="Fairy",$R6="Ice",$R6="Rock"),0-1,IF(OR($R6="Steel",$R6="Electric",$R6="Fire",$R6="Water"),1,0)),IF(OR($S6="Fairy",$S6="Ice",$S6="Rock"),0-1,IF(OR($S6="Steel",$S6="Electric",$S6="Fire",$S6="Water"),1,0)))</f>
        <v>0</v>
      </c>
      <c r="AT6" s="508" t="n">
        <f aca="false">SUM(IF(OR($R6="Fire",$R6="Ground",$R6="Rock"),0-1,IF(OR($R6="Dragon",$R6="Grass",$R6="Water"),1,0)),IF(OR($S6="Fire",$S6="Ground",$S6="Rock"),0-1,IF(OR($S6="Dragon",$S6="Grass",$S6="Water"),1,0)))</f>
        <v>0</v>
      </c>
      <c r="AU6" s="516" t="str">
        <f aca="false">LVC!$L$1</f>
        <v>LVC</v>
      </c>
    </row>
    <row r="7" customFormat="false" ht="15.75" hidden="false" customHeight="false" outlineLevel="0" collapsed="false">
      <c r="A7" s="515" t="str">
        <f aca="false" t="array" ref="A7:A7">IF(ISNA(INDEX(Source!$U$7:$U$95,MATCH(B7,Source!$V$7:$V$95,0))),"FREE",INDEX(Source!$U$7:$U$95,MATCH(B7,Source!$V$7:$V$95,0)))</f>
        <v>FREE</v>
      </c>
      <c r="B7" s="511" t="s">
        <v>282</v>
      </c>
      <c r="C7" s="511"/>
      <c r="D7" s="511"/>
      <c r="E7" s="499" t="str">
        <f aca="false">IF(SUM($W7:$X7)&gt;0,SUM($W7:$X7),IF($H7&gt;0,0,IF($H7&gt;0,0,"-")))</f>
        <v>-</v>
      </c>
      <c r="F7" s="499" t="str">
        <f aca="false">IF(SUM($Y7:$Z7)&gt;0,SUM($Y7:$Z7),IF($H7&gt;0,0,"-"))</f>
        <v>-</v>
      </c>
      <c r="G7" s="499" t="str">
        <f aca="false">IF($H7&gt;0,minus(E7,F7),"-")</f>
        <v>-</v>
      </c>
      <c r="H7" s="500" t="n">
        <f aca="false">SUM(COUNTIF(MatchSource!$A:$A,$B7),COUNTIF(MatchSource!$H:$H,$B7))</f>
        <v>0</v>
      </c>
      <c r="I7" s="501" t="n">
        <f aca="false">SUM($AA7:$AB7)</f>
        <v>0</v>
      </c>
      <c r="J7" s="501" t="s">
        <v>700</v>
      </c>
      <c r="K7" s="512" t="str">
        <f aca="false" t="array" ref="K7:K7">IF(ISNA(INDEX(DraftRosters!$AA$3:$AA$199,MATCH($B7,DraftRosters!$AB$3:$AB$199,0))),"FA",IF(INDEX(DraftRosters!$AA$3:$AA$199,MATCH($B7,DraftRosters!$AB$3:$AB$199,0))="Franchise","Franch",INDEX(DraftRosters!$AA$3:$AA$199,MATCH($B7,DraftRosters!$AB$3:$AB$199,0))))</f>
        <v>FA</v>
      </c>
      <c r="L7" s="499" t="n">
        <v>80</v>
      </c>
      <c r="M7" s="499" t="n">
        <v>105</v>
      </c>
      <c r="N7" s="499" t="n">
        <v>65</v>
      </c>
      <c r="O7" s="499" t="n">
        <v>60</v>
      </c>
      <c r="P7" s="499" t="n">
        <v>75</v>
      </c>
      <c r="Q7" s="501" t="n">
        <v>130</v>
      </c>
      <c r="R7" s="499" t="s">
        <v>801</v>
      </c>
      <c r="S7" s="501" t="s">
        <v>809</v>
      </c>
      <c r="T7" s="504" t="s">
        <v>816</v>
      </c>
      <c r="U7" s="505" t="s">
        <v>822</v>
      </c>
      <c r="V7" s="506" t="s">
        <v>823</v>
      </c>
      <c r="W7" s="500" t="str">
        <f aca="false">IFERROR(__xludf.dummyfunction("if(isna(SUM(FILTER(MatchSource!$A:$D,MatchSource!$A:$A=$B7))),0,SUM(FILTER(MatchSource!$A:$D,MatchSource!$A:$A=$B7)))"),"0")</f>
        <v>0</v>
      </c>
      <c r="X7" s="499" t="str">
        <f aca="false">IFERROR(__xludf.dummyfunction("if(isna(SUM(FILTER(MatchSource!$H:$K,MatchSource!$H:$H=$B7))),0,SUM(FILTER(MatchSource!$H:$K,MatchSource!$H:$H=$B7)))"),"0")</f>
        <v>0</v>
      </c>
      <c r="Y7" s="499" t="str">
        <f aca="false">IFERROR(__xludf.dummyfunction("if(isna(ABS(MINUS(SUM(FILTER(MatchSource!$A:$E,MatchSource!$A:$A=$B7)),SUM($W7)))),0,ABS(MINUS(SUM(FILTER(MatchSource!$A:$E,MatchSource!$A:$A=$B7)),SUM($W7))))"),"0")</f>
        <v>0</v>
      </c>
      <c r="Z7" s="499" t="str">
        <f aca="false">IFERROR(__xludf.dummyfunction("if(isna(ABS(MINUS(SUM(FILTER(MatchSource!$H:$L,MatchSource!$H:$H=$B7)),SUM($X7)))),0,ABS(MINUS(SUM(FILTER(MatchSource!$H:$L,MatchSource!$H:$H=$B7)),SUM($X7))))"),"0")</f>
        <v>0</v>
      </c>
      <c r="AA7" s="499" t="str">
        <f aca="false">IFERROR(__xludf.dummyfunction("if(isna(ABS(MINUS(SUM(FILTER(MatchSource!$A:$F,MatchSource!$A:$A=$B7)),SUM($W7,$Y7)))),0,ABS(MINUS(SUM(FILTER(MatchSource!$A:$F,MatchSource!$A:$A=$B7)),SUM($W7, $Y7,))))"),"0")</f>
        <v>0</v>
      </c>
      <c r="AB7" s="501" t="str">
        <f aca="false">IFERROR(__xludf.dummyfunction("if(isna(ABS(MINUS(SUM(FILTER(MatchSource!$H:$M,MatchSource!$H:$H=$B7)),SUM($X7,$Z7)))),0,ABS(MINUS(SUM(FILTER(MatchSource!$H:$M,MatchSource!$H:$H=$B7)),SUM($X7,$Z7))))"),"0")</f>
        <v>0</v>
      </c>
      <c r="AC7" s="507" t="n">
        <f aca="false">SUM(IF(OR($R7="Grass",$R7="Psychic",$R7="Dark"),0-1,IF(OR($R7="Fighting",$R7="Flying",$R7="Fire",$R7="Ghost",$R7="Poison",$R7="Steel",$R7="Fairy"),1,0)),IF(OR($S7="Grass",$S7="Psychic",$S7="Dark"),0-1,IF(OR($S7="Fighting",$S7="Flying",$S7="Fire",$S7="Ghost",$S7="Poison",$S7="Steel",$S7="Fairy"),1,0)))</f>
        <v>1</v>
      </c>
      <c r="AD7" s="507" t="n">
        <f aca="false">SUM(IF(OR($R7="Ghost",$R7="Psychic"),0-1,IF(OR($R7="Fighting",$R7="Dark",$R7="Fairy"),1,0)),IF(OR($S7="Ghost",$S7="Psychic"),0-1,IF(OR($S7="Fighting",$S7="Dark",$S7="Fairy"),1,0)))</f>
        <v>0</v>
      </c>
      <c r="AE7" s="507" t="n">
        <f aca="false">IF(OR($R7="Fairy",$S7="Fairy"),4,SUM(IF($R7="Dragon",0-1,IF($R7="Steel",1,0)),IF($S7="Dragon",0-1,IF($S7="Steel",1,0))))</f>
        <v>0</v>
      </c>
      <c r="AF7" s="507" t="n">
        <f aca="false">IF(OR($R7="Ground",$S7="Ground"),4,SUM(IF(OR($R7="Flying",$R7="Water"),0-1,IF(OR($R7="Dragon",$R7="Electric",$R7="Grass"),1,0)),IF(OR($S7="Flying",$S7="Water"),0-1,IF(OR($S7="Dragon",$S7="Electric",$S7="Grass"),1,0))))</f>
        <v>-1</v>
      </c>
      <c r="AG7" s="507" t="n">
        <f aca="false">SUM(IF(OR($R7="Dark",$R7="Dragon",$R7="Fighting"),0-1,IF(OR($R7="Steel",$R7="Poison",$R7="Fire"),1,0)),IF(OR($S7="Dark",$S7="Dragon",$S7="Fighting"),0-1,IF(OR($S7="Steel",$S7="Poison",$S7="Fire"),1,0)))</f>
        <v>0</v>
      </c>
      <c r="AH7" s="507" t="n">
        <f aca="false">IF(OR($R7="Ghost",$S7="Ghost"),4,SUM(IF(OR($R7="Dark",$R7="Ice",$R7="Normal",$R7="Rock",$R7="Steel"),0-1,IF(OR($R7="Bug",$R7="Fairy",$R7="Flying",$R7="Poison",$R7="Psychic"),1,0)),IF(OR($S7="Dark",$S7="Ice",$S7="Normal",$S7="Rock",$S7="Steel"),0-1,IF(OR($S7="Bug",$S7="Fairy",$S7="Flying",$S7="Poison",$S7="Psychic"),1,0))))</f>
        <v>0</v>
      </c>
      <c r="AI7" s="507" t="n">
        <f aca="false">SUM(IF(OR($R7="Bug",$R7="Grass",$R7="Ice",$R7="Steel"),0-1,IF(OR($R7="Dragon",$R7="Fire",$R7="Rock",$R7="Water"),1,0)),IF(OR($S7="Bug",$S7="Grass",$S7="Ice",$S7="Steel"),0-1,IF(OR($S7="Dragon",$S7="Fire",$S7="Rock",$S7="Water"),1,0)))</f>
        <v>1</v>
      </c>
      <c r="AJ7" s="507" t="n">
        <f aca="false">SUM(IF(OR($R7="Bug",$R7="Grass",$R7="Fighting"),0-1,IF(OR($R7="Electric",$R7="Rock",$R7="Steel"),1,0)),IF(OR($S7="Bug",$S7="Grass",$S7="Fighting"),0-1,IF(OR($S7="Electric",$S7="Rock",$S7="Steel"),1,0)))</f>
        <v>1</v>
      </c>
      <c r="AK7" s="507" t="n">
        <f aca="false">IF(OR($R7="Normal",$S7="Normal"),4,SUM(IF(OR($R7="Ghost",$R7="Psychic"),0-1,IF($R7="Dark",1,0)),IF(OR($S7="Ghost",$S7="Psychic"),0-1,IF($S7="Dark",1,0))))</f>
        <v>0</v>
      </c>
      <c r="AL7" s="507" t="n">
        <f aca="false">SUM(IF(OR($R7="Ground",$R7="Rock",$R7="Water"),0-1,IF(OR($R7="Bug",$R7="Flying",$R7="Fire",$R7="Dragon",$R7="Poison",$R7="Steel",$R7="Grass"),1,0)),IF(OR($S7="Ground",$S7="Rock",$S7="Water"),0-1,IF(OR($S7="Bug",$S7="Flying",$S7="Fire",$S7="Dragon",$S7="Poison",$S7="Steel",$S7="Grass"),1,0)))</f>
        <v>0</v>
      </c>
      <c r="AM7" s="507" t="n">
        <f aca="false">IF(OR($R7="Flying",$S7="Flying"),4,SUM(IF(OR($R7="Electric",$R7="Fire",$R7="Rock",$R7="Steel",$R7="Poison"),0-1,IF(OR($R7="Bug",$R7="Grass"),1,0)),IF(OR($S7="Electric",$S7="Fire",$S7="Rock",$S7="Steel",$S7="Poison"),0-1,IF(OR($S7="Bug",$S7="Grass"),1,0))))</f>
        <v>4</v>
      </c>
      <c r="AN7" s="507" t="n">
        <f aca="false">SUM(IF(OR($R7="Flying",$R7="Dragon",$R7="Grass",$R7="Ground"),0-1,IF(OR($R7="Steel",$R7="Ice",$R7="Fire",$R7="Water"),1,0)),IF(OR($S7="Flying",$S7="Dragon",$S7="Grass",$S7="Ground"),0-1,IF(OR($S7="Steel",$S7="Ice",$S7="Fire",$S7="Water"),1,0)))</f>
        <v>-1</v>
      </c>
      <c r="AO7" s="507" t="n">
        <f aca="false">IF(OR($R7="Ghost",$S7="Ghost"),4,SUM(IF(OR($R7="Steel",$R7="Rock"),1,0),IF(OR($S7="Steel",$S7="Rock"),1,0)))</f>
        <v>1</v>
      </c>
      <c r="AP7" s="507" t="n">
        <f aca="false">IF(OR($R7="Steel",$S7="Steel"),4,SUM(IF(OR($R7="Fairy",$R7="Grass"),0-1,IF(OR($R7="Ghost",$R7="Rock",$R7="Ground",$R7="Poison"),1,0)),IF(OR($S7="Fairy",$S7="Grass"),0-1,IF(OR($S7="Ghost",$S7="Rock",$S7="Ground",$S7="Poison"),1,0))))</f>
        <v>1</v>
      </c>
      <c r="AQ7" s="507" t="n">
        <f aca="false">IF(OR($R7="Dark",$S7="Dark"),4,SUM(IF(OR($R7="Fighting",$R7="Poison"),0-1,IF(OR($R7="Psychic",$R7="Steel"),1,0)),IF(OR($S7="Fighting",$S7="Poison"),0-1,IF(OR($S7="Psychic",$S7="Steel"),1,0))))</f>
        <v>0</v>
      </c>
      <c r="AR7" s="507" t="n">
        <f aca="false">SUM(IF(OR($R7="Bug",$R7="Fire",$R7="Flying",$R7="Ice"),0-1,IF(OR($R7="Steel",$R7="Fighting",$R7="Ground"),1,0)),IF(OR($S7="Bug",$S7="Fire",$S7="Flying",$S7="Ice"),0-1,IF(OR($S7="Steel",$S7="Fighting",$S7="Ground"),1,0)))</f>
        <v>-1</v>
      </c>
      <c r="AS7" s="507" t="n">
        <f aca="false">SUM(IF(OR($R7="Fairy",$R7="Ice",$R7="Rock"),0-1,IF(OR($R7="Steel",$R7="Electric",$R7="Fire",$R7="Water"),1,0)),IF(OR($S7="Fairy",$S7="Ice",$S7="Rock"),0-1,IF(OR($S7="Steel",$S7="Electric",$S7="Fire",$S7="Water"),1,0)))</f>
        <v>-1</v>
      </c>
      <c r="AT7" s="508" t="n">
        <f aca="false">SUM(IF(OR($R7="Fire",$R7="Ground",$R7="Rock"),0-1,IF(OR($R7="Dragon",$R7="Grass",$R7="Water"),1,0)),IF(OR($S7="Fire",$S7="Ground",$S7="Rock"),0-1,IF(OR($S7="Dragon",$S7="Grass",$S7="Water"),1,0)))</f>
        <v>-1</v>
      </c>
      <c r="AU7" s="516" t="str">
        <f aca="false">BTB!$L$1</f>
        <v>BTB</v>
      </c>
    </row>
    <row r="8" customFormat="false" ht="15.75" hidden="false" customHeight="false" outlineLevel="0" collapsed="false">
      <c r="A8" s="497" t="str">
        <f aca="false" t="array" ref="A8:A8">IF(ISNA(INDEX(Source!$U$7:$U$95,MATCH(B8,Source!$V$7:$V$95,0))),"FREE",INDEX(Source!$U$7:$U$95,MATCH(B8,Source!$V$7:$V$95,0)))</f>
        <v>JVJ</v>
      </c>
      <c r="B8" s="511" t="s">
        <v>32</v>
      </c>
      <c r="C8" s="511"/>
      <c r="D8" s="511"/>
      <c r="E8" s="499" t="n">
        <f aca="false">IF(SUM($W8:$X8)&gt;0,SUM($W8:$X8),IF($H8&gt;0,0,IF($H8&gt;0,0,"-")))</f>
        <v>0</v>
      </c>
      <c r="F8" s="499" t="n">
        <f aca="false">IF(SUM($Y8:$Z8)&gt;0,SUM($Y8:$Z8),IF($H8&gt;0,0,"-"))</f>
        <v>0</v>
      </c>
      <c r="G8" s="499" t="e">
        <f aca="false">IF($H8&gt;0,minus(E8,F8),"-")</f>
        <v>#NAME?</v>
      </c>
      <c r="H8" s="500" t="n">
        <f aca="false">SUM(COUNTIF(MatchSource!$A:$A,$B8),COUNTIF(MatchSource!$H:$H,$B8))</f>
        <v>6</v>
      </c>
      <c r="I8" s="501" t="n">
        <f aca="false">SUM($AA8:$AB8)</f>
        <v>0</v>
      </c>
      <c r="J8" s="501" t="s">
        <v>278</v>
      </c>
      <c r="K8" s="512" t="n">
        <f aca="false" t="array" ref="K8:K8">IF(ISNA(INDEX(DraftRosters!$AA$3:$AA$199,MATCH($B8,DraftRosters!$AB$3:$AB$199,0))),"FA",IF(INDEX(DraftRosters!$AA$3:$AA$199,MATCH($B8,DraftRosters!$AB$3:$AB$199,0))="Franchise","Franch",INDEX(DraftRosters!$AA$3:$AA$199,MATCH($B8,DraftRosters!$AB$3:$AB$199,0))))</f>
        <v>44</v>
      </c>
      <c r="L8" s="499" t="n">
        <v>80</v>
      </c>
      <c r="M8" s="499" t="n">
        <v>135</v>
      </c>
      <c r="N8" s="499" t="n">
        <v>85</v>
      </c>
      <c r="O8" s="499" t="n">
        <v>70</v>
      </c>
      <c r="P8" s="499" t="n">
        <v>95</v>
      </c>
      <c r="Q8" s="501" t="n">
        <v>150</v>
      </c>
      <c r="R8" s="499" t="s">
        <v>801</v>
      </c>
      <c r="S8" s="501" t="s">
        <v>809</v>
      </c>
      <c r="T8" s="504" t="s">
        <v>824</v>
      </c>
      <c r="U8" s="513"/>
      <c r="V8" s="514"/>
      <c r="W8" s="500" t="str">
        <f aca="false">IFERROR(__xludf.dummyfunction("if(isna(SUM(FILTER(MatchSource!$A:$D,MatchSource!$A:$A=$B8))),0,SUM(FILTER(MatchSource!$A:$D,MatchSource!$A:$A=$B8)))"),"1")</f>
        <v>1</v>
      </c>
      <c r="X8" s="499" t="str">
        <f aca="false">IFERROR(__xludf.dummyfunction("if(isna(SUM(FILTER(MatchSource!$H:$K,MatchSource!$H:$H=$B8))),0,SUM(FILTER(MatchSource!$H:$K,MatchSource!$H:$H=$B8)))"),"6")</f>
        <v>6</v>
      </c>
      <c r="Y8" s="499" t="str">
        <f aca="false">IFERROR(__xludf.dummyfunction("if(isna(ABS(MINUS(SUM(FILTER(MatchSource!$A:$E,MatchSource!$A:$A=$B8)),SUM($W8)))),0,ABS(MINUS(SUM(FILTER(MatchSource!$A:$E,MatchSource!$A:$A=$B8)),SUM($W8))))"),"1")</f>
        <v>1</v>
      </c>
      <c r="Z8" s="499" t="str">
        <f aca="false">IFERROR(__xludf.dummyfunction("if(isna(ABS(MINUS(SUM(FILTER(MatchSource!$H:$L,MatchSource!$H:$H=$B8)),SUM($X8)))),0,ABS(MINUS(SUM(FILTER(MatchSource!$H:$L,MatchSource!$H:$H=$B8)),SUM($X8))))"),"1")</f>
        <v>1</v>
      </c>
      <c r="AA8" s="499" t="str">
        <f aca="false">IFERROR(__xludf.dummyfunction("if(isna(ABS(MINUS(SUM(FILTER(MatchSource!$A:$F,MatchSource!$A:$A=$B8)),SUM($W8,$Y8)))),0,ABS(MINUS(SUM(FILTER(MatchSource!$A:$F,MatchSource!$A:$A=$B8)),SUM($W8, $Y8,))))"),"1")</f>
        <v>1</v>
      </c>
      <c r="AB8" s="501" t="str">
        <f aca="false">IFERROR(__xludf.dummyfunction("if(isna(ABS(MINUS(SUM(FILTER(MatchSource!$H:$M,MatchSource!$H:$H=$B8)),SUM($X8,$Z8)))),0,ABS(MINUS(SUM(FILTER(MatchSource!$H:$M,MatchSource!$H:$H=$B8)),SUM($X8,$Z8))))"),"3")</f>
        <v>3</v>
      </c>
      <c r="AC8" s="507" t="n">
        <f aca="false">SUM(IF(OR($R8="Grass",$R8="Psychic",$R8="Dark"),0-1,IF(OR($R8="Fighting",$R8="Flying",$R8="Fire",$R8="Ghost",$R8="Poison",$R8="Steel",$R8="Fairy"),1,0)),IF(OR($S8="Grass",$S8="Psychic",$S8="Dark"),0-1,IF(OR($S8="Fighting",$S8="Flying",$S8="Fire",$S8="Ghost",$S8="Poison",$S8="Steel",$S8="Fairy"),1,0)))</f>
        <v>1</v>
      </c>
      <c r="AD8" s="507" t="n">
        <f aca="false">SUM(IF(OR($R8="Ghost",$R8="Psychic"),0-1,IF(OR($R8="Fighting",$R8="Dark",$R8="Fairy"),1,0)),IF(OR($S8="Ghost",$S8="Psychic"),0-1,IF(OR($S8="Fighting",$S8="Dark",$S8="Fairy"),1,0)))</f>
        <v>0</v>
      </c>
      <c r="AE8" s="507" t="n">
        <f aca="false">IF(OR($R8="Fairy",$S8="Fairy"),4,SUM(IF($R8="Dragon",0-1,IF($R8="Steel",1,0)),IF($S8="Dragon",0-1,IF($S8="Steel",1,0))))</f>
        <v>0</v>
      </c>
      <c r="AF8" s="507" t="n">
        <f aca="false">IF(OR($R8="Ground",$S8="Ground"),4,SUM(IF(OR($R8="Flying",$R8="Water"),0-1,IF(OR($R8="Dragon",$R8="Electric",$R8="Grass"),1,0)),IF(OR($S8="Flying",$S8="Water"),0-1,IF(OR($S8="Dragon",$S8="Electric",$S8="Grass"),1,0))))</f>
        <v>-1</v>
      </c>
      <c r="AG8" s="507" t="n">
        <f aca="false">SUM(IF(OR($R8="Dark",$R8="Dragon",$R8="Fighting"),0-1,IF(OR($R8="Steel",$R8="Poison",$R8="Fire"),1,0)),IF(OR($S8="Dark",$S8="Dragon",$S8="Fighting"),0-1,IF(OR($S8="Steel",$S8="Poison",$S8="Fire"),1,0)))</f>
        <v>0</v>
      </c>
      <c r="AH8" s="507" t="n">
        <f aca="false">IF(OR($R8="Ghost",$S8="Ghost"),4,SUM(IF(OR($R8="Dark",$R8="Ice",$R8="Normal",$R8="Rock",$R8="Steel"),0-1,IF(OR($R8="Bug",$R8="Fairy",$R8="Flying",$R8="Poison",$R8="Psychic"),1,0)),IF(OR($S8="Dark",$S8="Ice",$S8="Normal",$S8="Rock",$S8="Steel"),0-1,IF(OR($S8="Bug",$S8="Fairy",$S8="Flying",$S8="Poison",$S8="Psychic"),1,0))))</f>
        <v>0</v>
      </c>
      <c r="AI8" s="507" t="n">
        <f aca="false">SUM(IF(OR($R8="Bug",$R8="Grass",$R8="Ice",$R8="Steel"),0-1,IF(OR($R8="Dragon",$R8="Fire",$R8="Rock",$R8="Water"),1,0)),IF(OR($S8="Bug",$S8="Grass",$S8="Ice",$S8="Steel"),0-1,IF(OR($S8="Dragon",$S8="Fire",$S8="Rock",$S8="Water"),1,0)))</f>
        <v>1</v>
      </c>
      <c r="AJ8" s="507" t="n">
        <f aca="false">SUM(IF(OR($R8="Bug",$R8="Grass",$R8="Fighting"),0-1,IF(OR($R8="Electric",$R8="Rock",$R8="Steel"),1,0)),IF(OR($S8="Bug",$S8="Grass",$S8="Fighting"),0-1,IF(OR($S8="Electric",$S8="Rock",$S8="Steel"),1,0)))</f>
        <v>1</v>
      </c>
      <c r="AK8" s="507" t="n">
        <f aca="false">IF(OR($R8="Normal",$S8="Normal"),4,SUM(IF(OR($R8="Ghost",$R8="Psychic"),0-1,IF($R8="Dark",1,0)),IF(OR($S8="Ghost",$S8="Psychic"),0-1,IF($S8="Dark",1,0))))</f>
        <v>0</v>
      </c>
      <c r="AL8" s="507" t="n">
        <f aca="false">SUM(IF(OR($R8="Ground",$R8="Rock",$R8="Water"),0-1,IF(OR($R8="Bug",$R8="Flying",$R8="Fire",$R8="Dragon",$R8="Poison",$R8="Steel",$R8="Grass"),1,0)),IF(OR($S8="Ground",$S8="Rock",$S8="Water"),0-1,IF(OR($S8="Bug",$S8="Flying",$S8="Fire",$S8="Dragon",$S8="Poison",$S8="Steel",$S8="Grass"),1,0)))</f>
        <v>0</v>
      </c>
      <c r="AM8" s="507" t="n">
        <f aca="false">IF(OR($R8="Flying",$S8="Flying"),4,SUM(IF(OR($R8="Electric",$R8="Fire",$R8="Rock",$R8="Steel",$R8="Poison"),0-1,IF(OR($R8="Bug",$R8="Grass"),1,0)),IF(OR($S8="Electric",$S8="Fire",$S8="Rock",$S8="Steel",$S8="Poison"),0-1,IF(OR($S8="Bug",$S8="Grass"),1,0))))</f>
        <v>4</v>
      </c>
      <c r="AN8" s="507" t="n">
        <f aca="false">SUM(IF(OR($R8="Flying",$R8="Dragon",$R8="Grass",$R8="Ground"),0-1,IF(OR($R8="Steel",$R8="Ice",$R8="Fire",$R8="Water"),1,0)),IF(OR($S8="Flying",$S8="Dragon",$S8="Grass",$S8="Ground"),0-1,IF(OR($S8="Steel",$S8="Ice",$S8="Fire",$S8="Water"),1,0)))</f>
        <v>-1</v>
      </c>
      <c r="AO8" s="507" t="n">
        <f aca="false">IF(OR($R8="Ghost",$S8="Ghost"),4,SUM(IF(OR($R8="Steel",$R8="Rock"),1,0),IF(OR($S8="Steel",$S8="Rock"),1,0)))</f>
        <v>1</v>
      </c>
      <c r="AP8" s="507" t="n">
        <f aca="false">IF(OR($R8="Steel",$S8="Steel"),4,SUM(IF(OR($R8="Fairy",$R8="Grass"),0-1,IF(OR($R8="Ghost",$R8="Rock",$R8="Ground",$R8="Poison"),1,0)),IF(OR($S8="Fairy",$S8="Grass"),0-1,IF(OR($S8="Ghost",$S8="Rock",$S8="Ground",$S8="Poison"),1,0))))</f>
        <v>1</v>
      </c>
      <c r="AQ8" s="507" t="n">
        <f aca="false">IF(OR($R8="Dark",$S8="Dark"),4,SUM(IF(OR($R8="Fighting",$R8="Poison"),0-1,IF(OR($R8="Psychic",$R8="Steel"),1,0)),IF(OR($S8="Fighting",$S8="Poison"),0-1,IF(OR($S8="Psychic",$S8="Steel"),1,0))))</f>
        <v>0</v>
      </c>
      <c r="AR8" s="507" t="n">
        <f aca="false">SUM(IF(OR($R8="Bug",$R8="Fire",$R8="Flying",$R8="Ice"),0-1,IF(OR($R8="Steel",$R8="Fighting",$R8="Ground"),1,0)),IF(OR($S8="Bug",$S8="Fire",$S8="Flying",$S8="Ice"),0-1,IF(OR($S8="Steel",$S8="Fighting",$S8="Ground"),1,0)))</f>
        <v>-1</v>
      </c>
      <c r="AS8" s="507" t="n">
        <f aca="false">SUM(IF(OR($R8="Fairy",$R8="Ice",$R8="Rock"),0-1,IF(OR($R8="Steel",$R8="Electric",$R8="Fire",$R8="Water"),1,0)),IF(OR($S8="Fairy",$S8="Ice",$S8="Rock"),0-1,IF(OR($S8="Steel",$S8="Electric",$S8="Fire",$S8="Water"),1,0)))</f>
        <v>-1</v>
      </c>
      <c r="AT8" s="508" t="n">
        <f aca="false">SUM(IF(OR($R8="Fire",$R8="Ground",$R8="Rock"),0-1,IF(OR($R8="Dragon",$R8="Grass",$R8="Water"),1,0)),IF(OR($S8="Fire",$S8="Ground",$S8="Rock"),0-1,IF(OR($S8="Dragon",$S8="Grass",$S8="Water"),1,0)))</f>
        <v>-1</v>
      </c>
      <c r="AU8" s="516" t="str">
        <f aca="false">SGP!$L$1</f>
        <v>SGP</v>
      </c>
    </row>
    <row r="9" customFormat="false" ht="15.75" hidden="false" customHeight="false" outlineLevel="0" collapsed="false">
      <c r="A9" s="515" t="str">
        <f aca="false" t="array" ref="A9:A9">IF(ISNA(INDEX(Source!$U$7:$U$95,MATCH(B9,Source!$V$7:$V$95,0))),"FREE",INDEX(Source!$U$7:$U$95,MATCH(B9,Source!$V$7:$V$95,0)))</f>
        <v>FREE</v>
      </c>
      <c r="B9" s="511" t="s">
        <v>306</v>
      </c>
      <c r="C9" s="511"/>
      <c r="D9" s="511"/>
      <c r="E9" s="499" t="str">
        <f aca="false">IF(SUM($W9:$X9)&gt;0,SUM($W9:$X9),IF($H9&gt;0,0,IF($H9&gt;0,0,"-")))</f>
        <v>-</v>
      </c>
      <c r="F9" s="499" t="str">
        <f aca="false">IF(SUM($Y9:$Z9)&gt;0,SUM($Y9:$Z9),IF($H9&gt;0,0,"-"))</f>
        <v>-</v>
      </c>
      <c r="G9" s="499" t="str">
        <f aca="false">IF($H9&gt;0,minus(E9,F9),"-")</f>
        <v>-</v>
      </c>
      <c r="H9" s="500" t="n">
        <f aca="false">SUM(COUNTIF(MatchSource!$A:$A,$B9),COUNTIF(MatchSource!$H:$H,$B9))</f>
        <v>0</v>
      </c>
      <c r="I9" s="501" t="n">
        <f aca="false">SUM($AA9:$AB9)</f>
        <v>0</v>
      </c>
      <c r="J9" s="501" t="s">
        <v>701</v>
      </c>
      <c r="K9" s="512" t="str">
        <f aca="false" t="array" ref="K9:K9">IF(ISNA(INDEX(DraftRosters!$AA$3:$AA$199,MATCH($B9,DraftRosters!$AB$3:$AB$199,0))),"FA",IF(INDEX(DraftRosters!$AA$3:$AA$199,MATCH($B9,DraftRosters!$AB$3:$AB$199,0))="Franchise","Franch",INDEX(DraftRosters!$AA$3:$AA$199,MATCH($B9,DraftRosters!$AB$3:$AB$199,0))))</f>
        <v>FA</v>
      </c>
      <c r="L9" s="499" t="n">
        <v>70</v>
      </c>
      <c r="M9" s="499" t="n">
        <v>110</v>
      </c>
      <c r="N9" s="499" t="n">
        <v>180</v>
      </c>
      <c r="O9" s="499" t="n">
        <v>60</v>
      </c>
      <c r="P9" s="499" t="n">
        <v>60</v>
      </c>
      <c r="Q9" s="501" t="n">
        <v>50</v>
      </c>
      <c r="R9" s="499" t="s">
        <v>809</v>
      </c>
      <c r="S9" s="501" t="s">
        <v>810</v>
      </c>
      <c r="T9" s="504" t="s">
        <v>825</v>
      </c>
      <c r="U9" s="505" t="s">
        <v>823</v>
      </c>
      <c r="V9" s="506" t="s">
        <v>826</v>
      </c>
      <c r="W9" s="500" t="str">
        <f aca="false">IFERROR(__xludf.dummyfunction("if(isna(SUM(FILTER(MatchSource!$A:$D,MatchSource!$A:$A=$B9))),0,SUM(FILTER(MatchSource!$A:$D,MatchSource!$A:$A=$B9)))"),"0")</f>
        <v>0</v>
      </c>
      <c r="X9" s="499" t="str">
        <f aca="false">IFERROR(__xludf.dummyfunction("if(isna(SUM(FILTER(MatchSource!$H:$K,MatchSource!$H:$H=$B9))),0,SUM(FILTER(MatchSource!$H:$K,MatchSource!$H:$H=$B9)))"),"0")</f>
        <v>0</v>
      </c>
      <c r="Y9" s="499" t="str">
        <f aca="false">IFERROR(__xludf.dummyfunction("if(isna(ABS(MINUS(SUM(FILTER(MatchSource!$A:$E,MatchSource!$A:$A=$B9)),SUM($W9)))),0,ABS(MINUS(SUM(FILTER(MatchSource!$A:$E,MatchSource!$A:$A=$B9)),SUM($W9))))"),"0")</f>
        <v>0</v>
      </c>
      <c r="Z9" s="499" t="str">
        <f aca="false">IFERROR(__xludf.dummyfunction("if(isna(ABS(MINUS(SUM(FILTER(MatchSource!$H:$L,MatchSource!$H:$H=$B9)),SUM($X9)))),0,ABS(MINUS(SUM(FILTER(MatchSource!$H:$L,MatchSource!$H:$H=$B9)),SUM($X9))))"),"0")</f>
        <v>0</v>
      </c>
      <c r="AA9" s="499" t="str">
        <f aca="false">IFERROR(__xludf.dummyfunction("if(isna(ABS(MINUS(SUM(FILTER(MatchSource!$A:$F,MatchSource!$A:$A=$B9)),SUM($W9,$Y9)))),0,ABS(MINUS(SUM(FILTER(MatchSource!$A:$F,MatchSource!$A:$A=$B9)),SUM($W9, $Y9,))))"),"0")</f>
        <v>0</v>
      </c>
      <c r="AB9" s="501" t="str">
        <f aca="false">IFERROR(__xludf.dummyfunction("if(isna(ABS(MINUS(SUM(FILTER(MatchSource!$H:$M,MatchSource!$H:$H=$B9)),SUM($X9,$Z9)))),0,ABS(MINUS(SUM(FILTER(MatchSource!$H:$M,MatchSource!$H:$H=$B9)),SUM($X9,$Z9))))"),"0")</f>
        <v>0</v>
      </c>
      <c r="AC9" s="507" t="n">
        <f aca="false">SUM(IF(OR($R9="Grass",$R9="Psychic",$R9="Dark"),0-1,IF(OR($R9="Fighting",$R9="Flying",$R9="Fire",$R9="Ghost",$R9="Poison",$R9="Steel",$R9="Fairy"),1,0)),IF(OR($S9="Grass",$S9="Psychic",$S9="Dark"),0-1,IF(OR($S9="Fighting",$S9="Flying",$S9="Fire",$S9="Ghost",$S9="Poison",$S9="Steel",$S9="Fairy"),1,0)))</f>
        <v>1</v>
      </c>
      <c r="AD9" s="507" t="n">
        <f aca="false">SUM(IF(OR($R9="Ghost",$R9="Psychic"),0-1,IF(OR($R9="Fighting",$R9="Dark",$R9="Fairy"),1,0)),IF(OR($S9="Ghost",$S9="Psychic"),0-1,IF(OR($S9="Fighting",$S9="Dark",$S9="Fairy"),1,0)))</f>
        <v>0</v>
      </c>
      <c r="AE9" s="507" t="n">
        <f aca="false">IF(OR($R9="Fairy",$S9="Fairy"),4,SUM(IF($R9="Dragon",0-1,IF($R9="Steel",1,0)),IF($S9="Dragon",0-1,IF($S9="Steel",1,0))))</f>
        <v>1</v>
      </c>
      <c r="AF9" s="507" t="n">
        <f aca="false">IF(OR($R9="Ground",$S9="Ground"),4,SUM(IF(OR($R9="Flying",$R9="Water"),0-1,IF(OR($R9="Dragon",$R9="Electric",$R9="Grass"),1,0)),IF(OR($S9="Flying",$S9="Water"),0-1,IF(OR($S9="Dragon",$S9="Electric",$S9="Grass"),1,0))))</f>
        <v>0</v>
      </c>
      <c r="AG9" s="507" t="n">
        <f aca="false">SUM(IF(OR($R9="Dark",$R9="Dragon",$R9="Fighting"),0-1,IF(OR($R9="Steel",$R9="Poison",$R9="Fire"),1,0)),IF(OR($S9="Dark",$S9="Dragon",$S9="Fighting"),0-1,IF(OR($S9="Steel",$S9="Poison",$S9="Fire"),1,0)))</f>
        <v>1</v>
      </c>
      <c r="AH9" s="507" t="n">
        <f aca="false">IF(OR($R9="Ghost",$S9="Ghost"),4,SUM(IF(OR($R9="Dark",$R9="Ice",$R9="Normal",$R9="Rock",$R9="Steel"),0-1,IF(OR($R9="Bug",$R9="Fairy",$R9="Flying",$R9="Poison",$R9="Psychic"),1,0)),IF(OR($S9="Dark",$S9="Ice",$S9="Normal",$S9="Rock",$S9="Steel"),0-1,IF(OR($S9="Bug",$S9="Fairy",$S9="Flying",$S9="Poison",$S9="Psychic"),1,0))))</f>
        <v>-2</v>
      </c>
      <c r="AI9" s="507" t="n">
        <f aca="false">SUM(IF(OR($R9="Bug",$R9="Grass",$R9="Ice",$R9="Steel"),0-1,IF(OR($R9="Dragon",$R9="Fire",$R9="Rock",$R9="Water"),1,0)),IF(OR($S9="Bug",$S9="Grass",$S9="Ice",$S9="Steel"),0-1,IF(OR($S9="Dragon",$S9="Fire",$S9="Rock",$S9="Water"),1,0)))</f>
        <v>0</v>
      </c>
      <c r="AJ9" s="507" t="n">
        <f aca="false">SUM(IF(OR($R9="Bug",$R9="Grass",$R9="Fighting"),0-1,IF(OR($R9="Electric",$R9="Rock",$R9="Steel"),1,0)),IF(OR($S9="Bug",$S9="Grass",$S9="Fighting"),0-1,IF(OR($S9="Electric",$S9="Rock",$S9="Steel"),1,0)))</f>
        <v>2</v>
      </c>
      <c r="AK9" s="507" t="n">
        <f aca="false">IF(OR($R9="Normal",$S9="Normal"),4,SUM(IF(OR($R9="Ghost",$R9="Psychic"),0-1,IF($R9="Dark",1,0)),IF(OR($S9="Ghost",$S9="Psychic"),0-1,IF($S9="Dark",1,0))))</f>
        <v>0</v>
      </c>
      <c r="AL9" s="507" t="n">
        <f aca="false">SUM(IF(OR($R9="Ground",$R9="Rock",$R9="Water"),0-1,IF(OR($R9="Bug",$R9="Flying",$R9="Fire",$R9="Dragon",$R9="Poison",$R9="Steel",$R9="Grass"),1,0)),IF(OR($S9="Ground",$S9="Rock",$S9="Water"),0-1,IF(OR($S9="Bug",$S9="Flying",$S9="Fire",$S9="Dragon",$S9="Poison",$S9="Steel",$S9="Grass"),1,0)))</f>
        <v>0</v>
      </c>
      <c r="AM9" s="507" t="n">
        <f aca="false">IF(OR($R9="Flying",$S9="Flying"),4,SUM(IF(OR($R9="Electric",$R9="Fire",$R9="Rock",$R9="Steel",$R9="Poison"),0-1,IF(OR($R9="Bug",$R9="Grass"),1,0)),IF(OR($S9="Electric",$S9="Fire",$S9="Rock",$S9="Steel",$S9="Poison"),0-1,IF(OR($S9="Bug",$S9="Grass"),1,0))))</f>
        <v>-2</v>
      </c>
      <c r="AN9" s="507" t="n">
        <f aca="false">SUM(IF(OR($R9="Flying",$R9="Dragon",$R9="Grass",$R9="Ground"),0-1,IF(OR($R9="Steel",$R9="Ice",$R9="Fire",$R9="Water"),1,0)),IF(OR($S9="Flying",$S9="Dragon",$S9="Grass",$S9="Ground"),0-1,IF(OR($S9="Steel",$S9="Ice",$S9="Fire",$S9="Water"),1,0)))</f>
        <v>1</v>
      </c>
      <c r="AO9" s="507" t="n">
        <f aca="false">IF(OR($R9="Ghost",$S9="Ghost"),4,SUM(IF(OR($R9="Steel",$R9="Rock"),1,0),IF(OR($S9="Steel",$S9="Rock"),1,0)))</f>
        <v>2</v>
      </c>
      <c r="AP9" s="507" t="n">
        <f aca="false">IF(OR($R9="Steel",$S9="Steel"),4,SUM(IF(OR($R9="Fairy",$R9="Grass"),0-1,IF(OR($R9="Ghost",$R9="Rock",$R9="Ground",$R9="Poison"),1,0)),IF(OR($S9="Fairy",$S9="Grass"),0-1,IF(OR($S9="Ghost",$S9="Rock",$S9="Ground",$S9="Poison"),1,0))))</f>
        <v>4</v>
      </c>
      <c r="AQ9" s="507" t="n">
        <f aca="false">IF(OR($R9="Dark",$S9="Dark"),4,SUM(IF(OR($R9="Fighting",$R9="Poison"),0-1,IF(OR($R9="Psychic",$R9="Steel"),1,0)),IF(OR($S9="Fighting",$S9="Poison"),0-1,IF(OR($S9="Psychic",$S9="Steel"),1,0))))</f>
        <v>1</v>
      </c>
      <c r="AR9" s="507" t="n">
        <f aca="false">SUM(IF(OR($R9="Bug",$R9="Fire",$R9="Flying",$R9="Ice"),0-1,IF(OR($R9="Steel",$R9="Fighting",$R9="Ground"),1,0)),IF(OR($S9="Bug",$S9="Fire",$S9="Flying",$S9="Ice"),0-1,IF(OR($S9="Steel",$S9="Fighting",$S9="Ground"),1,0)))</f>
        <v>1</v>
      </c>
      <c r="AS9" s="507" t="n">
        <f aca="false">SUM(IF(OR($R9="Fairy",$R9="Ice",$R9="Rock"),0-1,IF(OR($R9="Steel",$R9="Electric",$R9="Fire",$R9="Water"),1,0)),IF(OR($S9="Fairy",$S9="Ice",$S9="Rock"),0-1,IF(OR($S9="Steel",$S9="Electric",$S9="Fire",$S9="Water"),1,0)))</f>
        <v>0</v>
      </c>
      <c r="AT9" s="508" t="n">
        <f aca="false">SUM(IF(OR($R9="Fire",$R9="Ground",$R9="Rock"),0-1,IF(OR($R9="Dragon",$R9="Grass",$R9="Water"),1,0)),IF(OR($S9="Fire",$S9="Ground",$S9="Rock"),0-1,IF(OR($S9="Dragon",$S9="Grass",$S9="Water"),1,0)))</f>
        <v>-1</v>
      </c>
      <c r="AU9" s="517" t="str">
        <f aca="false">FTT!$L$1</f>
        <v>FTT</v>
      </c>
    </row>
    <row r="10" customFormat="false" ht="15.75" hidden="false" customHeight="false" outlineLevel="0" collapsed="false">
      <c r="A10" s="515" t="str">
        <f aca="false" t="array" ref="A10:A10">IF(ISNA(INDEX(Source!$U$7:$U$95,MATCH(B10,Source!$V$7:$V$95,0))),"FREE",INDEX(Source!$U$7:$U$95,MATCH(B10,Source!$V$7:$V$95,0)))</f>
        <v>FREE</v>
      </c>
      <c r="B10" s="511" t="s">
        <v>295</v>
      </c>
      <c r="C10" s="511"/>
      <c r="D10" s="511"/>
      <c r="E10" s="499" t="str">
        <f aca="false">IF(SUM($W10:$X10)&gt;0,SUM($W10:$X10),IF($H10&gt;0,0,IF($H10&gt;0,0,"-")))</f>
        <v>-</v>
      </c>
      <c r="F10" s="499" t="str">
        <f aca="false">IF(SUM($Y10:$Z10)&gt;0,SUM($Y10:$Z10),IF($H10&gt;0,0,"-"))</f>
        <v>-</v>
      </c>
      <c r="G10" s="499" t="str">
        <f aca="false">IF($H10&gt;0,minus(E10,F10),"-")</f>
        <v>-</v>
      </c>
      <c r="H10" s="500" t="n">
        <f aca="false">SUM(COUNTIF(MatchSource!$A:$A,$B10),COUNTIF(MatchSource!$H:$H,$B10))</f>
        <v>0</v>
      </c>
      <c r="I10" s="501" t="n">
        <f aca="false">SUM($AA10:$AB10)</f>
        <v>0</v>
      </c>
      <c r="J10" s="501" t="s">
        <v>279</v>
      </c>
      <c r="K10" s="512" t="str">
        <f aca="false" t="array" ref="K10:K10">IF(ISNA(INDEX(DraftRosters!$AA$3:$AA$199,MATCH($B10,DraftRosters!$AB$3:$AB$199,0))),"FA",IF(INDEX(DraftRosters!$AA$3:$AA$199,MATCH($B10,DraftRosters!$AB$3:$AB$199,0))="Franchise","Franch",INDEX(DraftRosters!$AA$3:$AA$199,MATCH($B10,DraftRosters!$AB$3:$AB$199,0))))</f>
        <v>FA</v>
      </c>
      <c r="L10" s="499" t="n">
        <v>70</v>
      </c>
      <c r="M10" s="499" t="n">
        <v>140</v>
      </c>
      <c r="N10" s="499" t="n">
        <v>230</v>
      </c>
      <c r="O10" s="499" t="n">
        <v>60</v>
      </c>
      <c r="P10" s="499" t="n">
        <v>80</v>
      </c>
      <c r="Q10" s="501" t="n">
        <v>50</v>
      </c>
      <c r="R10" s="499" t="s">
        <v>810</v>
      </c>
      <c r="S10" s="501"/>
      <c r="T10" s="504" t="s">
        <v>827</v>
      </c>
      <c r="U10" s="513"/>
      <c r="V10" s="514"/>
      <c r="W10" s="500" t="str">
        <f aca="false">IFERROR(__xludf.dummyfunction("if(isna(SUM(FILTER(MatchSource!$A:$D,MatchSource!$A:$A=$B10))),0,SUM(FILTER(MatchSource!$A:$D,MatchSource!$A:$A=$B10)))"),"0")</f>
        <v>0</v>
      </c>
      <c r="X10" s="499" t="str">
        <f aca="false">IFERROR(__xludf.dummyfunction("if(isna(SUM(FILTER(MatchSource!$H:$K,MatchSource!$H:$H=$B10))),0,SUM(FILTER(MatchSource!$H:$K,MatchSource!$H:$H=$B10)))"),"0")</f>
        <v>0</v>
      </c>
      <c r="Y10" s="499" t="str">
        <f aca="false">IFERROR(__xludf.dummyfunction("if(isna(ABS(MINUS(SUM(FILTER(MatchSource!$A:$E,MatchSource!$A:$A=$B10)),SUM($W10)))),0,ABS(MINUS(SUM(FILTER(MatchSource!$A:$E,MatchSource!$A:$A=$B10)),SUM($W10))))"),"0")</f>
        <v>0</v>
      </c>
      <c r="Z10" s="499" t="str">
        <f aca="false">IFERROR(__xludf.dummyfunction("if(isna(ABS(MINUS(SUM(FILTER(MatchSource!$H:$L,MatchSource!$H:$H=$B10)),SUM($X10)))),0,ABS(MINUS(SUM(FILTER(MatchSource!$H:$L,MatchSource!$H:$H=$B10)),SUM($X10))))"),"0")</f>
        <v>0</v>
      </c>
      <c r="AA10" s="499" t="str">
        <f aca="false">IFERROR(__xludf.dummyfunction("if(isna(ABS(MINUS(SUM(FILTER(MatchSource!$A:$F,MatchSource!$A:$A=$B10)),SUM($W10,$Y10)))),0,ABS(MINUS(SUM(FILTER(MatchSource!$A:$F,MatchSource!$A:$A=$B10)),SUM($W10, $Y10,))))"),"0")</f>
        <v>0</v>
      </c>
      <c r="AB10" s="501" t="str">
        <f aca="false">IFERROR(__xludf.dummyfunction("if(isna(ABS(MINUS(SUM(FILTER(MatchSource!$H:$M,MatchSource!$H:$H=$B10)),SUM($X10,$Z10)))),0,ABS(MINUS(SUM(FILTER(MatchSource!$H:$M,MatchSource!$H:$H=$B10)),SUM($X10,$Z10))))"),"0")</f>
        <v>0</v>
      </c>
      <c r="AC10" s="507" t="n">
        <f aca="false">SUM(IF(OR($R10="Grass",$R10="Psychic",$R10="Dark"),0-1,IF(OR($R10="Fighting",$R10="Flying",$R10="Fire",$R10="Ghost",$R10="Poison",$R10="Steel",$R10="Fairy"),1,0)),IF(OR($S10="Grass",$S10="Psychic",$S10="Dark"),0-1,IF(OR($S10="Fighting",$S10="Flying",$S10="Fire",$S10="Ghost",$S10="Poison",$S10="Steel",$S10="Fairy"),1,0)))</f>
        <v>1</v>
      </c>
      <c r="AD10" s="507" t="n">
        <f aca="false">SUM(IF(OR($R10="Ghost",$R10="Psychic"),0-1,IF(OR($R10="Fighting",$R10="Dark",$R10="Fairy"),1,0)),IF(OR($S10="Ghost",$S10="Psychic"),0-1,IF(OR($S10="Fighting",$S10="Dark",$S10="Fairy"),1,0)))</f>
        <v>0</v>
      </c>
      <c r="AE10" s="507" t="n">
        <f aca="false">IF(OR($R10="Fairy",$S10="Fairy"),4,SUM(IF($R10="Dragon",0-1,IF($R10="Steel",1,0)),IF($S10="Dragon",0-1,IF($S10="Steel",1,0))))</f>
        <v>1</v>
      </c>
      <c r="AF10" s="507" t="n">
        <f aca="false">IF(OR($R10="Ground",$S10="Ground"),4,SUM(IF(OR($R10="Flying",$R10="Water"),0-1,IF(OR($R10="Dragon",$R10="Electric",$R10="Grass"),1,0)),IF(OR($S10="Flying",$S10="Water"),0-1,IF(OR($S10="Dragon",$S10="Electric",$S10="Grass"),1,0))))</f>
        <v>0</v>
      </c>
      <c r="AG10" s="507" t="n">
        <f aca="false">SUM(IF(OR($R10="Dark",$R10="Dragon",$R10="Fighting"),0-1,IF(OR($R10="Steel",$R10="Poison",$R10="Fire"),1,0)),IF(OR($S10="Dark",$S10="Dragon",$S10="Fighting"),0-1,IF(OR($S10="Steel",$S10="Poison",$S10="Fire"),1,0)))</f>
        <v>1</v>
      </c>
      <c r="AH10" s="507" t="n">
        <f aca="false">IF(OR($R10="Ghost",$S10="Ghost"),4,SUM(IF(OR($R10="Dark",$R10="Ice",$R10="Normal",$R10="Rock",$R10="Steel"),0-1,IF(OR($R10="Bug",$R10="Fairy",$R10="Flying",$R10="Poison",$R10="Psychic"),1,0)),IF(OR($S10="Dark",$S10="Ice",$S10="Normal",$S10="Rock",$S10="Steel"),0-1,IF(OR($S10="Bug",$S10="Fairy",$S10="Flying",$S10="Poison",$S10="Psychic"),1,0))))</f>
        <v>-1</v>
      </c>
      <c r="AI10" s="507" t="n">
        <f aca="false">SUM(IF(OR($R10="Bug",$R10="Grass",$R10="Ice",$R10="Steel"),0-1,IF(OR($R10="Dragon",$R10="Fire",$R10="Rock",$R10="Water"),1,0)),IF(OR($S10="Bug",$S10="Grass",$S10="Ice",$S10="Steel"),0-1,IF(OR($S10="Dragon",$S10="Fire",$S10="Rock",$S10="Water"),1,0)))</f>
        <v>-1</v>
      </c>
      <c r="AJ10" s="507" t="n">
        <f aca="false">SUM(IF(OR($R10="Bug",$R10="Grass",$R10="Fighting"),0-1,IF(OR($R10="Electric",$R10="Rock",$R10="Steel"),1,0)),IF(OR($S10="Bug",$S10="Grass",$S10="Fighting"),0-1,IF(OR($S10="Electric",$S10="Rock",$S10="Steel"),1,0)))</f>
        <v>1</v>
      </c>
      <c r="AK10" s="507" t="n">
        <f aca="false">IF(OR($R10="Normal",$S10="Normal"),4,SUM(IF(OR($R10="Ghost",$R10="Psychic"),0-1,IF($R10="Dark",1,0)),IF(OR($S10="Ghost",$S10="Psychic"),0-1,IF($S10="Dark",1,0))))</f>
        <v>0</v>
      </c>
      <c r="AL10" s="507" t="n">
        <f aca="false">SUM(IF(OR($R10="Ground",$R10="Rock",$R10="Water"),0-1,IF(OR($R10="Bug",$R10="Flying",$R10="Fire",$R10="Dragon",$R10="Poison",$R10="Steel",$R10="Grass"),1,0)),IF(OR($S10="Ground",$S10="Rock",$S10="Water"),0-1,IF(OR($S10="Bug",$S10="Flying",$S10="Fire",$S10="Dragon",$S10="Poison",$S10="Steel",$S10="Grass"),1,0)))</f>
        <v>1</v>
      </c>
      <c r="AM10" s="507" t="n">
        <f aca="false">IF(OR($R10="Flying",$S10="Flying"),4,SUM(IF(OR($R10="Electric",$R10="Fire",$R10="Rock",$R10="Steel",$R10="Poison"),0-1,IF(OR($R10="Bug",$R10="Grass"),1,0)),IF(OR($S10="Electric",$S10="Fire",$S10="Rock",$S10="Steel",$S10="Poison"),0-1,IF(OR($S10="Bug",$S10="Grass"),1,0))))</f>
        <v>-1</v>
      </c>
      <c r="AN10" s="507" t="n">
        <f aca="false">SUM(IF(OR($R10="Flying",$R10="Dragon",$R10="Grass",$R10="Ground"),0-1,IF(OR($R10="Steel",$R10="Ice",$R10="Fire",$R10="Water"),1,0)),IF(OR($S10="Flying",$S10="Dragon",$S10="Grass",$S10="Ground"),0-1,IF(OR($S10="Steel",$S10="Ice",$S10="Fire",$S10="Water"),1,0)))</f>
        <v>1</v>
      </c>
      <c r="AO10" s="507" t="n">
        <f aca="false">IF(OR($R10="Ghost",$S10="Ghost"),4,SUM(IF(OR($R10="Steel",$R10="Rock"),1,0),IF(OR($S10="Steel",$S10="Rock"),1,0)))</f>
        <v>1</v>
      </c>
      <c r="AP10" s="507" t="n">
        <f aca="false">IF(OR($R10="Steel",$S10="Steel"),4,SUM(IF(OR($R10="Fairy",$R10="Grass"),0-1,IF(OR($R10="Ghost",$R10="Rock",$R10="Ground",$R10="Poison"),1,0)),IF(OR($S10="Fairy",$S10="Grass"),0-1,IF(OR($S10="Ghost",$S10="Rock",$S10="Ground",$S10="Poison"),1,0))))</f>
        <v>4</v>
      </c>
      <c r="AQ10" s="507" t="n">
        <f aca="false">IF(OR($R10="Dark",$S10="Dark"),4,SUM(IF(OR($R10="Fighting",$R10="Poison"),0-1,IF(OR($R10="Psychic",$R10="Steel"),1,0)),IF(OR($S10="Fighting",$S10="Poison"),0-1,IF(OR($S10="Psychic",$S10="Steel"),1,0))))</f>
        <v>1</v>
      </c>
      <c r="AR10" s="507" t="n">
        <f aca="false">SUM(IF(OR($R10="Bug",$R10="Fire",$R10="Flying",$R10="Ice"),0-1,IF(OR($R10="Steel",$R10="Fighting",$R10="Ground"),1,0)),IF(OR($S10="Bug",$S10="Fire",$S10="Flying",$S10="Ice"),0-1,IF(OR($S10="Steel",$S10="Fighting",$S10="Ground"),1,0)))</f>
        <v>1</v>
      </c>
      <c r="AS10" s="507" t="n">
        <f aca="false">SUM(IF(OR($R10="Fairy",$R10="Ice",$R10="Rock"),0-1,IF(OR($R10="Steel",$R10="Electric",$R10="Fire",$R10="Water"),1,0)),IF(OR($S10="Fairy",$S10="Ice",$S10="Rock"),0-1,IF(OR($S10="Steel",$S10="Electric",$S10="Fire",$S10="Water"),1,0)))</f>
        <v>1</v>
      </c>
      <c r="AT10" s="508" t="n">
        <f aca="false">SUM(IF(OR($R10="Fire",$R10="Ground",$R10="Rock"),0-1,IF(OR($R10="Dragon",$R10="Grass",$R10="Water"),1,0)),IF(OR($S10="Fire",$S10="Ground",$S10="Rock"),0-1,IF(OR($S10="Dragon",$S10="Grass",$S10="Water"),1,0)))</f>
        <v>0</v>
      </c>
      <c r="AU10" s="507"/>
    </row>
    <row r="11" customFormat="false" ht="15.75" hidden="false" customHeight="false" outlineLevel="0" collapsed="false">
      <c r="A11" s="515" t="str">
        <f aca="false" t="array" ref="A11:A11">IF(ISNA(INDEX(Source!$U$7:$U$95,MATCH(B11,Source!$V$7:$V$95,0))),"FREE",INDEX(Source!$U$7:$U$95,MATCH(B11,Source!$V$7:$V$95,0)))</f>
        <v>FREE</v>
      </c>
      <c r="B11" s="511" t="s">
        <v>281</v>
      </c>
      <c r="C11" s="511"/>
      <c r="D11" s="511"/>
      <c r="E11" s="499" t="str">
        <f aca="false">IF(SUM($W11:$X11)&gt;0,SUM($W11:$X11),IF($H11&gt;0,0,IF($H11&gt;0,0,"-")))</f>
        <v>-</v>
      </c>
      <c r="F11" s="499" t="str">
        <f aca="false">IF(SUM($Y11:$Z11)&gt;0,SUM($Y11:$Z11),IF($H11&gt;0,0,"-"))</f>
        <v>-</v>
      </c>
      <c r="G11" s="499" t="str">
        <f aca="false">IF($H11&gt;0,minus(E11,F11),"-")</f>
        <v>-</v>
      </c>
      <c r="H11" s="500" t="n">
        <f aca="false">SUM(COUNTIF(MatchSource!$A:$A,$B11),COUNTIF(MatchSource!$H:$H,$B11))</f>
        <v>0</v>
      </c>
      <c r="I11" s="501" t="n">
        <f aca="false">SUM($AA11:$AB11)</f>
        <v>0</v>
      </c>
      <c r="J11" s="501" t="s">
        <v>699</v>
      </c>
      <c r="K11" s="512" t="str">
        <f aca="false" t="array" ref="K11:K11">IF(ISNA(INDEX(DraftRosters!$AA$3:$AA$199,MATCH($B11,DraftRosters!$AB$3:$AB$199,0))),"FA",IF(INDEX(DraftRosters!$AA$3:$AA$199,MATCH($B11,DraftRosters!$AB$3:$AB$199,0))="Franchise","Franch",INDEX(DraftRosters!$AA$3:$AA$199,MATCH($B11,DraftRosters!$AB$3:$AB$199,0))))</f>
        <v>FA</v>
      </c>
      <c r="L11" s="507" t="n">
        <v>55</v>
      </c>
      <c r="M11" s="507" t="n">
        <v>50</v>
      </c>
      <c r="N11" s="507" t="n">
        <v>45</v>
      </c>
      <c r="O11" s="507" t="n">
        <v>135</v>
      </c>
      <c r="P11" s="507" t="n">
        <v>95</v>
      </c>
      <c r="Q11" s="508" t="n">
        <v>120</v>
      </c>
      <c r="R11" s="499" t="s">
        <v>828</v>
      </c>
      <c r="S11" s="501"/>
      <c r="T11" s="504" t="s">
        <v>829</v>
      </c>
      <c r="U11" s="505" t="s">
        <v>830</v>
      </c>
      <c r="V11" s="506" t="s">
        <v>831</v>
      </c>
      <c r="W11" s="500" t="str">
        <f aca="false">IFERROR(__xludf.dummyfunction("if(isna(SUM(FILTER(MatchSource!$A:$D,MatchSource!$A:$A=$B11))),0,SUM(FILTER(MatchSource!$A:$D,MatchSource!$A:$A=$B11)))"),"0")</f>
        <v>0</v>
      </c>
      <c r="X11" s="499" t="str">
        <f aca="false">IFERROR(__xludf.dummyfunction("if(isna(SUM(FILTER(MatchSource!$H:$K,MatchSource!$H:$H=$B11))),0,SUM(FILTER(MatchSource!$H:$K,MatchSource!$H:$H=$B11)))"),"0")</f>
        <v>0</v>
      </c>
      <c r="Y11" s="499" t="str">
        <f aca="false">IFERROR(__xludf.dummyfunction("if(isna(ABS(MINUS(SUM(FILTER(MatchSource!$A:$E,MatchSource!$A:$A=$B11)),SUM($W11)))),0,ABS(MINUS(SUM(FILTER(MatchSource!$A:$E,MatchSource!$A:$A=$B11)),SUM($W11))))"),"0")</f>
        <v>0</v>
      </c>
      <c r="Z11" s="499" t="str">
        <f aca="false">IFERROR(__xludf.dummyfunction("if(isna(ABS(MINUS(SUM(FILTER(MatchSource!$H:$L,MatchSource!$H:$H=$B11)),SUM($X11)))),0,ABS(MINUS(SUM(FILTER(MatchSource!$H:$L,MatchSource!$H:$H=$B11)),SUM($X11))))"),"0")</f>
        <v>0</v>
      </c>
      <c r="AA11" s="499" t="str">
        <f aca="false">IFERROR(__xludf.dummyfunction("if(isna(ABS(MINUS(SUM(FILTER(MatchSource!$A:$F,MatchSource!$A:$A=$B11)),SUM($W11,$Y11)))),0,ABS(MINUS(SUM(FILTER(MatchSource!$A:$F,MatchSource!$A:$A=$B11)),SUM($W11, $Y11,))))"),"0")</f>
        <v>0</v>
      </c>
      <c r="AB11" s="501" t="str">
        <f aca="false">IFERROR(__xludf.dummyfunction("if(isna(ABS(MINUS(SUM(FILTER(MatchSource!$H:$M,MatchSource!$H:$H=$B11)),SUM($X11,$Z11)))),0,ABS(MINUS(SUM(FILTER(MatchSource!$H:$M,MatchSource!$H:$H=$B11)),SUM($X11,$Z11))))"),"0")</f>
        <v>0</v>
      </c>
      <c r="AC11" s="507" t="n">
        <f aca="false">SUM(IF(OR($R11="Grass",$R11="Psychic",$R11="Dark"),0-1,IF(OR($R11="Fighting",$R11="Flying",$R11="Fire",$R11="Ghost",$R11="Poison",$R11="Steel",$R11="Fairy"),1,0)),IF(OR($S11="Grass",$S11="Psychic",$S11="Dark"),0-1,IF(OR($S11="Fighting",$S11="Flying",$S11="Fire",$S11="Ghost",$S11="Poison",$S11="Steel",$S11="Fairy"),1,0)))</f>
        <v>-1</v>
      </c>
      <c r="AD11" s="507" t="n">
        <f aca="false">SUM(IF(OR($R11="Ghost",$R11="Psychic"),0-1,IF(OR($R11="Fighting",$R11="Dark",$R11="Fairy"),1,0)),IF(OR($S11="Ghost",$S11="Psychic"),0-1,IF(OR($S11="Fighting",$S11="Dark",$S11="Fairy"),1,0)))</f>
        <v>-1</v>
      </c>
      <c r="AE11" s="507" t="n">
        <f aca="false">IF(OR($R11="Fairy",$S11="Fairy"),4,SUM(IF($R11="Dragon",0-1,IF($R11="Steel",1,0)),IF($S11="Dragon",0-1,IF($S11="Steel",1,0))))</f>
        <v>0</v>
      </c>
      <c r="AF11" s="507" t="n">
        <f aca="false">IF(OR($R11="Ground",$S11="Ground"),4,SUM(IF(OR($R11="Flying",$R11="Water"),0-1,IF(OR($R11="Dragon",$R11="Electric",$R11="Grass"),1,0)),IF(OR($S11="Flying",$S11="Water"),0-1,IF(OR($S11="Dragon",$S11="Electric",$S11="Grass"),1,0))))</f>
        <v>0</v>
      </c>
      <c r="AG11" s="507" t="n">
        <f aca="false">SUM(IF(OR($R11="Dark",$R11="Dragon",$R11="Fighting"),0-1,IF(OR($R11="Steel",$R11="Poison",$R11="Fire"),1,0)),IF(OR($S11="Dark",$S11="Dragon",$S11="Fighting"),0-1,IF(OR($S11="Steel",$S11="Poison",$S11="Fire"),1,0)))</f>
        <v>0</v>
      </c>
      <c r="AH11" s="507" t="n">
        <f aca="false">IF(OR($R11="Ghost",$S11="Ghost"),4,SUM(IF(OR($R11="Dark",$R11="Ice",$R11="Normal",$R11="Rock",$R11="Steel"),0-1,IF(OR($R11="Bug",$R11="Fairy",$R11="Flying",$R11="Poison",$R11="Psychic"),1,0)),IF(OR($S11="Dark",$S11="Ice",$S11="Normal",$S11="Rock",$S11="Steel"),0-1,IF(OR($S11="Bug",$S11="Fairy",$S11="Flying",$S11="Poison",$S11="Psychic"),1,0))))</f>
        <v>1</v>
      </c>
      <c r="AI11" s="507" t="n">
        <f aca="false">SUM(IF(OR($R11="Bug",$R11="Grass",$R11="Ice",$R11="Steel"),0-1,IF(OR($R11="Dragon",$R11="Fire",$R11="Rock",$R11="Water"),1,0)),IF(OR($S11="Bug",$S11="Grass",$S11="Ice",$S11="Steel"),0-1,IF(OR($S11="Dragon",$S11="Fire",$S11="Rock",$S11="Water"),1,0)))</f>
        <v>0</v>
      </c>
      <c r="AJ11" s="507" t="n">
        <f aca="false">SUM(IF(OR($R11="Bug",$R11="Grass",$R11="Fighting"),0-1,IF(OR($R11="Electric",$R11="Rock",$R11="Steel"),1,0)),IF(OR($S11="Bug",$S11="Grass",$S11="Fighting"),0-1,IF(OR($S11="Electric",$S11="Rock",$S11="Steel"),1,0)))</f>
        <v>0</v>
      </c>
      <c r="AK11" s="507" t="n">
        <f aca="false">IF(OR($R11="Normal",$S11="Normal"),4,SUM(IF(OR($R11="Ghost",$R11="Psychic"),0-1,IF($R11="Dark",1,0)),IF(OR($S11="Ghost",$S11="Psychic"),0-1,IF($S11="Dark",1,0))))</f>
        <v>-1</v>
      </c>
      <c r="AL11" s="507" t="n">
        <f aca="false">SUM(IF(OR($R11="Ground",$R11="Rock",$R11="Water"),0-1,IF(OR($R11="Bug",$R11="Flying",$R11="Fire",$R11="Dragon",$R11="Poison",$R11="Steel",$R11="Grass"),1,0)),IF(OR($S11="Ground",$S11="Rock",$S11="Water"),0-1,IF(OR($S11="Bug",$S11="Flying",$S11="Fire",$S11="Dragon",$S11="Poison",$S11="Steel",$S11="Grass"),1,0)))</f>
        <v>0</v>
      </c>
      <c r="AM11" s="507" t="n">
        <f aca="false">IF(OR($R11="Flying",$S11="Flying"),4,SUM(IF(OR($R11="Electric",$R11="Fire",$R11="Rock",$R11="Steel",$R11="Poison"),0-1,IF(OR($R11="Bug",$R11="Grass"),1,0)),IF(OR($S11="Electric",$S11="Fire",$S11="Rock",$S11="Steel",$S11="Poison"),0-1,IF(OR($S11="Bug",$S11="Grass"),1,0))))</f>
        <v>0</v>
      </c>
      <c r="AN11" s="507" t="n">
        <f aca="false">SUM(IF(OR($R11="Flying",$R11="Dragon",$R11="Grass",$R11="Ground"),0-1,IF(OR($R11="Steel",$R11="Ice",$R11="Fire",$R11="Water"),1,0)),IF(OR($S11="Flying",$S11="Dragon",$S11="Grass",$S11="Ground"),0-1,IF(OR($S11="Steel",$S11="Ice",$S11="Fire",$S11="Water"),1,0)))</f>
        <v>0</v>
      </c>
      <c r="AO11" s="507" t="n">
        <f aca="false">IF(OR($R11="Ghost",$S11="Ghost"),4,SUM(IF(OR($R11="Steel",$R11="Rock"),1,0),IF(OR($S11="Steel",$S11="Rock"),1,0)))</f>
        <v>0</v>
      </c>
      <c r="AP11" s="507" t="n">
        <f aca="false">IF(OR($R11="Steel",$S11="Steel"),4,SUM(IF(OR($R11="Fairy",$R11="Grass"),0-1,IF(OR($R11="Ghost",$R11="Rock",$R11="Ground",$R11="Poison"),1,0)),IF(OR($S11="Fairy",$S11="Grass"),0-1,IF(OR($S11="Ghost",$S11="Rock",$S11="Ground",$S11="Poison"),1,0))))</f>
        <v>0</v>
      </c>
      <c r="AQ11" s="507" t="n">
        <f aca="false">IF(OR($R11="Dark",$S11="Dark"),4,SUM(IF(OR($R11="Fighting",$R11="Poison"),0-1,IF(OR($R11="Psychic",$R11="Steel"),1,0)),IF(OR($S11="Fighting",$S11="Poison"),0-1,IF(OR($S11="Psychic",$S11="Steel"),1,0))))</f>
        <v>1</v>
      </c>
      <c r="AR11" s="507" t="n">
        <f aca="false">SUM(IF(OR($R11="Bug",$R11="Fire",$R11="Flying",$R11="Ice"),0-1,IF(OR($R11="Steel",$R11="Fighting",$R11="Ground"),1,0)),IF(OR($S11="Bug",$S11="Fire",$S11="Flying",$S11="Ice"),0-1,IF(OR($S11="Steel",$S11="Fighting",$S11="Ground"),1,0)))</f>
        <v>0</v>
      </c>
      <c r="AS11" s="507" t="n">
        <f aca="false">SUM(IF(OR($R11="Fairy",$R11="Ice",$R11="Rock"),0-1,IF(OR($R11="Steel",$R11="Electric",$R11="Fire",$R11="Water"),1,0)),IF(OR($S11="Fairy",$S11="Ice",$S11="Rock"),0-1,IF(OR($S11="Steel",$S11="Electric",$S11="Fire",$S11="Water"),1,0)))</f>
        <v>0</v>
      </c>
      <c r="AT11" s="508" t="n">
        <f aca="false">SUM(IF(OR($R11="Fire",$R11="Ground",$R11="Rock"),0-1,IF(OR($R11="Dragon",$R11="Grass",$R11="Water"),1,0)),IF(OR($S11="Fire",$S11="Ground",$S11="Rock"),0-1,IF(OR($S11="Dragon",$S11="Grass",$S11="Water"),1,0)))</f>
        <v>0</v>
      </c>
      <c r="AU11" s="518"/>
    </row>
    <row r="12" customFormat="false" ht="15.75" hidden="false" customHeight="false" outlineLevel="0" collapsed="false">
      <c r="A12" s="510" t="str">
        <f aca="false" t="array" ref="A12:A12">IF(ISNA(INDEX(Source!$U$7:$U$95,MATCH(B12,Source!$V$7:$V$95,0))),"FREE",INDEX(Source!$U$7:$U$95,MATCH(B12,Source!$V$7:$V$95,0)))</f>
        <v>BTB</v>
      </c>
      <c r="B12" s="511" t="s">
        <v>61</v>
      </c>
      <c r="C12" s="511"/>
      <c r="D12" s="511"/>
      <c r="E12" s="499" t="n">
        <f aca="false">IF(SUM($W12:$X12)&gt;0,SUM($W12:$X12),IF($H12&gt;0,0,IF($H12&gt;0,0,"-")))</f>
        <v>0</v>
      </c>
      <c r="F12" s="499" t="n">
        <f aca="false">IF(SUM($Y12:$Z12)&gt;0,SUM($Y12:$Z12),IF($H12&gt;0,0,"-"))</f>
        <v>0</v>
      </c>
      <c r="G12" s="499" t="e">
        <f aca="false">IF($H12&gt;0,minus(E12,F12),"-")</f>
        <v>#NAME?</v>
      </c>
      <c r="H12" s="500" t="n">
        <f aca="false">SUM(COUNTIF(MatchSource!$A:$A,$B12),COUNTIF(MatchSource!$H:$H,$B12))</f>
        <v>7</v>
      </c>
      <c r="I12" s="501" t="n">
        <f aca="false">SUM($AA12:$AB12)</f>
        <v>0</v>
      </c>
      <c r="J12" s="501" t="s">
        <v>276</v>
      </c>
      <c r="K12" s="512" t="n">
        <f aca="false" t="array" ref="K12:K12">IF(ISNA(INDEX(DraftRosters!$AA$3:$AA$199,MATCH($B12,DraftRosters!$AB$3:$AB$199,0))),"FA",IF(INDEX(DraftRosters!$AA$3:$AA$199,MATCH($B12,DraftRosters!$AB$3:$AB$199,0))="Franchise","Franch",INDEX(DraftRosters!$AA$3:$AA$199,MATCH($B12,DraftRosters!$AB$3:$AB$199,0))))</f>
        <v>18</v>
      </c>
      <c r="L12" s="499" t="n">
        <v>55</v>
      </c>
      <c r="M12" s="499" t="n">
        <v>50</v>
      </c>
      <c r="N12" s="499" t="n">
        <v>65</v>
      </c>
      <c r="O12" s="499" t="n">
        <v>175</v>
      </c>
      <c r="P12" s="499" t="n">
        <v>105</v>
      </c>
      <c r="Q12" s="501" t="n">
        <v>150</v>
      </c>
      <c r="R12" s="499" t="s">
        <v>828</v>
      </c>
      <c r="S12" s="501"/>
      <c r="T12" s="504" t="s">
        <v>832</v>
      </c>
      <c r="U12" s="513"/>
      <c r="V12" s="514"/>
      <c r="W12" s="500" t="str">
        <f aca="false">IFERROR(__xludf.dummyfunction("if(isna(SUM(FILTER(MatchSource!$A:$D,MatchSource!$A:$A=$B12))),0,SUM(FILTER(MatchSource!$A:$D,MatchSource!$A:$A=$B12)))"),"4")</f>
        <v>4</v>
      </c>
      <c r="X12" s="499" t="str">
        <f aca="false">IFERROR(__xludf.dummyfunction("if(isna(SUM(FILTER(MatchSource!$H:$K,MatchSource!$H:$H=$B12))),0,SUM(FILTER(MatchSource!$H:$K,MatchSource!$H:$H=$B12)))"),"1")</f>
        <v>1</v>
      </c>
      <c r="Y12" s="499" t="str">
        <f aca="false">IFERROR(__xludf.dummyfunction("if(isna(ABS(MINUS(SUM(FILTER(MatchSource!$A:$E,MatchSource!$A:$A=$B12)),SUM($W12)))),0,ABS(MINUS(SUM(FILTER(MatchSource!$A:$E,MatchSource!$A:$A=$B12)),SUM($W12))))"),"2")</f>
        <v>2</v>
      </c>
      <c r="Z12" s="499" t="str">
        <f aca="false">IFERROR(__xludf.dummyfunction("if(isna(ABS(MINUS(SUM(FILTER(MatchSource!$H:$L,MatchSource!$H:$H=$B12)),SUM($X12)))),0,ABS(MINUS(SUM(FILTER(MatchSource!$H:$L,MatchSource!$H:$H=$B12)),SUM($X12))))"),"3")</f>
        <v>3</v>
      </c>
      <c r="AA12" s="499" t="str">
        <f aca="false">IFERROR(__xludf.dummyfunction("if(isna(ABS(MINUS(SUM(FILTER(MatchSource!$A:$F,MatchSource!$A:$A=$B12)),SUM($W12,$Y12)))),0,ABS(MINUS(SUM(FILTER(MatchSource!$A:$F,MatchSource!$A:$A=$B12)),SUM($W12, $Y12,))))"),"2")</f>
        <v>2</v>
      </c>
      <c r="AB12" s="501" t="str">
        <f aca="false">IFERROR(__xludf.dummyfunction("if(isna(ABS(MINUS(SUM(FILTER(MatchSource!$H:$M,MatchSource!$H:$H=$B12)),SUM($X12,$Z12)))),0,ABS(MINUS(SUM(FILTER(MatchSource!$H:$M,MatchSource!$H:$H=$B12)),SUM($X12,$Z12))))"),"2")</f>
        <v>2</v>
      </c>
      <c r="AC12" s="507" t="n">
        <f aca="false">SUM(IF(OR($R12="Grass",$R12="Psychic",$R12="Dark"),0-1,IF(OR($R12="Fighting",$R12="Flying",$R12="Fire",$R12="Ghost",$R12="Poison",$R12="Steel",$R12="Fairy"),1,0)),IF(OR($S12="Grass",$S12="Psychic",$S12="Dark"),0-1,IF(OR($S12="Fighting",$S12="Flying",$S12="Fire",$S12="Ghost",$S12="Poison",$S12="Steel",$S12="Fairy"),1,0)))</f>
        <v>-1</v>
      </c>
      <c r="AD12" s="507" t="n">
        <f aca="false">SUM(IF(OR($R12="Ghost",$R12="Psychic"),0-1,IF(OR($R12="Fighting",$R12="Dark",$R12="Fairy"),1,0)),IF(OR($S12="Ghost",$S12="Psychic"),0-1,IF(OR($S12="Fighting",$S12="Dark",$S12="Fairy"),1,0)))</f>
        <v>-1</v>
      </c>
      <c r="AE12" s="507" t="n">
        <f aca="false">IF(OR($R12="Fairy",$S12="Fairy"),4,SUM(IF($R12="Dragon",0-1,IF($R12="Steel",1,0)),IF($S12="Dragon",0-1,IF($S12="Steel",1,0))))</f>
        <v>0</v>
      </c>
      <c r="AF12" s="507" t="n">
        <f aca="false">IF(OR($R12="Ground",$S12="Ground"),4,SUM(IF(OR($R12="Flying",$R12="Water"),0-1,IF(OR($R12="Dragon",$R12="Electric",$R12="Grass"),1,0)),IF(OR($S12="Flying",$S12="Water"),0-1,IF(OR($S12="Dragon",$S12="Electric",$S12="Grass"),1,0))))</f>
        <v>0</v>
      </c>
      <c r="AG12" s="507" t="n">
        <f aca="false">SUM(IF(OR($R12="Dark",$R12="Dragon",$R12="Fighting"),0-1,IF(OR($R12="Steel",$R12="Poison",$R12="Fire"),1,0)),IF(OR($S12="Dark",$S12="Dragon",$S12="Fighting"),0-1,IF(OR($S12="Steel",$S12="Poison",$S12="Fire"),1,0)))</f>
        <v>0</v>
      </c>
      <c r="AH12" s="507" t="n">
        <f aca="false">IF(OR($R12="Ghost",$S12="Ghost"),4,SUM(IF(OR($R12="Dark",$R12="Ice",$R12="Normal",$R12="Rock",$R12="Steel"),0-1,IF(OR($R12="Bug",$R12="Fairy",$R12="Flying",$R12="Poison",$R12="Psychic"),1,0)),IF(OR($S12="Dark",$S12="Ice",$S12="Normal",$S12="Rock",$S12="Steel"),0-1,IF(OR($S12="Bug",$S12="Fairy",$S12="Flying",$S12="Poison",$S12="Psychic"),1,0))))</f>
        <v>1</v>
      </c>
      <c r="AI12" s="507" t="n">
        <f aca="false">SUM(IF(OR($R12="Bug",$R12="Grass",$R12="Ice",$R12="Steel"),0-1,IF(OR($R12="Dragon",$R12="Fire",$R12="Rock",$R12="Water"),1,0)),IF(OR($S12="Bug",$S12="Grass",$S12="Ice",$S12="Steel"),0-1,IF(OR($S12="Dragon",$S12="Fire",$S12="Rock",$S12="Water"),1,0)))</f>
        <v>0</v>
      </c>
      <c r="AJ12" s="507" t="n">
        <f aca="false">SUM(IF(OR($R12="Bug",$R12="Grass",$R12="Fighting"),0-1,IF(OR($R12="Electric",$R12="Rock",$R12="Steel"),1,0)),IF(OR($S12="Bug",$S12="Grass",$S12="Fighting"),0-1,IF(OR($S12="Electric",$S12="Rock",$S12="Steel"),1,0)))</f>
        <v>0</v>
      </c>
      <c r="AK12" s="507" t="n">
        <f aca="false">IF(OR($R12="Normal",$S12="Normal"),4,SUM(IF(OR($R12="Ghost",$R12="Psychic"),0-1,IF($R12="Dark",1,0)),IF(OR($S12="Ghost",$S12="Psychic"),0-1,IF($S12="Dark",1,0))))</f>
        <v>-1</v>
      </c>
      <c r="AL12" s="507" t="n">
        <f aca="false">SUM(IF(OR($R12="Ground",$R12="Rock",$R12="Water"),0-1,IF(OR($R12="Bug",$R12="Flying",$R12="Fire",$R12="Dragon",$R12="Poison",$R12="Steel",$R12="Grass"),1,0)),IF(OR($S12="Ground",$S12="Rock",$S12="Water"),0-1,IF(OR($S12="Bug",$S12="Flying",$S12="Fire",$S12="Dragon",$S12="Poison",$S12="Steel",$S12="Grass"),1,0)))</f>
        <v>0</v>
      </c>
      <c r="AM12" s="507" t="n">
        <f aca="false">IF(OR($R12="Flying",$S12="Flying"),4,SUM(IF(OR($R12="Electric",$R12="Fire",$R12="Rock",$R12="Steel",$R12="Poison"),0-1,IF(OR($R12="Bug",$R12="Grass"),1,0)),IF(OR($S12="Electric",$S12="Fire",$S12="Rock",$S12="Steel",$S12="Poison"),0-1,IF(OR($S12="Bug",$S12="Grass"),1,0))))</f>
        <v>0</v>
      </c>
      <c r="AN12" s="507" t="n">
        <f aca="false">SUM(IF(OR($R12="Flying",$R12="Dragon",$R12="Grass",$R12="Ground"),0-1,IF(OR($R12="Steel",$R12="Ice",$R12="Fire",$R12="Water"),1,0)),IF(OR($S12="Flying",$S12="Dragon",$S12="Grass",$S12="Ground"),0-1,IF(OR($S12="Steel",$S12="Ice",$S12="Fire",$S12="Water"),1,0)))</f>
        <v>0</v>
      </c>
      <c r="AO12" s="507" t="n">
        <f aca="false">IF(OR($R12="Ghost",$S12="Ghost"),4,SUM(IF(OR($R12="Steel",$R12="Rock"),1,0),IF(OR($S12="Steel",$S12="Rock"),1,0)))</f>
        <v>0</v>
      </c>
      <c r="AP12" s="507" t="n">
        <f aca="false">IF(OR($R12="Steel",$S12="Steel"),4,SUM(IF(OR($R12="Fairy",$R12="Grass"),0-1,IF(OR($R12="Ghost",$R12="Rock",$R12="Ground",$R12="Poison"),1,0)),IF(OR($S12="Fairy",$S12="Grass"),0-1,IF(OR($S12="Ghost",$S12="Rock",$S12="Ground",$S12="Poison"),1,0))))</f>
        <v>0</v>
      </c>
      <c r="AQ12" s="507" t="n">
        <f aca="false">IF(OR($R12="Dark",$S12="Dark"),4,SUM(IF(OR($R12="Fighting",$R12="Poison"),0-1,IF(OR($R12="Psychic",$R12="Steel"),1,0)),IF(OR($S12="Fighting",$S12="Poison"),0-1,IF(OR($S12="Psychic",$S12="Steel"),1,0))))</f>
        <v>1</v>
      </c>
      <c r="AR12" s="507" t="n">
        <f aca="false">SUM(IF(OR($R12="Bug",$R12="Fire",$R12="Flying",$R12="Ice"),0-1,IF(OR($R12="Steel",$R12="Fighting",$R12="Ground"),1,0)),IF(OR($S12="Bug",$S12="Fire",$S12="Flying",$S12="Ice"),0-1,IF(OR($S12="Steel",$S12="Fighting",$S12="Ground"),1,0)))</f>
        <v>0</v>
      </c>
      <c r="AS12" s="507" t="n">
        <f aca="false">SUM(IF(OR($R12="Fairy",$R12="Ice",$R12="Rock"),0-1,IF(OR($R12="Steel",$R12="Electric",$R12="Fire",$R12="Water"),1,0)),IF(OR($S12="Fairy",$S12="Ice",$S12="Rock"),0-1,IF(OR($S12="Steel",$S12="Electric",$S12="Fire",$S12="Water"),1,0)))</f>
        <v>0</v>
      </c>
      <c r="AT12" s="508" t="n">
        <f aca="false">SUM(IF(OR($R12="Fire",$R12="Ground",$R12="Rock"),0-1,IF(OR($R12="Dragon",$R12="Grass",$R12="Water"),1,0)),IF(OR($S12="Fire",$S12="Ground",$S12="Rock"),0-1,IF(OR($S12="Dragon",$S12="Grass",$S12="Water"),1,0)))</f>
        <v>0</v>
      </c>
      <c r="AU12" s="519"/>
    </row>
    <row r="13" customFormat="false" ht="15.75" hidden="false" customHeight="false" outlineLevel="0" collapsed="false">
      <c r="A13" s="497" t="str">
        <f aca="false" t="array" ref="A13:A13">IF(ISNA(INDEX(Source!$U$7:$U$95,MATCH(B13,Source!$V$7:$V$95,0))),"FREE",INDEX(Source!$U$7:$U$95,MATCH(B13,Source!$V$7:$V$95,0)))</f>
        <v>FREE</v>
      </c>
      <c r="B13" s="511" t="s">
        <v>707</v>
      </c>
      <c r="C13" s="511"/>
      <c r="D13" s="511"/>
      <c r="E13" s="499" t="str">
        <f aca="false">IF(SUM($W13:$X13)&gt;0,SUM($W13:$X13),IF($H13&gt;0,0,IF($H13&gt;0,0,"-")))</f>
        <v>-</v>
      </c>
      <c r="F13" s="499" t="str">
        <f aca="false">IF(SUM($Y13:$Z13)&gt;0,SUM($Y13:$Z13),IF($H13&gt;0,0,"-"))</f>
        <v>-</v>
      </c>
      <c r="G13" s="499" t="str">
        <f aca="false">IF($H13&gt;0,minus(E13,F13),"-")</f>
        <v>-</v>
      </c>
      <c r="H13" s="500" t="n">
        <f aca="false">SUM(COUNTIF(MatchSource!$A:$A,$B13),COUNTIF(MatchSource!$H:$H,$B13))</f>
        <v>0</v>
      </c>
      <c r="I13" s="501" t="n">
        <f aca="false">SUM($AA13:$AB13)</f>
        <v>0</v>
      </c>
      <c r="J13" s="501" t="s">
        <v>700</v>
      </c>
      <c r="K13" s="512" t="str">
        <f aca="false" t="array" ref="K13:K13">IF(ISNA(INDEX(DraftRosters!$AA$3:$AA$199,MATCH($B13,DraftRosters!$AB$3:$AB$199,0))),"FA",IF(INDEX(DraftRosters!$AA$3:$AA$199,MATCH($B13,DraftRosters!$AB$3:$AB$199,0))="Franchise","Franch",INDEX(DraftRosters!$AA$3:$AA$199,MATCH($B13,DraftRosters!$AB$3:$AB$199,0))))</f>
        <v>FA</v>
      </c>
      <c r="L13" s="507" t="n">
        <v>165</v>
      </c>
      <c r="M13" s="507" t="n">
        <v>75</v>
      </c>
      <c r="N13" s="507" t="n">
        <v>80</v>
      </c>
      <c r="O13" s="507" t="n">
        <v>40</v>
      </c>
      <c r="P13" s="507" t="n">
        <v>45</v>
      </c>
      <c r="Q13" s="508" t="n">
        <v>65</v>
      </c>
      <c r="R13" s="499" t="s">
        <v>811</v>
      </c>
      <c r="S13" s="501"/>
      <c r="T13" s="504" t="s">
        <v>833</v>
      </c>
      <c r="U13" s="505" t="s">
        <v>819</v>
      </c>
      <c r="V13" s="506" t="s">
        <v>834</v>
      </c>
      <c r="W13" s="500" t="str">
        <f aca="false">IFERROR(__xludf.dummyfunction("if(isna(SUM(FILTER(MatchSource!$A:$D,MatchSource!$A:$A=$B13))),0,SUM(FILTER(MatchSource!$A:$D,MatchSource!$A:$A=$B13)))"),"0")</f>
        <v>0</v>
      </c>
      <c r="X13" s="499" t="str">
        <f aca="false">IFERROR(__xludf.dummyfunction("if(isna(SUM(FILTER(MatchSource!$H:$K,MatchSource!$H:$H=$B13))),0,SUM(FILTER(MatchSource!$H:$K,MatchSource!$H:$H=$B13)))"),"0")</f>
        <v>0</v>
      </c>
      <c r="Y13" s="499" t="str">
        <f aca="false">IFERROR(__xludf.dummyfunction("if(isna(ABS(MINUS(SUM(FILTER(MatchSource!$A:$E,MatchSource!$A:$A=$B13)),SUM($W13)))),0,ABS(MINUS(SUM(FILTER(MatchSource!$A:$E,MatchSource!$A:$A=$B13)),SUM($W13))))"),"0")</f>
        <v>0</v>
      </c>
      <c r="Z13" s="499" t="str">
        <f aca="false">IFERROR(__xludf.dummyfunction("if(isna(ABS(MINUS(SUM(FILTER(MatchSource!$H:$L,MatchSource!$H:$H=$B13)),SUM($X13)))),0,ABS(MINUS(SUM(FILTER(MatchSource!$H:$L,MatchSource!$H:$H=$B13)),SUM($X13))))"),"0")</f>
        <v>0</v>
      </c>
      <c r="AA13" s="499" t="str">
        <f aca="false">IFERROR(__xludf.dummyfunction("if(isna(ABS(MINUS(SUM(FILTER(MatchSource!$A:$F,MatchSource!$A:$A=$B13)),SUM($W13,$Y13)))),0,ABS(MINUS(SUM(FILTER(MatchSource!$A:$F,MatchSource!$A:$A=$B13)),SUM($W13, $Y13,))))"),"0")</f>
        <v>0</v>
      </c>
      <c r="AB13" s="501" t="str">
        <f aca="false">IFERROR(__xludf.dummyfunction("if(isna(ABS(MINUS(SUM(FILTER(MatchSource!$H:$M,MatchSource!$H:$H=$B13)),SUM($X13,$Z13)))),0,ABS(MINUS(SUM(FILTER(MatchSource!$H:$M,MatchSource!$H:$H=$B13)),SUM($X13,$Z13))))"),"0")</f>
        <v>0</v>
      </c>
      <c r="AC13" s="507" t="n">
        <f aca="false">SUM(IF(OR($R13="Grass",$R13="Psychic",$R13="Dark"),0-1,IF(OR($R13="Fighting",$R13="Flying",$R13="Fire",$R13="Ghost",$R13="Poison",$R13="Steel",$R13="Fairy"),1,0)),IF(OR($S13="Grass",$S13="Psychic",$S13="Dark"),0-1,IF(OR($S13="Fighting",$S13="Flying",$S13="Fire",$S13="Ghost",$S13="Poison",$S13="Steel",$S13="Fairy"),1,0)))</f>
        <v>0</v>
      </c>
      <c r="AD13" s="507" t="n">
        <f aca="false">SUM(IF(OR($R13="Ghost",$R13="Psychic"),0-1,IF(OR($R13="Fighting",$R13="Dark",$R13="Fairy"),1,0)),IF(OR($S13="Ghost",$S13="Psychic"),0-1,IF(OR($S13="Fighting",$S13="Dark",$S13="Fairy"),1,0)))</f>
        <v>0</v>
      </c>
      <c r="AE13" s="507" t="n">
        <f aca="false">IF(OR($R13="Fairy",$S13="Fairy"),4,SUM(IF($R13="Dragon",0-1,IF($R13="Steel",1,0)),IF($S13="Dragon",0-1,IF($S13="Steel",1,0))))</f>
        <v>0</v>
      </c>
      <c r="AF13" s="507" t="n">
        <f aca="false">IF(OR($R13="Ground",$S13="Ground"),4,SUM(IF(OR($R13="Flying",$R13="Water"),0-1,IF(OR($R13="Dragon",$R13="Electric",$R13="Grass"),1,0)),IF(OR($S13="Flying",$S13="Water"),0-1,IF(OR($S13="Dragon",$S13="Electric",$S13="Grass"),1,0))))</f>
        <v>-1</v>
      </c>
      <c r="AG13" s="507" t="n">
        <f aca="false">SUM(IF(OR($R13="Dark",$R13="Dragon",$R13="Fighting"),0-1,IF(OR($R13="Steel",$R13="Poison",$R13="Fire"),1,0)),IF(OR($S13="Dark",$S13="Dragon",$S13="Fighting"),0-1,IF(OR($S13="Steel",$S13="Poison",$S13="Fire"),1,0)))</f>
        <v>0</v>
      </c>
      <c r="AH13" s="507" t="n">
        <f aca="false">IF(OR($R13="Ghost",$S13="Ghost"),4,SUM(IF(OR($R13="Dark",$R13="Ice",$R13="Normal",$R13="Rock",$R13="Steel"),0-1,IF(OR($R13="Bug",$R13="Fairy",$R13="Flying",$R13="Poison",$R13="Psychic"),1,0)),IF(OR($S13="Dark",$S13="Ice",$S13="Normal",$S13="Rock",$S13="Steel"),0-1,IF(OR($S13="Bug",$S13="Fairy",$S13="Flying",$S13="Poison",$S13="Psychic"),1,0))))</f>
        <v>0</v>
      </c>
      <c r="AI13" s="507" t="n">
        <f aca="false">SUM(IF(OR($R13="Bug",$R13="Grass",$R13="Ice",$R13="Steel"),0-1,IF(OR($R13="Dragon",$R13="Fire",$R13="Rock",$R13="Water"),1,0)),IF(OR($S13="Bug",$S13="Grass",$S13="Ice",$S13="Steel"),0-1,IF(OR($S13="Dragon",$S13="Fire",$S13="Rock",$S13="Water"),1,0)))</f>
        <v>1</v>
      </c>
      <c r="AJ13" s="507" t="n">
        <f aca="false">SUM(IF(OR($R13="Bug",$R13="Grass",$R13="Fighting"),0-1,IF(OR($R13="Electric",$R13="Rock",$R13="Steel"),1,0)),IF(OR($S13="Bug",$S13="Grass",$S13="Fighting"),0-1,IF(OR($S13="Electric",$S13="Rock",$S13="Steel"),1,0)))</f>
        <v>0</v>
      </c>
      <c r="AK13" s="507" t="n">
        <f aca="false">IF(OR($R13="Normal",$S13="Normal"),4,SUM(IF(OR($R13="Ghost",$R13="Psychic"),0-1,IF($R13="Dark",1,0)),IF(OR($S13="Ghost",$S13="Psychic"),0-1,IF($S13="Dark",1,0))))</f>
        <v>0</v>
      </c>
      <c r="AL13" s="507" t="n">
        <f aca="false">SUM(IF(OR($R13="Ground",$R13="Rock",$R13="Water"),0-1,IF(OR($R13="Bug",$R13="Flying",$R13="Fire",$R13="Dragon",$R13="Poison",$R13="Steel",$R13="Grass"),1,0)),IF(OR($S13="Ground",$S13="Rock",$S13="Water"),0-1,IF(OR($S13="Bug",$S13="Flying",$S13="Fire",$S13="Dragon",$S13="Poison",$S13="Steel",$S13="Grass"),1,0)))</f>
        <v>-1</v>
      </c>
      <c r="AM13" s="507" t="n">
        <f aca="false">IF(OR($R13="Flying",$S13="Flying"),4,SUM(IF(OR($R13="Electric",$R13="Fire",$R13="Rock",$R13="Steel",$R13="Poison"),0-1,IF(OR($R13="Bug",$R13="Grass"),1,0)),IF(OR($S13="Electric",$S13="Fire",$S13="Rock",$S13="Steel",$S13="Poison"),0-1,IF(OR($S13="Bug",$S13="Grass"),1,0))))</f>
        <v>0</v>
      </c>
      <c r="AN13" s="507" t="n">
        <f aca="false">SUM(IF(OR($R13="Flying",$R13="Dragon",$R13="Grass",$R13="Ground"),0-1,IF(OR($R13="Steel",$R13="Ice",$R13="Fire",$R13="Water"),1,0)),IF(OR($S13="Flying",$S13="Dragon",$S13="Grass",$S13="Ground"),0-1,IF(OR($S13="Steel",$S13="Ice",$S13="Fire",$S13="Water"),1,0)))</f>
        <v>1</v>
      </c>
      <c r="AO13" s="507" t="n">
        <f aca="false">IF(OR($R13="Ghost",$S13="Ghost"),4,SUM(IF(OR($R13="Steel",$R13="Rock"),1,0),IF(OR($S13="Steel",$S13="Rock"),1,0)))</f>
        <v>0</v>
      </c>
      <c r="AP13" s="507" t="n">
        <f aca="false">IF(OR($R13="Steel",$S13="Steel"),4,SUM(IF(OR($R13="Fairy",$R13="Grass"),0-1,IF(OR($R13="Ghost",$R13="Rock",$R13="Ground",$R13="Poison"),1,0)),IF(OR($S13="Fairy",$S13="Grass"),0-1,IF(OR($S13="Ghost",$S13="Rock",$S13="Ground",$S13="Poison"),1,0))))</f>
        <v>0</v>
      </c>
      <c r="AQ13" s="507" t="n">
        <f aca="false">IF(OR($R13="Dark",$S13="Dark"),4,SUM(IF(OR($R13="Fighting",$R13="Poison"),0-1,IF(OR($R13="Psychic",$R13="Steel"),1,0)),IF(OR($S13="Fighting",$S13="Poison"),0-1,IF(OR($S13="Psychic",$S13="Steel"),1,0))))</f>
        <v>0</v>
      </c>
      <c r="AR13" s="507" t="n">
        <f aca="false">SUM(IF(OR($R13="Bug",$R13="Fire",$R13="Flying",$R13="Ice"),0-1,IF(OR($R13="Steel",$R13="Fighting",$R13="Ground"),1,0)),IF(OR($S13="Bug",$S13="Fire",$S13="Flying",$S13="Ice"),0-1,IF(OR($S13="Steel",$S13="Fighting",$S13="Ground"),1,0)))</f>
        <v>0</v>
      </c>
      <c r="AS13" s="507" t="n">
        <f aca="false">SUM(IF(OR($R13="Fairy",$R13="Ice",$R13="Rock"),0-1,IF(OR($R13="Steel",$R13="Electric",$R13="Fire",$R13="Water"),1,0)),IF(OR($S13="Fairy",$S13="Ice",$S13="Rock"),0-1,IF(OR($S13="Steel",$S13="Electric",$S13="Fire",$S13="Water"),1,0)))</f>
        <v>1</v>
      </c>
      <c r="AT13" s="508" t="n">
        <f aca="false">SUM(IF(OR($R13="Fire",$R13="Ground",$R13="Rock"),0-1,IF(OR($R13="Dragon",$R13="Grass",$R13="Water"),1,0)),IF(OR($S13="Fire",$S13="Ground",$S13="Rock"),0-1,IF(OR($S13="Dragon",$S13="Grass",$S13="Water"),1,0)))</f>
        <v>1</v>
      </c>
      <c r="AU13" s="518"/>
    </row>
    <row r="14" customFormat="false" ht="15.75" hidden="false" customHeight="false" outlineLevel="0" collapsed="false">
      <c r="A14" s="510" t="str">
        <f aca="false" t="array" ref="A14:A14">IF(ISNA(INDEX(Source!$U$7:$U$95,MATCH(B14,Source!$V$7:$V$95,0))),"FREE",INDEX(Source!$U$7:$U$95,MATCH(B14,Source!$V$7:$V$95,0)))</f>
        <v>LVC</v>
      </c>
      <c r="B14" s="511" t="s">
        <v>261</v>
      </c>
      <c r="C14" s="511"/>
      <c r="D14" s="511"/>
      <c r="E14" s="499" t="str">
        <f aca="false">IF(SUM($W14:$X14)&gt;0,SUM($W14:$X14),IF($H14&gt;0,0,IF($H14&gt;0,0,"-")))</f>
        <v>-</v>
      </c>
      <c r="F14" s="499" t="str">
        <f aca="false">IF(SUM($Y14:$Z14)&gt;0,SUM($Y14:$Z14),IF($H14&gt;0,0,"-"))</f>
        <v>-</v>
      </c>
      <c r="G14" s="499" t="str">
        <f aca="false">IF($H14&gt;0,minus(E14,F14),"-")</f>
        <v>-</v>
      </c>
      <c r="H14" s="500" t="n">
        <f aca="false">SUM(COUNTIF(MatchSource!$A:$A,$B14),COUNTIF(MatchSource!$H:$H,$B14))</f>
        <v>0</v>
      </c>
      <c r="I14" s="501" t="n">
        <f aca="false">SUM($AA14:$AB14)</f>
        <v>0</v>
      </c>
      <c r="J14" s="501" t="s">
        <v>702</v>
      </c>
      <c r="K14" s="512" t="n">
        <f aca="false" t="array" ref="K14:K14">IF(ISNA(INDEX(DraftRosters!$AA$3:$AA$199,MATCH($B14,DraftRosters!$AB$3:$AB$199,0))),"FA",IF(INDEX(DraftRosters!$AA$3:$AA$199,MATCH($B14,DraftRosters!$AB$3:$AB$199,0))="Franchise","Franch",INDEX(DraftRosters!$AA$3:$AA$199,MATCH($B14,DraftRosters!$AB$3:$AB$199,0))))</f>
        <v>71</v>
      </c>
      <c r="L14" s="499" t="n">
        <v>75</v>
      </c>
      <c r="M14" s="499" t="n">
        <v>70</v>
      </c>
      <c r="N14" s="499" t="n">
        <v>90</v>
      </c>
      <c r="O14" s="499" t="n">
        <v>70</v>
      </c>
      <c r="P14" s="499" t="n">
        <v>105</v>
      </c>
      <c r="Q14" s="501" t="n">
        <v>80</v>
      </c>
      <c r="R14" s="499" t="s">
        <v>835</v>
      </c>
      <c r="S14" s="501" t="s">
        <v>801</v>
      </c>
      <c r="T14" s="504" t="s">
        <v>836</v>
      </c>
      <c r="U14" s="505" t="s">
        <v>837</v>
      </c>
      <c r="V14" s="506"/>
      <c r="W14" s="500" t="str">
        <f aca="false">IFERROR(__xludf.dummyfunction("if(isna(SUM(FILTER(MatchSource!$A:$D,MatchSource!$A:$A=$B14))),0,SUM(FILTER(MatchSource!$A:$D,MatchSource!$A:$A=$B14)))"),"0")</f>
        <v>0</v>
      </c>
      <c r="X14" s="499" t="str">
        <f aca="false">IFERROR(__xludf.dummyfunction("if(isna(SUM(FILTER(MatchSource!$H:$K,MatchSource!$H:$H=$B14))),0,SUM(FILTER(MatchSource!$H:$K,MatchSource!$H:$H=$B14)))"),"0")</f>
        <v>0</v>
      </c>
      <c r="Y14" s="499" t="str">
        <f aca="false">IFERROR(__xludf.dummyfunction("if(isna(ABS(MINUS(SUM(FILTER(MatchSource!$A:$E,MatchSource!$A:$A=$B14)),SUM($W14)))),0,ABS(MINUS(SUM(FILTER(MatchSource!$A:$E,MatchSource!$A:$A=$B14)),SUM($W14))))"),"0")</f>
        <v>0</v>
      </c>
      <c r="Z14" s="499" t="str">
        <f aca="false">IFERROR(__xludf.dummyfunction("if(isna(ABS(MINUS(SUM(FILTER(MatchSource!$H:$L,MatchSource!$H:$H=$B14)),SUM($X14)))),0,ABS(MINUS(SUM(FILTER(MatchSource!$H:$L,MatchSource!$H:$H=$B14)),SUM($X14))))"),"0")</f>
        <v>0</v>
      </c>
      <c r="AA14" s="499" t="str">
        <f aca="false">IFERROR(__xludf.dummyfunction("if(isna(ABS(MINUS(SUM(FILTER(MatchSource!$A:$F,MatchSource!$A:$A=$B14)),SUM($W14,$Y14)))),0,ABS(MINUS(SUM(FILTER(MatchSource!$A:$F,MatchSource!$A:$A=$B14)),SUM($W14, $Y14,))))"),"0")</f>
        <v>0</v>
      </c>
      <c r="AB14" s="501" t="str">
        <f aca="false">IFERROR(__xludf.dummyfunction("if(isna(ABS(MINUS(SUM(FILTER(MatchSource!$H:$M,MatchSource!$H:$H=$B14)),SUM($X14,$Z14)))),0,ABS(MINUS(SUM(FILTER(MatchSource!$H:$M,MatchSource!$H:$H=$B14)),SUM($X14,$Z14))))"),"0")</f>
        <v>0</v>
      </c>
      <c r="AC14" s="507" t="n">
        <f aca="false">SUM(IF(OR($R14="Grass",$R14="Psychic",$R14="Dark"),0-1,IF(OR($R14="Fighting",$R14="Flying",$R14="Fire",$R14="Ghost",$R14="Poison",$R14="Steel",$R14="Fairy"),1,0)),IF(OR($S14="Grass",$S14="Psychic",$S14="Dark"),0-1,IF(OR($S14="Fighting",$S14="Flying",$S14="Fire",$S14="Ghost",$S14="Poison",$S14="Steel",$S14="Fairy"),1,0)))</f>
        <v>1</v>
      </c>
      <c r="AD14" s="507" t="n">
        <f aca="false">SUM(IF(OR($R14="Ghost",$R14="Psychic"),0-1,IF(OR($R14="Fighting",$R14="Dark",$R14="Fairy"),1,0)),IF(OR($S14="Ghost",$S14="Psychic"),0-1,IF(OR($S14="Fighting",$S14="Dark",$S14="Fairy"),1,0)))</f>
        <v>0</v>
      </c>
      <c r="AE14" s="507" t="n">
        <f aca="false">IF(OR($R14="Fairy",$S14="Fairy"),4,SUM(IF($R14="Dragon",0-1,IF($R14="Steel",1,0)),IF($S14="Dragon",0-1,IF($S14="Steel",1,0))))</f>
        <v>-1</v>
      </c>
      <c r="AF14" s="507" t="n">
        <f aca="false">IF(OR($R14="Ground",$S14="Ground"),4,SUM(IF(OR($R14="Flying",$R14="Water"),0-1,IF(OR($R14="Dragon",$R14="Electric",$R14="Grass"),1,0)),IF(OR($S14="Flying",$S14="Water"),0-1,IF(OR($S14="Dragon",$S14="Electric",$S14="Grass"),1,0))))</f>
        <v>0</v>
      </c>
      <c r="AG14" s="507" t="n">
        <f aca="false">SUM(IF(OR($R14="Dark",$R14="Dragon",$R14="Fighting"),0-1,IF(OR($R14="Steel",$R14="Poison",$R14="Fire"),1,0)),IF(OR($S14="Dark",$S14="Dragon",$S14="Fighting"),0-1,IF(OR($S14="Steel",$S14="Poison",$S14="Fire"),1,0)))</f>
        <v>-1</v>
      </c>
      <c r="AH14" s="507" t="n">
        <f aca="false">IF(OR($R14="Ghost",$S14="Ghost"),4,SUM(IF(OR($R14="Dark",$R14="Ice",$R14="Normal",$R14="Rock",$R14="Steel"),0-1,IF(OR($R14="Bug",$R14="Fairy",$R14="Flying",$R14="Poison",$R14="Psychic"),1,0)),IF(OR($S14="Dark",$S14="Ice",$S14="Normal",$S14="Rock",$S14="Steel"),0-1,IF(OR($S14="Bug",$S14="Fairy",$S14="Flying",$S14="Poison",$S14="Psychic"),1,0))))</f>
        <v>1</v>
      </c>
      <c r="AI14" s="507" t="n">
        <f aca="false">SUM(IF(OR($R14="Bug",$R14="Grass",$R14="Ice",$R14="Steel"),0-1,IF(OR($R14="Dragon",$R14="Fire",$R14="Rock",$R14="Water"),1,0)),IF(OR($S14="Bug",$S14="Grass",$S14="Ice",$S14="Steel"),0-1,IF(OR($S14="Dragon",$S14="Fire",$S14="Rock",$S14="Water"),1,0)))</f>
        <v>1</v>
      </c>
      <c r="AJ14" s="507" t="n">
        <f aca="false">SUM(IF(OR($R14="Bug",$R14="Grass",$R14="Fighting"),0-1,IF(OR($R14="Electric",$R14="Rock",$R14="Steel"),1,0)),IF(OR($S14="Bug",$S14="Grass",$S14="Fighting"),0-1,IF(OR($S14="Electric",$S14="Rock",$S14="Steel"),1,0)))</f>
        <v>0</v>
      </c>
      <c r="AK14" s="507" t="n">
        <f aca="false">IF(OR($R14="Normal",$S14="Normal"),4,SUM(IF(OR($R14="Ghost",$R14="Psychic"),0-1,IF($R14="Dark",1,0)),IF(OR($S14="Ghost",$S14="Psychic"),0-1,IF($S14="Dark",1,0))))</f>
        <v>0</v>
      </c>
      <c r="AL14" s="507" t="n">
        <f aca="false">SUM(IF(OR($R14="Ground",$R14="Rock",$R14="Water"),0-1,IF(OR($R14="Bug",$R14="Flying",$R14="Fire",$R14="Dragon",$R14="Poison",$R14="Steel",$R14="Grass"),1,0)),IF(OR($S14="Ground",$S14="Rock",$S14="Water"),0-1,IF(OR($S14="Bug",$S14="Flying",$S14="Fire",$S14="Dragon",$S14="Poison",$S14="Steel",$S14="Grass"),1,0)))</f>
        <v>2</v>
      </c>
      <c r="AM14" s="507" t="n">
        <f aca="false">IF(OR($R14="Flying",$S14="Flying"),4,SUM(IF(OR($R14="Electric",$R14="Fire",$R14="Rock",$R14="Steel",$R14="Poison"),0-1,IF(OR($R14="Bug",$R14="Grass"),1,0)),IF(OR($S14="Electric",$S14="Fire",$S14="Rock",$S14="Steel",$S14="Poison"),0-1,IF(OR($S14="Bug",$S14="Grass"),1,0))))</f>
        <v>4</v>
      </c>
      <c r="AN14" s="507" t="n">
        <f aca="false">SUM(IF(OR($R14="Flying",$R14="Dragon",$R14="Grass",$R14="Ground"),0-1,IF(OR($R14="Steel",$R14="Ice",$R14="Fire",$R14="Water"),1,0)),IF(OR($S14="Flying",$S14="Dragon",$S14="Grass",$S14="Ground"),0-1,IF(OR($S14="Steel",$S14="Ice",$S14="Fire",$S14="Water"),1,0)))</f>
        <v>-2</v>
      </c>
      <c r="AO14" s="507" t="n">
        <f aca="false">IF(OR($R14="Ghost",$S14="Ghost"),4,SUM(IF(OR($R14="Steel",$R14="Rock"),1,0),IF(OR($S14="Steel",$S14="Rock"),1,0)))</f>
        <v>0</v>
      </c>
      <c r="AP14" s="507" t="n">
        <f aca="false">IF(OR($R14="Steel",$S14="Steel"),4,SUM(IF(OR($R14="Fairy",$R14="Grass"),0-1,IF(OR($R14="Ghost",$R14="Rock",$R14="Ground",$R14="Poison"),1,0)),IF(OR($S14="Fairy",$S14="Grass"),0-1,IF(OR($S14="Ghost",$S14="Rock",$S14="Ground",$S14="Poison"),1,0))))</f>
        <v>0</v>
      </c>
      <c r="AQ14" s="507" t="n">
        <f aca="false">IF(OR($R14="Dark",$S14="Dark"),4,SUM(IF(OR($R14="Fighting",$R14="Poison"),0-1,IF(OR($R14="Psychic",$R14="Steel"),1,0)),IF(OR($S14="Fighting",$S14="Poison"),0-1,IF(OR($S14="Psychic",$S14="Steel"),1,0))))</f>
        <v>0</v>
      </c>
      <c r="AR14" s="507" t="n">
        <f aca="false">SUM(IF(OR($R14="Bug",$R14="Fire",$R14="Flying",$R14="Ice"),0-1,IF(OR($R14="Steel",$R14="Fighting",$R14="Ground"),1,0)),IF(OR($S14="Bug",$S14="Fire",$S14="Flying",$S14="Ice"),0-1,IF(OR($S14="Steel",$S14="Fighting",$S14="Ground"),1,0)))</f>
        <v>-1</v>
      </c>
      <c r="AS14" s="507" t="n">
        <f aca="false">SUM(IF(OR($R14="Fairy",$R14="Ice",$R14="Rock"),0-1,IF(OR($R14="Steel",$R14="Electric",$R14="Fire",$R14="Water"),1,0)),IF(OR($S14="Fairy",$S14="Ice",$S14="Rock"),0-1,IF(OR($S14="Steel",$S14="Electric",$S14="Fire",$S14="Water"),1,0)))</f>
        <v>0</v>
      </c>
      <c r="AT14" s="508" t="n">
        <f aca="false">SUM(IF(OR($R14="Fire",$R14="Ground",$R14="Rock"),0-1,IF(OR($R14="Dragon",$R14="Grass",$R14="Water"),1,0)),IF(OR($S14="Fire",$S14="Ground",$S14="Rock"),0-1,IF(OR($S14="Dragon",$S14="Grass",$S14="Water"),1,0)))</f>
        <v>1</v>
      </c>
      <c r="AU14" s="518"/>
    </row>
    <row r="15" customFormat="false" ht="15.75" hidden="false" customHeight="false" outlineLevel="0" collapsed="false">
      <c r="A15" s="510" t="str">
        <f aca="false" t="array" ref="A15:A15">IF(ISNA(INDEX(Source!$U$7:$U$95,MATCH(B15,Source!$V$7:$V$95,0))),"FREE",INDEX(Source!$U$7:$U$95,MATCH(B15,Source!$V$7:$V$95,0)))</f>
        <v>FREE</v>
      </c>
      <c r="B15" s="511" t="s">
        <v>293</v>
      </c>
      <c r="C15" s="511"/>
      <c r="D15" s="511"/>
      <c r="E15" s="499" t="str">
        <f aca="false">IF(SUM($W15:$X15)&gt;0,SUM($W15:$X15),IF($H15&gt;0,0,IF($H15&gt;0,0,"-")))</f>
        <v>-</v>
      </c>
      <c r="F15" s="499" t="str">
        <f aca="false">IF(SUM($Y15:$Z15)&gt;0,SUM($Y15:$Z15),IF($H15&gt;0,0,"-"))</f>
        <v>-</v>
      </c>
      <c r="G15" s="499" t="str">
        <f aca="false">IF($H15&gt;0,minus(E15,F15),"-")</f>
        <v>-</v>
      </c>
      <c r="H15" s="500" t="n">
        <f aca="false">SUM(COUNTIF(MatchSource!$A:$A,$B15),COUNTIF(MatchSource!$H:$H,$B15))</f>
        <v>0</v>
      </c>
      <c r="I15" s="501" t="n">
        <f aca="false">SUM($AA15:$AB15)</f>
        <v>0</v>
      </c>
      <c r="J15" s="501" t="s">
        <v>276</v>
      </c>
      <c r="K15" s="512" t="str">
        <f aca="false" t="array" ref="K15:K15">IF(ISNA(INDEX(DraftRosters!$AA$3:$AA$199,MATCH($B15,DraftRosters!$AB$3:$AB$199,0))),"FA",IF(INDEX(DraftRosters!$AA$3:$AA$199,MATCH($B15,DraftRosters!$AB$3:$AB$199,0))="Franchise","Franch",INDEX(DraftRosters!$AA$3:$AA$199,MATCH($B15,DraftRosters!$AB$3:$AB$199,0))))</f>
        <v>FA</v>
      </c>
      <c r="L15" s="507" t="n">
        <v>75</v>
      </c>
      <c r="M15" s="507" t="n">
        <v>110</v>
      </c>
      <c r="N15" s="507" t="n">
        <v>110</v>
      </c>
      <c r="O15" s="507" t="n">
        <v>110</v>
      </c>
      <c r="P15" s="507" t="n">
        <v>105</v>
      </c>
      <c r="Q15" s="508" t="n">
        <v>80</v>
      </c>
      <c r="R15" s="499" t="s">
        <v>835</v>
      </c>
      <c r="S15" s="501" t="s">
        <v>798</v>
      </c>
      <c r="T15" s="504" t="s">
        <v>838</v>
      </c>
      <c r="U15" s="513"/>
      <c r="V15" s="514"/>
      <c r="W15" s="500" t="str">
        <f aca="false">IFERROR(__xludf.dummyfunction("if(isna(SUM(FILTER(MatchSource!$A:$D,MatchSource!$A:$A=$B15))),0,SUM(FILTER(MatchSource!$A:$D,MatchSource!$A:$A=$B15)))"),"0")</f>
        <v>0</v>
      </c>
      <c r="X15" s="499" t="str">
        <f aca="false">IFERROR(__xludf.dummyfunction("if(isna(SUM(FILTER(MatchSource!$H:$K,MatchSource!$H:$H=$B15))),0,SUM(FILTER(MatchSource!$H:$K,MatchSource!$H:$H=$B15)))"),"0")</f>
        <v>0</v>
      </c>
      <c r="Y15" s="499" t="str">
        <f aca="false">IFERROR(__xludf.dummyfunction("if(isna(ABS(MINUS(SUM(FILTER(MatchSource!$A:$E,MatchSource!$A:$A=$B15)),SUM($W15)))),0,ABS(MINUS(SUM(FILTER(MatchSource!$A:$E,MatchSource!$A:$A=$B15)),SUM($W15))))"),"0")</f>
        <v>0</v>
      </c>
      <c r="Z15" s="499" t="str">
        <f aca="false">IFERROR(__xludf.dummyfunction("if(isna(ABS(MINUS(SUM(FILTER(MatchSource!$H:$L,MatchSource!$H:$H=$B15)),SUM($X15)))),0,ABS(MINUS(SUM(FILTER(MatchSource!$H:$L,MatchSource!$H:$H=$B15)),SUM($X15))))"),"0")</f>
        <v>0</v>
      </c>
      <c r="AA15" s="499" t="str">
        <f aca="false">IFERROR(__xludf.dummyfunction("if(isna(ABS(MINUS(SUM(FILTER(MatchSource!$A:$F,MatchSource!$A:$A=$B15)),SUM($W15,$Y15)))),0,ABS(MINUS(SUM(FILTER(MatchSource!$A:$F,MatchSource!$A:$A=$B15)),SUM($W15, $Y15,))))"),"0")</f>
        <v>0</v>
      </c>
      <c r="AB15" s="501" t="str">
        <f aca="false">IFERROR(__xludf.dummyfunction("if(isna(ABS(MINUS(SUM(FILTER(MatchSource!$H:$M,MatchSource!$H:$H=$B15)),SUM($X15,$Z15)))),0,ABS(MINUS(SUM(FILTER(MatchSource!$H:$M,MatchSource!$H:$H=$B15)),SUM($X15,$Z15))))"),"0")</f>
        <v>0</v>
      </c>
      <c r="AC15" s="507" t="n">
        <f aca="false">SUM(IF(OR($R15="Grass",$R15="Psychic",$R15="Dark"),0-1,IF(OR($R15="Fighting",$R15="Flying",$R15="Fire",$R15="Ghost",$R15="Poison",$R15="Steel",$R15="Fairy"),1,0)),IF(OR($S15="Grass",$S15="Psychic",$S15="Dark"),0-1,IF(OR($S15="Fighting",$S15="Flying",$S15="Fire",$S15="Ghost",$S15="Poison",$S15="Steel",$S15="Fairy"),1,0)))</f>
        <v>1</v>
      </c>
      <c r="AD15" s="507" t="n">
        <f aca="false">SUM(IF(OR($R15="Ghost",$R15="Psychic"),0-1,IF(OR($R15="Fighting",$R15="Dark",$R15="Fairy"),1,0)),IF(OR($S15="Ghost",$S15="Psychic"),0-1,IF(OR($S15="Fighting",$S15="Dark",$S15="Fairy"),1,0)))</f>
        <v>1</v>
      </c>
      <c r="AE15" s="507" t="n">
        <f aca="false">IF(OR($R15="Fairy",$S15="Fairy"),4,SUM(IF($R15="Dragon",0-1,IF($R15="Steel",1,0)),IF($S15="Dragon",0-1,IF($S15="Steel",1,0))))</f>
        <v>4</v>
      </c>
      <c r="AF15" s="507" t="n">
        <f aca="false">IF(OR($R15="Ground",$S15="Ground"),4,SUM(IF(OR($R15="Flying",$R15="Water"),0-1,IF(OR($R15="Dragon",$R15="Electric",$R15="Grass"),1,0)),IF(OR($S15="Flying",$S15="Water"),0-1,IF(OR($S15="Dragon",$S15="Electric",$S15="Grass"),1,0))))</f>
        <v>1</v>
      </c>
      <c r="AG15" s="507" t="n">
        <f aca="false">SUM(IF(OR($R15="Dark",$R15="Dragon",$R15="Fighting"),0-1,IF(OR($R15="Steel",$R15="Poison",$R15="Fire"),1,0)),IF(OR($S15="Dark",$S15="Dragon",$S15="Fighting"),0-1,IF(OR($S15="Steel",$S15="Poison",$S15="Fire"),1,0)))</f>
        <v>-1</v>
      </c>
      <c r="AH15" s="507" t="n">
        <f aca="false">IF(OR($R15="Ghost",$S15="Ghost"),4,SUM(IF(OR($R15="Dark",$R15="Ice",$R15="Normal",$R15="Rock",$R15="Steel"),0-1,IF(OR($R15="Bug",$R15="Fairy",$R15="Flying",$R15="Poison",$R15="Psychic"),1,0)),IF(OR($S15="Dark",$S15="Ice",$S15="Normal",$S15="Rock",$S15="Steel"),0-1,IF(OR($S15="Bug",$S15="Fairy",$S15="Flying",$S15="Poison",$S15="Psychic"),1,0))))</f>
        <v>1</v>
      </c>
      <c r="AI15" s="507" t="n">
        <f aca="false">SUM(IF(OR($R15="Bug",$R15="Grass",$R15="Ice",$R15="Steel"),0-1,IF(OR($R15="Dragon",$R15="Fire",$R15="Rock",$R15="Water"),1,0)),IF(OR($S15="Bug",$S15="Grass",$S15="Ice",$S15="Steel"),0-1,IF(OR($S15="Dragon",$S15="Fire",$S15="Rock",$S15="Water"),1,0)))</f>
        <v>1</v>
      </c>
      <c r="AJ15" s="507" t="n">
        <f aca="false">SUM(IF(OR($R15="Bug",$R15="Grass",$R15="Fighting"),0-1,IF(OR($R15="Electric",$R15="Rock",$R15="Steel"),1,0)),IF(OR($S15="Bug",$S15="Grass",$S15="Fighting"),0-1,IF(OR($S15="Electric",$S15="Rock",$S15="Steel"),1,0)))</f>
        <v>0</v>
      </c>
      <c r="AK15" s="507" t="n">
        <f aca="false">IF(OR($R15="Normal",$S15="Normal"),4,SUM(IF(OR($R15="Ghost",$R15="Psychic"),0-1,IF($R15="Dark",1,0)),IF(OR($S15="Ghost",$S15="Psychic"),0-1,IF($S15="Dark",1,0))))</f>
        <v>0</v>
      </c>
      <c r="AL15" s="507" t="n">
        <f aca="false">SUM(IF(OR($R15="Ground",$R15="Rock",$R15="Water"),0-1,IF(OR($R15="Bug",$R15="Flying",$R15="Fire",$R15="Dragon",$R15="Poison",$R15="Steel",$R15="Grass"),1,0)),IF(OR($S15="Ground",$S15="Rock",$S15="Water"),0-1,IF(OR($S15="Bug",$S15="Flying",$S15="Fire",$S15="Dragon",$S15="Poison",$S15="Steel",$S15="Grass"),1,0)))</f>
        <v>1</v>
      </c>
      <c r="AM15" s="507" t="n">
        <f aca="false">IF(OR($R15="Flying",$S15="Flying"),4,SUM(IF(OR($R15="Electric",$R15="Fire",$R15="Rock",$R15="Steel",$R15="Poison"),0-1,IF(OR($R15="Bug",$R15="Grass"),1,0)),IF(OR($S15="Electric",$S15="Fire",$S15="Rock",$S15="Steel",$S15="Poison"),0-1,IF(OR($S15="Bug",$S15="Grass"),1,0))))</f>
        <v>0</v>
      </c>
      <c r="AN15" s="507" t="n">
        <f aca="false">SUM(IF(OR($R15="Flying",$R15="Dragon",$R15="Grass",$R15="Ground"),0-1,IF(OR($R15="Steel",$R15="Ice",$R15="Fire",$R15="Water"),1,0)),IF(OR($S15="Flying",$S15="Dragon",$S15="Grass",$S15="Ground"),0-1,IF(OR($S15="Steel",$S15="Ice",$S15="Fire",$S15="Water"),1,0)))</f>
        <v>-1</v>
      </c>
      <c r="AO15" s="507" t="n">
        <f aca="false">IF(OR($R15="Ghost",$S15="Ghost"),4,SUM(IF(OR($R15="Steel",$R15="Rock"),1,0),IF(OR($S15="Steel",$S15="Rock"),1,0)))</f>
        <v>0</v>
      </c>
      <c r="AP15" s="507" t="n">
        <f aca="false">IF(OR($R15="Steel",$S15="Steel"),4,SUM(IF(OR($R15="Fairy",$R15="Grass"),0-1,IF(OR($R15="Ghost",$R15="Rock",$R15="Ground",$R15="Poison"),1,0)),IF(OR($S15="Fairy",$S15="Grass"),0-1,IF(OR($S15="Ghost",$S15="Rock",$S15="Ground",$S15="Poison"),1,0))))</f>
        <v>-1</v>
      </c>
      <c r="AQ15" s="507" t="n">
        <f aca="false">IF(OR($R15="Dark",$S15="Dark"),4,SUM(IF(OR($R15="Fighting",$R15="Poison"),0-1,IF(OR($R15="Psychic",$R15="Steel"),1,0)),IF(OR($S15="Fighting",$S15="Poison"),0-1,IF(OR($S15="Psychic",$S15="Steel"),1,0))))</f>
        <v>0</v>
      </c>
      <c r="AR15" s="507" t="n">
        <f aca="false">SUM(IF(OR($R15="Bug",$R15="Fire",$R15="Flying",$R15="Ice"),0-1,IF(OR($R15="Steel",$R15="Fighting",$R15="Ground"),1,0)),IF(OR($S15="Bug",$S15="Fire",$S15="Flying",$S15="Ice"),0-1,IF(OR($S15="Steel",$S15="Fighting",$S15="Ground"),1,0)))</f>
        <v>0</v>
      </c>
      <c r="AS15" s="507" t="n">
        <f aca="false">SUM(IF(OR($R15="Fairy",$R15="Ice",$R15="Rock"),0-1,IF(OR($R15="Steel",$R15="Electric",$R15="Fire",$R15="Water"),1,0)),IF(OR($S15="Fairy",$S15="Ice",$S15="Rock"),0-1,IF(OR($S15="Steel",$S15="Electric",$S15="Fire",$S15="Water"),1,0)))</f>
        <v>-1</v>
      </c>
      <c r="AT15" s="508" t="n">
        <f aca="false">SUM(IF(OR($R15="Fire",$R15="Ground",$R15="Rock"),0-1,IF(OR($R15="Dragon",$R15="Grass",$R15="Water"),1,0)),IF(OR($S15="Fire",$S15="Ground",$S15="Rock"),0-1,IF(OR($S15="Dragon",$S15="Grass",$S15="Water"),1,0)))</f>
        <v>1</v>
      </c>
      <c r="AU15" s="518"/>
    </row>
    <row r="16" customFormat="false" ht="15.75" hidden="false" customHeight="false" outlineLevel="0" collapsed="false">
      <c r="A16" s="510" t="str">
        <f aca="false" t="array" ref="A16:A16">IF(ISNA(INDEX(Source!$U$7:$U$95,MATCH(B16,Source!$V$7:$V$95,0))),"FREE",INDEX(Source!$U$7:$U$95,MATCH(B16,Source!$V$7:$V$95,0)))</f>
        <v>LVC</v>
      </c>
      <c r="B16" s="511" t="s">
        <v>64</v>
      </c>
      <c r="C16" s="511"/>
      <c r="D16" s="511"/>
      <c r="E16" s="499" t="n">
        <f aca="false">IF(SUM($W16:$X16)&gt;0,SUM($W16:$X16),IF($H16&gt;0,0,IF($H16&gt;0,0,"-")))</f>
        <v>0</v>
      </c>
      <c r="F16" s="499" t="n">
        <f aca="false">IF(SUM($Y16:$Z16)&gt;0,SUM($Y16:$Z16),IF($H16&gt;0,0,"-"))</f>
        <v>0</v>
      </c>
      <c r="G16" s="499" t="e">
        <f aca="false">IF($H16&gt;0,minus(E16,F16),"-")</f>
        <v>#NAME?</v>
      </c>
      <c r="H16" s="500" t="n">
        <f aca="false">SUM(COUNTIF(MatchSource!$A:$A,$B16),COUNTIF(MatchSource!$H:$H,$B16))</f>
        <v>4</v>
      </c>
      <c r="I16" s="501" t="n">
        <f aca="false">SUM($AA16:$AB16)</f>
        <v>0</v>
      </c>
      <c r="J16" s="501" t="s">
        <v>701</v>
      </c>
      <c r="K16" s="512" t="n">
        <f aca="false" t="array" ref="K16:K16">IF(ISNA(INDEX(DraftRosters!$AA$3:$AA$199,MATCH($B16,DraftRosters!$AB$3:$AB$199,0))),"FA",IF(INDEX(DraftRosters!$AA$3:$AA$199,MATCH($B16,DraftRosters!$AB$3:$AB$199,0))="Franchise","Franch",INDEX(DraftRosters!$AA$3:$AA$199,MATCH($B16,DraftRosters!$AB$3:$AB$199,0))))</f>
        <v>57</v>
      </c>
      <c r="L16" s="499" t="n">
        <v>75</v>
      </c>
      <c r="M16" s="499" t="n">
        <v>100</v>
      </c>
      <c r="N16" s="499" t="n">
        <v>66</v>
      </c>
      <c r="O16" s="499" t="n">
        <v>60</v>
      </c>
      <c r="P16" s="499" t="n">
        <v>66</v>
      </c>
      <c r="Q16" s="501" t="n">
        <v>115</v>
      </c>
      <c r="R16" s="499" t="s">
        <v>839</v>
      </c>
      <c r="S16" s="501"/>
      <c r="T16" s="504" t="s">
        <v>840</v>
      </c>
      <c r="U16" s="505" t="s">
        <v>841</v>
      </c>
      <c r="V16" s="506" t="s">
        <v>842</v>
      </c>
      <c r="W16" s="500" t="str">
        <f aca="false">IFERROR(__xludf.dummyfunction("if(isna(SUM(FILTER(MatchSource!$A:$D,MatchSource!$A:$A=$B16))),0,SUM(FILTER(MatchSource!$A:$D,MatchSource!$A:$A=$B16)))"),"1")</f>
        <v>1</v>
      </c>
      <c r="X16" s="499" t="str">
        <f aca="false">IFERROR(__xludf.dummyfunction("if(isna(SUM(FILTER(MatchSource!$H:$K,MatchSource!$H:$H=$B16))),0,SUM(FILTER(MatchSource!$H:$K,MatchSource!$H:$H=$B16)))"),"2")</f>
        <v>2</v>
      </c>
      <c r="Y16" s="499" t="str">
        <f aca="false">IFERROR(__xludf.dummyfunction("if(isna(ABS(MINUS(SUM(FILTER(MatchSource!$A:$E,MatchSource!$A:$A=$B16)),SUM($W16)))),0,ABS(MINUS(SUM(FILTER(MatchSource!$A:$E,MatchSource!$A:$A=$B16)),SUM($W16))))"),"1")</f>
        <v>1</v>
      </c>
      <c r="Z16" s="499" t="str">
        <f aca="false">IFERROR(__xludf.dummyfunction("if(isna(ABS(MINUS(SUM(FILTER(MatchSource!$H:$L,MatchSource!$H:$H=$B16)),SUM($X16)))),0,ABS(MINUS(SUM(FILTER(MatchSource!$H:$L,MatchSource!$H:$H=$B16)),SUM($X16))))"),"2")</f>
        <v>2</v>
      </c>
      <c r="AA16" s="499" t="str">
        <f aca="false">IFERROR(__xludf.dummyfunction("if(isna(ABS(MINUS(SUM(FILTER(MatchSource!$A:$F,MatchSource!$A:$A=$B16)),SUM($W16,$Y16)))),0,ABS(MINUS(SUM(FILTER(MatchSource!$A:$F,MatchSource!$A:$A=$B16)),SUM($W16, $Y16,))))"),"1")</f>
        <v>1</v>
      </c>
      <c r="AB16" s="501" t="str">
        <f aca="false">IFERROR(__xludf.dummyfunction("if(isna(ABS(MINUS(SUM(FILTER(MatchSource!$H:$M,MatchSource!$H:$H=$B16)),SUM($X16,$Z16)))),0,ABS(MINUS(SUM(FILTER(MatchSource!$H:$M,MatchSource!$H:$H=$B16)),SUM($X16,$Z16))))"),"1")</f>
        <v>1</v>
      </c>
      <c r="AC16" s="507" t="n">
        <f aca="false">SUM(IF(OR($R16="Grass",$R16="Psychic",$R16="Dark"),0-1,IF(OR($R16="Fighting",$R16="Flying",$R16="Fire",$R16="Ghost",$R16="Poison",$R16="Steel",$R16="Fairy"),1,0)),IF(OR($S16="Grass",$S16="Psychic",$S16="Dark"),0-1,IF(OR($S16="Fighting",$S16="Flying",$S16="Fire",$S16="Ghost",$S16="Poison",$S16="Steel",$S16="Fairy"),1,0)))</f>
        <v>0</v>
      </c>
      <c r="AD16" s="507" t="n">
        <f aca="false">SUM(IF(OR($R16="Ghost",$R16="Psychic"),0-1,IF(OR($R16="Fighting",$R16="Dark",$R16="Fairy"),1,0)),IF(OR($S16="Ghost",$S16="Psychic"),0-1,IF(OR($S16="Fighting",$S16="Dark",$S16="Fairy"),1,0)))</f>
        <v>0</v>
      </c>
      <c r="AE16" s="507" t="n">
        <f aca="false">IF(OR($R16="Fairy",$S16="Fairy"),4,SUM(IF($R16="Dragon",0-1,IF($R16="Steel",1,0)),IF($S16="Dragon",0-1,IF($S16="Steel",1,0))))</f>
        <v>0</v>
      </c>
      <c r="AF16" s="507" t="n">
        <f aca="false">IF(OR($R16="Ground",$S16="Ground"),4,SUM(IF(OR($R16="Flying",$R16="Water"),0-1,IF(OR($R16="Dragon",$R16="Electric",$R16="Grass"),1,0)),IF(OR($S16="Flying",$S16="Water"),0-1,IF(OR($S16="Dragon",$S16="Electric",$S16="Grass"),1,0))))</f>
        <v>0</v>
      </c>
      <c r="AG16" s="507" t="n">
        <f aca="false">SUM(IF(OR($R16="Dark",$R16="Dragon",$R16="Fighting"),0-1,IF(OR($R16="Steel",$R16="Poison",$R16="Fire"),1,0)),IF(OR($S16="Dark",$S16="Dragon",$S16="Fighting"),0-1,IF(OR($S16="Steel",$S16="Poison",$S16="Fire"),1,0)))</f>
        <v>0</v>
      </c>
      <c r="AH16" s="507" t="n">
        <f aca="false">IF(OR($R16="Ghost",$S16="Ghost"),4,SUM(IF(OR($R16="Dark",$R16="Ice",$R16="Normal",$R16="Rock",$R16="Steel"),0-1,IF(OR($R16="Bug",$R16="Fairy",$R16="Flying",$R16="Poison",$R16="Psychic"),1,0)),IF(OR($S16="Dark",$S16="Ice",$S16="Normal",$S16="Rock",$S16="Steel"),0-1,IF(OR($S16="Bug",$S16="Fairy",$S16="Flying",$S16="Poison",$S16="Psychic"),1,0))))</f>
        <v>-1</v>
      </c>
      <c r="AI16" s="507" t="n">
        <f aca="false">SUM(IF(OR($R16="Bug",$R16="Grass",$R16="Ice",$R16="Steel"),0-1,IF(OR($R16="Dragon",$R16="Fire",$R16="Rock",$R16="Water"),1,0)),IF(OR($S16="Bug",$S16="Grass",$S16="Ice",$S16="Steel"),0-1,IF(OR($S16="Dragon",$S16="Fire",$S16="Rock",$S16="Water"),1,0)))</f>
        <v>0</v>
      </c>
      <c r="AJ16" s="507" t="n">
        <f aca="false">SUM(IF(OR($R16="Bug",$R16="Grass",$R16="Fighting"),0-1,IF(OR($R16="Electric",$R16="Rock",$R16="Steel"),1,0)),IF(OR($S16="Bug",$S16="Grass",$S16="Fighting"),0-1,IF(OR($S16="Electric",$S16="Rock",$S16="Steel"),1,0)))</f>
        <v>0</v>
      </c>
      <c r="AK16" s="507" t="n">
        <f aca="false">IF(OR($R16="Normal",$S16="Normal"),4,SUM(IF(OR($R16="Ghost",$R16="Psychic"),0-1,IF($R16="Dark",1,0)),IF(OR($S16="Ghost",$S16="Psychic"),0-1,IF($S16="Dark",1,0))))</f>
        <v>4</v>
      </c>
      <c r="AL16" s="507" t="n">
        <f aca="false">SUM(IF(OR($R16="Ground",$R16="Rock",$R16="Water"),0-1,IF(OR($R16="Bug",$R16="Flying",$R16="Fire",$R16="Dragon",$R16="Poison",$R16="Steel",$R16="Grass"),1,0)),IF(OR($S16="Ground",$S16="Rock",$S16="Water"),0-1,IF(OR($S16="Bug",$S16="Flying",$S16="Fire",$S16="Dragon",$S16="Poison",$S16="Steel",$S16="Grass"),1,0)))</f>
        <v>0</v>
      </c>
      <c r="AM16" s="507" t="n">
        <f aca="false">IF(OR($R16="Flying",$S16="Flying"),4,SUM(IF(OR($R16="Electric",$R16="Fire",$R16="Rock",$R16="Steel",$R16="Poison"),0-1,IF(OR($R16="Bug",$R16="Grass"),1,0)),IF(OR($S16="Electric",$S16="Fire",$S16="Rock",$S16="Steel",$S16="Poison"),0-1,IF(OR($S16="Bug",$S16="Grass"),1,0))))</f>
        <v>0</v>
      </c>
      <c r="AN16" s="507" t="n">
        <f aca="false">SUM(IF(OR($R16="Flying",$R16="Dragon",$R16="Grass",$R16="Ground"),0-1,IF(OR($R16="Steel",$R16="Ice",$R16="Fire",$R16="Water"),1,0)),IF(OR($S16="Flying",$S16="Dragon",$S16="Grass",$S16="Ground"),0-1,IF(OR($S16="Steel",$S16="Ice",$S16="Fire",$S16="Water"),1,0)))</f>
        <v>0</v>
      </c>
      <c r="AO16" s="507" t="n">
        <f aca="false">IF(OR($R16="Ghost",$S16="Ghost"),4,SUM(IF(OR($R16="Steel",$R16="Rock"),1,0),IF(OR($S16="Steel",$S16="Rock"),1,0)))</f>
        <v>0</v>
      </c>
      <c r="AP16" s="507" t="n">
        <f aca="false">IF(OR($R16="Steel",$S16="Steel"),4,SUM(IF(OR($R16="Fairy",$R16="Grass"),0-1,IF(OR($R16="Ghost",$R16="Rock",$R16="Ground",$R16="Poison"),1,0)),IF(OR($S16="Fairy",$S16="Grass"),0-1,IF(OR($S16="Ghost",$S16="Rock",$S16="Ground",$S16="Poison"),1,0))))</f>
        <v>0</v>
      </c>
      <c r="AQ16" s="507" t="n">
        <f aca="false">IF(OR($R16="Dark",$S16="Dark"),4,SUM(IF(OR($R16="Fighting",$R16="Poison"),0-1,IF(OR($R16="Psychic",$R16="Steel"),1,0)),IF(OR($S16="Fighting",$S16="Poison"),0-1,IF(OR($S16="Psychic",$S16="Steel"),1,0))))</f>
        <v>0</v>
      </c>
      <c r="AR16" s="507" t="n">
        <f aca="false">SUM(IF(OR($R16="Bug",$R16="Fire",$R16="Flying",$R16="Ice"),0-1,IF(OR($R16="Steel",$R16="Fighting",$R16="Ground"),1,0)),IF(OR($S16="Bug",$S16="Fire",$S16="Flying",$S16="Ice"),0-1,IF(OR($S16="Steel",$S16="Fighting",$S16="Ground"),1,0)))</f>
        <v>0</v>
      </c>
      <c r="AS16" s="507" t="n">
        <f aca="false">SUM(IF(OR($R16="Fairy",$R16="Ice",$R16="Rock"),0-1,IF(OR($R16="Steel",$R16="Electric",$R16="Fire",$R16="Water"),1,0)),IF(OR($S16="Fairy",$S16="Ice",$S16="Rock"),0-1,IF(OR($S16="Steel",$S16="Electric",$S16="Fire",$S16="Water"),1,0)))</f>
        <v>0</v>
      </c>
      <c r="AT16" s="508" t="n">
        <f aca="false">SUM(IF(OR($R16="Fire",$R16="Ground",$R16="Rock"),0-1,IF(OR($R16="Dragon",$R16="Grass",$R16="Water"),1,0)),IF(OR($S16="Fire",$S16="Ground",$S16="Rock"),0-1,IF(OR($S16="Dragon",$S16="Grass",$S16="Water"),1,0)))</f>
        <v>0</v>
      </c>
      <c r="AU16" s="518"/>
    </row>
    <row r="17" customFormat="false" ht="15.75" hidden="false" customHeight="false" outlineLevel="0" collapsed="false">
      <c r="A17" s="497" t="str">
        <f aca="false" t="array" ref="A17:A17">IF(ISNA(INDEX(Source!$U$7:$U$95,MATCH(B17,Source!$V$7:$V$95,0))),"FREE",INDEX(Source!$U$7:$U$95,MATCH(B17,Source!$V$7:$V$95,0)))</f>
        <v>LVC</v>
      </c>
      <c r="B17" s="511" t="s">
        <v>244</v>
      </c>
      <c r="C17" s="511"/>
      <c r="D17" s="511"/>
      <c r="E17" s="499" t="str">
        <f aca="false">IF(SUM($W17:$X17)&gt;0,SUM($W17:$X17),IF($H17&gt;0,0,IF($H17&gt;0,0,"-")))</f>
        <v>-</v>
      </c>
      <c r="F17" s="499" t="str">
        <f aca="false">IF(SUM($Y17:$Z17)&gt;0,SUM($Y17:$Z17),IF($H17&gt;0,0,"-"))</f>
        <v>-</v>
      </c>
      <c r="G17" s="499" t="str">
        <f aca="false">IF($H17&gt;0,minus(E17,F17),"-")</f>
        <v>-</v>
      </c>
      <c r="H17" s="500" t="n">
        <f aca="false">SUM(COUNTIF(MatchSource!$A:$A,$B17),COUNTIF(MatchSource!$H:$H,$B17))</f>
        <v>0</v>
      </c>
      <c r="I17" s="501" t="n">
        <f aca="false">SUM($AA17:$AB17)</f>
        <v>0</v>
      </c>
      <c r="J17" s="501" t="s">
        <v>699</v>
      </c>
      <c r="K17" s="512" t="n">
        <f aca="false" t="array" ref="K17:K17">IF(ISNA(INDEX(DraftRosters!$AA$3:$AA$199,MATCH($B17,DraftRosters!$AB$3:$AB$199,0))),"FA",IF(INDEX(DraftRosters!$AA$3:$AA$199,MATCH($B17,DraftRosters!$AB$3:$AB$199,0))="Franchise","Franch",INDEX(DraftRosters!$AA$3:$AA$199,MATCH($B17,DraftRosters!$AB$3:$AB$199,0))))</f>
        <v>15</v>
      </c>
      <c r="L17" s="499" t="n">
        <v>114</v>
      </c>
      <c r="M17" s="499" t="n">
        <v>85</v>
      </c>
      <c r="N17" s="499" t="n">
        <v>70</v>
      </c>
      <c r="O17" s="499" t="n">
        <v>85</v>
      </c>
      <c r="P17" s="499" t="n">
        <v>80</v>
      </c>
      <c r="Q17" s="501" t="n">
        <v>30</v>
      </c>
      <c r="R17" s="499" t="s">
        <v>803</v>
      </c>
      <c r="S17" s="501" t="s">
        <v>843</v>
      </c>
      <c r="T17" s="504" t="s">
        <v>844</v>
      </c>
      <c r="U17" s="505" t="s">
        <v>834</v>
      </c>
      <c r="V17" s="506"/>
      <c r="W17" s="500" t="str">
        <f aca="false">IFERROR(__xludf.dummyfunction("if(isna(SUM(FILTER(MatchSource!$A:$D,MatchSource!$A:$A=$B17))),0,SUM(FILTER(MatchSource!$A:$D,MatchSource!$A:$A=$B17)))"),"0")</f>
        <v>0</v>
      </c>
      <c r="X17" s="499" t="str">
        <f aca="false">IFERROR(__xludf.dummyfunction("if(isna(SUM(FILTER(MatchSource!$H:$K,MatchSource!$H:$H=$B17))),0,SUM(FILTER(MatchSource!$H:$K,MatchSource!$H:$H=$B17)))"),"0")</f>
        <v>0</v>
      </c>
      <c r="Y17" s="499" t="str">
        <f aca="false">IFERROR(__xludf.dummyfunction("if(isna(ABS(MINUS(SUM(FILTER(MatchSource!$A:$E,MatchSource!$A:$A=$B17)),SUM($W17)))),0,ABS(MINUS(SUM(FILTER(MatchSource!$A:$E,MatchSource!$A:$A=$B17)),SUM($W17))))"),"0")</f>
        <v>0</v>
      </c>
      <c r="Z17" s="499" t="str">
        <f aca="false">IFERROR(__xludf.dummyfunction("if(isna(ABS(MINUS(SUM(FILTER(MatchSource!$H:$L,MatchSource!$H:$H=$B17)),SUM($X17)))),0,ABS(MINUS(SUM(FILTER(MatchSource!$H:$L,MatchSource!$H:$H=$B17)),SUM($X17))))"),"0")</f>
        <v>0</v>
      </c>
      <c r="AA17" s="499" t="str">
        <f aca="false">IFERROR(__xludf.dummyfunction("if(isna(ABS(MINUS(SUM(FILTER(MatchSource!$A:$F,MatchSource!$A:$A=$B17)),SUM($W17,$Y17)))),0,ABS(MINUS(SUM(FILTER(MatchSource!$A:$F,MatchSource!$A:$A=$B17)),SUM($W17, $Y17,))))"),"0")</f>
        <v>0</v>
      </c>
      <c r="AB17" s="501" t="str">
        <f aca="false">IFERROR(__xludf.dummyfunction("if(isna(ABS(MINUS(SUM(FILTER(MatchSource!$H:$M,MatchSource!$H:$H=$B17)),SUM($X17,$Z17)))),0,ABS(MINUS(SUM(FILTER(MatchSource!$H:$M,MatchSource!$H:$H=$B17)),SUM($X17,$Z17))))"),"0")</f>
        <v>0</v>
      </c>
      <c r="AC17" s="507" t="n">
        <f aca="false">SUM(IF(OR($R17="Grass",$R17="Psychic",$R17="Dark"),0-1,IF(OR($R17="Fighting",$R17="Flying",$R17="Fire",$R17="Ghost",$R17="Poison",$R17="Steel",$R17="Fairy"),1,0)),IF(OR($S17="Grass",$S17="Psychic",$S17="Dark"),0-1,IF(OR($S17="Fighting",$S17="Flying",$S17="Fire",$S17="Ghost",$S17="Poison",$S17="Steel",$S17="Fairy"),1,0)))</f>
        <v>0</v>
      </c>
      <c r="AD17" s="507" t="n">
        <f aca="false">SUM(IF(OR($R17="Ghost",$R17="Psychic"),0-1,IF(OR($R17="Fighting",$R17="Dark",$R17="Fairy"),1,0)),IF(OR($S17="Ghost",$S17="Psychic"),0-1,IF(OR($S17="Fighting",$S17="Dark",$S17="Fairy"),1,0)))</f>
        <v>0</v>
      </c>
      <c r="AE17" s="507" t="n">
        <f aca="false">IF(OR($R17="Fairy",$S17="Fairy"),4,SUM(IF($R17="Dragon",0-1,IF($R17="Steel",1,0)),IF($S17="Dragon",0-1,IF($S17="Steel",1,0))))</f>
        <v>0</v>
      </c>
      <c r="AF17" s="507" t="n">
        <f aca="false">IF(OR($R17="Ground",$S17="Ground"),4,SUM(IF(OR($R17="Flying",$R17="Water"),0-1,IF(OR($R17="Dragon",$R17="Electric",$R17="Grass"),1,0)),IF(OR($S17="Flying",$S17="Water"),0-1,IF(OR($S17="Dragon",$S17="Electric",$S17="Grass"),1,0))))</f>
        <v>1</v>
      </c>
      <c r="AG17" s="507" t="n">
        <f aca="false">SUM(IF(OR($R17="Dark",$R17="Dragon",$R17="Fighting"),0-1,IF(OR($R17="Steel",$R17="Poison",$R17="Fire"),1,0)),IF(OR($S17="Dark",$S17="Dragon",$S17="Fighting"),0-1,IF(OR($S17="Steel",$S17="Poison",$S17="Fire"),1,0)))</f>
        <v>1</v>
      </c>
      <c r="AH17" s="507" t="n">
        <f aca="false">IF(OR($R17="Ghost",$S17="Ghost"),4,SUM(IF(OR($R17="Dark",$R17="Ice",$R17="Normal",$R17="Rock",$R17="Steel"),0-1,IF(OR($R17="Bug",$R17="Fairy",$R17="Flying",$R17="Poison",$R17="Psychic"),1,0)),IF(OR($S17="Dark",$S17="Ice",$S17="Normal",$S17="Rock",$S17="Steel"),0-1,IF(OR($S17="Bug",$S17="Fairy",$S17="Flying",$S17="Poison",$S17="Psychic"),1,0))))</f>
        <v>1</v>
      </c>
      <c r="AI17" s="507" t="n">
        <f aca="false">SUM(IF(OR($R17="Bug",$R17="Grass",$R17="Ice",$R17="Steel"),0-1,IF(OR($R17="Dragon",$R17="Fire",$R17="Rock",$R17="Water"),1,0)),IF(OR($S17="Bug",$S17="Grass",$S17="Ice",$S17="Steel"),0-1,IF(OR($S17="Dragon",$S17="Fire",$S17="Rock",$S17="Water"),1,0)))</f>
        <v>-1</v>
      </c>
      <c r="AJ17" s="507" t="n">
        <f aca="false">SUM(IF(OR($R17="Bug",$R17="Grass",$R17="Fighting"),0-1,IF(OR($R17="Electric",$R17="Rock",$R17="Steel"),1,0)),IF(OR($S17="Bug",$S17="Grass",$S17="Fighting"),0-1,IF(OR($S17="Electric",$S17="Rock",$S17="Steel"),1,0)))</f>
        <v>-1</v>
      </c>
      <c r="AK17" s="507" t="n">
        <f aca="false">IF(OR($R17="Normal",$S17="Normal"),4,SUM(IF(OR($R17="Ghost",$R17="Psychic"),0-1,IF($R17="Dark",1,0)),IF(OR($S17="Ghost",$S17="Psychic"),0-1,IF($S17="Dark",1,0))))</f>
        <v>0</v>
      </c>
      <c r="AL17" s="507" t="n">
        <f aca="false">SUM(IF(OR($R17="Ground",$R17="Rock",$R17="Water"),0-1,IF(OR($R17="Bug",$R17="Flying",$R17="Fire",$R17="Dragon",$R17="Poison",$R17="Steel",$R17="Grass"),1,0)),IF(OR($S17="Ground",$S17="Rock",$S17="Water"),0-1,IF(OR($S17="Bug",$S17="Flying",$S17="Fire",$S17="Dragon",$S17="Poison",$S17="Steel",$S17="Grass"),1,0)))</f>
        <v>2</v>
      </c>
      <c r="AM17" s="507" t="n">
        <f aca="false">IF(OR($R17="Flying",$S17="Flying"),4,SUM(IF(OR($R17="Electric",$R17="Fire",$R17="Rock",$R17="Steel",$R17="Poison"),0-1,IF(OR($R17="Bug",$R17="Grass"),1,0)),IF(OR($S17="Electric",$S17="Fire",$S17="Rock",$S17="Steel",$S17="Poison"),0-1,IF(OR($S17="Bug",$S17="Grass"),1,0))))</f>
        <v>0</v>
      </c>
      <c r="AN17" s="507" t="n">
        <f aca="false">SUM(IF(OR($R17="Flying",$R17="Dragon",$R17="Grass",$R17="Ground"),0-1,IF(OR($R17="Steel",$R17="Ice",$R17="Fire",$R17="Water"),1,0)),IF(OR($S17="Flying",$S17="Dragon",$S17="Grass",$S17="Ground"),0-1,IF(OR($S17="Steel",$S17="Ice",$S17="Fire",$S17="Water"),1,0)))</f>
        <v>-1</v>
      </c>
      <c r="AO17" s="507" t="n">
        <f aca="false">IF(OR($R17="Ghost",$S17="Ghost"),4,SUM(IF(OR($R17="Steel",$R17="Rock"),1,0),IF(OR($S17="Steel",$S17="Rock"),1,0)))</f>
        <v>0</v>
      </c>
      <c r="AP17" s="507" t="n">
        <f aca="false">IF(OR($R17="Steel",$S17="Steel"),4,SUM(IF(OR($R17="Fairy",$R17="Grass"),0-1,IF(OR($R17="Ghost",$R17="Rock",$R17="Ground",$R17="Poison"),1,0)),IF(OR($S17="Fairy",$S17="Grass"),0-1,IF(OR($S17="Ghost",$S17="Rock",$S17="Ground",$S17="Poison"),1,0))))</f>
        <v>0</v>
      </c>
      <c r="AQ17" s="507" t="n">
        <f aca="false">IF(OR($R17="Dark",$S17="Dark"),4,SUM(IF(OR($R17="Fighting",$R17="Poison"),0-1,IF(OR($R17="Psychic",$R17="Steel"),1,0)),IF(OR($S17="Fighting",$S17="Poison"),0-1,IF(OR($S17="Psychic",$S17="Steel"),1,0))))</f>
        <v>-1</v>
      </c>
      <c r="AR17" s="507" t="n">
        <f aca="false">SUM(IF(OR($R17="Bug",$R17="Fire",$R17="Flying",$R17="Ice"),0-1,IF(OR($R17="Steel",$R17="Fighting",$R17="Ground"),1,0)),IF(OR($S17="Bug",$S17="Fire",$S17="Flying",$S17="Ice"),0-1,IF(OR($S17="Steel",$S17="Fighting",$S17="Ground"),1,0)))</f>
        <v>0</v>
      </c>
      <c r="AS17" s="507" t="n">
        <f aca="false">SUM(IF(OR($R17="Fairy",$R17="Ice",$R17="Rock"),0-1,IF(OR($R17="Steel",$R17="Electric",$R17="Fire",$R17="Water"),1,0)),IF(OR($S17="Fairy",$S17="Ice",$S17="Rock"),0-1,IF(OR($S17="Steel",$S17="Electric",$S17="Fire",$S17="Water"),1,0)))</f>
        <v>0</v>
      </c>
      <c r="AT17" s="508" t="n">
        <f aca="false">SUM(IF(OR($R17="Fire",$R17="Ground",$R17="Rock"),0-1,IF(OR($R17="Dragon",$R17="Grass",$R17="Water"),1,0)),IF(OR($S17="Fire",$S17="Ground",$S17="Rock"),0-1,IF(OR($S17="Dragon",$S17="Grass",$S17="Water"),1,0)))</f>
        <v>1</v>
      </c>
      <c r="AU17" s="518"/>
    </row>
    <row r="18" customFormat="false" ht="15.75" hidden="false" customHeight="false" outlineLevel="0" collapsed="false">
      <c r="A18" s="510" t="str">
        <f aca="false" t="array" ref="A18:A18">IF(ISNA(INDEX(Source!$U$7:$U$95,MATCH(B18,Source!$V$7:$V$95,0))),"FREE",INDEX(Source!$U$7:$U$95,MATCH(B18,Source!$V$7:$V$95,0)))</f>
        <v>FREE</v>
      </c>
      <c r="B18" s="511" t="s">
        <v>322</v>
      </c>
      <c r="C18" s="511"/>
      <c r="D18" s="511"/>
      <c r="E18" s="499" t="str">
        <f aca="false">IF(SUM($W18:$X18)&gt;0,SUM($W18:$X18),IF($H18&gt;0,0,IF($H18&gt;0,0,"-")))</f>
        <v>-</v>
      </c>
      <c r="F18" s="499" t="str">
        <f aca="false">IF(SUM($Y18:$Z18)&gt;0,SUM($Y18:$Z18),IF($H18&gt;0,0,"-"))</f>
        <v>-</v>
      </c>
      <c r="G18" s="499" t="str">
        <f aca="false">IF($H18&gt;0,minus(E18,F18),"-")</f>
        <v>-</v>
      </c>
      <c r="H18" s="500" t="n">
        <f aca="false">SUM(COUNTIF(MatchSource!$A:$A,$B18),COUNTIF(MatchSource!$H:$H,$B18))</f>
        <v>0</v>
      </c>
      <c r="I18" s="501" t="n">
        <f aca="false">SUM($AA18:$AB18)</f>
        <v>0</v>
      </c>
      <c r="J18" s="501" t="s">
        <v>702</v>
      </c>
      <c r="K18" s="512" t="str">
        <f aca="false" t="array" ref="K18:K18">IF(ISNA(INDEX(DraftRosters!$AA$3:$AA$199,MATCH($B18,DraftRosters!$AB$3:$AB$199,0))),"FA",IF(INDEX(DraftRosters!$AA$3:$AA$199,MATCH($B18,DraftRosters!$AB$3:$AB$199,0))="Franchise","Franch",INDEX(DraftRosters!$AA$3:$AA$199,MATCH($B18,DraftRosters!$AB$3:$AB$199,0))))</f>
        <v>FA</v>
      </c>
      <c r="L18" s="499" t="n">
        <v>90</v>
      </c>
      <c r="M18" s="499" t="n">
        <v>75</v>
      </c>
      <c r="N18" s="499" t="n">
        <v>85</v>
      </c>
      <c r="O18" s="499" t="n">
        <v>115</v>
      </c>
      <c r="P18" s="499" t="n">
        <v>90</v>
      </c>
      <c r="Q18" s="501" t="n">
        <v>55</v>
      </c>
      <c r="R18" s="499" t="s">
        <v>845</v>
      </c>
      <c r="S18" s="501"/>
      <c r="T18" s="504" t="s">
        <v>846</v>
      </c>
      <c r="U18" s="505" t="s">
        <v>847</v>
      </c>
      <c r="V18" s="506"/>
      <c r="W18" s="500" t="str">
        <f aca="false">IFERROR(__xludf.dummyfunction("if(isna(SUM(FILTER(MatchSource!$A:$D,MatchSource!$A:$A=$B18))),0,SUM(FILTER(MatchSource!$A:$D,MatchSource!$A:$A=$B18)))"),"0")</f>
        <v>0</v>
      </c>
      <c r="X18" s="499" t="str">
        <f aca="false">IFERROR(__xludf.dummyfunction("if(isna(SUM(FILTER(MatchSource!$H:$K,MatchSource!$H:$H=$B18))),0,SUM(FILTER(MatchSource!$H:$K,MatchSource!$H:$H=$B18)))"),"0")</f>
        <v>0</v>
      </c>
      <c r="Y18" s="499" t="str">
        <f aca="false">IFERROR(__xludf.dummyfunction("if(isna(ABS(MINUS(SUM(FILTER(MatchSource!$A:$E,MatchSource!$A:$A=$B18)),SUM($W18)))),0,ABS(MINUS(SUM(FILTER(MatchSource!$A:$E,MatchSource!$A:$A=$B18)),SUM($W18))))"),"0")</f>
        <v>0</v>
      </c>
      <c r="Z18" s="499" t="str">
        <f aca="false">IFERROR(__xludf.dummyfunction("if(isna(ABS(MINUS(SUM(FILTER(MatchSource!$H:$L,MatchSource!$H:$H=$B18)),SUM($X18)))),0,ABS(MINUS(SUM(FILTER(MatchSource!$H:$L,MatchSource!$H:$H=$B18)),SUM($X18))))"),"0")</f>
        <v>0</v>
      </c>
      <c r="AA18" s="499" t="str">
        <f aca="false">IFERROR(__xludf.dummyfunction("if(isna(ABS(MINUS(SUM(FILTER(MatchSource!$A:$F,MatchSource!$A:$A=$B18)),SUM($W18,$Y18)))),0,ABS(MINUS(SUM(FILTER(MatchSource!$A:$F,MatchSource!$A:$A=$B18)),SUM($W18, $Y18,))))"),"0")</f>
        <v>0</v>
      </c>
      <c r="AB18" s="501" t="str">
        <f aca="false">IFERROR(__xludf.dummyfunction("if(isna(ABS(MINUS(SUM(FILTER(MatchSource!$H:$M,MatchSource!$H:$H=$B18)),SUM($X18,$Z18)))),0,ABS(MINUS(SUM(FILTER(MatchSource!$H:$M,MatchSource!$H:$H=$B18)),SUM($X18,$Z18))))"),"0")</f>
        <v>0</v>
      </c>
      <c r="AC18" s="507" t="n">
        <f aca="false">SUM(IF(OR($R18="Grass",$R18="Psychic",$R18="Dark"),0-1,IF(OR($R18="Fighting",$R18="Flying",$R18="Fire",$R18="Ghost",$R18="Poison",$R18="Steel",$R18="Fairy"),1,0)),IF(OR($S18="Grass",$S18="Psychic",$S18="Dark"),0-1,IF(OR($S18="Fighting",$S18="Flying",$S18="Fire",$S18="Ghost",$S18="Poison",$S18="Steel",$S18="Fairy"),1,0)))</f>
        <v>0</v>
      </c>
      <c r="AD18" s="507" t="n">
        <f aca="false">SUM(IF(OR($R18="Ghost",$R18="Psychic"),0-1,IF(OR($R18="Fighting",$R18="Dark",$R18="Fairy"),1,0)),IF(OR($S18="Ghost",$S18="Psychic"),0-1,IF(OR($S18="Fighting",$S18="Dark",$S18="Fairy"),1,0)))</f>
        <v>0</v>
      </c>
      <c r="AE18" s="507" t="n">
        <f aca="false">IF(OR($R18="Fairy",$S18="Fairy"),4,SUM(IF($R18="Dragon",0-1,IF($R18="Steel",1,0)),IF($S18="Dragon",0-1,IF($S18="Steel",1,0))))</f>
        <v>0</v>
      </c>
      <c r="AF18" s="507" t="n">
        <f aca="false">IF(OR($R18="Ground",$S18="Ground"),4,SUM(IF(OR($R18="Flying",$R18="Water"),0-1,IF(OR($R18="Dragon",$R18="Electric",$R18="Grass"),1,0)),IF(OR($S18="Flying",$S18="Water"),0-1,IF(OR($S18="Dragon",$S18="Electric",$S18="Grass"),1,0))))</f>
        <v>1</v>
      </c>
      <c r="AG18" s="507" t="n">
        <f aca="false">SUM(IF(OR($R18="Dark",$R18="Dragon",$R18="Fighting"),0-1,IF(OR($R18="Steel",$R18="Poison",$R18="Fire"),1,0)),IF(OR($S18="Dark",$S18="Dragon",$S18="Fighting"),0-1,IF(OR($S18="Steel",$S18="Poison",$S18="Fire"),1,0)))</f>
        <v>0</v>
      </c>
      <c r="AH18" s="507" t="n">
        <f aca="false">IF(OR($R18="Ghost",$S18="Ghost"),4,SUM(IF(OR($R18="Dark",$R18="Ice",$R18="Normal",$R18="Rock",$R18="Steel"),0-1,IF(OR($R18="Bug",$R18="Fairy",$R18="Flying",$R18="Poison",$R18="Psychic"),1,0)),IF(OR($S18="Dark",$S18="Ice",$S18="Normal",$S18="Rock",$S18="Steel"),0-1,IF(OR($S18="Bug",$S18="Fairy",$S18="Flying",$S18="Poison",$S18="Psychic"),1,0))))</f>
        <v>0</v>
      </c>
      <c r="AI18" s="507" t="n">
        <f aca="false">SUM(IF(OR($R18="Bug",$R18="Grass",$R18="Ice",$R18="Steel"),0-1,IF(OR($R18="Dragon",$R18="Fire",$R18="Rock",$R18="Water"),1,0)),IF(OR($S18="Bug",$S18="Grass",$S18="Ice",$S18="Steel"),0-1,IF(OR($S18="Dragon",$S18="Fire",$S18="Rock",$S18="Water"),1,0)))</f>
        <v>0</v>
      </c>
      <c r="AJ18" s="507" t="n">
        <f aca="false">SUM(IF(OR($R18="Bug",$R18="Grass",$R18="Fighting"),0-1,IF(OR($R18="Electric",$R18="Rock",$R18="Steel"),1,0)),IF(OR($S18="Bug",$S18="Grass",$S18="Fighting"),0-1,IF(OR($S18="Electric",$S18="Rock",$S18="Steel"),1,0)))</f>
        <v>1</v>
      </c>
      <c r="AK18" s="507" t="n">
        <f aca="false">IF(OR($R18="Normal",$S18="Normal"),4,SUM(IF(OR($R18="Ghost",$R18="Psychic"),0-1,IF($R18="Dark",1,0)),IF(OR($S18="Ghost",$S18="Psychic"),0-1,IF($S18="Dark",1,0))))</f>
        <v>0</v>
      </c>
      <c r="AL18" s="507" t="n">
        <f aca="false">SUM(IF(OR($R18="Ground",$R18="Rock",$R18="Water"),0-1,IF(OR($R18="Bug",$R18="Flying",$R18="Fire",$R18="Dragon",$R18="Poison",$R18="Steel",$R18="Grass"),1,0)),IF(OR($S18="Ground",$S18="Rock",$S18="Water"),0-1,IF(OR($S18="Bug",$S18="Flying",$S18="Fire",$S18="Dragon",$S18="Poison",$S18="Steel",$S18="Grass"),1,0)))</f>
        <v>0</v>
      </c>
      <c r="AM18" s="507" t="n">
        <f aca="false">IF(OR($R18="Flying",$S18="Flying"),4,SUM(IF(OR($R18="Electric",$R18="Fire",$R18="Rock",$R18="Steel",$R18="Poison"),0-1,IF(OR($R18="Bug",$R18="Grass"),1,0)),IF(OR($S18="Electric",$S18="Fire",$S18="Rock",$S18="Steel",$S18="Poison"),0-1,IF(OR($S18="Bug",$S18="Grass"),1,0))))</f>
        <v>-1</v>
      </c>
      <c r="AN18" s="507" t="n">
        <f aca="false">SUM(IF(OR($R18="Flying",$R18="Dragon",$R18="Grass",$R18="Ground"),0-1,IF(OR($R18="Steel",$R18="Ice",$R18="Fire",$R18="Water"),1,0)),IF(OR($S18="Flying",$S18="Dragon",$S18="Grass",$S18="Ground"),0-1,IF(OR($S18="Steel",$S18="Ice",$S18="Fire",$S18="Water"),1,0)))</f>
        <v>0</v>
      </c>
      <c r="AO18" s="507" t="n">
        <f aca="false">IF(OR($R18="Ghost",$S18="Ghost"),4,SUM(IF(OR($R18="Steel",$R18="Rock"),1,0),IF(OR($S18="Steel",$S18="Rock"),1,0)))</f>
        <v>0</v>
      </c>
      <c r="AP18" s="507" t="n">
        <f aca="false">IF(OR($R18="Steel",$S18="Steel"),4,SUM(IF(OR($R18="Fairy",$R18="Grass"),0-1,IF(OR($R18="Ghost",$R18="Rock",$R18="Ground",$R18="Poison"),1,0)),IF(OR($S18="Fairy",$S18="Grass"),0-1,IF(OR($S18="Ghost",$S18="Rock",$S18="Ground",$S18="Poison"),1,0))))</f>
        <v>0</v>
      </c>
      <c r="AQ18" s="507" t="n">
        <f aca="false">IF(OR($R18="Dark",$S18="Dark"),4,SUM(IF(OR($R18="Fighting",$R18="Poison"),0-1,IF(OR($R18="Psychic",$R18="Steel"),1,0)),IF(OR($S18="Fighting",$S18="Poison"),0-1,IF(OR($S18="Psychic",$S18="Steel"),1,0))))</f>
        <v>0</v>
      </c>
      <c r="AR18" s="507" t="n">
        <f aca="false">SUM(IF(OR($R18="Bug",$R18="Fire",$R18="Flying",$R18="Ice"),0-1,IF(OR($R18="Steel",$R18="Fighting",$R18="Ground"),1,0)),IF(OR($S18="Bug",$S18="Fire",$S18="Flying",$S18="Ice"),0-1,IF(OR($S18="Steel",$S18="Fighting",$S18="Ground"),1,0)))</f>
        <v>0</v>
      </c>
      <c r="AS18" s="507" t="n">
        <f aca="false">SUM(IF(OR($R18="Fairy",$R18="Ice",$R18="Rock"),0-1,IF(OR($R18="Steel",$R18="Electric",$R18="Fire",$R18="Water"),1,0)),IF(OR($S18="Fairy",$S18="Ice",$S18="Rock"),0-1,IF(OR($S18="Steel",$S18="Electric",$S18="Fire",$S18="Water"),1,0)))</f>
        <v>1</v>
      </c>
      <c r="AT18" s="508" t="n">
        <f aca="false">SUM(IF(OR($R18="Fire",$R18="Ground",$R18="Rock"),0-1,IF(OR($R18="Dragon",$R18="Grass",$R18="Water"),1,0)),IF(OR($S18="Fire",$S18="Ground",$S18="Rock"),0-1,IF(OR($S18="Dragon",$S18="Grass",$S18="Water"),1,0)))</f>
        <v>0</v>
      </c>
      <c r="AU18" s="518"/>
    </row>
    <row r="19" customFormat="false" ht="15.75" hidden="false" customHeight="false" outlineLevel="0" collapsed="false">
      <c r="A19" s="510" t="str">
        <f aca="false" t="array" ref="A19:A19">IF(ISNA(INDEX(Source!$U$7:$U$95,MATCH(B19,Source!$V$7:$V$95,0))),"FREE",INDEX(Source!$U$7:$U$95,MATCH(B19,Source!$V$7:$V$95,0)))</f>
        <v>FREE</v>
      </c>
      <c r="B19" s="511" t="s">
        <v>709</v>
      </c>
      <c r="C19" s="511"/>
      <c r="D19" s="511"/>
      <c r="E19" s="499" t="str">
        <f aca="false">IF(SUM($W19:$X19)&gt;0,SUM($W19:$X19),IF($H19&gt;0,0,IF($H19&gt;0,0,"-")))</f>
        <v>-</v>
      </c>
      <c r="F19" s="499" t="str">
        <f aca="false">IF(SUM($Y19:$Z19)&gt;0,SUM($Y19:$Z19),IF($H19&gt;0,0,"-"))</f>
        <v>-</v>
      </c>
      <c r="G19" s="499" t="str">
        <f aca="false">IF($H19&gt;0,minus(E19,F19),"-")</f>
        <v>-</v>
      </c>
      <c r="H19" s="500" t="n">
        <f aca="false">SUM(COUNTIF(MatchSource!$A:$A,$B19),COUNTIF(MatchSource!$H:$H,$B19))</f>
        <v>0</v>
      </c>
      <c r="I19" s="501" t="n">
        <f aca="false">SUM($AA19:$AB19)</f>
        <v>0</v>
      </c>
      <c r="J19" s="501" t="s">
        <v>278</v>
      </c>
      <c r="K19" s="512" t="str">
        <f aca="false" t="array" ref="K19:K19">IF(ISNA(INDEX(DraftRosters!$AA$3:$AA$199,MATCH($B19,DraftRosters!$AB$3:$AB$199,0))),"FA",IF(INDEX(DraftRosters!$AA$3:$AA$199,MATCH($B19,DraftRosters!$AB$3:$AB$199,0))="Franchise","Franch",INDEX(DraftRosters!$AA$3:$AA$199,MATCH($B19,DraftRosters!$AB$3:$AB$199,0))))</f>
        <v>FA</v>
      </c>
      <c r="L19" s="499" t="n">
        <v>90</v>
      </c>
      <c r="M19" s="499" t="n">
        <v>95</v>
      </c>
      <c r="N19" s="499" t="n">
        <v>105</v>
      </c>
      <c r="O19" s="499" t="n">
        <v>165</v>
      </c>
      <c r="P19" s="499" t="n">
        <v>110</v>
      </c>
      <c r="Q19" s="501" t="n">
        <v>45</v>
      </c>
      <c r="R19" s="499" t="s">
        <v>835</v>
      </c>
      <c r="S19" s="501" t="s">
        <v>845</v>
      </c>
      <c r="T19" s="504" t="s">
        <v>848</v>
      </c>
      <c r="U19" s="513"/>
      <c r="V19" s="514"/>
      <c r="W19" s="500" t="str">
        <f aca="false">IFERROR(__xludf.dummyfunction("if(isna(SUM(FILTER(MatchSource!$A:$D,MatchSource!$A:$A=$B19))),0,SUM(FILTER(MatchSource!$A:$D,MatchSource!$A:$A=$B19)))"),"0")</f>
        <v>0</v>
      </c>
      <c r="X19" s="499" t="str">
        <f aca="false">IFERROR(__xludf.dummyfunction("if(isna(SUM(FILTER(MatchSource!$H:$K,MatchSource!$H:$H=$B19))),0,SUM(FILTER(MatchSource!$H:$K,MatchSource!$H:$H=$B19)))"),"0")</f>
        <v>0</v>
      </c>
      <c r="Y19" s="499" t="str">
        <f aca="false">IFERROR(__xludf.dummyfunction("if(isna(ABS(MINUS(SUM(FILTER(MatchSource!$A:$E,MatchSource!$A:$A=$B19)),SUM($W19)))),0,ABS(MINUS(SUM(FILTER(MatchSource!$A:$E,MatchSource!$A:$A=$B19)),SUM($W19))))"),"0")</f>
        <v>0</v>
      </c>
      <c r="Z19" s="499" t="str">
        <f aca="false">IFERROR(__xludf.dummyfunction("if(isna(ABS(MINUS(SUM(FILTER(MatchSource!$H:$L,MatchSource!$H:$H=$B19)),SUM($X19)))),0,ABS(MINUS(SUM(FILTER(MatchSource!$H:$L,MatchSource!$H:$H=$B19)),SUM($X19))))"),"0")</f>
        <v>0</v>
      </c>
      <c r="AA19" s="499" t="str">
        <f aca="false">IFERROR(__xludf.dummyfunction("if(isna(ABS(MINUS(SUM(FILTER(MatchSource!$A:$F,MatchSource!$A:$A=$B19)),SUM($W19,$Y19)))),0,ABS(MINUS(SUM(FILTER(MatchSource!$A:$F,MatchSource!$A:$A=$B19)),SUM($W19, $Y19,))))"),"0")</f>
        <v>0</v>
      </c>
      <c r="AB19" s="501" t="str">
        <f aca="false">IFERROR(__xludf.dummyfunction("if(isna(ABS(MINUS(SUM(FILTER(MatchSource!$H:$M,MatchSource!$H:$H=$B19)),SUM($X19,$Z19)))),0,ABS(MINUS(SUM(FILTER(MatchSource!$H:$M,MatchSource!$H:$H=$B19)),SUM($X19,$Z19))))"),"0")</f>
        <v>0</v>
      </c>
      <c r="AC19" s="507" t="n">
        <f aca="false">SUM(IF(OR($R19="Grass",$R19="Psychic",$R19="Dark"),0-1,IF(OR($R19="Fighting",$R19="Flying",$R19="Fire",$R19="Ghost",$R19="Poison",$R19="Steel",$R19="Fairy"),1,0)),IF(OR($S19="Grass",$S19="Psychic",$S19="Dark"),0-1,IF(OR($S19="Fighting",$S19="Flying",$S19="Fire",$S19="Ghost",$S19="Poison",$S19="Steel",$S19="Fairy"),1,0)))</f>
        <v>0</v>
      </c>
      <c r="AD19" s="507" t="n">
        <f aca="false">SUM(IF(OR($R19="Ghost",$R19="Psychic"),0-1,IF(OR($R19="Fighting",$R19="Dark",$R19="Fairy"),1,0)),IF(OR($S19="Ghost",$S19="Psychic"),0-1,IF(OR($S19="Fighting",$S19="Dark",$S19="Fairy"),1,0)))</f>
        <v>0</v>
      </c>
      <c r="AE19" s="507" t="n">
        <f aca="false">IF(OR($R19="Fairy",$S19="Fairy"),4,SUM(IF($R19="Dragon",0-1,IF($R19="Steel",1,0)),IF($S19="Dragon",0-1,IF($S19="Steel",1,0))))</f>
        <v>-1</v>
      </c>
      <c r="AF19" s="507" t="n">
        <f aca="false">IF(OR($R19="Ground",$S19="Ground"),4,SUM(IF(OR($R19="Flying",$R19="Water"),0-1,IF(OR($R19="Dragon",$R19="Electric",$R19="Grass"),1,0)),IF(OR($S19="Flying",$S19="Water"),0-1,IF(OR($S19="Dragon",$S19="Electric",$S19="Grass"),1,0))))</f>
        <v>2</v>
      </c>
      <c r="AG19" s="507" t="n">
        <f aca="false">SUM(IF(OR($R19="Dark",$R19="Dragon",$R19="Fighting"),0-1,IF(OR($R19="Steel",$R19="Poison",$R19="Fire"),1,0)),IF(OR($S19="Dark",$S19="Dragon",$S19="Fighting"),0-1,IF(OR($S19="Steel",$S19="Poison",$S19="Fire"),1,0)))</f>
        <v>-1</v>
      </c>
      <c r="AH19" s="507" t="n">
        <f aca="false">IF(OR($R19="Ghost",$S19="Ghost"),4,SUM(IF(OR($R19="Dark",$R19="Ice",$R19="Normal",$R19="Rock",$R19="Steel"),0-1,IF(OR($R19="Bug",$R19="Fairy",$R19="Flying",$R19="Poison",$R19="Psychic"),1,0)),IF(OR($S19="Dark",$S19="Ice",$S19="Normal",$S19="Rock",$S19="Steel"),0-1,IF(OR($S19="Bug",$S19="Fairy",$S19="Flying",$S19="Poison",$S19="Psychic"),1,0))))</f>
        <v>0</v>
      </c>
      <c r="AI19" s="507" t="n">
        <f aca="false">SUM(IF(OR($R19="Bug",$R19="Grass",$R19="Ice",$R19="Steel"),0-1,IF(OR($R19="Dragon",$R19="Fire",$R19="Rock",$R19="Water"),1,0)),IF(OR($S19="Bug",$S19="Grass",$S19="Ice",$S19="Steel"),0-1,IF(OR($S19="Dragon",$S19="Fire",$S19="Rock",$S19="Water"),1,0)))</f>
        <v>1</v>
      </c>
      <c r="AJ19" s="507" t="n">
        <f aca="false">SUM(IF(OR($R19="Bug",$R19="Grass",$R19="Fighting"),0-1,IF(OR($R19="Electric",$R19="Rock",$R19="Steel"),1,0)),IF(OR($S19="Bug",$S19="Grass",$S19="Fighting"),0-1,IF(OR($S19="Electric",$S19="Rock",$S19="Steel"),1,0)))</f>
        <v>1</v>
      </c>
      <c r="AK19" s="507" t="n">
        <f aca="false">IF(OR($R19="Normal",$S19="Normal"),4,SUM(IF(OR($R19="Ghost",$R19="Psychic"),0-1,IF($R19="Dark",1,0)),IF(OR($S19="Ghost",$S19="Psychic"),0-1,IF($S19="Dark",1,0))))</f>
        <v>0</v>
      </c>
      <c r="AL19" s="507" t="n">
        <f aca="false">SUM(IF(OR($R19="Ground",$R19="Rock",$R19="Water"),0-1,IF(OR($R19="Bug",$R19="Flying",$R19="Fire",$R19="Dragon",$R19="Poison",$R19="Steel",$R19="Grass"),1,0)),IF(OR($S19="Ground",$S19="Rock",$S19="Water"),0-1,IF(OR($S19="Bug",$S19="Flying",$S19="Fire",$S19="Dragon",$S19="Poison",$S19="Steel",$S19="Grass"),1,0)))</f>
        <v>1</v>
      </c>
      <c r="AM19" s="507" t="n">
        <f aca="false">IF(OR($R19="Flying",$S19="Flying"),4,SUM(IF(OR($R19="Electric",$R19="Fire",$R19="Rock",$R19="Steel",$R19="Poison"),0-1,IF(OR($R19="Bug",$R19="Grass"),1,0)),IF(OR($S19="Electric",$S19="Fire",$S19="Rock",$S19="Steel",$S19="Poison"),0-1,IF(OR($S19="Bug",$S19="Grass"),1,0))))</f>
        <v>-1</v>
      </c>
      <c r="AN19" s="507" t="n">
        <f aca="false">SUM(IF(OR($R19="Flying",$R19="Dragon",$R19="Grass",$R19="Ground"),0-1,IF(OR($R19="Steel",$R19="Ice",$R19="Fire",$R19="Water"),1,0)),IF(OR($S19="Flying",$S19="Dragon",$S19="Grass",$S19="Ground"),0-1,IF(OR($S19="Steel",$S19="Ice",$S19="Fire",$S19="Water"),1,0)))</f>
        <v>-1</v>
      </c>
      <c r="AO19" s="507" t="n">
        <f aca="false">IF(OR($R19="Ghost",$S19="Ghost"),4,SUM(IF(OR($R19="Steel",$R19="Rock"),1,0),IF(OR($S19="Steel",$S19="Rock"),1,0)))</f>
        <v>0</v>
      </c>
      <c r="AP19" s="507" t="n">
        <f aca="false">IF(OR($R19="Steel",$S19="Steel"),4,SUM(IF(OR($R19="Fairy",$R19="Grass"),0-1,IF(OR($R19="Ghost",$R19="Rock",$R19="Ground",$R19="Poison"),1,0)),IF(OR($S19="Fairy",$S19="Grass"),0-1,IF(OR($S19="Ghost",$S19="Rock",$S19="Ground",$S19="Poison"),1,0))))</f>
        <v>0</v>
      </c>
      <c r="AQ19" s="507" t="n">
        <f aca="false">IF(OR($R19="Dark",$S19="Dark"),4,SUM(IF(OR($R19="Fighting",$R19="Poison"),0-1,IF(OR($R19="Psychic",$R19="Steel"),1,0)),IF(OR($S19="Fighting",$S19="Poison"),0-1,IF(OR($S19="Psychic",$S19="Steel"),1,0))))</f>
        <v>0</v>
      </c>
      <c r="AR19" s="507" t="n">
        <f aca="false">SUM(IF(OR($R19="Bug",$R19="Fire",$R19="Flying",$R19="Ice"),0-1,IF(OR($R19="Steel",$R19="Fighting",$R19="Ground"),1,0)),IF(OR($S19="Bug",$S19="Fire",$S19="Flying",$S19="Ice"),0-1,IF(OR($S19="Steel",$S19="Fighting",$S19="Ground"),1,0)))</f>
        <v>0</v>
      </c>
      <c r="AS19" s="507" t="n">
        <f aca="false">SUM(IF(OR($R19="Fairy",$R19="Ice",$R19="Rock"),0-1,IF(OR($R19="Steel",$R19="Electric",$R19="Fire",$R19="Water"),1,0)),IF(OR($S19="Fairy",$S19="Ice",$S19="Rock"),0-1,IF(OR($S19="Steel",$S19="Electric",$S19="Fire",$S19="Water"),1,0)))</f>
        <v>1</v>
      </c>
      <c r="AT19" s="508" t="n">
        <f aca="false">SUM(IF(OR($R19="Fire",$R19="Ground",$R19="Rock"),0-1,IF(OR($R19="Dragon",$R19="Grass",$R19="Water"),1,0)),IF(OR($S19="Fire",$S19="Ground",$S19="Rock"),0-1,IF(OR($S19="Dragon",$S19="Grass",$S19="Water"),1,0)))</f>
        <v>1</v>
      </c>
      <c r="AU19" s="518"/>
    </row>
    <row r="20" customFormat="false" ht="15.75" hidden="false" customHeight="false" outlineLevel="0" collapsed="false">
      <c r="A20" s="510" t="str">
        <f aca="false" t="array" ref="A20:A20">IF(ISNA(INDEX(Source!$U$7:$U$95,MATCH(B20,Source!$V$7:$V$95,0))),"FREE",INDEX(Source!$U$7:$U$95,MATCH(B20,Source!$V$7:$V$95,0)))</f>
        <v>BTB</v>
      </c>
      <c r="B20" s="511" t="s">
        <v>251</v>
      </c>
      <c r="C20" s="511"/>
      <c r="D20" s="511"/>
      <c r="E20" s="499" t="str">
        <f aca="false">IF(SUM($W20:$X20)&gt;0,SUM($W20:$X20),IF($H20&gt;0,0,IF($H20&gt;0,0,"-")))</f>
        <v>-</v>
      </c>
      <c r="F20" s="499" t="str">
        <f aca="false">IF(SUM($Y20:$Z20)&gt;0,SUM($Y20:$Z20),IF($H20&gt;0,0,"-"))</f>
        <v>-</v>
      </c>
      <c r="G20" s="499" t="str">
        <f aca="false">IF($H20&gt;0,minus(E20,F20),"-")</f>
        <v>-</v>
      </c>
      <c r="H20" s="500" t="n">
        <f aca="false">SUM(COUNTIF(MatchSource!$A:$A,$B20),COUNTIF(MatchSource!$H:$H,$B20))</f>
        <v>0</v>
      </c>
      <c r="I20" s="501" t="n">
        <f aca="false">SUM($AA20:$AB20)</f>
        <v>0</v>
      </c>
      <c r="J20" s="501" t="s">
        <v>701</v>
      </c>
      <c r="K20" s="512" t="n">
        <f aca="false" t="array" ref="K20:K20">IF(ISNA(INDEX(DraftRosters!$AA$3:$AA$199,MATCH($B20,DraftRosters!$AB$3:$AB$199,0))),"FA",IF(INDEX(DraftRosters!$AA$3:$AA$199,MATCH($B20,DraftRosters!$AB$3:$AB$199,0))="Franchise","Franch",INDEX(DraftRosters!$AA$3:$AA$199,MATCH($B20,DraftRosters!$AB$3:$AB$199,0))))</f>
        <v>46</v>
      </c>
      <c r="L20" s="499" t="n">
        <v>68</v>
      </c>
      <c r="M20" s="499" t="n">
        <v>70</v>
      </c>
      <c r="N20" s="499" t="n">
        <v>92</v>
      </c>
      <c r="O20" s="499" t="n">
        <v>50</v>
      </c>
      <c r="P20" s="499" t="n">
        <v>132</v>
      </c>
      <c r="Q20" s="501" t="n">
        <v>42</v>
      </c>
      <c r="R20" s="499" t="s">
        <v>794</v>
      </c>
      <c r="S20" s="501" t="s">
        <v>811</v>
      </c>
      <c r="T20" s="520" t="s">
        <v>849</v>
      </c>
      <c r="U20" s="513" t="s">
        <v>850</v>
      </c>
      <c r="V20" s="514"/>
      <c r="W20" s="500" t="str">
        <f aca="false">IFERROR(__xludf.dummyfunction("if(isna(SUM(FILTER(MatchSource!$A:$D,MatchSource!$A:$A=$B20))),0,SUM(FILTER(MatchSource!$A:$D,MatchSource!$A:$A=$B20)))"),"0")</f>
        <v>0</v>
      </c>
      <c r="X20" s="499" t="str">
        <f aca="false">IFERROR(__xludf.dummyfunction("if(isna(SUM(FILTER(MatchSource!$H:$K,MatchSource!$H:$H=$B20))),0,SUM(FILTER(MatchSource!$H:$K,MatchSource!$H:$H=$B20)))"),"0")</f>
        <v>0</v>
      </c>
      <c r="Y20" s="499" t="str">
        <f aca="false">IFERROR(__xludf.dummyfunction("if(isna(ABS(MINUS(SUM(FILTER(MatchSource!$A:$E,MatchSource!$A:$A=$B20)),SUM($W20)))),0,ABS(MINUS(SUM(FILTER(MatchSource!$A:$E,MatchSource!$A:$A=$B20)),SUM($W20))))"),"0")</f>
        <v>0</v>
      </c>
      <c r="Z20" s="499" t="str">
        <f aca="false">IFERROR(__xludf.dummyfunction("if(isna(ABS(MINUS(SUM(FILTER(MatchSource!$H:$L,MatchSource!$H:$H=$B20)),SUM($X20)))),0,ABS(MINUS(SUM(FILTER(MatchSource!$H:$L,MatchSource!$H:$H=$B20)),SUM($X20))))"),"0")</f>
        <v>0</v>
      </c>
      <c r="AA20" s="499" t="str">
        <f aca="false">IFERROR(__xludf.dummyfunction("if(isna(ABS(MINUS(SUM(FILTER(MatchSource!$A:$F,MatchSource!$A:$A=$B20)),SUM($W20,$Y20)))),0,ABS(MINUS(SUM(FILTER(MatchSource!$A:$F,MatchSource!$A:$A=$B20)),SUM($W20, $Y20,))))"),"0")</f>
        <v>0</v>
      </c>
      <c r="AB20" s="501" t="str">
        <f aca="false">IFERROR(__xludf.dummyfunction("if(isna(ABS(MINUS(SUM(FILTER(MatchSource!$H:$M,MatchSource!$H:$H=$B20)),SUM($X20,$Z20)))),0,ABS(MINUS(SUM(FILTER(MatchSource!$H:$M,MatchSource!$H:$H=$B20)),SUM($X20,$Z20))))"),"0")</f>
        <v>0</v>
      </c>
      <c r="AC20" s="507" t="n">
        <f aca="false">SUM(IF(OR($R20="Grass",$R20="Psychic",$R20="Dark"),0-1,IF(OR($R20="Fighting",$R20="Flying",$R20="Fire",$R20="Ghost",$R20="Poison",$R20="Steel",$R20="Fairy"),1,0)),IF(OR($S20="Grass",$S20="Psychic",$S20="Dark"),0-1,IF(OR($S20="Fighting",$S20="Flying",$S20="Fire",$S20="Ghost",$S20="Poison",$S20="Steel",$S20="Fairy"),1,0)))</f>
        <v>0</v>
      </c>
      <c r="AD20" s="507" t="n">
        <f aca="false">SUM(IF(OR($R20="Ghost",$R20="Psychic"),0-1,IF(OR($R20="Fighting",$R20="Dark",$R20="Fairy"),1,0)),IF(OR($S20="Ghost",$S20="Psychic"),0-1,IF(OR($S20="Fighting",$S20="Dark",$S20="Fairy"),1,0)))</f>
        <v>0</v>
      </c>
      <c r="AE20" s="507" t="n">
        <f aca="false">IF(OR($R20="Fairy",$S20="Fairy"),4,SUM(IF($R20="Dragon",0-1,IF($R20="Steel",1,0)),IF($S20="Dragon",0-1,IF($S20="Steel",1,0))))</f>
        <v>0</v>
      </c>
      <c r="AF20" s="507" t="n">
        <f aca="false">IF(OR($R20="Ground",$S20="Ground"),4,SUM(IF(OR($R20="Flying",$R20="Water"),0-1,IF(OR($R20="Dragon",$R20="Electric",$R20="Grass"),1,0)),IF(OR($S20="Flying",$S20="Water"),0-1,IF(OR($S20="Dragon",$S20="Electric",$S20="Grass"),1,0))))</f>
        <v>-1</v>
      </c>
      <c r="AG20" s="507" t="n">
        <f aca="false">SUM(IF(OR($R20="Dark",$R20="Dragon",$R20="Fighting"),0-1,IF(OR($R20="Steel",$R20="Poison",$R20="Fire"),1,0)),IF(OR($S20="Dark",$S20="Dragon",$S20="Fighting"),0-1,IF(OR($S20="Steel",$S20="Poison",$S20="Fire"),1,0)))</f>
        <v>0</v>
      </c>
      <c r="AH20" s="507" t="n">
        <f aca="false">IF(OR($R20="Ghost",$S20="Ghost"),4,SUM(IF(OR($R20="Dark",$R20="Ice",$R20="Normal",$R20="Rock",$R20="Steel"),0-1,IF(OR($R20="Bug",$R20="Fairy",$R20="Flying",$R20="Poison",$R20="Psychic"),1,0)),IF(OR($S20="Dark",$S20="Ice",$S20="Normal",$S20="Rock",$S20="Steel"),0-1,IF(OR($S20="Bug",$S20="Fairy",$S20="Flying",$S20="Poison",$S20="Psychic"),1,0))))</f>
        <v>1</v>
      </c>
      <c r="AI20" s="507" t="n">
        <f aca="false">SUM(IF(OR($R20="Bug",$R20="Grass",$R20="Ice",$R20="Steel"),0-1,IF(OR($R20="Dragon",$R20="Fire",$R20="Rock",$R20="Water"),1,0)),IF(OR($S20="Bug",$S20="Grass",$S20="Ice",$S20="Steel"),0-1,IF(OR($S20="Dragon",$S20="Fire",$S20="Rock",$S20="Water"),1,0)))</f>
        <v>0</v>
      </c>
      <c r="AJ20" s="507" t="n">
        <f aca="false">SUM(IF(OR($R20="Bug",$R20="Grass",$R20="Fighting"),0-1,IF(OR($R20="Electric",$R20="Rock",$R20="Steel"),1,0)),IF(OR($S20="Bug",$S20="Grass",$S20="Fighting"),0-1,IF(OR($S20="Electric",$S20="Rock",$S20="Steel"),1,0)))</f>
        <v>-1</v>
      </c>
      <c r="AK20" s="507" t="n">
        <f aca="false">IF(OR($R20="Normal",$S20="Normal"),4,SUM(IF(OR($R20="Ghost",$R20="Psychic"),0-1,IF($R20="Dark",1,0)),IF(OR($S20="Ghost",$S20="Psychic"),0-1,IF($S20="Dark",1,0))))</f>
        <v>0</v>
      </c>
      <c r="AL20" s="507" t="n">
        <f aca="false">SUM(IF(OR($R20="Ground",$R20="Rock",$R20="Water"),0-1,IF(OR($R20="Bug",$R20="Flying",$R20="Fire",$R20="Dragon",$R20="Poison",$R20="Steel",$R20="Grass"),1,0)),IF(OR($S20="Ground",$S20="Rock",$S20="Water"),0-1,IF(OR($S20="Bug",$S20="Flying",$S20="Fire",$S20="Dragon",$S20="Poison",$S20="Steel",$S20="Grass"),1,0)))</f>
        <v>0</v>
      </c>
      <c r="AM20" s="507" t="n">
        <f aca="false">IF(OR($R20="Flying",$S20="Flying"),4,SUM(IF(OR($R20="Electric",$R20="Fire",$R20="Rock",$R20="Steel",$R20="Poison"),0-1,IF(OR($R20="Bug",$R20="Grass"),1,0)),IF(OR($S20="Electric",$S20="Fire",$S20="Rock",$S20="Steel",$S20="Poison"),0-1,IF(OR($S20="Bug",$S20="Grass"),1,0))))</f>
        <v>1</v>
      </c>
      <c r="AN20" s="507" t="n">
        <f aca="false">SUM(IF(OR($R20="Flying",$R20="Dragon",$R20="Grass",$R20="Ground"),0-1,IF(OR($R20="Steel",$R20="Ice",$R20="Fire",$R20="Water"),1,0)),IF(OR($S20="Flying",$S20="Dragon",$S20="Grass",$S20="Ground"),0-1,IF(OR($S20="Steel",$S20="Ice",$S20="Fire",$S20="Water"),1,0)))</f>
        <v>1</v>
      </c>
      <c r="AO20" s="507" t="n">
        <f aca="false">IF(OR($R20="Ghost",$S20="Ghost"),4,SUM(IF(OR($R20="Steel",$R20="Rock"),1,0),IF(OR($S20="Steel",$S20="Rock"),1,0)))</f>
        <v>0</v>
      </c>
      <c r="AP20" s="507" t="n">
        <f aca="false">IF(OR($R20="Steel",$S20="Steel"),4,SUM(IF(OR($R20="Fairy",$R20="Grass"),0-1,IF(OR($R20="Ghost",$R20="Rock",$R20="Ground",$R20="Poison"),1,0)),IF(OR($S20="Fairy",$S20="Grass"),0-1,IF(OR($S20="Ghost",$S20="Rock",$S20="Ground",$S20="Poison"),1,0))))</f>
        <v>0</v>
      </c>
      <c r="AQ20" s="507" t="n">
        <f aca="false">IF(OR($R20="Dark",$S20="Dark"),4,SUM(IF(OR($R20="Fighting",$R20="Poison"),0-1,IF(OR($R20="Psychic",$R20="Steel"),1,0)),IF(OR($S20="Fighting",$S20="Poison"),0-1,IF(OR($S20="Psychic",$S20="Steel"),1,0))))</f>
        <v>0</v>
      </c>
      <c r="AR20" s="507" t="n">
        <f aca="false">SUM(IF(OR($R20="Bug",$R20="Fire",$R20="Flying",$R20="Ice"),0-1,IF(OR($R20="Steel",$R20="Fighting",$R20="Ground"),1,0)),IF(OR($S20="Bug",$S20="Fire",$S20="Flying",$S20="Ice"),0-1,IF(OR($S20="Steel",$S20="Fighting",$S20="Ground"),1,0)))</f>
        <v>-1</v>
      </c>
      <c r="AS20" s="507" t="n">
        <f aca="false">SUM(IF(OR($R20="Fairy",$R20="Ice",$R20="Rock"),0-1,IF(OR($R20="Steel",$R20="Electric",$R20="Fire",$R20="Water"),1,0)),IF(OR($S20="Fairy",$S20="Ice",$S20="Rock"),0-1,IF(OR($S20="Steel",$S20="Electric",$S20="Fire",$S20="Water"),1,0)))</f>
        <v>1</v>
      </c>
      <c r="AT20" s="508" t="n">
        <f aca="false">SUM(IF(OR($R20="Fire",$R20="Ground",$R20="Rock"),0-1,IF(OR($R20="Dragon",$R20="Grass",$R20="Water"),1,0)),IF(OR($S20="Fire",$S20="Ground",$S20="Rock"),0-1,IF(OR($S20="Dragon",$S20="Grass",$S20="Water"),1,0)))</f>
        <v>1</v>
      </c>
      <c r="AU20" s="518"/>
    </row>
    <row r="21" customFormat="false" ht="15.75" hidden="false" customHeight="false" outlineLevel="0" collapsed="false">
      <c r="A21" s="510" t="str">
        <f aca="false" t="array" ref="A21:A21">IF(ISNA(INDEX(Source!$U$7:$U$95,MATCH(B21,Source!$V$7:$V$95,0))),"FREE",INDEX(Source!$U$7:$U$95,MATCH(B21,Source!$V$7:$V$95,0)))</f>
        <v>FREE</v>
      </c>
      <c r="B21" s="511" t="s">
        <v>329</v>
      </c>
      <c r="C21" s="511"/>
      <c r="D21" s="511"/>
      <c r="E21" s="499" t="str">
        <f aca="false">IF(SUM($W21:$X21)&gt;0,SUM($W21:$X21),IF($H21&gt;0,0,IF($H21&gt;0,0,"-")))</f>
        <v>-</v>
      </c>
      <c r="F21" s="499" t="str">
        <f aca="false">IF(SUM($Y21:$Z21)&gt;0,SUM($Y21:$Z21),IF($H21&gt;0,0,"-"))</f>
        <v>-</v>
      </c>
      <c r="G21" s="499" t="str">
        <f aca="false">IF($H21&gt;0,minus(E21,F21),"-")</f>
        <v>-</v>
      </c>
      <c r="H21" s="500" t="n">
        <f aca="false">SUM(COUNTIF(MatchSource!$A:$A,$B21),COUNTIF(MatchSource!$H:$H,$B21))</f>
        <v>0</v>
      </c>
      <c r="I21" s="501" t="n">
        <f aca="false">SUM($AA21:$AB21)</f>
        <v>0</v>
      </c>
      <c r="J21" s="501" t="s">
        <v>702</v>
      </c>
      <c r="K21" s="512" t="str">
        <f aca="false" t="array" ref="K21:K21">IF(ISNA(INDEX(DraftRosters!$AA$3:$AA$199,MATCH($B21,DraftRosters!$AB$3:$AB$199,0))),"FA",IF(INDEX(DraftRosters!$AA$3:$AA$199,MATCH($B21,DraftRosters!$AB$3:$AB$199,0))="Franchise","Franch",INDEX(DraftRosters!$AA$3:$AA$199,MATCH($B21,DraftRosters!$AB$3:$AB$199,0))))</f>
        <v>FA</v>
      </c>
      <c r="L21" s="499" t="n">
        <v>60</v>
      </c>
      <c r="M21" s="499" t="n">
        <v>95</v>
      </c>
      <c r="N21" s="499" t="n">
        <v>69</v>
      </c>
      <c r="O21" s="499" t="n">
        <v>65</v>
      </c>
      <c r="P21" s="499" t="n">
        <v>79</v>
      </c>
      <c r="Q21" s="501" t="n">
        <v>80</v>
      </c>
      <c r="R21" s="499" t="s">
        <v>843</v>
      </c>
      <c r="S21" s="501"/>
      <c r="T21" s="504" t="s">
        <v>851</v>
      </c>
      <c r="U21" s="505" t="s">
        <v>852</v>
      </c>
      <c r="V21" s="506" t="s">
        <v>822</v>
      </c>
      <c r="W21" s="500" t="str">
        <f aca="false">IFERROR(__xludf.dummyfunction("if(isna(SUM(FILTER(MatchSource!$A:$D,MatchSource!$A:$A=$B21))),0,SUM(FILTER(MatchSource!$A:$D,MatchSource!$A:$A=$B21)))"),"0")</f>
        <v>0</v>
      </c>
      <c r="X21" s="499" t="str">
        <f aca="false">IFERROR(__xludf.dummyfunction("if(isna(SUM(FILTER(MatchSource!$H:$K,MatchSource!$H:$H=$B21))),0,SUM(FILTER(MatchSource!$H:$K,MatchSource!$H:$H=$B21)))"),"0")</f>
        <v>0</v>
      </c>
      <c r="Y21" s="499" t="str">
        <f aca="false">IFERROR(__xludf.dummyfunction("if(isna(ABS(MINUS(SUM(FILTER(MatchSource!$A:$E,MatchSource!$A:$A=$B21)),SUM($W21)))),0,ABS(MINUS(SUM(FILTER(MatchSource!$A:$E,MatchSource!$A:$A=$B21)),SUM($W21))))"),"0")</f>
        <v>0</v>
      </c>
      <c r="Z21" s="499" t="str">
        <f aca="false">IFERROR(__xludf.dummyfunction("if(isna(ABS(MINUS(SUM(FILTER(MatchSource!$H:$L,MatchSource!$H:$H=$B21)),SUM($X21)))),0,ABS(MINUS(SUM(FILTER(MatchSource!$H:$L,MatchSource!$H:$H=$B21)),SUM($X21))))"),"0")</f>
        <v>0</v>
      </c>
      <c r="AA21" s="499" t="str">
        <f aca="false">IFERROR(__xludf.dummyfunction("if(isna(ABS(MINUS(SUM(FILTER(MatchSource!$A:$F,MatchSource!$A:$A=$B21)),SUM($W21,$Y21)))),0,ABS(MINUS(SUM(FILTER(MatchSource!$A:$F,MatchSource!$A:$A=$B21)),SUM($W21, $Y21,))))"),"0")</f>
        <v>0</v>
      </c>
      <c r="AB21" s="501" t="str">
        <f aca="false">IFERROR(__xludf.dummyfunction("if(isna(ABS(MINUS(SUM(FILTER(MatchSource!$H:$M,MatchSource!$H:$H=$B21)),SUM($X21,$Z21)))),0,ABS(MINUS(SUM(FILTER(MatchSource!$H:$M,MatchSource!$H:$H=$B21)),SUM($X21,$Z21))))"),"0")</f>
        <v>0</v>
      </c>
      <c r="AC21" s="507" t="n">
        <f aca="false">SUM(IF(OR($R21="Grass",$R21="Psychic",$R21="Dark"),0-1,IF(OR($R21="Fighting",$R21="Flying",$R21="Fire",$R21="Ghost",$R21="Poison",$R21="Steel",$R21="Fairy"),1,0)),IF(OR($S21="Grass",$S21="Psychic",$S21="Dark"),0-1,IF(OR($S21="Fighting",$S21="Flying",$S21="Fire",$S21="Ghost",$S21="Poison",$S21="Steel",$S21="Fairy"),1,0)))</f>
        <v>1</v>
      </c>
      <c r="AD21" s="507" t="n">
        <f aca="false">SUM(IF(OR($R21="Ghost",$R21="Psychic"),0-1,IF(OR($R21="Fighting",$R21="Dark",$R21="Fairy"),1,0)),IF(OR($S21="Ghost",$S21="Psychic"),0-1,IF(OR($S21="Fighting",$S21="Dark",$S21="Fairy"),1,0)))</f>
        <v>0</v>
      </c>
      <c r="AE21" s="507" t="n">
        <f aca="false">IF(OR($R21="Fairy",$S21="Fairy"),4,SUM(IF($R21="Dragon",0-1,IF($R21="Steel",1,0)),IF($S21="Dragon",0-1,IF($S21="Steel",1,0))))</f>
        <v>0</v>
      </c>
      <c r="AF21" s="507" t="n">
        <f aca="false">IF(OR($R21="Ground",$S21="Ground"),4,SUM(IF(OR($R21="Flying",$R21="Water"),0-1,IF(OR($R21="Dragon",$R21="Electric",$R21="Grass"),1,0)),IF(OR($S21="Flying",$S21="Water"),0-1,IF(OR($S21="Dragon",$S21="Electric",$S21="Grass"),1,0))))</f>
        <v>0</v>
      </c>
      <c r="AG21" s="507" t="n">
        <f aca="false">SUM(IF(OR($R21="Dark",$R21="Dragon",$R21="Fighting"),0-1,IF(OR($R21="Steel",$R21="Poison",$R21="Fire"),1,0)),IF(OR($S21="Dark",$S21="Dragon",$S21="Fighting"),0-1,IF(OR($S21="Steel",$S21="Poison",$S21="Fire"),1,0)))</f>
        <v>1</v>
      </c>
      <c r="AH21" s="507" t="n">
        <f aca="false">IF(OR($R21="Ghost",$S21="Ghost"),4,SUM(IF(OR($R21="Dark",$R21="Ice",$R21="Normal",$R21="Rock",$R21="Steel"),0-1,IF(OR($R21="Bug",$R21="Fairy",$R21="Flying",$R21="Poison",$R21="Psychic"),1,0)),IF(OR($S21="Dark",$S21="Ice",$S21="Normal",$S21="Rock",$S21="Steel"),0-1,IF(OR($S21="Bug",$S21="Fairy",$S21="Flying",$S21="Poison",$S21="Psychic"),1,0))))</f>
        <v>1</v>
      </c>
      <c r="AI21" s="507" t="n">
        <f aca="false">SUM(IF(OR($R21="Bug",$R21="Grass",$R21="Ice",$R21="Steel"),0-1,IF(OR($R21="Dragon",$R21="Fire",$R21="Rock",$R21="Water"),1,0)),IF(OR($S21="Bug",$S21="Grass",$S21="Ice",$S21="Steel"),0-1,IF(OR($S21="Dragon",$S21="Fire",$S21="Rock",$S21="Water"),1,0)))</f>
        <v>0</v>
      </c>
      <c r="AJ21" s="507" t="n">
        <f aca="false">SUM(IF(OR($R21="Bug",$R21="Grass",$R21="Fighting"),0-1,IF(OR($R21="Electric",$R21="Rock",$R21="Steel"),1,0)),IF(OR($S21="Bug",$S21="Grass",$S21="Fighting"),0-1,IF(OR($S21="Electric",$S21="Rock",$S21="Steel"),1,0)))</f>
        <v>0</v>
      </c>
      <c r="AK21" s="507" t="n">
        <f aca="false">IF(OR($R21="Normal",$S21="Normal"),4,SUM(IF(OR($R21="Ghost",$R21="Psychic"),0-1,IF($R21="Dark",1,0)),IF(OR($S21="Ghost",$S21="Psychic"),0-1,IF($S21="Dark",1,0))))</f>
        <v>0</v>
      </c>
      <c r="AL21" s="507" t="n">
        <f aca="false">SUM(IF(OR($R21="Ground",$R21="Rock",$R21="Water"),0-1,IF(OR($R21="Bug",$R21="Flying",$R21="Fire",$R21="Dragon",$R21="Poison",$R21="Steel",$R21="Grass"),1,0)),IF(OR($S21="Ground",$S21="Rock",$S21="Water"),0-1,IF(OR($S21="Bug",$S21="Flying",$S21="Fire",$S21="Dragon",$S21="Poison",$S21="Steel",$S21="Grass"),1,0)))</f>
        <v>1</v>
      </c>
      <c r="AM21" s="507" t="n">
        <f aca="false">IF(OR($R21="Flying",$S21="Flying"),4,SUM(IF(OR($R21="Electric",$R21="Fire",$R21="Rock",$R21="Steel",$R21="Poison"),0-1,IF(OR($R21="Bug",$R21="Grass"),1,0)),IF(OR($S21="Electric",$S21="Fire",$S21="Rock",$S21="Steel",$S21="Poison"),0-1,IF(OR($S21="Bug",$S21="Grass"),1,0))))</f>
        <v>-1</v>
      </c>
      <c r="AN21" s="507" t="n">
        <f aca="false">SUM(IF(OR($R21="Flying",$R21="Dragon",$R21="Grass",$R21="Ground"),0-1,IF(OR($R21="Steel",$R21="Ice",$R21="Fire",$R21="Water"),1,0)),IF(OR($S21="Flying",$S21="Dragon",$S21="Grass",$S21="Ground"),0-1,IF(OR($S21="Steel",$S21="Ice",$S21="Fire",$S21="Water"),1,0)))</f>
        <v>0</v>
      </c>
      <c r="AO21" s="507" t="n">
        <f aca="false">IF(OR($R21="Ghost",$S21="Ghost"),4,SUM(IF(OR($R21="Steel",$R21="Rock"),1,0),IF(OR($S21="Steel",$S21="Rock"),1,0)))</f>
        <v>0</v>
      </c>
      <c r="AP21" s="507" t="n">
        <f aca="false">IF(OR($R21="Steel",$S21="Steel"),4,SUM(IF(OR($R21="Fairy",$R21="Grass"),0-1,IF(OR($R21="Ghost",$R21="Rock",$R21="Ground",$R21="Poison"),1,0)),IF(OR($S21="Fairy",$S21="Grass"),0-1,IF(OR($S21="Ghost",$S21="Rock",$S21="Ground",$S21="Poison"),1,0))))</f>
        <v>1</v>
      </c>
      <c r="AQ21" s="507" t="n">
        <f aca="false">IF(OR($R21="Dark",$S21="Dark"),4,SUM(IF(OR($R21="Fighting",$R21="Poison"),0-1,IF(OR($R21="Psychic",$R21="Steel"),1,0)),IF(OR($S21="Fighting",$S21="Poison"),0-1,IF(OR($S21="Psychic",$S21="Steel"),1,0))))</f>
        <v>-1</v>
      </c>
      <c r="AR21" s="507" t="n">
        <f aca="false">SUM(IF(OR($R21="Bug",$R21="Fire",$R21="Flying",$R21="Ice"),0-1,IF(OR($R21="Steel",$R21="Fighting",$R21="Ground"),1,0)),IF(OR($S21="Bug",$S21="Fire",$S21="Flying",$S21="Ice"),0-1,IF(OR($S21="Steel",$S21="Fighting",$S21="Ground"),1,0)))</f>
        <v>0</v>
      </c>
      <c r="AS21" s="507" t="n">
        <f aca="false">SUM(IF(OR($R21="Fairy",$R21="Ice",$R21="Rock"),0-1,IF(OR($R21="Steel",$R21="Electric",$R21="Fire",$R21="Water"),1,0)),IF(OR($S21="Fairy",$S21="Ice",$S21="Rock"),0-1,IF(OR($S21="Steel",$S21="Electric",$S21="Fire",$S21="Water"),1,0)))</f>
        <v>0</v>
      </c>
      <c r="AT21" s="508" t="n">
        <f aca="false">SUM(IF(OR($R21="Fire",$R21="Ground",$R21="Rock"),0-1,IF(OR($R21="Dragon",$R21="Grass",$R21="Water"),1,0)),IF(OR($S21="Fire",$S21="Ground",$S21="Rock"),0-1,IF(OR($S21="Dragon",$S21="Grass",$S21="Water"),1,0)))</f>
        <v>0</v>
      </c>
      <c r="AU21" s="518"/>
    </row>
    <row r="22" customFormat="false" ht="15.75" hidden="false" customHeight="false" outlineLevel="0" collapsed="false">
      <c r="A22" s="515" t="str">
        <f aca="false" t="array" ref="A22:A22">IF(ISNA(INDEX(Source!$U$7:$U$95,MATCH(B22,Source!$V$7:$V$95,0))),"FREE",INDEX(Source!$U$7:$U$95,MATCH(B22,Source!$V$7:$V$95,0)))</f>
        <v>FREE</v>
      </c>
      <c r="B22" s="511" t="s">
        <v>314</v>
      </c>
      <c r="C22" s="511"/>
      <c r="D22" s="511"/>
      <c r="E22" s="499" t="str">
        <f aca="false">IF(SUM($W22:$X22)&gt;0,SUM($W22:$X22),IF($H22&gt;0,0,IF($H22&gt;0,0,"-")))</f>
        <v>-</v>
      </c>
      <c r="F22" s="499" t="str">
        <f aca="false">IF(SUM($Y22:$Z22)&gt;0,SUM($Y22:$Z22),IF($H22&gt;0,0,"-"))</f>
        <v>-</v>
      </c>
      <c r="G22" s="499" t="str">
        <f aca="false">IF($H22&gt;0,minus(E22,F22),"-")</f>
        <v>-</v>
      </c>
      <c r="H22" s="500" t="n">
        <f aca="false">SUM(COUNTIF(MatchSource!$A:$A,$B22),COUNTIF(MatchSource!$H:$H,$B22))</f>
        <v>0</v>
      </c>
      <c r="I22" s="501" t="n">
        <f aca="false">SUM($AA22:$AB22)</f>
        <v>0</v>
      </c>
      <c r="J22" s="501" t="s">
        <v>700</v>
      </c>
      <c r="K22" s="512" t="str">
        <f aca="false" t="array" ref="K22:K22">IF(ISNA(INDEX(DraftRosters!$AA$3:$AA$199,MATCH($B22,DraftRosters!$AB$3:$AB$199,0))),"FA",IF(INDEX(DraftRosters!$AA$3:$AA$199,MATCH($B22,DraftRosters!$AB$3:$AB$199,0))="Franchise","Franch",INDEX(DraftRosters!$AA$3:$AA$199,MATCH($B22,DraftRosters!$AB$3:$AB$199,0))))</f>
        <v>FA</v>
      </c>
      <c r="L22" s="507" t="n">
        <v>90</v>
      </c>
      <c r="M22" s="507" t="n">
        <v>110</v>
      </c>
      <c r="N22" s="507" t="n">
        <v>80</v>
      </c>
      <c r="O22" s="507" t="n">
        <v>100</v>
      </c>
      <c r="P22" s="507" t="n">
        <v>80</v>
      </c>
      <c r="Q22" s="508" t="n">
        <v>95</v>
      </c>
      <c r="R22" s="499" t="s">
        <v>800</v>
      </c>
      <c r="S22" s="501"/>
      <c r="T22" s="504" t="s">
        <v>853</v>
      </c>
      <c r="U22" s="505" t="s">
        <v>815</v>
      </c>
      <c r="V22" s="506" t="s">
        <v>851</v>
      </c>
      <c r="W22" s="500" t="str">
        <f aca="false">IFERROR(__xludf.dummyfunction("if(isna(SUM(FILTER(MatchSource!$A:$D,MatchSource!$A:$A=$B22))),0,SUM(FILTER(MatchSource!$A:$D,MatchSource!$A:$A=$B22)))"),"0")</f>
        <v>0</v>
      </c>
      <c r="X22" s="499" t="str">
        <f aca="false">IFERROR(__xludf.dummyfunction("if(isna(SUM(FILTER(MatchSource!$H:$K,MatchSource!$H:$H=$B22))),0,SUM(FILTER(MatchSource!$H:$K,MatchSource!$H:$H=$B22)))"),"0")</f>
        <v>0</v>
      </c>
      <c r="Y22" s="499" t="str">
        <f aca="false">IFERROR(__xludf.dummyfunction("if(isna(ABS(MINUS(SUM(FILTER(MatchSource!$A:$E,MatchSource!$A:$A=$B22)),SUM($W22)))),0,ABS(MINUS(SUM(FILTER(MatchSource!$A:$E,MatchSource!$A:$A=$B22)),SUM($W22))))"),"0")</f>
        <v>0</v>
      </c>
      <c r="Z22" s="499" t="str">
        <f aca="false">IFERROR(__xludf.dummyfunction("if(isna(ABS(MINUS(SUM(FILTER(MatchSource!$H:$L,MatchSource!$H:$H=$B22)),SUM($X22)))),0,ABS(MINUS(SUM(FILTER(MatchSource!$H:$L,MatchSource!$H:$H=$B22)),SUM($X22))))"),"0")</f>
        <v>0</v>
      </c>
      <c r="AA22" s="499" t="str">
        <f aca="false">IFERROR(__xludf.dummyfunction("if(isna(ABS(MINUS(SUM(FILTER(MatchSource!$A:$F,MatchSource!$A:$A=$B22)),SUM($W22,$Y22)))),0,ABS(MINUS(SUM(FILTER(MatchSource!$A:$F,MatchSource!$A:$A=$B22)),SUM($W22, $Y22,))))"),"0")</f>
        <v>0</v>
      </c>
      <c r="AB22" s="501" t="str">
        <f aca="false">IFERROR(__xludf.dummyfunction("if(isna(ABS(MINUS(SUM(FILTER(MatchSource!$H:$M,MatchSource!$H:$H=$B22)),SUM($X22,$Z22)))),0,ABS(MINUS(SUM(FILTER(MatchSource!$H:$M,MatchSource!$H:$H=$B22)),SUM($X22,$Z22))))"),"0")</f>
        <v>0</v>
      </c>
      <c r="AC22" s="507" t="n">
        <f aca="false">SUM(IF(OR($R22="Grass",$R22="Psychic",$R22="Dark"),0-1,IF(OR($R22="Fighting",$R22="Flying",$R22="Fire",$R22="Ghost",$R22="Poison",$R22="Steel",$R22="Fairy"),1,0)),IF(OR($S22="Grass",$S22="Psychic",$S22="Dark"),0-1,IF(OR($S22="Fighting",$S22="Flying",$S22="Fire",$S22="Ghost",$S22="Poison",$S22="Steel",$S22="Fairy"),1,0)))</f>
        <v>1</v>
      </c>
      <c r="AD22" s="507" t="n">
        <f aca="false">SUM(IF(OR($R22="Ghost",$R22="Psychic"),0-1,IF(OR($R22="Fighting",$R22="Dark",$R22="Fairy"),1,0)),IF(OR($S22="Ghost",$S22="Psychic"),0-1,IF(OR($S22="Fighting",$S22="Dark",$S22="Fairy"),1,0)))</f>
        <v>0</v>
      </c>
      <c r="AE22" s="507" t="n">
        <f aca="false">IF(OR($R22="Fairy",$S22="Fairy"),4,SUM(IF($R22="Dragon",0-1,IF($R22="Steel",1,0)),IF($S22="Dragon",0-1,IF($S22="Steel",1,0))))</f>
        <v>0</v>
      </c>
      <c r="AF22" s="507" t="n">
        <f aca="false">IF(OR($R22="Ground",$S22="Ground"),4,SUM(IF(OR($R22="Flying",$R22="Water"),0-1,IF(OR($R22="Dragon",$R22="Electric",$R22="Grass"),1,0)),IF(OR($S22="Flying",$S22="Water"),0-1,IF(OR($S22="Dragon",$S22="Electric",$S22="Grass"),1,0))))</f>
        <v>0</v>
      </c>
      <c r="AG22" s="507" t="n">
        <f aca="false">SUM(IF(OR($R22="Dark",$R22="Dragon",$R22="Fighting"),0-1,IF(OR($R22="Steel",$R22="Poison",$R22="Fire"),1,0)),IF(OR($S22="Dark",$S22="Dragon",$S22="Fighting"),0-1,IF(OR($S22="Steel",$S22="Poison",$S22="Fire"),1,0)))</f>
        <v>1</v>
      </c>
      <c r="AH22" s="507" t="n">
        <f aca="false">IF(OR($R22="Ghost",$S22="Ghost"),4,SUM(IF(OR($R22="Dark",$R22="Ice",$R22="Normal",$R22="Rock",$R22="Steel"),0-1,IF(OR($R22="Bug",$R22="Fairy",$R22="Flying",$R22="Poison",$R22="Psychic"),1,0)),IF(OR($S22="Dark",$S22="Ice",$S22="Normal",$S22="Rock",$S22="Steel"),0-1,IF(OR($S22="Bug",$S22="Fairy",$S22="Flying",$S22="Poison",$S22="Psychic"),1,0))))</f>
        <v>0</v>
      </c>
      <c r="AI22" s="507" t="n">
        <f aca="false">SUM(IF(OR($R22="Bug",$R22="Grass",$R22="Ice",$R22="Steel"),0-1,IF(OR($R22="Dragon",$R22="Fire",$R22="Rock",$R22="Water"),1,0)),IF(OR($S22="Bug",$S22="Grass",$S22="Ice",$S22="Steel"),0-1,IF(OR($S22="Dragon",$S22="Fire",$S22="Rock",$S22="Water"),1,0)))</f>
        <v>1</v>
      </c>
      <c r="AJ22" s="507" t="n">
        <f aca="false">SUM(IF(OR($R22="Bug",$R22="Grass",$R22="Fighting"),0-1,IF(OR($R22="Electric",$R22="Rock",$R22="Steel"),1,0)),IF(OR($S22="Bug",$S22="Grass",$S22="Fighting"),0-1,IF(OR($S22="Electric",$S22="Rock",$S22="Steel"),1,0)))</f>
        <v>0</v>
      </c>
      <c r="AK22" s="507" t="n">
        <f aca="false">IF(OR($R22="Normal",$S22="Normal"),4,SUM(IF(OR($R22="Ghost",$R22="Psychic"),0-1,IF($R22="Dark",1,0)),IF(OR($S22="Ghost",$S22="Psychic"),0-1,IF($S22="Dark",1,0))))</f>
        <v>0</v>
      </c>
      <c r="AL22" s="507" t="n">
        <f aca="false">SUM(IF(OR($R22="Ground",$R22="Rock",$R22="Water"),0-1,IF(OR($R22="Bug",$R22="Flying",$R22="Fire",$R22="Dragon",$R22="Poison",$R22="Steel",$R22="Grass"),1,0)),IF(OR($S22="Ground",$S22="Rock",$S22="Water"),0-1,IF(OR($S22="Bug",$S22="Flying",$S22="Fire",$S22="Dragon",$S22="Poison",$S22="Steel",$S22="Grass"),1,0)))</f>
        <v>1</v>
      </c>
      <c r="AM22" s="507" t="n">
        <f aca="false">IF(OR($R22="Flying",$S22="Flying"),4,SUM(IF(OR($R22="Electric",$R22="Fire",$R22="Rock",$R22="Steel",$R22="Poison"),0-1,IF(OR($R22="Bug",$R22="Grass"),1,0)),IF(OR($S22="Electric",$S22="Fire",$S22="Rock",$S22="Steel",$S22="Poison"),0-1,IF(OR($S22="Bug",$S22="Grass"),1,0))))</f>
        <v>-1</v>
      </c>
      <c r="AN22" s="507" t="n">
        <f aca="false">SUM(IF(OR($R22="Flying",$R22="Dragon",$R22="Grass",$R22="Ground"),0-1,IF(OR($R22="Steel",$R22="Ice",$R22="Fire",$R22="Water"),1,0)),IF(OR($S22="Flying",$S22="Dragon",$S22="Grass",$S22="Ground"),0-1,IF(OR($S22="Steel",$S22="Ice",$S22="Fire",$S22="Water"),1,0)))</f>
        <v>1</v>
      </c>
      <c r="AO22" s="507" t="n">
        <f aca="false">IF(OR($R22="Ghost",$S22="Ghost"),4,SUM(IF(OR($R22="Steel",$R22="Rock"),1,0),IF(OR($S22="Steel",$S22="Rock"),1,0)))</f>
        <v>0</v>
      </c>
      <c r="AP22" s="507" t="n">
        <f aca="false">IF(OR($R22="Steel",$S22="Steel"),4,SUM(IF(OR($R22="Fairy",$R22="Grass"),0-1,IF(OR($R22="Ghost",$R22="Rock",$R22="Ground",$R22="Poison"),1,0)),IF(OR($S22="Fairy",$S22="Grass"),0-1,IF(OR($S22="Ghost",$S22="Rock",$S22="Ground",$S22="Poison"),1,0))))</f>
        <v>0</v>
      </c>
      <c r="AQ22" s="507" t="n">
        <f aca="false">IF(OR($R22="Dark",$S22="Dark"),4,SUM(IF(OR($R22="Fighting",$R22="Poison"),0-1,IF(OR($R22="Psychic",$R22="Steel"),1,0)),IF(OR($S22="Fighting",$S22="Poison"),0-1,IF(OR($S22="Psychic",$S22="Steel"),1,0))))</f>
        <v>0</v>
      </c>
      <c r="AR22" s="507" t="n">
        <f aca="false">SUM(IF(OR($R22="Bug",$R22="Fire",$R22="Flying",$R22="Ice"),0-1,IF(OR($R22="Steel",$R22="Fighting",$R22="Ground"),1,0)),IF(OR($S22="Bug",$S22="Fire",$S22="Flying",$S22="Ice"),0-1,IF(OR($S22="Steel",$S22="Fighting",$S22="Ground"),1,0)))</f>
        <v>-1</v>
      </c>
      <c r="AS22" s="507" t="n">
        <f aca="false">SUM(IF(OR($R22="Fairy",$R22="Ice",$R22="Rock"),0-1,IF(OR($R22="Steel",$R22="Electric",$R22="Fire",$R22="Water"),1,0)),IF(OR($S22="Fairy",$S22="Ice",$S22="Rock"),0-1,IF(OR($S22="Steel",$S22="Electric",$S22="Fire",$S22="Water"),1,0)))</f>
        <v>1</v>
      </c>
      <c r="AT22" s="508" t="n">
        <f aca="false">SUM(IF(OR($R22="Fire",$R22="Ground",$R22="Rock"),0-1,IF(OR($R22="Dragon",$R22="Grass",$R22="Water"),1,0)),IF(OR($S22="Fire",$S22="Ground",$S22="Rock"),0-1,IF(OR($S22="Dragon",$S22="Grass",$S22="Water"),1,0)))</f>
        <v>-1</v>
      </c>
      <c r="AU22" s="518"/>
    </row>
    <row r="23" customFormat="false" ht="15.75" hidden="false" customHeight="false" outlineLevel="0" collapsed="false">
      <c r="A23" s="515" t="str">
        <f aca="false" t="array" ref="A23:A23">IF(ISNA(INDEX(Source!$U$7:$U$95,MATCH(B23,Source!$V$7:$V$95,0))),"FREE",INDEX(Source!$U$7:$U$95,MATCH(B23,Source!$V$7:$V$95,0)))</f>
        <v>FREE</v>
      </c>
      <c r="B23" s="511" t="s">
        <v>358</v>
      </c>
      <c r="C23" s="511"/>
      <c r="D23" s="511"/>
      <c r="E23" s="499" t="str">
        <f aca="false">IF(SUM($W23:$X23)&gt;0,SUM($W23:$X23),IF($H23&gt;0,0,IF($H23&gt;0,0,"-")))</f>
        <v>-</v>
      </c>
      <c r="F23" s="499" t="str">
        <f aca="false">IF(SUM($Y23:$Z23)&gt;0,SUM($Y23:$Z23),IF($H23&gt;0,0,"-"))</f>
        <v>-</v>
      </c>
      <c r="G23" s="499" t="str">
        <f aca="false">IF($H23&gt;0,minus(E23,F23),"-")</f>
        <v>-</v>
      </c>
      <c r="H23" s="500" t="n">
        <f aca="false">SUM(COUNTIF(MatchSource!$A:$A,$B23),COUNTIF(MatchSource!$H:$H,$B23))</f>
        <v>0</v>
      </c>
      <c r="I23" s="501" t="n">
        <f aca="false">SUM($AA23:$AB23)</f>
        <v>0</v>
      </c>
      <c r="J23" s="501" t="s">
        <v>701</v>
      </c>
      <c r="K23" s="512" t="str">
        <f aca="false" t="array" ref="K23:K23">IF(ISNA(INDEX(DraftRosters!$AA$3:$AA$199,MATCH($B23,DraftRosters!$AB$3:$AB$199,0))),"FA",IF(INDEX(DraftRosters!$AA$3:$AA$199,MATCH($B23,DraftRosters!$AB$3:$AB$199,0))="Franchise","Franch",INDEX(DraftRosters!$AA$3:$AA$199,MATCH($B23,DraftRosters!$AB$3:$AB$199,0))))</f>
        <v>FA</v>
      </c>
      <c r="L23" s="499" t="n">
        <v>75</v>
      </c>
      <c r="M23" s="499" t="n">
        <v>140</v>
      </c>
      <c r="N23" s="499" t="n">
        <v>65</v>
      </c>
      <c r="O23" s="499" t="n">
        <v>112</v>
      </c>
      <c r="P23" s="499" t="n">
        <v>65</v>
      </c>
      <c r="Q23" s="501" t="n">
        <v>110</v>
      </c>
      <c r="R23" s="499" t="s">
        <v>801</v>
      </c>
      <c r="S23" s="501" t="s">
        <v>809</v>
      </c>
      <c r="T23" s="504" t="s">
        <v>854</v>
      </c>
      <c r="U23" s="505"/>
      <c r="V23" s="506"/>
      <c r="W23" s="500" t="str">
        <f aca="false">IFERROR(__xludf.dummyfunction("if(isna(SUM(FILTER(MatchSource!$A:$D,MatchSource!$A:$A=$B23))),0,SUM(FILTER(MatchSource!$A:$D,MatchSource!$A:$A=$B23)))"),"0")</f>
        <v>0</v>
      </c>
      <c r="X23" s="499" t="str">
        <f aca="false">IFERROR(__xludf.dummyfunction("if(isna(SUM(FILTER(MatchSource!$H:$K,MatchSource!$H:$H=$B23))),0,SUM(FILTER(MatchSource!$H:$K,MatchSource!$H:$H=$B23)))"),"0")</f>
        <v>0</v>
      </c>
      <c r="Y23" s="499" t="str">
        <f aca="false">IFERROR(__xludf.dummyfunction("if(isna(ABS(MINUS(SUM(FILTER(MatchSource!$A:$E,MatchSource!$A:$A=$B23)),SUM($W23)))),0,ABS(MINUS(SUM(FILTER(MatchSource!$A:$E,MatchSource!$A:$A=$B23)),SUM($W23))))"),"0")</f>
        <v>0</v>
      </c>
      <c r="Z23" s="499" t="str">
        <f aca="false">IFERROR(__xludf.dummyfunction("if(isna(ABS(MINUS(SUM(FILTER(MatchSource!$H:$L,MatchSource!$H:$H=$B23)),SUM($X23)))),0,ABS(MINUS(SUM(FILTER(MatchSource!$H:$L,MatchSource!$H:$H=$B23)),SUM($X23))))"),"0")</f>
        <v>0</v>
      </c>
      <c r="AA23" s="499" t="str">
        <f aca="false">IFERROR(__xludf.dummyfunction("if(isna(ABS(MINUS(SUM(FILTER(MatchSource!$A:$F,MatchSource!$A:$A=$B23)),SUM($W23,$Y23)))),0,ABS(MINUS(SUM(FILTER(MatchSource!$A:$F,MatchSource!$A:$A=$B23)),SUM($W23, $Y23,))))"),"0")</f>
        <v>0</v>
      </c>
      <c r="AB23" s="501" t="str">
        <f aca="false">IFERROR(__xludf.dummyfunction("if(isna(ABS(MINUS(SUM(FILTER(MatchSource!$H:$M,MatchSource!$H:$H=$B23)),SUM($X23,$Z23)))),0,ABS(MINUS(SUM(FILTER(MatchSource!$H:$M,MatchSource!$H:$H=$B23)),SUM($X23,$Z23))))"),"0")</f>
        <v>0</v>
      </c>
      <c r="AC23" s="507" t="n">
        <f aca="false">SUM(IF(OR($R23="Grass",$R23="Psychic",$R23="Dark"),0-1,IF(OR($R23="Fighting",$R23="Flying",$R23="Fire",$R23="Ghost",$R23="Poison",$R23="Steel",$R23="Fairy"),1,0)),IF(OR($S23="Grass",$S23="Psychic",$S23="Dark"),0-1,IF(OR($S23="Fighting",$S23="Flying",$S23="Fire",$S23="Ghost",$S23="Poison",$S23="Steel",$S23="Fairy"),1,0)))</f>
        <v>1</v>
      </c>
      <c r="AD23" s="507" t="n">
        <f aca="false">SUM(IF(OR($R23="Ghost",$R23="Psychic"),0-1,IF(OR($R23="Fighting",$R23="Dark",$R23="Fairy"),1,0)),IF(OR($S23="Ghost",$S23="Psychic"),0-1,IF(OR($S23="Fighting",$S23="Dark",$S23="Fairy"),1,0)))</f>
        <v>0</v>
      </c>
      <c r="AE23" s="507" t="n">
        <f aca="false">IF(OR($R23="Fairy",$S23="Fairy"),4,SUM(IF($R23="Dragon",0-1,IF($R23="Steel",1,0)),IF($S23="Dragon",0-1,IF($S23="Steel",1,0))))</f>
        <v>0</v>
      </c>
      <c r="AF23" s="507" t="n">
        <f aca="false">IF(OR($R23="Ground",$S23="Ground"),4,SUM(IF(OR($R23="Flying",$R23="Water"),0-1,IF(OR($R23="Dragon",$R23="Electric",$R23="Grass"),1,0)),IF(OR($S23="Flying",$S23="Water"),0-1,IF(OR($S23="Dragon",$S23="Electric",$S23="Grass"),1,0))))</f>
        <v>-1</v>
      </c>
      <c r="AG23" s="507" t="n">
        <f aca="false">SUM(IF(OR($R23="Dark",$R23="Dragon",$R23="Fighting"),0-1,IF(OR($R23="Steel",$R23="Poison",$R23="Fire"),1,0)),IF(OR($S23="Dark",$S23="Dragon",$S23="Fighting"),0-1,IF(OR($S23="Steel",$S23="Poison",$S23="Fire"),1,0)))</f>
        <v>0</v>
      </c>
      <c r="AH23" s="507" t="n">
        <f aca="false">IF(OR($R23="Ghost",$S23="Ghost"),4,SUM(IF(OR($R23="Dark",$R23="Ice",$R23="Normal",$R23="Rock",$R23="Steel"),0-1,IF(OR($R23="Bug",$R23="Fairy",$R23="Flying",$R23="Poison",$R23="Psychic"),1,0)),IF(OR($S23="Dark",$S23="Ice",$S23="Normal",$S23="Rock",$S23="Steel"),0-1,IF(OR($S23="Bug",$S23="Fairy",$S23="Flying",$S23="Poison",$S23="Psychic"),1,0))))</f>
        <v>0</v>
      </c>
      <c r="AI23" s="507" t="n">
        <f aca="false">SUM(IF(OR($R23="Bug",$R23="Grass",$R23="Ice",$R23="Steel"),0-1,IF(OR($R23="Dragon",$R23="Fire",$R23="Rock",$R23="Water"),1,0)),IF(OR($S23="Bug",$S23="Grass",$S23="Ice",$S23="Steel"),0-1,IF(OR($S23="Dragon",$S23="Fire",$S23="Rock",$S23="Water"),1,0)))</f>
        <v>1</v>
      </c>
      <c r="AJ23" s="507" t="n">
        <f aca="false">SUM(IF(OR($R23="Bug",$R23="Grass",$R23="Fighting"),0-1,IF(OR($R23="Electric",$R23="Rock",$R23="Steel"),1,0)),IF(OR($S23="Bug",$S23="Grass",$S23="Fighting"),0-1,IF(OR($S23="Electric",$S23="Rock",$S23="Steel"),1,0)))</f>
        <v>1</v>
      </c>
      <c r="AK23" s="507" t="n">
        <f aca="false">IF(OR($R23="Normal",$S23="Normal"),4,SUM(IF(OR($R23="Ghost",$R23="Psychic"),0-1,IF($R23="Dark",1,0)),IF(OR($S23="Ghost",$S23="Psychic"),0-1,IF($S23="Dark",1,0))))</f>
        <v>0</v>
      </c>
      <c r="AL23" s="507" t="n">
        <f aca="false">SUM(IF(OR($R23="Ground",$R23="Rock",$R23="Water"),0-1,IF(OR($R23="Bug",$R23="Flying",$R23="Fire",$R23="Dragon",$R23="Poison",$R23="Steel",$R23="Grass"),1,0)),IF(OR($S23="Ground",$S23="Rock",$S23="Water"),0-1,IF(OR($S23="Bug",$S23="Flying",$S23="Fire",$S23="Dragon",$S23="Poison",$S23="Steel",$S23="Grass"),1,0)))</f>
        <v>0</v>
      </c>
      <c r="AM23" s="507" t="n">
        <f aca="false">IF(OR($R23="Flying",$S23="Flying"),4,SUM(IF(OR($R23="Electric",$R23="Fire",$R23="Rock",$R23="Steel",$R23="Poison"),0-1,IF(OR($R23="Bug",$R23="Grass"),1,0)),IF(OR($S23="Electric",$S23="Fire",$S23="Rock",$S23="Steel",$S23="Poison"),0-1,IF(OR($S23="Bug",$S23="Grass"),1,0))))</f>
        <v>4</v>
      </c>
      <c r="AN23" s="507" t="n">
        <f aca="false">SUM(IF(OR($R23="Flying",$R23="Dragon",$R23="Grass",$R23="Ground"),0-1,IF(OR($R23="Steel",$R23="Ice",$R23="Fire",$R23="Water"),1,0)),IF(OR($S23="Flying",$S23="Dragon",$S23="Grass",$S23="Ground"),0-1,IF(OR($S23="Steel",$S23="Ice",$S23="Fire",$S23="Water"),1,0)))</f>
        <v>-1</v>
      </c>
      <c r="AO23" s="507" t="n">
        <f aca="false">IF(OR($R23="Ghost",$S23="Ghost"),4,SUM(IF(OR($R23="Steel",$R23="Rock"),1,0),IF(OR($S23="Steel",$S23="Rock"),1,0)))</f>
        <v>1</v>
      </c>
      <c r="AP23" s="507" t="n">
        <f aca="false">IF(OR($R23="Steel",$S23="Steel"),4,SUM(IF(OR($R23="Fairy",$R23="Grass"),0-1,IF(OR($R23="Ghost",$R23="Rock",$R23="Ground",$R23="Poison"),1,0)),IF(OR($S23="Fairy",$S23="Grass"),0-1,IF(OR($S23="Ghost",$S23="Rock",$S23="Ground",$S23="Poison"),1,0))))</f>
        <v>1</v>
      </c>
      <c r="AQ23" s="507" t="n">
        <f aca="false">IF(OR($R23="Dark",$S23="Dark"),4,SUM(IF(OR($R23="Fighting",$R23="Poison"),0-1,IF(OR($R23="Psychic",$R23="Steel"),1,0)),IF(OR($S23="Fighting",$S23="Poison"),0-1,IF(OR($S23="Psychic",$S23="Steel"),1,0))))</f>
        <v>0</v>
      </c>
      <c r="AR23" s="507" t="n">
        <f aca="false">SUM(IF(OR($R23="Bug",$R23="Fire",$R23="Flying",$R23="Ice"),0-1,IF(OR($R23="Steel",$R23="Fighting",$R23="Ground"),1,0)),IF(OR($S23="Bug",$S23="Fire",$S23="Flying",$S23="Ice"),0-1,IF(OR($S23="Steel",$S23="Fighting",$S23="Ground"),1,0)))</f>
        <v>-1</v>
      </c>
      <c r="AS23" s="507" t="n">
        <f aca="false">SUM(IF(OR($R23="Fairy",$R23="Ice",$R23="Rock"),0-1,IF(OR($R23="Steel",$R23="Electric",$R23="Fire",$R23="Water"),1,0)),IF(OR($S23="Fairy",$S23="Ice",$S23="Rock"),0-1,IF(OR($S23="Steel",$S23="Electric",$S23="Fire",$S23="Water"),1,0)))</f>
        <v>-1</v>
      </c>
      <c r="AT23" s="508" t="n">
        <f aca="false">SUM(IF(OR($R23="Fire",$R23="Ground",$R23="Rock"),0-1,IF(OR($R23="Dragon",$R23="Grass",$R23="Water"),1,0)),IF(OR($S23="Fire",$S23="Ground",$S23="Rock"),0-1,IF(OR($S23="Dragon",$S23="Grass",$S23="Water"),1,0)))</f>
        <v>-1</v>
      </c>
      <c r="AU23" s="518"/>
    </row>
    <row r="24" customFormat="false" ht="15.75" hidden="false" customHeight="false" outlineLevel="0" collapsed="false">
      <c r="A24" s="515" t="str">
        <f aca="false" t="array" ref="A24:A24">IF(ISNA(INDEX(Source!$U$7:$U$95,MATCH(B24,Source!$V$7:$V$95,0))),"FREE",INDEX(Source!$U$7:$U$95,MATCH(B24,Source!$V$7:$V$95,0)))</f>
        <v>FREE</v>
      </c>
      <c r="B24" s="511" t="s">
        <v>337</v>
      </c>
      <c r="C24" s="511"/>
      <c r="D24" s="511"/>
      <c r="E24" s="499" t="str">
        <f aca="false">IF(SUM($W24:$X24)&gt;0,SUM($W24:$X24),IF($H24&gt;0,0,IF($H24&gt;0,0,"-")))</f>
        <v>-</v>
      </c>
      <c r="F24" s="499" t="str">
        <f aca="false">IF(SUM($Y24:$Z24)&gt;0,SUM($Y24:$Z24),IF($H24&gt;0,0,"-"))</f>
        <v>-</v>
      </c>
      <c r="G24" s="499" t="str">
        <f aca="false">IF($H24&gt;0,minus(E24,F24),"-")</f>
        <v>-</v>
      </c>
      <c r="H24" s="500" t="n">
        <f aca="false">SUM(COUNTIF(MatchSource!$A:$A,$B24),COUNTIF(MatchSource!$H:$H,$B24))</f>
        <v>0</v>
      </c>
      <c r="I24" s="501" t="n">
        <f aca="false">SUM($AA24:$AB24)</f>
        <v>0</v>
      </c>
      <c r="J24" s="501" t="s">
        <v>702</v>
      </c>
      <c r="K24" s="512" t="str">
        <f aca="false" t="array" ref="K24:K24">IF(ISNA(INDEX(DraftRosters!$AA$3:$AA$199,MATCH($B24,DraftRosters!$AB$3:$AB$199,0))),"FA",IF(INDEX(DraftRosters!$AA$3:$AA$199,MATCH($B24,DraftRosters!$AB$3:$AB$199,0))="Franchise","Franch",INDEX(DraftRosters!$AA$3:$AA$199,MATCH($B24,DraftRosters!$AB$3:$AB$199,0))))</f>
        <v>FA</v>
      </c>
      <c r="L24" s="499" t="n">
        <v>70</v>
      </c>
      <c r="M24" s="499" t="n">
        <v>90</v>
      </c>
      <c r="N24" s="499" t="n">
        <v>70</v>
      </c>
      <c r="O24" s="499" t="n">
        <v>60</v>
      </c>
      <c r="P24" s="499" t="n">
        <v>70</v>
      </c>
      <c r="Q24" s="501" t="n">
        <v>40</v>
      </c>
      <c r="R24" s="499" t="s">
        <v>794</v>
      </c>
      <c r="S24" s="501" t="s">
        <v>843</v>
      </c>
      <c r="T24" s="504" t="s">
        <v>855</v>
      </c>
      <c r="U24" s="505" t="s">
        <v>856</v>
      </c>
      <c r="V24" s="506" t="s">
        <v>857</v>
      </c>
      <c r="W24" s="500" t="str">
        <f aca="false">IFERROR(__xludf.dummyfunction("if(isna(SUM(FILTER(MatchSource!$A:$D,MatchSource!$A:$A=$B24))),0,SUM(FILTER(MatchSource!$A:$D,MatchSource!$A:$A=$B24)))"),"0")</f>
        <v>0</v>
      </c>
      <c r="X24" s="499" t="str">
        <f aca="false">IFERROR(__xludf.dummyfunction("if(isna(SUM(FILTER(MatchSource!$H:$K,MatchSource!$H:$H=$B24))),0,SUM(FILTER(MatchSource!$H:$K,MatchSource!$H:$H=$B24)))"),"0")</f>
        <v>0</v>
      </c>
      <c r="Y24" s="499" t="str">
        <f aca="false">IFERROR(__xludf.dummyfunction("if(isna(ABS(MINUS(SUM(FILTER(MatchSource!$A:$E,MatchSource!$A:$A=$B24)),SUM($W24)))),0,ABS(MINUS(SUM(FILTER(MatchSource!$A:$E,MatchSource!$A:$A=$B24)),SUM($W24))))"),"0")</f>
        <v>0</v>
      </c>
      <c r="Z24" s="499" t="str">
        <f aca="false">IFERROR(__xludf.dummyfunction("if(isna(ABS(MINUS(SUM(FILTER(MatchSource!$H:$L,MatchSource!$H:$H=$B24)),SUM($X24)))),0,ABS(MINUS(SUM(FILTER(MatchSource!$H:$L,MatchSource!$H:$H=$B24)),SUM($X24))))"),"0")</f>
        <v>0</v>
      </c>
      <c r="AA24" s="499" t="str">
        <f aca="false">IFERROR(__xludf.dummyfunction("if(isna(ABS(MINUS(SUM(FILTER(MatchSource!$A:$F,MatchSource!$A:$A=$B24)),SUM($W24,$Y24)))),0,ABS(MINUS(SUM(FILTER(MatchSource!$A:$F,MatchSource!$A:$A=$B24)),SUM($W24, $Y24,))))"),"0")</f>
        <v>0</v>
      </c>
      <c r="AB24" s="501" t="str">
        <f aca="false">IFERROR(__xludf.dummyfunction("if(isna(ABS(MINUS(SUM(FILTER(MatchSource!$H:$M,MatchSource!$H:$H=$B24)),SUM($X24,$Z24)))),0,ABS(MINUS(SUM(FILTER(MatchSource!$H:$M,MatchSource!$H:$H=$B24)),SUM($X24,$Z24))))"),"0")</f>
        <v>0</v>
      </c>
      <c r="AC24" s="507" t="n">
        <f aca="false">SUM(IF(OR($R24="Grass",$R24="Psychic",$R24="Dark"),0-1,IF(OR($R24="Fighting",$R24="Flying",$R24="Fire",$R24="Ghost",$R24="Poison",$R24="Steel",$R24="Fairy"),1,0)),IF(OR($S24="Grass",$S24="Psychic",$S24="Dark"),0-1,IF(OR($S24="Fighting",$S24="Flying",$S24="Fire",$S24="Ghost",$S24="Poison",$S24="Steel",$S24="Fairy"),1,0)))</f>
        <v>1</v>
      </c>
      <c r="AD24" s="507" t="n">
        <f aca="false">SUM(IF(OR($R24="Ghost",$R24="Psychic"),0-1,IF(OR($R24="Fighting",$R24="Dark",$R24="Fairy"),1,0)),IF(OR($S24="Ghost",$S24="Psychic"),0-1,IF(OR($S24="Fighting",$S24="Dark",$S24="Fairy"),1,0)))</f>
        <v>0</v>
      </c>
      <c r="AE24" s="507" t="n">
        <f aca="false">IF(OR($R24="Fairy",$S24="Fairy"),4,SUM(IF($R24="Dragon",0-1,IF($R24="Steel",1,0)),IF($S24="Dragon",0-1,IF($S24="Steel",1,0))))</f>
        <v>0</v>
      </c>
      <c r="AF24" s="507" t="n">
        <f aca="false">IF(OR($R24="Ground",$S24="Ground"),4,SUM(IF(OR($R24="Flying",$R24="Water"),0-1,IF(OR($R24="Dragon",$R24="Electric",$R24="Grass"),1,0)),IF(OR($S24="Flying",$S24="Water"),0-1,IF(OR($S24="Dragon",$S24="Electric",$S24="Grass"),1,0))))</f>
        <v>0</v>
      </c>
      <c r="AG24" s="507" t="n">
        <f aca="false">SUM(IF(OR($R24="Dark",$R24="Dragon",$R24="Fighting"),0-1,IF(OR($R24="Steel",$R24="Poison",$R24="Fire"),1,0)),IF(OR($S24="Dark",$S24="Dragon",$S24="Fighting"),0-1,IF(OR($S24="Steel",$S24="Poison",$S24="Fire"),1,0)))</f>
        <v>1</v>
      </c>
      <c r="AH24" s="507" t="n">
        <f aca="false">IF(OR($R24="Ghost",$S24="Ghost"),4,SUM(IF(OR($R24="Dark",$R24="Ice",$R24="Normal",$R24="Rock",$R24="Steel"),0-1,IF(OR($R24="Bug",$R24="Fairy",$R24="Flying",$R24="Poison",$R24="Psychic"),1,0)),IF(OR($S24="Dark",$S24="Ice",$S24="Normal",$S24="Rock",$S24="Steel"),0-1,IF(OR($S24="Bug",$S24="Fairy",$S24="Flying",$S24="Poison",$S24="Psychic"),1,0))))</f>
        <v>2</v>
      </c>
      <c r="AI24" s="507" t="n">
        <f aca="false">SUM(IF(OR($R24="Bug",$R24="Grass",$R24="Ice",$R24="Steel"),0-1,IF(OR($R24="Dragon",$R24="Fire",$R24="Rock",$R24="Water"),1,0)),IF(OR($S24="Bug",$S24="Grass",$S24="Ice",$S24="Steel"),0-1,IF(OR($S24="Dragon",$S24="Fire",$S24="Rock",$S24="Water"),1,0)))</f>
        <v>-1</v>
      </c>
      <c r="AJ24" s="507" t="n">
        <f aca="false">SUM(IF(OR($R24="Bug",$R24="Grass",$R24="Fighting"),0-1,IF(OR($R24="Electric",$R24="Rock",$R24="Steel"),1,0)),IF(OR($S24="Bug",$S24="Grass",$S24="Fighting"),0-1,IF(OR($S24="Electric",$S24="Rock",$S24="Steel"),1,0)))</f>
        <v>-1</v>
      </c>
      <c r="AK24" s="507" t="n">
        <f aca="false">IF(OR($R24="Normal",$S24="Normal"),4,SUM(IF(OR($R24="Ghost",$R24="Psychic"),0-1,IF($R24="Dark",1,0)),IF(OR($S24="Ghost",$S24="Psychic"),0-1,IF($S24="Dark",1,0))))</f>
        <v>0</v>
      </c>
      <c r="AL24" s="507" t="n">
        <f aca="false">SUM(IF(OR($R24="Ground",$R24="Rock",$R24="Water"),0-1,IF(OR($R24="Bug",$R24="Flying",$R24="Fire",$R24="Dragon",$R24="Poison",$R24="Steel",$R24="Grass"),1,0)),IF(OR($S24="Ground",$S24="Rock",$S24="Water"),0-1,IF(OR($S24="Bug",$S24="Flying",$S24="Fire",$S24="Dragon",$S24="Poison",$S24="Steel",$S24="Grass"),1,0)))</f>
        <v>2</v>
      </c>
      <c r="AM24" s="507" t="n">
        <f aca="false">IF(OR($R24="Flying",$S24="Flying"),4,SUM(IF(OR($R24="Electric",$R24="Fire",$R24="Rock",$R24="Steel",$R24="Poison"),0-1,IF(OR($R24="Bug",$R24="Grass"),1,0)),IF(OR($S24="Electric",$S24="Fire",$S24="Rock",$S24="Steel",$S24="Poison"),0-1,IF(OR($S24="Bug",$S24="Grass"),1,0))))</f>
        <v>0</v>
      </c>
      <c r="AN24" s="507" t="n">
        <f aca="false">SUM(IF(OR($R24="Flying",$R24="Dragon",$R24="Grass",$R24="Ground"),0-1,IF(OR($R24="Steel",$R24="Ice",$R24="Fire",$R24="Water"),1,0)),IF(OR($S24="Flying",$S24="Dragon",$S24="Grass",$S24="Ground"),0-1,IF(OR($S24="Steel",$S24="Ice",$S24="Fire",$S24="Water"),1,0)))</f>
        <v>0</v>
      </c>
      <c r="AO24" s="507" t="n">
        <f aca="false">IF(OR($R24="Ghost",$S24="Ghost"),4,SUM(IF(OR($R24="Steel",$R24="Rock"),1,0),IF(OR($S24="Steel",$S24="Rock"),1,0)))</f>
        <v>0</v>
      </c>
      <c r="AP24" s="507" t="n">
        <f aca="false">IF(OR($R24="Steel",$S24="Steel"),4,SUM(IF(OR($R24="Fairy",$R24="Grass"),0-1,IF(OR($R24="Ghost",$R24="Rock",$R24="Ground",$R24="Poison"),1,0)),IF(OR($S24="Fairy",$S24="Grass"),0-1,IF(OR($S24="Ghost",$S24="Rock",$S24="Ground",$S24="Poison"),1,0))))</f>
        <v>1</v>
      </c>
      <c r="AQ24" s="507" t="n">
        <f aca="false">IF(OR($R24="Dark",$S24="Dark"),4,SUM(IF(OR($R24="Fighting",$R24="Poison"),0-1,IF(OR($R24="Psychic",$R24="Steel"),1,0)),IF(OR($S24="Fighting",$S24="Poison"),0-1,IF(OR($S24="Psychic",$S24="Steel"),1,0))))</f>
        <v>-1</v>
      </c>
      <c r="AR24" s="507" t="n">
        <f aca="false">SUM(IF(OR($R24="Bug",$R24="Fire",$R24="Flying",$R24="Ice"),0-1,IF(OR($R24="Steel",$R24="Fighting",$R24="Ground"),1,0)),IF(OR($S24="Bug",$S24="Fire",$S24="Flying",$S24="Ice"),0-1,IF(OR($S24="Steel",$S24="Fighting",$S24="Ground"),1,0)))</f>
        <v>-1</v>
      </c>
      <c r="AS24" s="507" t="n">
        <f aca="false">SUM(IF(OR($R24="Fairy",$R24="Ice",$R24="Rock"),0-1,IF(OR($R24="Steel",$R24="Electric",$R24="Fire",$R24="Water"),1,0)),IF(OR($S24="Fairy",$S24="Ice",$S24="Rock"),0-1,IF(OR($S24="Steel",$S24="Electric",$S24="Fire",$S24="Water"),1,0)))</f>
        <v>0</v>
      </c>
      <c r="AT24" s="508" t="n">
        <f aca="false">SUM(IF(OR($R24="Fire",$R24="Ground",$R24="Rock"),0-1,IF(OR($R24="Dragon",$R24="Grass",$R24="Water"),1,0)),IF(OR($S24="Fire",$S24="Ground",$S24="Rock"),0-1,IF(OR($S24="Dragon",$S24="Grass",$S24="Water"),1,0)))</f>
        <v>0</v>
      </c>
      <c r="AU24" s="518"/>
    </row>
    <row r="25" customFormat="false" ht="15.75" hidden="false" customHeight="false" outlineLevel="0" collapsed="false">
      <c r="A25" s="497" t="str">
        <f aca="false" t="array" ref="A25:A25">IF(ISNA(INDEX(Source!$U$7:$U$95,MATCH(B25,Source!$V$7:$V$95,0))),"FREE",INDEX(Source!$U$7:$U$95,MATCH(B25,Source!$V$7:$V$95,0)))</f>
        <v>FREE</v>
      </c>
      <c r="B25" s="511" t="s">
        <v>344</v>
      </c>
      <c r="C25" s="511"/>
      <c r="D25" s="511"/>
      <c r="E25" s="499" t="str">
        <f aca="false">IF(SUM($W25:$X25)&gt;0,SUM($W25:$X25),IF($H25&gt;0,0,IF($H25&gt;0,0,"-")))</f>
        <v>-</v>
      </c>
      <c r="F25" s="499" t="str">
        <f aca="false">IF(SUM($Y25:$Z25)&gt;0,SUM($Y25:$Z25),IF($H25&gt;0,0,"-"))</f>
        <v>-</v>
      </c>
      <c r="G25" s="499" t="str">
        <f aca="false">IF($H25&gt;0,minus(E25,F25),"-")</f>
        <v>-</v>
      </c>
      <c r="H25" s="500" t="n">
        <f aca="false">SUM(COUNTIF(MatchSource!$A:$A,$B25),COUNTIF(MatchSource!$H:$H,$B25))</f>
        <v>0</v>
      </c>
      <c r="I25" s="501" t="n">
        <f aca="false">SUM($AA25:$AB25)</f>
        <v>0</v>
      </c>
      <c r="J25" s="501" t="s">
        <v>702</v>
      </c>
      <c r="K25" s="512" t="str">
        <f aca="false" t="array" ref="K25:K25">IF(ISNA(INDEX(DraftRosters!$AA$3:$AA$199,MATCH($B25,DraftRosters!$AB$3:$AB$199,0))),"FA",IF(INDEX(DraftRosters!$AA$3:$AA$199,MATCH($B25,DraftRosters!$AB$3:$AB$199,0))="Franchise","Franch",INDEX(DraftRosters!$AA$3:$AA$199,MATCH($B25,DraftRosters!$AB$3:$AB$199,0))))</f>
        <v>FA</v>
      </c>
      <c r="L25" s="499" t="n">
        <v>75</v>
      </c>
      <c r="M25" s="499" t="n">
        <v>125</v>
      </c>
      <c r="N25" s="499" t="n">
        <v>100</v>
      </c>
      <c r="O25" s="499" t="n">
        <v>70</v>
      </c>
      <c r="P25" s="499" t="n">
        <v>80</v>
      </c>
      <c r="Q25" s="501" t="n">
        <v>45</v>
      </c>
      <c r="R25" s="499" t="s">
        <v>794</v>
      </c>
      <c r="S25" s="501" t="s">
        <v>809</v>
      </c>
      <c r="T25" s="504" t="s">
        <v>858</v>
      </c>
      <c r="U25" s="505" t="s">
        <v>859</v>
      </c>
      <c r="V25" s="506"/>
      <c r="W25" s="500" t="str">
        <f aca="false">IFERROR(__xludf.dummyfunction("if(isna(SUM(FILTER(MatchSource!$A:$D,MatchSource!$A:$A=$B25))),0,SUM(FILTER(MatchSource!$A:$D,MatchSource!$A:$A=$B25)))"),"0")</f>
        <v>0</v>
      </c>
      <c r="X25" s="499" t="str">
        <f aca="false">IFERROR(__xludf.dummyfunction("if(isna(SUM(FILTER(MatchSource!$H:$K,MatchSource!$H:$H=$B25))),0,SUM(FILTER(MatchSource!$H:$K,MatchSource!$H:$H=$B25)))"),"0")</f>
        <v>0</v>
      </c>
      <c r="Y25" s="499" t="str">
        <f aca="false">IFERROR(__xludf.dummyfunction("if(isna(ABS(MINUS(SUM(FILTER(MatchSource!$A:$E,MatchSource!$A:$A=$B25)),SUM($W25)))),0,ABS(MINUS(SUM(FILTER(MatchSource!$A:$E,MatchSource!$A:$A=$B25)),SUM($W25))))"),"0")</f>
        <v>0</v>
      </c>
      <c r="Z25" s="499" t="str">
        <f aca="false">IFERROR(__xludf.dummyfunction("if(isna(ABS(MINUS(SUM(FILTER(MatchSource!$H:$L,MatchSource!$H:$H=$B25)),SUM($X25)))),0,ABS(MINUS(SUM(FILTER(MatchSource!$H:$L,MatchSource!$H:$H=$B25)),SUM($X25))))"),"0")</f>
        <v>0</v>
      </c>
      <c r="AA25" s="499" t="str">
        <f aca="false">IFERROR(__xludf.dummyfunction("if(isna(ABS(MINUS(SUM(FILTER(MatchSource!$A:$F,MatchSource!$A:$A=$B25)),SUM($W25,$Y25)))),0,ABS(MINUS(SUM(FILTER(MatchSource!$A:$F,MatchSource!$A:$A=$B25)),SUM($W25, $Y25,))))"),"0")</f>
        <v>0</v>
      </c>
      <c r="AB25" s="501" t="str">
        <f aca="false">IFERROR(__xludf.dummyfunction("if(isna(ABS(MINUS(SUM(FILTER(MatchSource!$H:$M,MatchSource!$H:$H=$B25)),SUM($X25,$Z25)))),0,ABS(MINUS(SUM(FILTER(MatchSource!$H:$M,MatchSource!$H:$H=$B25)),SUM($X25,$Z25))))"),"0")</f>
        <v>0</v>
      </c>
      <c r="AC25" s="507" t="n">
        <f aca="false">SUM(IF(OR($R25="Grass",$R25="Psychic",$R25="Dark"),0-1,IF(OR($R25="Fighting",$R25="Flying",$R25="Fire",$R25="Ghost",$R25="Poison",$R25="Steel",$R25="Fairy"),1,0)),IF(OR($S25="Grass",$S25="Psychic",$S25="Dark"),0-1,IF(OR($S25="Fighting",$S25="Flying",$S25="Fire",$S25="Ghost",$S25="Poison",$S25="Steel",$S25="Fairy"),1,0)))</f>
        <v>0</v>
      </c>
      <c r="AD25" s="507" t="n">
        <f aca="false">SUM(IF(OR($R25="Ghost",$R25="Psychic"),0-1,IF(OR($R25="Fighting",$R25="Dark",$R25="Fairy"),1,0)),IF(OR($S25="Ghost",$S25="Psychic"),0-1,IF(OR($S25="Fighting",$S25="Dark",$S25="Fairy"),1,0)))</f>
        <v>0</v>
      </c>
      <c r="AE25" s="507" t="n">
        <f aca="false">IF(OR($R25="Fairy",$S25="Fairy"),4,SUM(IF($R25="Dragon",0-1,IF($R25="Steel",1,0)),IF($S25="Dragon",0-1,IF($S25="Steel",1,0))))</f>
        <v>0</v>
      </c>
      <c r="AF25" s="507" t="n">
        <f aca="false">IF(OR($R25="Ground",$S25="Ground"),4,SUM(IF(OR($R25="Flying",$R25="Water"),0-1,IF(OR($R25="Dragon",$R25="Electric",$R25="Grass"),1,0)),IF(OR($S25="Flying",$S25="Water"),0-1,IF(OR($S25="Dragon",$S25="Electric",$S25="Grass"),1,0))))</f>
        <v>0</v>
      </c>
      <c r="AG25" s="507" t="n">
        <f aca="false">SUM(IF(OR($R25="Dark",$R25="Dragon",$R25="Fighting"),0-1,IF(OR($R25="Steel",$R25="Poison",$R25="Fire"),1,0)),IF(OR($S25="Dark",$S25="Dragon",$S25="Fighting"),0-1,IF(OR($S25="Steel",$S25="Poison",$S25="Fire"),1,0)))</f>
        <v>0</v>
      </c>
      <c r="AH25" s="507" t="n">
        <f aca="false">IF(OR($R25="Ghost",$S25="Ghost"),4,SUM(IF(OR($R25="Dark",$R25="Ice",$R25="Normal",$R25="Rock",$R25="Steel"),0-1,IF(OR($R25="Bug",$R25="Fairy",$R25="Flying",$R25="Poison",$R25="Psychic"),1,0)),IF(OR($S25="Dark",$S25="Ice",$S25="Normal",$S25="Rock",$S25="Steel"),0-1,IF(OR($S25="Bug",$S25="Fairy",$S25="Flying",$S25="Poison",$S25="Psychic"),1,0))))</f>
        <v>0</v>
      </c>
      <c r="AI25" s="507" t="n">
        <f aca="false">SUM(IF(OR($R25="Bug",$R25="Grass",$R25="Ice",$R25="Steel"),0-1,IF(OR($R25="Dragon",$R25="Fire",$R25="Rock",$R25="Water"),1,0)),IF(OR($S25="Bug",$S25="Grass",$S25="Ice",$S25="Steel"),0-1,IF(OR($S25="Dragon",$S25="Fire",$S25="Rock",$S25="Water"),1,0)))</f>
        <v>0</v>
      </c>
      <c r="AJ25" s="507" t="n">
        <f aca="false">SUM(IF(OR($R25="Bug",$R25="Grass",$R25="Fighting"),0-1,IF(OR($R25="Electric",$R25="Rock",$R25="Steel"),1,0)),IF(OR($S25="Bug",$S25="Grass",$S25="Fighting"),0-1,IF(OR($S25="Electric",$S25="Rock",$S25="Steel"),1,0)))</f>
        <v>0</v>
      </c>
      <c r="AK25" s="507" t="n">
        <f aca="false">IF(OR($R25="Normal",$S25="Normal"),4,SUM(IF(OR($R25="Ghost",$R25="Psychic"),0-1,IF($R25="Dark",1,0)),IF(OR($S25="Ghost",$S25="Psychic"),0-1,IF($S25="Dark",1,0))))</f>
        <v>0</v>
      </c>
      <c r="AL25" s="507" t="n">
        <f aca="false">SUM(IF(OR($R25="Ground",$R25="Rock",$R25="Water"),0-1,IF(OR($R25="Bug",$R25="Flying",$R25="Fire",$R25="Dragon",$R25="Poison",$R25="Steel",$R25="Grass"),1,0)),IF(OR($S25="Ground",$S25="Rock",$S25="Water"),0-1,IF(OR($S25="Bug",$S25="Flying",$S25="Fire",$S25="Dragon",$S25="Poison",$S25="Steel",$S25="Grass"),1,0)))</f>
        <v>0</v>
      </c>
      <c r="AM25" s="507" t="n">
        <f aca="false">IF(OR($R25="Flying",$S25="Flying"),4,SUM(IF(OR($R25="Electric",$R25="Fire",$R25="Rock",$R25="Steel",$R25="Poison"),0-1,IF(OR($R25="Bug",$R25="Grass"),1,0)),IF(OR($S25="Electric",$S25="Fire",$S25="Rock",$S25="Steel",$S25="Poison"),0-1,IF(OR($S25="Bug",$S25="Grass"),1,0))))</f>
        <v>0</v>
      </c>
      <c r="AN25" s="507" t="n">
        <f aca="false">SUM(IF(OR($R25="Flying",$R25="Dragon",$R25="Grass",$R25="Ground"),0-1,IF(OR($R25="Steel",$R25="Ice",$R25="Fire",$R25="Water"),1,0)),IF(OR($S25="Flying",$S25="Dragon",$S25="Grass",$S25="Ground"),0-1,IF(OR($S25="Steel",$S25="Ice",$S25="Fire",$S25="Water"),1,0)))</f>
        <v>0</v>
      </c>
      <c r="AO25" s="507" t="n">
        <f aca="false">IF(OR($R25="Ghost",$S25="Ghost"),4,SUM(IF(OR($R25="Steel",$R25="Rock"),1,0),IF(OR($S25="Steel",$S25="Rock"),1,0)))</f>
        <v>1</v>
      </c>
      <c r="AP25" s="507" t="n">
        <f aca="false">IF(OR($R25="Steel",$S25="Steel"),4,SUM(IF(OR($R25="Fairy",$R25="Grass"),0-1,IF(OR($R25="Ghost",$R25="Rock",$R25="Ground",$R25="Poison"),1,0)),IF(OR($S25="Fairy",$S25="Grass"),0-1,IF(OR($S25="Ghost",$S25="Rock",$S25="Ground",$S25="Poison"),1,0))))</f>
        <v>1</v>
      </c>
      <c r="AQ25" s="507" t="n">
        <f aca="false">IF(OR($R25="Dark",$S25="Dark"),4,SUM(IF(OR($R25="Fighting",$R25="Poison"),0-1,IF(OR($R25="Psychic",$R25="Steel"),1,0)),IF(OR($S25="Fighting",$S25="Poison"),0-1,IF(OR($S25="Psychic",$S25="Steel"),1,0))))</f>
        <v>0</v>
      </c>
      <c r="AR25" s="507" t="n">
        <f aca="false">SUM(IF(OR($R25="Bug",$R25="Fire",$R25="Flying",$R25="Ice"),0-1,IF(OR($R25="Steel",$R25="Fighting",$R25="Ground"),1,0)),IF(OR($S25="Bug",$S25="Fire",$S25="Flying",$S25="Ice"),0-1,IF(OR($S25="Steel",$S25="Fighting",$S25="Ground"),1,0)))</f>
        <v>-1</v>
      </c>
      <c r="AS25" s="507" t="n">
        <f aca="false">SUM(IF(OR($R25="Fairy",$R25="Ice",$R25="Rock"),0-1,IF(OR($R25="Steel",$R25="Electric",$R25="Fire",$R25="Water"),1,0)),IF(OR($S25="Fairy",$S25="Ice",$S25="Rock"),0-1,IF(OR($S25="Steel",$S25="Electric",$S25="Fire",$S25="Water"),1,0)))</f>
        <v>-1</v>
      </c>
      <c r="AT25" s="508" t="n">
        <f aca="false">SUM(IF(OR($R25="Fire",$R25="Ground",$R25="Rock"),0-1,IF(OR($R25="Dragon",$R25="Grass",$R25="Water"),1,0)),IF(OR($S25="Fire",$S25="Ground",$S25="Rock"),0-1,IF(OR($S25="Dragon",$S25="Grass",$S25="Water"),1,0)))</f>
        <v>-1</v>
      </c>
      <c r="AU25" s="518"/>
    </row>
    <row r="26" customFormat="false" ht="15.75" hidden="false" customHeight="false" outlineLevel="0" collapsed="false">
      <c r="A26" s="510" t="str">
        <f aca="false" t="array" ref="A26:A26">IF(ISNA(INDEX(Source!$U$7:$U$95,MATCH(B26,Source!$V$7:$V$95,0))),"FREE",INDEX(Source!$U$7:$U$95,MATCH(B26,Source!$V$7:$V$95,0)))</f>
        <v>FREE</v>
      </c>
      <c r="B26" s="511" t="s">
        <v>364</v>
      </c>
      <c r="C26" s="511"/>
      <c r="D26" s="511"/>
      <c r="E26" s="499" t="str">
        <f aca="false">IF(SUM($W26:$X26)&gt;0,SUM($W26:$X26),IF($H26&gt;0,0,IF($H26&gt;0,0,"-")))</f>
        <v>-</v>
      </c>
      <c r="F26" s="499" t="str">
        <f aca="false">IF(SUM($Y26:$Z26)&gt;0,SUM($Y26:$Z26),IF($H26&gt;0,0,"-"))</f>
        <v>-</v>
      </c>
      <c r="G26" s="499" t="str">
        <f aca="false">IF($H26&gt;0,minus(E26,F26),"-")</f>
        <v>-</v>
      </c>
      <c r="H26" s="500" t="n">
        <f aca="false">SUM(COUNTIF(MatchSource!$A:$A,$B26),COUNTIF(MatchSource!$H:$H,$B26))</f>
        <v>0</v>
      </c>
      <c r="I26" s="501" t="n">
        <f aca="false">SUM($AA26:$AB26)</f>
        <v>0</v>
      </c>
      <c r="J26" s="501" t="s">
        <v>701</v>
      </c>
      <c r="K26" s="512" t="str">
        <f aca="false" t="array" ref="K26:K26">IF(ISNA(INDEX(DraftRosters!$AA$3:$AA$199,MATCH($B26,DraftRosters!$AB$3:$AB$199,0))),"FA",IF(INDEX(DraftRosters!$AA$3:$AA$199,MATCH($B26,DraftRosters!$AB$3:$AB$199,0))="Franchise","Franch",INDEX(DraftRosters!$AA$3:$AA$199,MATCH($B26,DraftRosters!$AB$3:$AB$199,0))))</f>
        <v>FA</v>
      </c>
      <c r="L26" s="507" t="n">
        <v>101</v>
      </c>
      <c r="M26" s="507" t="n">
        <v>72</v>
      </c>
      <c r="N26" s="507" t="n">
        <v>72</v>
      </c>
      <c r="O26" s="507" t="n">
        <v>99</v>
      </c>
      <c r="P26" s="507" t="n">
        <v>89</v>
      </c>
      <c r="Q26" s="508" t="n">
        <v>29</v>
      </c>
      <c r="R26" s="499" t="s">
        <v>798</v>
      </c>
      <c r="S26" s="501"/>
      <c r="T26" s="504" t="s">
        <v>860</v>
      </c>
      <c r="U26" s="505" t="s">
        <v>833</v>
      </c>
      <c r="V26" s="506"/>
      <c r="W26" s="500" t="str">
        <f aca="false">IFERROR(__xludf.dummyfunction("if(isna(SUM(FILTER(MatchSource!$A:$D,MatchSource!$A:$A=$B26))),0,SUM(FILTER(MatchSource!$A:$D,MatchSource!$A:$A=$B26)))"),"0")</f>
        <v>0</v>
      </c>
      <c r="X26" s="499" t="str">
        <f aca="false">IFERROR(__xludf.dummyfunction("if(isna(SUM(FILTER(MatchSource!$H:$K,MatchSource!$H:$H=$B26))),0,SUM(FILTER(MatchSource!$H:$K,MatchSource!$H:$H=$B26)))"),"0")</f>
        <v>0</v>
      </c>
      <c r="Y26" s="499" t="str">
        <f aca="false">IFERROR(__xludf.dummyfunction("if(isna(ABS(MINUS(SUM(FILTER(MatchSource!$A:$E,MatchSource!$A:$A=$B26)),SUM($W26)))),0,ABS(MINUS(SUM(FILTER(MatchSource!$A:$E,MatchSource!$A:$A=$B26)),SUM($W26))))"),"0")</f>
        <v>0</v>
      </c>
      <c r="Z26" s="499" t="str">
        <f aca="false">IFERROR(__xludf.dummyfunction("if(isna(ABS(MINUS(SUM(FILTER(MatchSource!$H:$L,MatchSource!$H:$H=$B26)),SUM($X26)))),0,ABS(MINUS(SUM(FILTER(MatchSource!$H:$L,MatchSource!$H:$H=$B26)),SUM($X26))))"),"0")</f>
        <v>0</v>
      </c>
      <c r="AA26" s="499" t="str">
        <f aca="false">IFERROR(__xludf.dummyfunction("if(isna(ABS(MINUS(SUM(FILTER(MatchSource!$A:$F,MatchSource!$A:$A=$B26)),SUM($W26,$Y26)))),0,ABS(MINUS(SUM(FILTER(MatchSource!$A:$F,MatchSource!$A:$A=$B26)),SUM($W26, $Y26,))))"),"0")</f>
        <v>0</v>
      </c>
      <c r="AB26" s="501" t="str">
        <f aca="false">IFERROR(__xludf.dummyfunction("if(isna(ABS(MINUS(SUM(FILTER(MatchSource!$H:$M,MatchSource!$H:$H=$B26)),SUM($X26,$Z26)))),0,ABS(MINUS(SUM(FILTER(MatchSource!$H:$M,MatchSource!$H:$H=$B26)),SUM($X26,$Z26))))"),"0")</f>
        <v>0</v>
      </c>
      <c r="AC26" s="507" t="n">
        <f aca="false">SUM(IF(OR($R26="Grass",$R26="Psychic",$R26="Dark"),0-1,IF(OR($R26="Fighting",$R26="Flying",$R26="Fire",$R26="Ghost",$R26="Poison",$R26="Steel",$R26="Fairy"),1,0)),IF(OR($S26="Grass",$S26="Psychic",$S26="Dark"),0-1,IF(OR($S26="Fighting",$S26="Flying",$S26="Fire",$S26="Ghost",$S26="Poison",$S26="Steel",$S26="Fairy"),1,0)))</f>
        <v>1</v>
      </c>
      <c r="AD26" s="507" t="n">
        <f aca="false">SUM(IF(OR($R26="Ghost",$R26="Psychic"),0-1,IF(OR($R26="Fighting",$R26="Dark",$R26="Fairy"),1,0)),IF(OR($S26="Ghost",$S26="Psychic"),0-1,IF(OR($S26="Fighting",$S26="Dark",$S26="Fairy"),1,0)))</f>
        <v>1</v>
      </c>
      <c r="AE26" s="507" t="n">
        <f aca="false">IF(OR($R26="Fairy",$S26="Fairy"),4,SUM(IF($R26="Dragon",0-1,IF($R26="Steel",1,0)),IF($S26="Dragon",0-1,IF($S26="Steel",1,0))))</f>
        <v>4</v>
      </c>
      <c r="AF26" s="507" t="n">
        <f aca="false">IF(OR($R26="Ground",$S26="Ground"),4,SUM(IF(OR($R26="Flying",$R26="Water"),0-1,IF(OR($R26="Dragon",$R26="Electric",$R26="Grass"),1,0)),IF(OR($S26="Flying",$S26="Water"),0-1,IF(OR($S26="Dragon",$S26="Electric",$S26="Grass"),1,0))))</f>
        <v>0</v>
      </c>
      <c r="AG26" s="507" t="n">
        <f aca="false">SUM(IF(OR($R26="Dark",$R26="Dragon",$R26="Fighting"),0-1,IF(OR($R26="Steel",$R26="Poison",$R26="Fire"),1,0)),IF(OR($S26="Dark",$S26="Dragon",$S26="Fighting"),0-1,IF(OR($S26="Steel",$S26="Poison",$S26="Fire"),1,0)))</f>
        <v>0</v>
      </c>
      <c r="AH26" s="507" t="n">
        <f aca="false">IF(OR($R26="Ghost",$S26="Ghost"),4,SUM(IF(OR($R26="Dark",$R26="Ice",$R26="Normal",$R26="Rock",$R26="Steel"),0-1,IF(OR($R26="Bug",$R26="Fairy",$R26="Flying",$R26="Poison",$R26="Psychic"),1,0)),IF(OR($S26="Dark",$S26="Ice",$S26="Normal",$S26="Rock",$S26="Steel"),0-1,IF(OR($S26="Bug",$S26="Fairy",$S26="Flying",$S26="Poison",$S26="Psychic"),1,0))))</f>
        <v>1</v>
      </c>
      <c r="AI26" s="507" t="n">
        <f aca="false">SUM(IF(OR($R26="Bug",$R26="Grass",$R26="Ice",$R26="Steel"),0-1,IF(OR($R26="Dragon",$R26="Fire",$R26="Rock",$R26="Water"),1,0)),IF(OR($S26="Bug",$S26="Grass",$S26="Ice",$S26="Steel"),0-1,IF(OR($S26="Dragon",$S26="Fire",$S26="Rock",$S26="Water"),1,0)))</f>
        <v>0</v>
      </c>
      <c r="AJ26" s="507" t="n">
        <f aca="false">SUM(IF(OR($R26="Bug",$R26="Grass",$R26="Fighting"),0-1,IF(OR($R26="Electric",$R26="Rock",$R26="Steel"),1,0)),IF(OR($S26="Bug",$S26="Grass",$S26="Fighting"),0-1,IF(OR($S26="Electric",$S26="Rock",$S26="Steel"),1,0)))</f>
        <v>0</v>
      </c>
      <c r="AK26" s="507" t="n">
        <f aca="false">IF(OR($R26="Normal",$S26="Normal"),4,SUM(IF(OR($R26="Ghost",$R26="Psychic"),0-1,IF($R26="Dark",1,0)),IF(OR($S26="Ghost",$S26="Psychic"),0-1,IF($S26="Dark",1,0))))</f>
        <v>0</v>
      </c>
      <c r="AL26" s="507" t="n">
        <f aca="false">SUM(IF(OR($R26="Ground",$R26="Rock",$R26="Water"),0-1,IF(OR($R26="Bug",$R26="Flying",$R26="Fire",$R26="Dragon",$R26="Poison",$R26="Steel",$R26="Grass"),1,0)),IF(OR($S26="Ground",$S26="Rock",$S26="Water"),0-1,IF(OR($S26="Bug",$S26="Flying",$S26="Fire",$S26="Dragon",$S26="Poison",$S26="Steel",$S26="Grass"),1,0)))</f>
        <v>0</v>
      </c>
      <c r="AM26" s="507" t="n">
        <f aca="false">IF(OR($R26="Flying",$S26="Flying"),4,SUM(IF(OR($R26="Electric",$R26="Fire",$R26="Rock",$R26="Steel",$R26="Poison"),0-1,IF(OR($R26="Bug",$R26="Grass"),1,0)),IF(OR($S26="Electric",$S26="Fire",$S26="Rock",$S26="Steel",$S26="Poison"),0-1,IF(OR($S26="Bug",$S26="Grass"),1,0))))</f>
        <v>0</v>
      </c>
      <c r="AN26" s="507" t="n">
        <f aca="false">SUM(IF(OR($R26="Flying",$R26="Dragon",$R26="Grass",$R26="Ground"),0-1,IF(OR($R26="Steel",$R26="Ice",$R26="Fire",$R26="Water"),1,0)),IF(OR($S26="Flying",$S26="Dragon",$S26="Grass",$S26="Ground"),0-1,IF(OR($S26="Steel",$S26="Ice",$S26="Fire",$S26="Water"),1,0)))</f>
        <v>0</v>
      </c>
      <c r="AO26" s="507" t="n">
        <f aca="false">IF(OR($R26="Ghost",$S26="Ghost"),4,SUM(IF(OR($R26="Steel",$R26="Rock"),1,0),IF(OR($S26="Steel",$S26="Rock"),1,0)))</f>
        <v>0</v>
      </c>
      <c r="AP26" s="507" t="n">
        <f aca="false">IF(OR($R26="Steel",$S26="Steel"),4,SUM(IF(OR($R26="Fairy",$R26="Grass"),0-1,IF(OR($R26="Ghost",$R26="Rock",$R26="Ground",$R26="Poison"),1,0)),IF(OR($S26="Fairy",$S26="Grass"),0-1,IF(OR($S26="Ghost",$S26="Rock",$S26="Ground",$S26="Poison"),1,0))))</f>
        <v>-1</v>
      </c>
      <c r="AQ26" s="507" t="n">
        <f aca="false">IF(OR($R26="Dark",$S26="Dark"),4,SUM(IF(OR($R26="Fighting",$R26="Poison"),0-1,IF(OR($R26="Psychic",$R26="Steel"),1,0)),IF(OR($S26="Fighting",$S26="Poison"),0-1,IF(OR($S26="Psychic",$S26="Steel"),1,0))))</f>
        <v>0</v>
      </c>
      <c r="AR26" s="507" t="n">
        <f aca="false">SUM(IF(OR($R26="Bug",$R26="Fire",$R26="Flying",$R26="Ice"),0-1,IF(OR($R26="Steel",$R26="Fighting",$R26="Ground"),1,0)),IF(OR($S26="Bug",$S26="Fire",$S26="Flying",$S26="Ice"),0-1,IF(OR($S26="Steel",$S26="Fighting",$S26="Ground"),1,0)))</f>
        <v>0</v>
      </c>
      <c r="AS26" s="507" t="n">
        <f aca="false">SUM(IF(OR($R26="Fairy",$R26="Ice",$R26="Rock"),0-1,IF(OR($R26="Steel",$R26="Electric",$R26="Fire",$R26="Water"),1,0)),IF(OR($S26="Fairy",$S26="Ice",$S26="Rock"),0-1,IF(OR($S26="Steel",$S26="Electric",$S26="Fire",$S26="Water"),1,0)))</f>
        <v>-1</v>
      </c>
      <c r="AT26" s="508" t="n">
        <f aca="false">SUM(IF(OR($R26="Fire",$R26="Ground",$R26="Rock"),0-1,IF(OR($R26="Dragon",$R26="Grass",$R26="Water"),1,0)),IF(OR($S26="Fire",$S26="Ground",$S26="Rock"),0-1,IF(OR($S26="Dragon",$S26="Grass",$S26="Water"),1,0)))</f>
        <v>0</v>
      </c>
      <c r="AU26" s="518"/>
    </row>
    <row r="27" customFormat="false" ht="15.75" hidden="false" customHeight="false" outlineLevel="0" collapsed="false">
      <c r="A27" s="510" t="str">
        <f aca="false" t="array" ref="A27:A27">IF(ISNA(INDEX(Source!$U$7:$U$95,MATCH(B27,Source!$V$7:$V$95,0))),"FREE",INDEX(Source!$U$7:$U$95,MATCH(B27,Source!$V$7:$V$95,0)))</f>
        <v>FREE</v>
      </c>
      <c r="B27" s="511" t="s">
        <v>352</v>
      </c>
      <c r="C27" s="511"/>
      <c r="D27" s="511"/>
      <c r="E27" s="499" t="str">
        <f aca="false">IF(SUM($W27:$X27)&gt;0,SUM($W27:$X27),IF($H27&gt;0,0,IF($H27&gt;0,0,"-")))</f>
        <v>-</v>
      </c>
      <c r="F27" s="499" t="str">
        <f aca="false">IF(SUM($Y27:$Z27)&gt;0,SUM($Y27:$Z27),IF($H27&gt;0,0,"-"))</f>
        <v>-</v>
      </c>
      <c r="G27" s="499" t="str">
        <f aca="false">IF($H27&gt;0,minus(E27,F27),"-")</f>
        <v>-</v>
      </c>
      <c r="H27" s="500" t="n">
        <f aca="false">SUM(COUNTIF(MatchSource!$A:$A,$B27),COUNTIF(MatchSource!$H:$H,$B27))</f>
        <v>0</v>
      </c>
      <c r="I27" s="501" t="n">
        <f aca="false">SUM($AA27:$AB27)</f>
        <v>0</v>
      </c>
      <c r="J27" s="501" t="s">
        <v>702</v>
      </c>
      <c r="K27" s="512" t="str">
        <f aca="false" t="array" ref="K27:K27">IF(ISNA(INDEX(DraftRosters!$AA$3:$AA$199,MATCH($B27,DraftRosters!$AB$3:$AB$199,0))),"FA",IF(INDEX(DraftRosters!$AA$3:$AA$199,MATCH($B27,DraftRosters!$AB$3:$AB$199,0))="Franchise","Franch",INDEX(DraftRosters!$AA$3:$AA$199,MATCH($B27,DraftRosters!$AB$3:$AB$199,0))))</f>
        <v>FA</v>
      </c>
      <c r="L27" s="499" t="n">
        <v>90</v>
      </c>
      <c r="M27" s="499" t="n">
        <v>85</v>
      </c>
      <c r="N27" s="499" t="n">
        <v>100</v>
      </c>
      <c r="O27" s="499" t="n">
        <v>95</v>
      </c>
      <c r="P27" s="499" t="n">
        <v>125</v>
      </c>
      <c r="Q27" s="501" t="n">
        <v>85</v>
      </c>
      <c r="R27" s="499" t="s">
        <v>801</v>
      </c>
      <c r="S27" s="501" t="s">
        <v>805</v>
      </c>
      <c r="T27" s="504" t="s">
        <v>816</v>
      </c>
      <c r="U27" s="505" t="s">
        <v>861</v>
      </c>
      <c r="V27" s="506"/>
      <c r="W27" s="500" t="str">
        <f aca="false">IFERROR(__xludf.dummyfunction("if(isna(SUM(FILTER(MatchSource!$A:$D,MatchSource!$A:$A=$B27))),0,SUM(FILTER(MatchSource!$A:$D,MatchSource!$A:$A=$B27)))"),"0")</f>
        <v>0</v>
      </c>
      <c r="X27" s="499" t="str">
        <f aca="false">IFERROR(__xludf.dummyfunction("if(isna(SUM(FILTER(MatchSource!$H:$K,MatchSource!$H:$H=$B27))),0,SUM(FILTER(MatchSource!$H:$K,MatchSource!$H:$H=$B27)))"),"0")</f>
        <v>0</v>
      </c>
      <c r="Y27" s="499" t="str">
        <f aca="false">IFERROR(__xludf.dummyfunction("if(isna(ABS(MINUS(SUM(FILTER(MatchSource!$A:$E,MatchSource!$A:$A=$B27)),SUM($W27)))),0,ABS(MINUS(SUM(FILTER(MatchSource!$A:$E,MatchSource!$A:$A=$B27)),SUM($W27))))"),"0")</f>
        <v>0</v>
      </c>
      <c r="Z27" s="499" t="str">
        <f aca="false">IFERROR(__xludf.dummyfunction("if(isna(ABS(MINUS(SUM(FILTER(MatchSource!$H:$L,MatchSource!$H:$H=$B27)),SUM($X27)))),0,ABS(MINUS(SUM(FILTER(MatchSource!$H:$L,MatchSource!$H:$H=$B27)),SUM($X27))))"),"0")</f>
        <v>0</v>
      </c>
      <c r="AA27" s="499" t="str">
        <f aca="false">IFERROR(__xludf.dummyfunction("if(isna(ABS(MINUS(SUM(FILTER(MatchSource!$A:$F,MatchSource!$A:$A=$B27)),SUM($W27,$Y27)))),0,ABS(MINUS(SUM(FILTER(MatchSource!$A:$F,MatchSource!$A:$A=$B27)),SUM($W27, $Y27,))))"),"0")</f>
        <v>0</v>
      </c>
      <c r="AB27" s="501" t="str">
        <f aca="false">IFERROR(__xludf.dummyfunction("if(isna(ABS(MINUS(SUM(FILTER(MatchSource!$H:$M,MatchSource!$H:$H=$B27)),SUM($X27,$Z27)))),0,ABS(MINUS(SUM(FILTER(MatchSource!$H:$M,MatchSource!$H:$H=$B27)),SUM($X27,$Z27))))"),"0")</f>
        <v>0</v>
      </c>
      <c r="AC27" s="507" t="n">
        <f aca="false">SUM(IF(OR($R27="Grass",$R27="Psychic",$R27="Dark"),0-1,IF(OR($R27="Fighting",$R27="Flying",$R27="Fire",$R27="Ghost",$R27="Poison",$R27="Steel",$R27="Fairy"),1,0)),IF(OR($S27="Grass",$S27="Psychic",$S27="Dark"),0-1,IF(OR($S27="Fighting",$S27="Flying",$S27="Fire",$S27="Ghost",$S27="Poison",$S27="Steel",$S27="Fairy"),1,0)))</f>
        <v>1</v>
      </c>
      <c r="AD27" s="507" t="n">
        <f aca="false">SUM(IF(OR($R27="Ghost",$R27="Psychic"),0-1,IF(OR($R27="Fighting",$R27="Dark",$R27="Fairy"),1,0)),IF(OR($S27="Ghost",$S27="Psychic"),0-1,IF(OR($S27="Fighting",$S27="Dark",$S27="Fairy"),1,0)))</f>
        <v>0</v>
      </c>
      <c r="AE27" s="507" t="n">
        <f aca="false">IF(OR($R27="Fairy",$S27="Fairy"),4,SUM(IF($R27="Dragon",0-1,IF($R27="Steel",1,0)),IF($S27="Dragon",0-1,IF($S27="Steel",1,0))))</f>
        <v>0</v>
      </c>
      <c r="AF27" s="507" t="n">
        <f aca="false">IF(OR($R27="Ground",$S27="Ground"),4,SUM(IF(OR($R27="Flying",$R27="Water"),0-1,IF(OR($R27="Dragon",$R27="Electric",$R27="Grass"),1,0)),IF(OR($S27="Flying",$S27="Water"),0-1,IF(OR($S27="Dragon",$S27="Electric",$S27="Grass"),1,0))))</f>
        <v>-1</v>
      </c>
      <c r="AG27" s="507" t="n">
        <f aca="false">SUM(IF(OR($R27="Dark",$R27="Dragon",$R27="Fighting"),0-1,IF(OR($R27="Steel",$R27="Poison",$R27="Fire"),1,0)),IF(OR($S27="Dark",$S27="Dragon",$S27="Fighting"),0-1,IF(OR($S27="Steel",$S27="Poison",$S27="Fire"),1,0)))</f>
        <v>0</v>
      </c>
      <c r="AH27" s="507" t="n">
        <f aca="false">IF(OR($R27="Ghost",$S27="Ghost"),4,SUM(IF(OR($R27="Dark",$R27="Ice",$R27="Normal",$R27="Rock",$R27="Steel"),0-1,IF(OR($R27="Bug",$R27="Fairy",$R27="Flying",$R27="Poison",$R27="Psychic"),1,0)),IF(OR($S27="Dark",$S27="Ice",$S27="Normal",$S27="Rock",$S27="Steel"),0-1,IF(OR($S27="Bug",$S27="Fairy",$S27="Flying",$S27="Poison",$S27="Psychic"),1,0))))</f>
        <v>0</v>
      </c>
      <c r="AI27" s="507" t="n">
        <f aca="false">SUM(IF(OR($R27="Bug",$R27="Grass",$R27="Ice",$R27="Steel"),0-1,IF(OR($R27="Dragon",$R27="Fire",$R27="Rock",$R27="Water"),1,0)),IF(OR($S27="Bug",$S27="Grass",$S27="Ice",$S27="Steel"),0-1,IF(OR($S27="Dragon",$S27="Fire",$S27="Rock",$S27="Water"),1,0)))</f>
        <v>-1</v>
      </c>
      <c r="AJ27" s="507" t="n">
        <f aca="false">SUM(IF(OR($R27="Bug",$R27="Grass",$R27="Fighting"),0-1,IF(OR($R27="Electric",$R27="Rock",$R27="Steel"),1,0)),IF(OR($S27="Bug",$S27="Grass",$S27="Fighting"),0-1,IF(OR($S27="Electric",$S27="Rock",$S27="Steel"),1,0)))</f>
        <v>0</v>
      </c>
      <c r="AK27" s="507" t="n">
        <f aca="false">IF(OR($R27="Normal",$S27="Normal"),4,SUM(IF(OR($R27="Ghost",$R27="Psychic"),0-1,IF($R27="Dark",1,0)),IF(OR($S27="Ghost",$S27="Psychic"),0-1,IF($S27="Dark",1,0))))</f>
        <v>0</v>
      </c>
      <c r="AL27" s="507" t="n">
        <f aca="false">SUM(IF(OR($R27="Ground",$R27="Rock",$R27="Water"),0-1,IF(OR($R27="Bug",$R27="Flying",$R27="Fire",$R27="Dragon",$R27="Poison",$R27="Steel",$R27="Grass"),1,0)),IF(OR($S27="Ground",$S27="Rock",$S27="Water"),0-1,IF(OR($S27="Bug",$S27="Flying",$S27="Fire",$S27="Dragon",$S27="Poison",$S27="Steel",$S27="Grass"),1,0)))</f>
        <v>1</v>
      </c>
      <c r="AM27" s="507" t="n">
        <f aca="false">IF(OR($R27="Flying",$S27="Flying"),4,SUM(IF(OR($R27="Electric",$R27="Fire",$R27="Rock",$R27="Steel",$R27="Poison"),0-1,IF(OR($R27="Bug",$R27="Grass"),1,0)),IF(OR($S27="Electric",$S27="Fire",$S27="Rock",$S27="Steel",$S27="Poison"),0-1,IF(OR($S27="Bug",$S27="Grass"),1,0))))</f>
        <v>4</v>
      </c>
      <c r="AN27" s="507" t="n">
        <f aca="false">SUM(IF(OR($R27="Flying",$R27="Dragon",$R27="Grass",$R27="Ground"),0-1,IF(OR($R27="Steel",$R27="Ice",$R27="Fire",$R27="Water"),1,0)),IF(OR($S27="Flying",$S27="Dragon",$S27="Grass",$S27="Ground"),0-1,IF(OR($S27="Steel",$S27="Ice",$S27="Fire",$S27="Water"),1,0)))</f>
        <v>0</v>
      </c>
      <c r="AO27" s="507" t="n">
        <f aca="false">IF(OR($R27="Ghost",$S27="Ghost"),4,SUM(IF(OR($R27="Steel",$R27="Rock"),1,0),IF(OR($S27="Steel",$S27="Rock"),1,0)))</f>
        <v>0</v>
      </c>
      <c r="AP27" s="507" t="n">
        <f aca="false">IF(OR($R27="Steel",$S27="Steel"),4,SUM(IF(OR($R27="Fairy",$R27="Grass"),0-1,IF(OR($R27="Ghost",$R27="Rock",$R27="Ground",$R27="Poison"),1,0)),IF(OR($S27="Fairy",$S27="Grass"),0-1,IF(OR($S27="Ghost",$S27="Rock",$S27="Ground",$S27="Poison"),1,0))))</f>
        <v>0</v>
      </c>
      <c r="AQ27" s="507" t="n">
        <f aca="false">IF(OR($R27="Dark",$S27="Dark"),4,SUM(IF(OR($R27="Fighting",$R27="Poison"),0-1,IF(OR($R27="Psychic",$R27="Steel"),1,0)),IF(OR($S27="Fighting",$S27="Poison"),0-1,IF(OR($S27="Psychic",$S27="Steel"),1,0))))</f>
        <v>0</v>
      </c>
      <c r="AR27" s="507" t="n">
        <f aca="false">SUM(IF(OR($R27="Bug",$R27="Fire",$R27="Flying",$R27="Ice"),0-1,IF(OR($R27="Steel",$R27="Fighting",$R27="Ground"),1,0)),IF(OR($S27="Bug",$S27="Fire",$S27="Flying",$S27="Ice"),0-1,IF(OR($S27="Steel",$S27="Fighting",$S27="Ground"),1,0)))</f>
        <v>-2</v>
      </c>
      <c r="AS27" s="507" t="n">
        <f aca="false">SUM(IF(OR($R27="Fairy",$R27="Ice",$R27="Rock"),0-1,IF(OR($R27="Steel",$R27="Electric",$R27="Fire",$R27="Water"),1,0)),IF(OR($S27="Fairy",$S27="Ice",$S27="Rock"),0-1,IF(OR($S27="Steel",$S27="Electric",$S27="Fire",$S27="Water"),1,0)))</f>
        <v>-1</v>
      </c>
      <c r="AT27" s="508" t="n">
        <f aca="false">SUM(IF(OR($R27="Fire",$R27="Ground",$R27="Rock"),0-1,IF(OR($R27="Dragon",$R27="Grass",$R27="Water"),1,0)),IF(OR($S27="Fire",$S27="Ground",$S27="Rock"),0-1,IF(OR($S27="Dragon",$S27="Grass",$S27="Water"),1,0)))</f>
        <v>0</v>
      </c>
      <c r="AU27" s="518"/>
    </row>
    <row r="28" customFormat="false" ht="15.75" hidden="false" customHeight="false" outlineLevel="0" collapsed="false">
      <c r="A28" s="497" t="str">
        <f aca="false" t="array" ref="A28:A28">IF(ISNA(INDEX(Source!$U$7:$U$95,MATCH(B28,Source!$V$7:$V$95,0))),"FREE",INDEX(Source!$U$7:$U$95,MATCH(B28,Source!$V$7:$V$95,0)))</f>
        <v>FREE</v>
      </c>
      <c r="B28" s="511" t="s">
        <v>359</v>
      </c>
      <c r="C28" s="511"/>
      <c r="D28" s="511"/>
      <c r="E28" s="499" t="str">
        <f aca="false">IF(SUM($W28:$X28)&gt;0,SUM($W28:$X28),IF($H28&gt;0,0,IF($H28&gt;0,0,"-")))</f>
        <v>-</v>
      </c>
      <c r="F28" s="499" t="str">
        <f aca="false">IF(SUM($Y28:$Z28)&gt;0,SUM($Y28:$Z28),IF($H28&gt;0,0,"-"))</f>
        <v>-</v>
      </c>
      <c r="G28" s="499" t="str">
        <f aca="false">IF($H28&gt;0,minus(E28,F28),"-")</f>
        <v>-</v>
      </c>
      <c r="H28" s="500" t="n">
        <f aca="false">SUM(COUNTIF(MatchSource!$A:$A,$B28),COUNTIF(MatchSource!$H:$H,$B28))</f>
        <v>0</v>
      </c>
      <c r="I28" s="501" t="n">
        <f aca="false">SUM($AA28:$AB28)</f>
        <v>0</v>
      </c>
      <c r="J28" s="501" t="s">
        <v>702</v>
      </c>
      <c r="K28" s="512" t="str">
        <f aca="false" t="array" ref="K28:K28">IF(ISNA(INDEX(DraftRosters!$AA$3:$AA$199,MATCH($B28,DraftRosters!$AB$3:$AB$199,0))),"FA",IF(INDEX(DraftRosters!$AA$3:$AA$199,MATCH($B28,DraftRosters!$AB$3:$AB$199,0))="Franchise","Franch",INDEX(DraftRosters!$AA$3:$AA$199,MATCH($B28,DraftRosters!$AB$3:$AB$199,0))))</f>
        <v>FA</v>
      </c>
      <c r="L28" s="499" t="n">
        <v>103</v>
      </c>
      <c r="M28" s="499" t="n">
        <v>60</v>
      </c>
      <c r="N28" s="499" t="n">
        <v>86</v>
      </c>
      <c r="O28" s="499" t="n">
        <v>60</v>
      </c>
      <c r="P28" s="499" t="n">
        <v>86</v>
      </c>
      <c r="Q28" s="501" t="n">
        <v>50</v>
      </c>
      <c r="R28" s="499" t="s">
        <v>839</v>
      </c>
      <c r="S28" s="501"/>
      <c r="T28" s="504" t="s">
        <v>833</v>
      </c>
      <c r="U28" s="505" t="s">
        <v>834</v>
      </c>
      <c r="V28" s="506" t="s">
        <v>862</v>
      </c>
      <c r="W28" s="500" t="str">
        <f aca="false">IFERROR(__xludf.dummyfunction("if(isna(SUM(FILTER(MatchSource!$A:$D,MatchSource!$A:$A=$B28))),0,SUM(FILTER(MatchSource!$A:$D,MatchSource!$A:$A=$B28)))"),"0")</f>
        <v>0</v>
      </c>
      <c r="X28" s="499" t="str">
        <f aca="false">IFERROR(__xludf.dummyfunction("if(isna(SUM(FILTER(MatchSource!$H:$K,MatchSource!$H:$H=$B28))),0,SUM(FILTER(MatchSource!$H:$K,MatchSource!$H:$H=$B28)))"),"0")</f>
        <v>0</v>
      </c>
      <c r="Y28" s="499" t="str">
        <f aca="false">IFERROR(__xludf.dummyfunction("if(isna(ABS(MINUS(SUM(FILTER(MatchSource!$A:$E,MatchSource!$A:$A=$B28)),SUM($W28)))),0,ABS(MINUS(SUM(FILTER(MatchSource!$A:$E,MatchSource!$A:$A=$B28)),SUM($W28))))"),"0")</f>
        <v>0</v>
      </c>
      <c r="Z28" s="499" t="str">
        <f aca="false">IFERROR(__xludf.dummyfunction("if(isna(ABS(MINUS(SUM(FILTER(MatchSource!$H:$L,MatchSource!$H:$H=$B28)),SUM($X28)))),0,ABS(MINUS(SUM(FILTER(MatchSource!$H:$L,MatchSource!$H:$H=$B28)),SUM($X28))))"),"0")</f>
        <v>0</v>
      </c>
      <c r="AA28" s="499" t="str">
        <f aca="false">IFERROR(__xludf.dummyfunction("if(isna(ABS(MINUS(SUM(FILTER(MatchSource!$A:$F,MatchSource!$A:$A=$B28)),SUM($W28,$Y28)))),0,ABS(MINUS(SUM(FILTER(MatchSource!$A:$F,MatchSource!$A:$A=$B28)),SUM($W28, $Y28,))))"),"0")</f>
        <v>0</v>
      </c>
      <c r="AB28" s="501" t="str">
        <f aca="false">IFERROR(__xludf.dummyfunction("if(isna(ABS(MINUS(SUM(FILTER(MatchSource!$H:$M,MatchSource!$H:$H=$B28)),SUM($X28,$Z28)))),0,ABS(MINUS(SUM(FILTER(MatchSource!$H:$M,MatchSource!$H:$H=$B28)),SUM($X28,$Z28))))"),"0")</f>
        <v>0</v>
      </c>
      <c r="AC28" s="507" t="n">
        <f aca="false">SUM(IF(OR($R28="Grass",$R28="Psychic",$R28="Dark"),0-1,IF(OR($R28="Fighting",$R28="Flying",$R28="Fire",$R28="Ghost",$R28="Poison",$R28="Steel",$R28="Fairy"),1,0)),IF(OR($S28="Grass",$S28="Psychic",$S28="Dark"),0-1,IF(OR($S28="Fighting",$S28="Flying",$S28="Fire",$S28="Ghost",$S28="Poison",$S28="Steel",$S28="Fairy"),1,0)))</f>
        <v>0</v>
      </c>
      <c r="AD28" s="507" t="n">
        <f aca="false">SUM(IF(OR($R28="Ghost",$R28="Psychic"),0-1,IF(OR($R28="Fighting",$R28="Dark",$R28="Fairy"),1,0)),IF(OR($S28="Ghost",$S28="Psychic"),0-1,IF(OR($S28="Fighting",$S28="Dark",$S28="Fairy"),1,0)))</f>
        <v>0</v>
      </c>
      <c r="AE28" s="507" t="n">
        <f aca="false">IF(OR($R28="Fairy",$S28="Fairy"),4,SUM(IF($R28="Dragon",0-1,IF($R28="Steel",1,0)),IF($S28="Dragon",0-1,IF($S28="Steel",1,0))))</f>
        <v>0</v>
      </c>
      <c r="AF28" s="507" t="n">
        <f aca="false">IF(OR($R28="Ground",$S28="Ground"),4,SUM(IF(OR($R28="Flying",$R28="Water"),0-1,IF(OR($R28="Dragon",$R28="Electric",$R28="Grass"),1,0)),IF(OR($S28="Flying",$S28="Water"),0-1,IF(OR($S28="Dragon",$S28="Electric",$S28="Grass"),1,0))))</f>
        <v>0</v>
      </c>
      <c r="AG28" s="507" t="n">
        <f aca="false">SUM(IF(OR($R28="Dark",$R28="Dragon",$R28="Fighting"),0-1,IF(OR($R28="Steel",$R28="Poison",$R28="Fire"),1,0)),IF(OR($S28="Dark",$S28="Dragon",$S28="Fighting"),0-1,IF(OR($S28="Steel",$S28="Poison",$S28="Fire"),1,0)))</f>
        <v>0</v>
      </c>
      <c r="AH28" s="507" t="n">
        <f aca="false">IF(OR($R28="Ghost",$S28="Ghost"),4,SUM(IF(OR($R28="Dark",$R28="Ice",$R28="Normal",$R28="Rock",$R28="Steel"),0-1,IF(OR($R28="Bug",$R28="Fairy",$R28="Flying",$R28="Poison",$R28="Psychic"),1,0)),IF(OR($S28="Dark",$S28="Ice",$S28="Normal",$S28="Rock",$S28="Steel"),0-1,IF(OR($S28="Bug",$S28="Fairy",$S28="Flying",$S28="Poison",$S28="Psychic"),1,0))))</f>
        <v>-1</v>
      </c>
      <c r="AI28" s="507" t="n">
        <f aca="false">SUM(IF(OR($R28="Bug",$R28="Grass",$R28="Ice",$R28="Steel"),0-1,IF(OR($R28="Dragon",$R28="Fire",$R28="Rock",$R28="Water"),1,0)),IF(OR($S28="Bug",$S28="Grass",$S28="Ice",$S28="Steel"),0-1,IF(OR($S28="Dragon",$S28="Fire",$S28="Rock",$S28="Water"),1,0)))</f>
        <v>0</v>
      </c>
      <c r="AJ28" s="507" t="n">
        <f aca="false">SUM(IF(OR($R28="Bug",$R28="Grass",$R28="Fighting"),0-1,IF(OR($R28="Electric",$R28="Rock",$R28="Steel"),1,0)),IF(OR($S28="Bug",$S28="Grass",$S28="Fighting"),0-1,IF(OR($S28="Electric",$S28="Rock",$S28="Steel"),1,0)))</f>
        <v>0</v>
      </c>
      <c r="AK28" s="507" t="n">
        <f aca="false">IF(OR($R28="Normal",$S28="Normal"),4,SUM(IF(OR($R28="Ghost",$R28="Psychic"),0-1,IF($R28="Dark",1,0)),IF(OR($S28="Ghost",$S28="Psychic"),0-1,IF($S28="Dark",1,0))))</f>
        <v>4</v>
      </c>
      <c r="AL28" s="507" t="n">
        <f aca="false">SUM(IF(OR($R28="Ground",$R28="Rock",$R28="Water"),0-1,IF(OR($R28="Bug",$R28="Flying",$R28="Fire",$R28="Dragon",$R28="Poison",$R28="Steel",$R28="Grass"),1,0)),IF(OR($S28="Ground",$S28="Rock",$S28="Water"),0-1,IF(OR($S28="Bug",$S28="Flying",$S28="Fire",$S28="Dragon",$S28="Poison",$S28="Steel",$S28="Grass"),1,0)))</f>
        <v>0</v>
      </c>
      <c r="AM28" s="507" t="n">
        <f aca="false">IF(OR($R28="Flying",$S28="Flying"),4,SUM(IF(OR($R28="Electric",$R28="Fire",$R28="Rock",$R28="Steel",$R28="Poison"),0-1,IF(OR($R28="Bug",$R28="Grass"),1,0)),IF(OR($S28="Electric",$S28="Fire",$S28="Rock",$S28="Steel",$S28="Poison"),0-1,IF(OR($S28="Bug",$S28="Grass"),1,0))))</f>
        <v>0</v>
      </c>
      <c r="AN28" s="507" t="n">
        <f aca="false">SUM(IF(OR($R28="Flying",$R28="Dragon",$R28="Grass",$R28="Ground"),0-1,IF(OR($R28="Steel",$R28="Ice",$R28="Fire",$R28="Water"),1,0)),IF(OR($S28="Flying",$S28="Dragon",$S28="Grass",$S28="Ground"),0-1,IF(OR($S28="Steel",$S28="Ice",$S28="Fire",$S28="Water"),1,0)))</f>
        <v>0</v>
      </c>
      <c r="AO28" s="507" t="n">
        <f aca="false">IF(OR($R28="Ghost",$S28="Ghost"),4,SUM(IF(OR($R28="Steel",$R28="Rock"),1,0),IF(OR($S28="Steel",$S28="Rock"),1,0)))</f>
        <v>0</v>
      </c>
      <c r="AP28" s="507" t="n">
        <f aca="false">IF(OR($R28="Steel",$S28="Steel"),4,SUM(IF(OR($R28="Fairy",$R28="Grass"),0-1,IF(OR($R28="Ghost",$R28="Rock",$R28="Ground",$R28="Poison"),1,0)),IF(OR($S28="Fairy",$S28="Grass"),0-1,IF(OR($S28="Ghost",$S28="Rock",$S28="Ground",$S28="Poison"),1,0))))</f>
        <v>0</v>
      </c>
      <c r="AQ28" s="507" t="n">
        <f aca="false">IF(OR($R28="Dark",$S28="Dark"),4,SUM(IF(OR($R28="Fighting",$R28="Poison"),0-1,IF(OR($R28="Psychic",$R28="Steel"),1,0)),IF(OR($S28="Fighting",$S28="Poison"),0-1,IF(OR($S28="Psychic",$S28="Steel"),1,0))))</f>
        <v>0</v>
      </c>
      <c r="AR28" s="507" t="n">
        <f aca="false">SUM(IF(OR($R28="Bug",$R28="Fire",$R28="Flying",$R28="Ice"),0-1,IF(OR($R28="Steel",$R28="Fighting",$R28="Ground"),1,0)),IF(OR($S28="Bug",$S28="Fire",$S28="Flying",$S28="Ice"),0-1,IF(OR($S28="Steel",$S28="Fighting",$S28="Ground"),1,0)))</f>
        <v>0</v>
      </c>
      <c r="AS28" s="507" t="n">
        <f aca="false">SUM(IF(OR($R28="Fairy",$R28="Ice",$R28="Rock"),0-1,IF(OR($R28="Steel",$R28="Electric",$R28="Fire",$R28="Water"),1,0)),IF(OR($S28="Fairy",$S28="Ice",$S28="Rock"),0-1,IF(OR($S28="Steel",$S28="Electric",$S28="Fire",$S28="Water"),1,0)))</f>
        <v>0</v>
      </c>
      <c r="AT28" s="508" t="n">
        <f aca="false">SUM(IF(OR($R28="Fire",$R28="Ground",$R28="Rock"),0-1,IF(OR($R28="Dragon",$R28="Grass",$R28="Water"),1,0)),IF(OR($S28="Fire",$S28="Ground",$S28="Rock"),0-1,IF(OR($S28="Dragon",$S28="Grass",$S28="Water"),1,0)))</f>
        <v>0</v>
      </c>
      <c r="AU28" s="518"/>
    </row>
    <row r="29" customFormat="false" ht="15.75" hidden="false" customHeight="false" outlineLevel="0" collapsed="false">
      <c r="A29" s="510" t="str">
        <f aca="false" t="array" ref="A29:A29">IF(ISNA(INDEX(Source!$U$7:$U$95,MATCH(B29,Source!$V$7:$V$95,0))),"FREE",INDEX(Source!$U$7:$U$95,MATCH(B29,Source!$V$7:$V$95,0)))</f>
        <v>FREE</v>
      </c>
      <c r="B29" s="511" t="s">
        <v>710</v>
      </c>
      <c r="C29" s="511"/>
      <c r="D29" s="511"/>
      <c r="E29" s="499" t="str">
        <f aca="false">IF(SUM($W29:$X29)&gt;0,SUM($W29:$X29),IF($H29&gt;0,0,IF($H29&gt;0,0,"-")))</f>
        <v>-</v>
      </c>
      <c r="F29" s="499" t="str">
        <f aca="false">IF(SUM($Y29:$Z29)&gt;0,SUM($Y29:$Z29),IF($H29&gt;0,0,"-"))</f>
        <v>-</v>
      </c>
      <c r="G29" s="499" t="str">
        <f aca="false">IF($H29&gt;0,minus(E29,F29),"-")</f>
        <v>-</v>
      </c>
      <c r="H29" s="500" t="n">
        <f aca="false">SUM(COUNTIF(MatchSource!$A:$A,$B29),COUNTIF(MatchSource!$H:$H,$B29))</f>
        <v>0</v>
      </c>
      <c r="I29" s="501" t="n">
        <f aca="false">SUM($AA29:$AB29)</f>
        <v>0</v>
      </c>
      <c r="J29" s="501" t="s">
        <v>279</v>
      </c>
      <c r="K29" s="512" t="str">
        <f aca="false" t="array" ref="K29:K29">IF(ISNA(INDEX(DraftRosters!$AA$3:$AA$199,MATCH($B29,DraftRosters!$AB$3:$AB$199,0))),"FA",IF(INDEX(DraftRosters!$AA$3:$AA$199,MATCH($B29,DraftRosters!$AB$3:$AB$199,0))="Franchise","Franch",INDEX(DraftRosters!$AA$3:$AA$199,MATCH($B29,DraftRosters!$AB$3:$AB$199,0))))</f>
        <v>FA</v>
      </c>
      <c r="L29" s="499" t="n">
        <v>103</v>
      </c>
      <c r="M29" s="499" t="n">
        <v>60</v>
      </c>
      <c r="N29" s="499" t="n">
        <v>126</v>
      </c>
      <c r="O29" s="499" t="n">
        <v>80</v>
      </c>
      <c r="P29" s="499" t="n">
        <v>126</v>
      </c>
      <c r="Q29" s="501" t="n">
        <v>50</v>
      </c>
      <c r="R29" s="499" t="s">
        <v>798</v>
      </c>
      <c r="S29" s="501" t="s">
        <v>839</v>
      </c>
      <c r="T29" s="504" t="s">
        <v>833</v>
      </c>
      <c r="U29" s="513"/>
      <c r="V29" s="514"/>
      <c r="W29" s="500" t="str">
        <f aca="false">IFERROR(__xludf.dummyfunction("if(isna(SUM(FILTER(MatchSource!$A:$D,MatchSource!$A:$A=$B29))),0,SUM(FILTER(MatchSource!$A:$D,MatchSource!$A:$A=$B29)))"),"0")</f>
        <v>0</v>
      </c>
      <c r="X29" s="499" t="str">
        <f aca="false">IFERROR(__xludf.dummyfunction("if(isna(SUM(FILTER(MatchSource!$H:$K,MatchSource!$H:$H=$B29))),0,SUM(FILTER(MatchSource!$H:$K,MatchSource!$H:$H=$B29)))"),"0")</f>
        <v>0</v>
      </c>
      <c r="Y29" s="499" t="str">
        <f aca="false">IFERROR(__xludf.dummyfunction("if(isna(ABS(MINUS(SUM(FILTER(MatchSource!$A:$E,MatchSource!$A:$A=$B29)),SUM($W29)))),0,ABS(MINUS(SUM(FILTER(MatchSource!$A:$E,MatchSource!$A:$A=$B29)),SUM($W29))))"),"0")</f>
        <v>0</v>
      </c>
      <c r="Z29" s="499" t="str">
        <f aca="false">IFERROR(__xludf.dummyfunction("if(isna(ABS(MINUS(SUM(FILTER(MatchSource!$H:$L,MatchSource!$H:$H=$B29)),SUM($X29)))),0,ABS(MINUS(SUM(FILTER(MatchSource!$H:$L,MatchSource!$H:$H=$B29)),SUM($X29))))"),"0")</f>
        <v>0</v>
      </c>
      <c r="AA29" s="499" t="str">
        <f aca="false">IFERROR(__xludf.dummyfunction("if(isna(ABS(MINUS(SUM(FILTER(MatchSource!$A:$F,MatchSource!$A:$A=$B29)),SUM($W29,$Y29)))),0,ABS(MINUS(SUM(FILTER(MatchSource!$A:$F,MatchSource!$A:$A=$B29)),SUM($W29, $Y29,))))"),"0")</f>
        <v>0</v>
      </c>
      <c r="AB29" s="501" t="str">
        <f aca="false">IFERROR(__xludf.dummyfunction("if(isna(ABS(MINUS(SUM(FILTER(MatchSource!$H:$M,MatchSource!$H:$H=$B29)),SUM($X29,$Z29)))),0,ABS(MINUS(SUM(FILTER(MatchSource!$H:$M,MatchSource!$H:$H=$B29)),SUM($X29,$Z29))))"),"0")</f>
        <v>0</v>
      </c>
      <c r="AC29" s="507" t="n">
        <f aca="false">SUM(IF(OR($R29="Grass",$R29="Psychic",$R29="Dark"),0-1,IF(OR($R29="Fighting",$R29="Flying",$R29="Fire",$R29="Ghost",$R29="Poison",$R29="Steel",$R29="Fairy"),1,0)),IF(OR($S29="Grass",$S29="Psychic",$S29="Dark"),0-1,IF(OR($S29="Fighting",$S29="Flying",$S29="Fire",$S29="Ghost",$S29="Poison",$S29="Steel",$S29="Fairy"),1,0)))</f>
        <v>1</v>
      </c>
      <c r="AD29" s="507" t="n">
        <f aca="false">SUM(IF(OR($R29="Ghost",$R29="Psychic"),0-1,IF(OR($R29="Fighting",$R29="Dark",$R29="Fairy"),1,0)),IF(OR($S29="Ghost",$S29="Psychic"),0-1,IF(OR($S29="Fighting",$S29="Dark",$S29="Fairy"),1,0)))</f>
        <v>1</v>
      </c>
      <c r="AE29" s="507" t="n">
        <f aca="false">IF(OR($R29="Fairy",$S29="Fairy"),4,SUM(IF($R29="Dragon",0-1,IF($R29="Steel",1,0)),IF($S29="Dragon",0-1,IF($S29="Steel",1,0))))</f>
        <v>4</v>
      </c>
      <c r="AF29" s="507" t="n">
        <f aca="false">IF(OR($R29="Ground",$S29="Ground"),4,SUM(IF(OR($R29="Flying",$R29="Water"),0-1,IF(OR($R29="Dragon",$R29="Electric",$R29="Grass"),1,0)),IF(OR($S29="Flying",$S29="Water"),0-1,IF(OR($S29="Dragon",$S29="Electric",$S29="Grass"),1,0))))</f>
        <v>0</v>
      </c>
      <c r="AG29" s="507" t="n">
        <f aca="false">SUM(IF(OR($R29="Dark",$R29="Dragon",$R29="Fighting"),0-1,IF(OR($R29="Steel",$R29="Poison",$R29="Fire"),1,0)),IF(OR($S29="Dark",$S29="Dragon",$S29="Fighting"),0-1,IF(OR($S29="Steel",$S29="Poison",$S29="Fire"),1,0)))</f>
        <v>0</v>
      </c>
      <c r="AH29" s="507" t="n">
        <f aca="false">IF(OR($R29="Ghost",$S29="Ghost"),4,SUM(IF(OR($R29="Dark",$R29="Ice",$R29="Normal",$R29="Rock",$R29="Steel"),0-1,IF(OR($R29="Bug",$R29="Fairy",$R29="Flying",$R29="Poison",$R29="Psychic"),1,0)),IF(OR($S29="Dark",$S29="Ice",$S29="Normal",$S29="Rock",$S29="Steel"),0-1,IF(OR($S29="Bug",$S29="Fairy",$S29="Flying",$S29="Poison",$S29="Psychic"),1,0))))</f>
        <v>0</v>
      </c>
      <c r="AI29" s="507" t="n">
        <f aca="false">SUM(IF(OR($R29="Bug",$R29="Grass",$R29="Ice",$R29="Steel"),0-1,IF(OR($R29="Dragon",$R29="Fire",$R29="Rock",$R29="Water"),1,0)),IF(OR($S29="Bug",$S29="Grass",$S29="Ice",$S29="Steel"),0-1,IF(OR($S29="Dragon",$S29="Fire",$S29="Rock",$S29="Water"),1,0)))</f>
        <v>0</v>
      </c>
      <c r="AJ29" s="507" t="n">
        <f aca="false">SUM(IF(OR($R29="Bug",$R29="Grass",$R29="Fighting"),0-1,IF(OR($R29="Electric",$R29="Rock",$R29="Steel"),1,0)),IF(OR($S29="Bug",$S29="Grass",$S29="Fighting"),0-1,IF(OR($S29="Electric",$S29="Rock",$S29="Steel"),1,0)))</f>
        <v>0</v>
      </c>
      <c r="AK29" s="507" t="n">
        <f aca="false">IF(OR($R29="Normal",$S29="Normal"),4,SUM(IF(OR($R29="Ghost",$R29="Psychic"),0-1,IF($R29="Dark",1,0)),IF(OR($S29="Ghost",$S29="Psychic"),0-1,IF($S29="Dark",1,0))))</f>
        <v>4</v>
      </c>
      <c r="AL29" s="507" t="n">
        <f aca="false">SUM(IF(OR($R29="Ground",$R29="Rock",$R29="Water"),0-1,IF(OR($R29="Bug",$R29="Flying",$R29="Fire",$R29="Dragon",$R29="Poison",$R29="Steel",$R29="Grass"),1,0)),IF(OR($S29="Ground",$S29="Rock",$S29="Water"),0-1,IF(OR($S29="Bug",$S29="Flying",$S29="Fire",$S29="Dragon",$S29="Poison",$S29="Steel",$S29="Grass"),1,0)))</f>
        <v>0</v>
      </c>
      <c r="AM29" s="507" t="n">
        <f aca="false">IF(OR($R29="Flying",$S29="Flying"),4,SUM(IF(OR($R29="Electric",$R29="Fire",$R29="Rock",$R29="Steel",$R29="Poison"),0-1,IF(OR($R29="Bug",$R29="Grass"),1,0)),IF(OR($S29="Electric",$S29="Fire",$S29="Rock",$S29="Steel",$S29="Poison"),0-1,IF(OR($S29="Bug",$S29="Grass"),1,0))))</f>
        <v>0</v>
      </c>
      <c r="AN29" s="507" t="n">
        <f aca="false">SUM(IF(OR($R29="Flying",$R29="Dragon",$R29="Grass",$R29="Ground"),0-1,IF(OR($R29="Steel",$R29="Ice",$R29="Fire",$R29="Water"),1,0)),IF(OR($S29="Flying",$S29="Dragon",$S29="Grass",$S29="Ground"),0-1,IF(OR($S29="Steel",$S29="Ice",$S29="Fire",$S29="Water"),1,0)))</f>
        <v>0</v>
      </c>
      <c r="AO29" s="507" t="n">
        <f aca="false">IF(OR($R29="Ghost",$S29="Ghost"),4,SUM(IF(OR($R29="Steel",$R29="Rock"),1,0),IF(OR($S29="Steel",$S29="Rock"),1,0)))</f>
        <v>0</v>
      </c>
      <c r="AP29" s="507" t="n">
        <f aca="false">IF(OR($R29="Steel",$S29="Steel"),4,SUM(IF(OR($R29="Fairy",$R29="Grass"),0-1,IF(OR($R29="Ghost",$R29="Rock",$R29="Ground",$R29="Poison"),1,0)),IF(OR($S29="Fairy",$S29="Grass"),0-1,IF(OR($S29="Ghost",$S29="Rock",$S29="Ground",$S29="Poison"),1,0))))</f>
        <v>-1</v>
      </c>
      <c r="AQ29" s="507" t="n">
        <f aca="false">IF(OR($R29="Dark",$S29="Dark"),4,SUM(IF(OR($R29="Fighting",$R29="Poison"),0-1,IF(OR($R29="Psychic",$R29="Steel"),1,0)),IF(OR($S29="Fighting",$S29="Poison"),0-1,IF(OR($S29="Psychic",$S29="Steel"),1,0))))</f>
        <v>0</v>
      </c>
      <c r="AR29" s="507" t="n">
        <f aca="false">SUM(IF(OR($R29="Bug",$R29="Fire",$R29="Flying",$R29="Ice"),0-1,IF(OR($R29="Steel",$R29="Fighting",$R29="Ground"),1,0)),IF(OR($S29="Bug",$S29="Fire",$S29="Flying",$S29="Ice"),0-1,IF(OR($S29="Steel",$S29="Fighting",$S29="Ground"),1,0)))</f>
        <v>0</v>
      </c>
      <c r="AS29" s="507" t="n">
        <f aca="false">SUM(IF(OR($R29="Fairy",$R29="Ice",$R29="Rock"),0-1,IF(OR($R29="Steel",$R29="Electric",$R29="Fire",$R29="Water"),1,0)),IF(OR($S29="Fairy",$S29="Ice",$S29="Rock"),0-1,IF(OR($S29="Steel",$S29="Electric",$S29="Fire",$S29="Water"),1,0)))</f>
        <v>-1</v>
      </c>
      <c r="AT29" s="508" t="n">
        <f aca="false">SUM(IF(OR($R29="Fire",$R29="Ground",$R29="Rock"),0-1,IF(OR($R29="Dragon",$R29="Grass",$R29="Water"),1,0)),IF(OR($S29="Fire",$S29="Ground",$S29="Rock"),0-1,IF(OR($S29="Dragon",$S29="Grass",$S29="Water"),1,0)))</f>
        <v>0</v>
      </c>
      <c r="AU29" s="518"/>
    </row>
    <row r="30" customFormat="false" ht="15.75" hidden="false" customHeight="false" outlineLevel="0" collapsed="false">
      <c r="A30" s="510" t="str">
        <f aca="false" t="array" ref="A30:A30">IF(ISNA(INDEX(Source!$U$7:$U$95,MATCH(B30,Source!$V$7:$V$95,0))),"FREE",INDEX(Source!$U$7:$U$95,MATCH(B30,Source!$V$7:$V$95,0)))</f>
        <v>FTT</v>
      </c>
      <c r="B30" s="511" t="s">
        <v>253</v>
      </c>
      <c r="C30" s="511"/>
      <c r="D30" s="511"/>
      <c r="E30" s="499" t="str">
        <f aca="false">IF(SUM($W30:$X30)&gt;0,SUM($W30:$X30),IF($H30&gt;0,0,IF($H30&gt;0,0,"-")))</f>
        <v>-</v>
      </c>
      <c r="F30" s="499" t="str">
        <f aca="false">IF(SUM($Y30:$Z30)&gt;0,SUM($Y30:$Z30),IF($H30&gt;0,0,"-"))</f>
        <v>-</v>
      </c>
      <c r="G30" s="499" t="str">
        <f aca="false">IF($H30&gt;0,minus(E30,F30),"-")</f>
        <v>-</v>
      </c>
      <c r="H30" s="500" t="n">
        <f aca="false">SUM(COUNTIF(MatchSource!$A:$A,$B30),COUNTIF(MatchSource!$H:$H,$B30))</f>
        <v>0</v>
      </c>
      <c r="I30" s="501" t="n">
        <f aca="false">SUM($AA30:$AB30)</f>
        <v>0</v>
      </c>
      <c r="J30" s="501" t="s">
        <v>702</v>
      </c>
      <c r="K30" s="512" t="n">
        <f aca="false" t="array" ref="K30:K30">IF(ISNA(INDEX(DraftRosters!$AA$3:$AA$199,MATCH($B30,DraftRosters!$AB$3:$AB$199,0))),"FA",IF(INDEX(DraftRosters!$AA$3:$AA$199,MATCH($B30,DraftRosters!$AB$3:$AB$199,0))="Franchise","Franch",INDEX(DraftRosters!$AA$3:$AA$199,MATCH($B30,DraftRosters!$AB$3:$AB$199,0))))</f>
        <v>87</v>
      </c>
      <c r="L30" s="499" t="n">
        <v>123</v>
      </c>
      <c r="M30" s="499" t="n">
        <v>77</v>
      </c>
      <c r="N30" s="499" t="n">
        <v>72</v>
      </c>
      <c r="O30" s="499" t="n">
        <v>99</v>
      </c>
      <c r="P30" s="499" t="n">
        <v>92</v>
      </c>
      <c r="Q30" s="501" t="n">
        <v>58</v>
      </c>
      <c r="R30" s="499" t="s">
        <v>805</v>
      </c>
      <c r="S30" s="501" t="s">
        <v>809</v>
      </c>
      <c r="T30" s="504" t="s">
        <v>863</v>
      </c>
      <c r="U30" s="505" t="s">
        <v>813</v>
      </c>
      <c r="V30" s="506"/>
      <c r="W30" s="500" t="str">
        <f aca="false">IFERROR(__xludf.dummyfunction("if(isna(SUM(FILTER(MatchSource!$A:$D,MatchSource!$A:$A=$B30))),0,SUM(FILTER(MatchSource!$A:$D,MatchSource!$A:$A=$B30)))"),"0")</f>
        <v>0</v>
      </c>
      <c r="X30" s="499" t="str">
        <f aca="false">IFERROR(__xludf.dummyfunction("if(isna(SUM(FILTER(MatchSource!$H:$K,MatchSource!$H:$H=$B30))),0,SUM(FILTER(MatchSource!$H:$K,MatchSource!$H:$H=$B30)))"),"0")</f>
        <v>0</v>
      </c>
      <c r="Y30" s="499" t="str">
        <f aca="false">IFERROR(__xludf.dummyfunction("if(isna(ABS(MINUS(SUM(FILTER(MatchSource!$A:$E,MatchSource!$A:$A=$B30)),SUM($W30)))),0,ABS(MINUS(SUM(FILTER(MatchSource!$A:$E,MatchSource!$A:$A=$B30)),SUM($W30))))"),"0")</f>
        <v>0</v>
      </c>
      <c r="Z30" s="499" t="str">
        <f aca="false">IFERROR(__xludf.dummyfunction("if(isna(ABS(MINUS(SUM(FILTER(MatchSource!$H:$L,MatchSource!$H:$H=$B30)),SUM($X30)))),0,ABS(MINUS(SUM(FILTER(MatchSource!$H:$L,MatchSource!$H:$H=$B30)),SUM($X30))))"),"0")</f>
        <v>0</v>
      </c>
      <c r="AA30" s="499" t="str">
        <f aca="false">IFERROR(__xludf.dummyfunction("if(isna(ABS(MINUS(SUM(FILTER(MatchSource!$A:$F,MatchSource!$A:$A=$B30)),SUM($W30,$Y30)))),0,ABS(MINUS(SUM(FILTER(MatchSource!$A:$F,MatchSource!$A:$A=$B30)),SUM($W30, $Y30,))))"),"0")</f>
        <v>0</v>
      </c>
      <c r="AB30" s="501" t="str">
        <f aca="false">IFERROR(__xludf.dummyfunction("if(isna(ABS(MINUS(SUM(FILTER(MatchSource!$H:$M,MatchSource!$H:$H=$B30)),SUM($X30,$Z30)))),0,ABS(MINUS(SUM(FILTER(MatchSource!$H:$M,MatchSource!$H:$H=$B30)),SUM($X30,$Z30))))"),"0")</f>
        <v>0</v>
      </c>
      <c r="AC30" s="507" t="n">
        <f aca="false">SUM(IF(OR($R30="Grass",$R30="Psychic",$R30="Dark"),0-1,IF(OR($R30="Fighting",$R30="Flying",$R30="Fire",$R30="Ghost",$R30="Poison",$R30="Steel",$R30="Fairy"),1,0)),IF(OR($S30="Grass",$S30="Psychic",$S30="Dark"),0-1,IF(OR($S30="Fighting",$S30="Flying",$S30="Fire",$S30="Ghost",$S30="Poison",$S30="Steel",$S30="Fairy"),1,0)))</f>
        <v>0</v>
      </c>
      <c r="AD30" s="507" t="n">
        <f aca="false">SUM(IF(OR($R30="Ghost",$R30="Psychic"),0-1,IF(OR($R30="Fighting",$R30="Dark",$R30="Fairy"),1,0)),IF(OR($S30="Ghost",$S30="Psychic"),0-1,IF(OR($S30="Fighting",$S30="Dark",$S30="Fairy"),1,0)))</f>
        <v>0</v>
      </c>
      <c r="AE30" s="507" t="n">
        <f aca="false">IF(OR($R30="Fairy",$S30="Fairy"),4,SUM(IF($R30="Dragon",0-1,IF($R30="Steel",1,0)),IF($S30="Dragon",0-1,IF($S30="Steel",1,0))))</f>
        <v>0</v>
      </c>
      <c r="AF30" s="507" t="n">
        <f aca="false">IF(OR($R30="Ground",$S30="Ground"),4,SUM(IF(OR($R30="Flying",$R30="Water"),0-1,IF(OR($R30="Dragon",$R30="Electric",$R30="Grass"),1,0)),IF(OR($S30="Flying",$S30="Water"),0-1,IF(OR($S30="Dragon",$S30="Electric",$S30="Grass"),1,0))))</f>
        <v>0</v>
      </c>
      <c r="AG30" s="507" t="n">
        <f aca="false">SUM(IF(OR($R30="Dark",$R30="Dragon",$R30="Fighting"),0-1,IF(OR($R30="Steel",$R30="Poison",$R30="Fire"),1,0)),IF(OR($S30="Dark",$S30="Dragon",$S30="Fighting"),0-1,IF(OR($S30="Steel",$S30="Poison",$S30="Fire"),1,0)))</f>
        <v>0</v>
      </c>
      <c r="AH30" s="507" t="n">
        <f aca="false">IF(OR($R30="Ghost",$S30="Ghost"),4,SUM(IF(OR($R30="Dark",$R30="Ice",$R30="Normal",$R30="Rock",$R30="Steel"),0-1,IF(OR($R30="Bug",$R30="Fairy",$R30="Flying",$R30="Poison",$R30="Psychic"),1,0)),IF(OR($S30="Dark",$S30="Ice",$S30="Normal",$S30="Rock",$S30="Steel"),0-1,IF(OR($S30="Bug",$S30="Fairy",$S30="Flying",$S30="Poison",$S30="Psychic"),1,0))))</f>
        <v>-2</v>
      </c>
      <c r="AI30" s="507" t="n">
        <f aca="false">SUM(IF(OR($R30="Bug",$R30="Grass",$R30="Ice",$R30="Steel"),0-1,IF(OR($R30="Dragon",$R30="Fire",$R30="Rock",$R30="Water"),1,0)),IF(OR($S30="Bug",$S30="Grass",$S30="Ice",$S30="Steel"),0-1,IF(OR($S30="Dragon",$S30="Fire",$S30="Rock",$S30="Water"),1,0)))</f>
        <v>0</v>
      </c>
      <c r="AJ30" s="507" t="n">
        <f aca="false">SUM(IF(OR($R30="Bug",$R30="Grass",$R30="Fighting"),0-1,IF(OR($R30="Electric",$R30="Rock",$R30="Steel"),1,0)),IF(OR($S30="Bug",$S30="Grass",$S30="Fighting"),0-1,IF(OR($S30="Electric",$S30="Rock",$S30="Steel"),1,0)))</f>
        <v>1</v>
      </c>
      <c r="AK30" s="507" t="n">
        <f aca="false">IF(OR($R30="Normal",$S30="Normal"),4,SUM(IF(OR($R30="Ghost",$R30="Psychic"),0-1,IF($R30="Dark",1,0)),IF(OR($S30="Ghost",$S30="Psychic"),0-1,IF($S30="Dark",1,0))))</f>
        <v>0</v>
      </c>
      <c r="AL30" s="507" t="n">
        <f aca="false">SUM(IF(OR($R30="Ground",$R30="Rock",$R30="Water"),0-1,IF(OR($R30="Bug",$R30="Flying",$R30="Fire",$R30="Dragon",$R30="Poison",$R30="Steel",$R30="Grass"),1,0)),IF(OR($S30="Ground",$S30="Rock",$S30="Water"),0-1,IF(OR($S30="Bug",$S30="Flying",$S30="Fire",$S30="Dragon",$S30="Poison",$S30="Steel",$S30="Grass"),1,0)))</f>
        <v>-1</v>
      </c>
      <c r="AM30" s="507" t="n">
        <f aca="false">IF(OR($R30="Flying",$S30="Flying"),4,SUM(IF(OR($R30="Electric",$R30="Fire",$R30="Rock",$R30="Steel",$R30="Poison"),0-1,IF(OR($R30="Bug",$R30="Grass"),1,0)),IF(OR($S30="Electric",$S30="Fire",$S30="Rock",$S30="Steel",$S30="Poison"),0-1,IF(OR($S30="Bug",$S30="Grass"),1,0))))</f>
        <v>-1</v>
      </c>
      <c r="AN30" s="507" t="n">
        <f aca="false">SUM(IF(OR($R30="Flying",$R30="Dragon",$R30="Grass",$R30="Ground"),0-1,IF(OR($R30="Steel",$R30="Ice",$R30="Fire",$R30="Water"),1,0)),IF(OR($S30="Flying",$S30="Dragon",$S30="Grass",$S30="Ground"),0-1,IF(OR($S30="Steel",$S30="Ice",$S30="Fire",$S30="Water"),1,0)))</f>
        <v>1</v>
      </c>
      <c r="AO30" s="507" t="n">
        <f aca="false">IF(OR($R30="Ghost",$S30="Ghost"),4,SUM(IF(OR($R30="Steel",$R30="Rock"),1,0),IF(OR($S30="Steel",$S30="Rock"),1,0)))</f>
        <v>1</v>
      </c>
      <c r="AP30" s="507" t="n">
        <f aca="false">IF(OR($R30="Steel",$S30="Steel"),4,SUM(IF(OR($R30="Fairy",$R30="Grass"),0-1,IF(OR($R30="Ghost",$R30="Rock",$R30="Ground",$R30="Poison"),1,0)),IF(OR($S30="Fairy",$S30="Grass"),0-1,IF(OR($S30="Ghost",$S30="Rock",$S30="Ground",$S30="Poison"),1,0))))</f>
        <v>1</v>
      </c>
      <c r="AQ30" s="507" t="n">
        <f aca="false">IF(OR($R30="Dark",$S30="Dark"),4,SUM(IF(OR($R30="Fighting",$R30="Poison"),0-1,IF(OR($R30="Psychic",$R30="Steel"),1,0)),IF(OR($S30="Fighting",$S30="Poison"),0-1,IF(OR($S30="Psychic",$S30="Steel"),1,0))))</f>
        <v>0</v>
      </c>
      <c r="AR30" s="507" t="n">
        <f aca="false">SUM(IF(OR($R30="Bug",$R30="Fire",$R30="Flying",$R30="Ice"),0-1,IF(OR($R30="Steel",$R30="Fighting",$R30="Ground"),1,0)),IF(OR($S30="Bug",$S30="Fire",$S30="Flying",$S30="Ice"),0-1,IF(OR($S30="Steel",$S30="Fighting",$S30="Ground"),1,0)))</f>
        <v>-1</v>
      </c>
      <c r="AS30" s="507" t="n">
        <f aca="false">SUM(IF(OR($R30="Fairy",$R30="Ice",$R30="Rock"),0-1,IF(OR($R30="Steel",$R30="Electric",$R30="Fire",$R30="Water"),1,0)),IF(OR($S30="Fairy",$S30="Ice",$S30="Rock"),0-1,IF(OR($S30="Steel",$S30="Electric",$S30="Fire",$S30="Water"),1,0)))</f>
        <v>-2</v>
      </c>
      <c r="AT30" s="508" t="n">
        <f aca="false">SUM(IF(OR($R30="Fire",$R30="Ground",$R30="Rock"),0-1,IF(OR($R30="Dragon",$R30="Grass",$R30="Water"),1,0)),IF(OR($S30="Fire",$S30="Ground",$S30="Rock"),0-1,IF(OR($S30="Dragon",$S30="Grass",$S30="Water"),1,0)))</f>
        <v>-1</v>
      </c>
      <c r="AU30" s="518"/>
    </row>
    <row r="31" customFormat="false" ht="15.75" hidden="false" customHeight="false" outlineLevel="0" collapsed="false">
      <c r="A31" s="510" t="str">
        <f aca="false" t="array" ref="A31:A31">IF(ISNA(INDEX(Source!$U$7:$U$95,MATCH(B31,Source!$V$7:$V$95,0))),"FREE",INDEX(Source!$U$7:$U$95,MATCH(B31,Source!$V$7:$V$95,0)))</f>
        <v>FREE</v>
      </c>
      <c r="B31" s="511" t="s">
        <v>370</v>
      </c>
      <c r="C31" s="511"/>
      <c r="D31" s="511"/>
      <c r="E31" s="499" t="str">
        <f aca="false">IF(SUM($W31:$X31)&gt;0,SUM($W31:$X31),IF($H31&gt;0,0,IF($H31&gt;0,0,"-")))</f>
        <v>-</v>
      </c>
      <c r="F31" s="499" t="str">
        <f aca="false">IF(SUM($Y31:$Z31)&gt;0,SUM($Y31:$Z31),IF($H31&gt;0,0,"-"))</f>
        <v>-</v>
      </c>
      <c r="G31" s="499" t="str">
        <f aca="false">IF($H31&gt;0,minus(E31,F31),"-")</f>
        <v>-</v>
      </c>
      <c r="H31" s="500" t="n">
        <f aca="false">SUM(COUNTIF(MatchSource!$A:$A,$B31),COUNTIF(MatchSource!$H:$H,$B31))</f>
        <v>0</v>
      </c>
      <c r="I31" s="501" t="n">
        <f aca="false">SUM($AA31:$AB31)</f>
        <v>0</v>
      </c>
      <c r="J31" s="501" t="s">
        <v>702</v>
      </c>
      <c r="K31" s="512" t="str">
        <f aca="false" t="array" ref="K31:K31">IF(ISNA(INDEX(DraftRosters!$AA$3:$AA$199,MATCH($B31,DraftRosters!$AB$3:$AB$199,0))),"FA",IF(INDEX(DraftRosters!$AA$3:$AA$199,MATCH($B31,DraftRosters!$AB$3:$AB$199,0))="Franchise","Franch",INDEX(DraftRosters!$AA$3:$AA$199,MATCH($B31,DraftRosters!$AB$3:$AB$199,0))))</f>
        <v>FA</v>
      </c>
      <c r="L31" s="499" t="n">
        <v>95</v>
      </c>
      <c r="M31" s="499" t="n">
        <v>117</v>
      </c>
      <c r="N31" s="499" t="n">
        <v>184</v>
      </c>
      <c r="O31" s="499" t="n">
        <v>44</v>
      </c>
      <c r="P31" s="499" t="n">
        <v>46</v>
      </c>
      <c r="Q31" s="501" t="n">
        <v>28</v>
      </c>
      <c r="R31" s="499" t="s">
        <v>805</v>
      </c>
      <c r="S31" s="501"/>
      <c r="T31" s="504" t="s">
        <v>864</v>
      </c>
      <c r="U31" s="505" t="s">
        <v>865</v>
      </c>
      <c r="V31" s="506" t="s">
        <v>826</v>
      </c>
      <c r="W31" s="500" t="str">
        <f aca="false">IFERROR(__xludf.dummyfunction("if(isna(SUM(FILTER(MatchSource!$A:$D,MatchSource!$A:$A=$B31))),0,SUM(FILTER(MatchSource!$A:$D,MatchSource!$A:$A=$B31)))"),"0")</f>
        <v>0</v>
      </c>
      <c r="X31" s="499" t="str">
        <f aca="false">IFERROR(__xludf.dummyfunction("if(isna(SUM(FILTER(MatchSource!$H:$K,MatchSource!$H:$H=$B31))),0,SUM(FILTER(MatchSource!$H:$K,MatchSource!$H:$H=$B31)))"),"0")</f>
        <v>0</v>
      </c>
      <c r="Y31" s="499" t="str">
        <f aca="false">IFERROR(__xludf.dummyfunction("if(isna(ABS(MINUS(SUM(FILTER(MatchSource!$A:$E,MatchSource!$A:$A=$B31)),SUM($W31)))),0,ABS(MINUS(SUM(FILTER(MatchSource!$A:$E,MatchSource!$A:$A=$B31)),SUM($W31))))"),"0")</f>
        <v>0</v>
      </c>
      <c r="Z31" s="499" t="str">
        <f aca="false">IFERROR(__xludf.dummyfunction("if(isna(ABS(MINUS(SUM(FILTER(MatchSource!$H:$L,MatchSource!$H:$H=$B31)),SUM($X31)))),0,ABS(MINUS(SUM(FILTER(MatchSource!$H:$L,MatchSource!$H:$H=$B31)),SUM($X31))))"),"0")</f>
        <v>0</v>
      </c>
      <c r="AA31" s="499" t="str">
        <f aca="false">IFERROR(__xludf.dummyfunction("if(isna(ABS(MINUS(SUM(FILTER(MatchSource!$A:$F,MatchSource!$A:$A=$B31)),SUM($W31,$Y31)))),0,ABS(MINUS(SUM(FILTER(MatchSource!$A:$F,MatchSource!$A:$A=$B31)),SUM($W31, $Y31,))))"),"0")</f>
        <v>0</v>
      </c>
      <c r="AB31" s="501" t="str">
        <f aca="false">IFERROR(__xludf.dummyfunction("if(isna(ABS(MINUS(SUM(FILTER(MatchSource!$H:$M,MatchSource!$H:$H=$B31)),SUM($X31,$Z31)))),0,ABS(MINUS(SUM(FILTER(MatchSource!$H:$M,MatchSource!$H:$H=$B31)),SUM($X31,$Z31))))"),"0")</f>
        <v>0</v>
      </c>
      <c r="AC31" s="507" t="n">
        <f aca="false">SUM(IF(OR($R31="Grass",$R31="Psychic",$R31="Dark"),0-1,IF(OR($R31="Fighting",$R31="Flying",$R31="Fire",$R31="Ghost",$R31="Poison",$R31="Steel",$R31="Fairy"),1,0)),IF(OR($S31="Grass",$S31="Psychic",$S31="Dark"),0-1,IF(OR($S31="Fighting",$S31="Flying",$S31="Fire",$S31="Ghost",$S31="Poison",$S31="Steel",$S31="Fairy"),1,0)))</f>
        <v>0</v>
      </c>
      <c r="AD31" s="507" t="n">
        <f aca="false">SUM(IF(OR($R31="Ghost",$R31="Psychic"),0-1,IF(OR($R31="Fighting",$R31="Dark",$R31="Fairy"),1,0)),IF(OR($S31="Ghost",$S31="Psychic"),0-1,IF(OR($S31="Fighting",$S31="Dark",$S31="Fairy"),1,0)))</f>
        <v>0</v>
      </c>
      <c r="AE31" s="507" t="n">
        <f aca="false">IF(OR($R31="Fairy",$S31="Fairy"),4,SUM(IF($R31="Dragon",0-1,IF($R31="Steel",1,0)),IF($S31="Dragon",0-1,IF($S31="Steel",1,0))))</f>
        <v>0</v>
      </c>
      <c r="AF31" s="507" t="n">
        <f aca="false">IF(OR($R31="Ground",$S31="Ground"),4,SUM(IF(OR($R31="Flying",$R31="Water"),0-1,IF(OR($R31="Dragon",$R31="Electric",$R31="Grass"),1,0)),IF(OR($S31="Flying",$S31="Water"),0-1,IF(OR($S31="Dragon",$S31="Electric",$S31="Grass"),1,0))))</f>
        <v>0</v>
      </c>
      <c r="AG31" s="507" t="n">
        <f aca="false">SUM(IF(OR($R31="Dark",$R31="Dragon",$R31="Fighting"),0-1,IF(OR($R31="Steel",$R31="Poison",$R31="Fire"),1,0)),IF(OR($S31="Dark",$S31="Dragon",$S31="Fighting"),0-1,IF(OR($S31="Steel",$S31="Poison",$S31="Fire"),1,0)))</f>
        <v>0</v>
      </c>
      <c r="AH31" s="507" t="n">
        <f aca="false">IF(OR($R31="Ghost",$S31="Ghost"),4,SUM(IF(OR($R31="Dark",$R31="Ice",$R31="Normal",$R31="Rock",$R31="Steel"),0-1,IF(OR($R31="Bug",$R31="Fairy",$R31="Flying",$R31="Poison",$R31="Psychic"),1,0)),IF(OR($S31="Dark",$S31="Ice",$S31="Normal",$S31="Rock",$S31="Steel"),0-1,IF(OR($S31="Bug",$S31="Fairy",$S31="Flying",$S31="Poison",$S31="Psychic"),1,0))))</f>
        <v>-1</v>
      </c>
      <c r="AI31" s="507" t="n">
        <f aca="false">SUM(IF(OR($R31="Bug",$R31="Grass",$R31="Ice",$R31="Steel"),0-1,IF(OR($R31="Dragon",$R31="Fire",$R31="Rock",$R31="Water"),1,0)),IF(OR($S31="Bug",$S31="Grass",$S31="Ice",$S31="Steel"),0-1,IF(OR($S31="Dragon",$S31="Fire",$S31="Rock",$S31="Water"),1,0)))</f>
        <v>-1</v>
      </c>
      <c r="AJ31" s="507" t="n">
        <f aca="false">SUM(IF(OR($R31="Bug",$R31="Grass",$R31="Fighting"),0-1,IF(OR($R31="Electric",$R31="Rock",$R31="Steel"),1,0)),IF(OR($S31="Bug",$S31="Grass",$S31="Fighting"),0-1,IF(OR($S31="Electric",$S31="Rock",$S31="Steel"),1,0)))</f>
        <v>0</v>
      </c>
      <c r="AK31" s="507" t="n">
        <f aca="false">IF(OR($R31="Normal",$S31="Normal"),4,SUM(IF(OR($R31="Ghost",$R31="Psychic"),0-1,IF($R31="Dark",1,0)),IF(OR($S31="Ghost",$S31="Psychic"),0-1,IF($S31="Dark",1,0))))</f>
        <v>0</v>
      </c>
      <c r="AL31" s="507" t="n">
        <f aca="false">SUM(IF(OR($R31="Ground",$R31="Rock",$R31="Water"),0-1,IF(OR($R31="Bug",$R31="Flying",$R31="Fire",$R31="Dragon",$R31="Poison",$R31="Steel",$R31="Grass"),1,0)),IF(OR($S31="Ground",$S31="Rock",$S31="Water"),0-1,IF(OR($S31="Bug",$S31="Flying",$S31="Fire",$S31="Dragon",$S31="Poison",$S31="Steel",$S31="Grass"),1,0)))</f>
        <v>0</v>
      </c>
      <c r="AM31" s="507" t="n">
        <f aca="false">IF(OR($R31="Flying",$S31="Flying"),4,SUM(IF(OR($R31="Electric",$R31="Fire",$R31="Rock",$R31="Steel",$R31="Poison"),0-1,IF(OR($R31="Bug",$R31="Grass"),1,0)),IF(OR($S31="Electric",$S31="Fire",$S31="Rock",$S31="Steel",$S31="Poison"),0-1,IF(OR($S31="Bug",$S31="Grass"),1,0))))</f>
        <v>0</v>
      </c>
      <c r="AN31" s="507" t="n">
        <f aca="false">SUM(IF(OR($R31="Flying",$R31="Dragon",$R31="Grass",$R31="Ground"),0-1,IF(OR($R31="Steel",$R31="Ice",$R31="Fire",$R31="Water"),1,0)),IF(OR($S31="Flying",$S31="Dragon",$S31="Grass",$S31="Ground"),0-1,IF(OR($S31="Steel",$S31="Ice",$S31="Fire",$S31="Water"),1,0)))</f>
        <v>1</v>
      </c>
      <c r="AO31" s="507" t="n">
        <f aca="false">IF(OR($R31="Ghost",$S31="Ghost"),4,SUM(IF(OR($R31="Steel",$R31="Rock"),1,0),IF(OR($S31="Steel",$S31="Rock"),1,0)))</f>
        <v>0</v>
      </c>
      <c r="AP31" s="507" t="n">
        <f aca="false">IF(OR($R31="Steel",$S31="Steel"),4,SUM(IF(OR($R31="Fairy",$R31="Grass"),0-1,IF(OR($R31="Ghost",$R31="Rock",$R31="Ground",$R31="Poison"),1,0)),IF(OR($S31="Fairy",$S31="Grass"),0-1,IF(OR($S31="Ghost",$S31="Rock",$S31="Ground",$S31="Poison"),1,0))))</f>
        <v>0</v>
      </c>
      <c r="AQ31" s="507" t="n">
        <f aca="false">IF(OR($R31="Dark",$S31="Dark"),4,SUM(IF(OR($R31="Fighting",$R31="Poison"),0-1,IF(OR($R31="Psychic",$R31="Steel"),1,0)),IF(OR($S31="Fighting",$S31="Poison"),0-1,IF(OR($S31="Psychic",$S31="Steel"),1,0))))</f>
        <v>0</v>
      </c>
      <c r="AR31" s="507" t="n">
        <f aca="false">SUM(IF(OR($R31="Bug",$R31="Fire",$R31="Flying",$R31="Ice"),0-1,IF(OR($R31="Steel",$R31="Fighting",$R31="Ground"),1,0)),IF(OR($S31="Bug",$S31="Fire",$S31="Flying",$S31="Ice"),0-1,IF(OR($S31="Steel",$S31="Fighting",$S31="Ground"),1,0)))</f>
        <v>-1</v>
      </c>
      <c r="AS31" s="507" t="n">
        <f aca="false">SUM(IF(OR($R31="Fairy",$R31="Ice",$R31="Rock"),0-1,IF(OR($R31="Steel",$R31="Electric",$R31="Fire",$R31="Water"),1,0)),IF(OR($S31="Fairy",$S31="Ice",$S31="Rock"),0-1,IF(OR($S31="Steel",$S31="Electric",$S31="Fire",$S31="Water"),1,0)))</f>
        <v>-1</v>
      </c>
      <c r="AT31" s="508" t="n">
        <f aca="false">SUM(IF(OR($R31="Fire",$R31="Ground",$R31="Rock"),0-1,IF(OR($R31="Dragon",$R31="Grass",$R31="Water"),1,0)),IF(OR($S31="Fire",$S31="Ground",$S31="Rock"),0-1,IF(OR($S31="Dragon",$S31="Grass",$S31="Water"),1,0)))</f>
        <v>0</v>
      </c>
      <c r="AU31" s="518"/>
    </row>
    <row r="32" customFormat="false" ht="15.75" hidden="false" customHeight="false" outlineLevel="0" collapsed="false">
      <c r="A32" s="515" t="str">
        <f aca="false" t="array" ref="A32:A32">IF(ISNA(INDEX(Source!$U$7:$U$95,MATCH(B32,Source!$V$7:$V$95,0))),"FREE",INDEX(Source!$U$7:$U$95,MATCH(B32,Source!$V$7:$V$95,0)))</f>
        <v>FREE</v>
      </c>
      <c r="B32" s="511" t="s">
        <v>297</v>
      </c>
      <c r="C32" s="511"/>
      <c r="D32" s="511"/>
      <c r="E32" s="499" t="str">
        <f aca="false">IF(SUM($W32:$X32)&gt;0,SUM($W32:$X32),IF($H32&gt;0,0,IF($H32&gt;0,0,"-")))</f>
        <v>-</v>
      </c>
      <c r="F32" s="499" t="str">
        <f aca="false">IF(SUM($Y32:$Z32)&gt;0,SUM($Y32:$Z32),IF($H32&gt;0,0,"-"))</f>
        <v>-</v>
      </c>
      <c r="G32" s="499" t="str">
        <f aca="false">IF($H32&gt;0,minus(E32,F32),"-")</f>
        <v>-</v>
      </c>
      <c r="H32" s="500" t="n">
        <f aca="false">SUM(COUNTIF(MatchSource!$A:$A,$B32),COUNTIF(MatchSource!$H:$H,$B32))</f>
        <v>0</v>
      </c>
      <c r="I32" s="501" t="n">
        <f aca="false">SUM($AA32:$AB32)</f>
        <v>0</v>
      </c>
      <c r="J32" s="501" t="s">
        <v>699</v>
      </c>
      <c r="K32" s="512" t="str">
        <f aca="false" t="array" ref="K32:K32">IF(ISNA(INDEX(DraftRosters!$AA$3:$AA$199,MATCH($B32,DraftRosters!$AB$3:$AB$199,0))),"FA",IF(INDEX(DraftRosters!$AA$3:$AA$199,MATCH($B32,DraftRosters!$AB$3:$AB$199,0))="Franchise","Franch",INDEX(DraftRosters!$AA$3:$AA$199,MATCH($B32,DraftRosters!$AB$3:$AB$199,0))))</f>
        <v>FA</v>
      </c>
      <c r="L32" s="499" t="n">
        <v>75</v>
      </c>
      <c r="M32" s="499" t="n">
        <v>125</v>
      </c>
      <c r="N32" s="499" t="n">
        <v>70</v>
      </c>
      <c r="O32" s="499" t="n">
        <v>125</v>
      </c>
      <c r="P32" s="499" t="n">
        <v>70</v>
      </c>
      <c r="Q32" s="501" t="n">
        <v>115</v>
      </c>
      <c r="R32" s="499" t="s">
        <v>828</v>
      </c>
      <c r="S32" s="501"/>
      <c r="T32" s="504" t="s">
        <v>866</v>
      </c>
      <c r="U32" s="505"/>
      <c r="V32" s="506"/>
      <c r="W32" s="500" t="str">
        <f aca="false">IFERROR(__xludf.dummyfunction("if(isna(SUM(FILTER(MatchSource!$A:$D,MatchSource!$A:$A=$B32))),0,SUM(FILTER(MatchSource!$A:$D,MatchSource!$A:$A=$B32)))"),"0")</f>
        <v>0</v>
      </c>
      <c r="X32" s="499" t="str">
        <f aca="false">IFERROR(__xludf.dummyfunction("if(isna(SUM(FILTER(MatchSource!$H:$K,MatchSource!$H:$H=$B32))),0,SUM(FILTER(MatchSource!$H:$K,MatchSource!$H:$H=$B32)))"),"0")</f>
        <v>0</v>
      </c>
      <c r="Y32" s="499" t="str">
        <f aca="false">IFERROR(__xludf.dummyfunction("if(isna(ABS(MINUS(SUM(FILTER(MatchSource!$A:$E,MatchSource!$A:$A=$B32)),SUM($W32)))),0,ABS(MINUS(SUM(FILTER(MatchSource!$A:$E,MatchSource!$A:$A=$B32)),SUM($W32))))"),"0")</f>
        <v>0</v>
      </c>
      <c r="Z32" s="499" t="str">
        <f aca="false">IFERROR(__xludf.dummyfunction("if(isna(ABS(MINUS(SUM(FILTER(MatchSource!$H:$L,MatchSource!$H:$H=$B32)),SUM($X32)))),0,ABS(MINUS(SUM(FILTER(MatchSource!$H:$L,MatchSource!$H:$H=$B32)),SUM($X32))))"),"0")</f>
        <v>0</v>
      </c>
      <c r="AA32" s="499" t="str">
        <f aca="false">IFERROR(__xludf.dummyfunction("if(isna(ABS(MINUS(SUM(FILTER(MatchSource!$A:$F,MatchSource!$A:$A=$B32)),SUM($W32,$Y32)))),0,ABS(MINUS(SUM(FILTER(MatchSource!$A:$F,MatchSource!$A:$A=$B32)),SUM($W32, $Y32,))))"),"0")</f>
        <v>0</v>
      </c>
      <c r="AB32" s="501" t="str">
        <f aca="false">IFERROR(__xludf.dummyfunction("if(isna(ABS(MINUS(SUM(FILTER(MatchSource!$H:$M,MatchSource!$H:$H=$B32)),SUM($X32,$Z32)))),0,ABS(MINUS(SUM(FILTER(MatchSource!$H:$M,MatchSource!$H:$H=$B32)),SUM($X32,$Z32))))"),"0")</f>
        <v>0</v>
      </c>
      <c r="AC32" s="507" t="n">
        <f aca="false">SUM(IF(OR($R32="Grass",$R32="Psychic",$R32="Dark"),0-1,IF(OR($R32="Fighting",$R32="Flying",$R32="Fire",$R32="Ghost",$R32="Poison",$R32="Steel",$R32="Fairy"),1,0)),IF(OR($S32="Grass",$S32="Psychic",$S32="Dark"),0-1,IF(OR($S32="Fighting",$S32="Flying",$S32="Fire",$S32="Ghost",$S32="Poison",$S32="Steel",$S32="Fairy"),1,0)))</f>
        <v>-1</v>
      </c>
      <c r="AD32" s="507" t="n">
        <f aca="false">SUM(IF(OR($R32="Ghost",$R32="Psychic"),0-1,IF(OR($R32="Fighting",$R32="Dark",$R32="Fairy"),1,0)),IF(OR($S32="Ghost",$S32="Psychic"),0-1,IF(OR($S32="Fighting",$S32="Dark",$S32="Fairy"),1,0)))</f>
        <v>-1</v>
      </c>
      <c r="AE32" s="507" t="n">
        <f aca="false">IF(OR($R32="Fairy",$S32="Fairy"),4,SUM(IF($R32="Dragon",0-1,IF($R32="Steel",1,0)),IF($S32="Dragon",0-1,IF($S32="Steel",1,0))))</f>
        <v>0</v>
      </c>
      <c r="AF32" s="507" t="n">
        <f aca="false">IF(OR($R32="Ground",$S32="Ground"),4,SUM(IF(OR($R32="Flying",$R32="Water"),0-1,IF(OR($R32="Dragon",$R32="Electric",$R32="Grass"),1,0)),IF(OR($S32="Flying",$S32="Water"),0-1,IF(OR($S32="Dragon",$S32="Electric",$S32="Grass"),1,0))))</f>
        <v>0</v>
      </c>
      <c r="AG32" s="507" t="n">
        <f aca="false">SUM(IF(OR($R32="Dark",$R32="Dragon",$R32="Fighting"),0-1,IF(OR($R32="Steel",$R32="Poison",$R32="Fire"),1,0)),IF(OR($S32="Dark",$S32="Dragon",$S32="Fighting"),0-1,IF(OR($S32="Steel",$S32="Poison",$S32="Fire"),1,0)))</f>
        <v>0</v>
      </c>
      <c r="AH32" s="507" t="n">
        <f aca="false">IF(OR($R32="Ghost",$S32="Ghost"),4,SUM(IF(OR($R32="Dark",$R32="Ice",$R32="Normal",$R32="Rock",$R32="Steel"),0-1,IF(OR($R32="Bug",$R32="Fairy",$R32="Flying",$R32="Poison",$R32="Psychic"),1,0)),IF(OR($S32="Dark",$S32="Ice",$S32="Normal",$S32="Rock",$S32="Steel"),0-1,IF(OR($S32="Bug",$S32="Fairy",$S32="Flying",$S32="Poison",$S32="Psychic"),1,0))))</f>
        <v>1</v>
      </c>
      <c r="AI32" s="507" t="n">
        <f aca="false">SUM(IF(OR($R32="Bug",$R32="Grass",$R32="Ice",$R32="Steel"),0-1,IF(OR($R32="Dragon",$R32="Fire",$R32="Rock",$R32="Water"),1,0)),IF(OR($S32="Bug",$S32="Grass",$S32="Ice",$S32="Steel"),0-1,IF(OR($S32="Dragon",$S32="Fire",$S32="Rock",$S32="Water"),1,0)))</f>
        <v>0</v>
      </c>
      <c r="AJ32" s="507" t="n">
        <f aca="false">SUM(IF(OR($R32="Bug",$R32="Grass",$R32="Fighting"),0-1,IF(OR($R32="Electric",$R32="Rock",$R32="Steel"),1,0)),IF(OR($S32="Bug",$S32="Grass",$S32="Fighting"),0-1,IF(OR($S32="Electric",$S32="Rock",$S32="Steel"),1,0)))</f>
        <v>0</v>
      </c>
      <c r="AK32" s="507" t="n">
        <f aca="false">IF(OR($R32="Normal",$S32="Normal"),4,SUM(IF(OR($R32="Ghost",$R32="Psychic"),0-1,IF($R32="Dark",1,0)),IF(OR($S32="Ghost",$S32="Psychic"),0-1,IF($S32="Dark",1,0))))</f>
        <v>-1</v>
      </c>
      <c r="AL32" s="507" t="n">
        <f aca="false">SUM(IF(OR($R32="Ground",$R32="Rock",$R32="Water"),0-1,IF(OR($R32="Bug",$R32="Flying",$R32="Fire",$R32="Dragon",$R32="Poison",$R32="Steel",$R32="Grass"),1,0)),IF(OR($S32="Ground",$S32="Rock",$S32="Water"),0-1,IF(OR($S32="Bug",$S32="Flying",$S32="Fire",$S32="Dragon",$S32="Poison",$S32="Steel",$S32="Grass"),1,0)))</f>
        <v>0</v>
      </c>
      <c r="AM32" s="507" t="n">
        <f aca="false">IF(OR($R32="Flying",$S32="Flying"),4,SUM(IF(OR($R32="Electric",$R32="Fire",$R32="Rock",$R32="Steel",$R32="Poison"),0-1,IF(OR($R32="Bug",$R32="Grass"),1,0)),IF(OR($S32="Electric",$S32="Fire",$S32="Rock",$S32="Steel",$S32="Poison"),0-1,IF(OR($S32="Bug",$S32="Grass"),1,0))))</f>
        <v>0</v>
      </c>
      <c r="AN32" s="507" t="n">
        <f aca="false">SUM(IF(OR($R32="Flying",$R32="Dragon",$R32="Grass",$R32="Ground"),0-1,IF(OR($R32="Steel",$R32="Ice",$R32="Fire",$R32="Water"),1,0)),IF(OR($S32="Flying",$S32="Dragon",$S32="Grass",$S32="Ground"),0-1,IF(OR($S32="Steel",$S32="Ice",$S32="Fire",$S32="Water"),1,0)))</f>
        <v>0</v>
      </c>
      <c r="AO32" s="507" t="n">
        <f aca="false">IF(OR($R32="Ghost",$S32="Ghost"),4,SUM(IF(OR($R32="Steel",$R32="Rock"),1,0),IF(OR($S32="Steel",$S32="Rock"),1,0)))</f>
        <v>0</v>
      </c>
      <c r="AP32" s="507" t="n">
        <f aca="false">IF(OR($R32="Steel",$S32="Steel"),4,SUM(IF(OR($R32="Fairy",$R32="Grass"),0-1,IF(OR($R32="Ghost",$R32="Rock",$R32="Ground",$R32="Poison"),1,0)),IF(OR($S32="Fairy",$S32="Grass"),0-1,IF(OR($S32="Ghost",$S32="Rock",$S32="Ground",$S32="Poison"),1,0))))</f>
        <v>0</v>
      </c>
      <c r="AQ32" s="507" t="n">
        <f aca="false">IF(OR($R32="Dark",$S32="Dark"),4,SUM(IF(OR($R32="Fighting",$R32="Poison"),0-1,IF(OR($R32="Psychic",$R32="Steel"),1,0)),IF(OR($S32="Fighting",$S32="Poison"),0-1,IF(OR($S32="Psychic",$S32="Steel"),1,0))))</f>
        <v>1</v>
      </c>
      <c r="AR32" s="507" t="n">
        <f aca="false">SUM(IF(OR($R32="Bug",$R32="Fire",$R32="Flying",$R32="Ice"),0-1,IF(OR($R32="Steel",$R32="Fighting",$R32="Ground"),1,0)),IF(OR($S32="Bug",$S32="Fire",$S32="Flying",$S32="Ice"),0-1,IF(OR($S32="Steel",$S32="Fighting",$S32="Ground"),1,0)))</f>
        <v>0</v>
      </c>
      <c r="AS32" s="507" t="n">
        <f aca="false">SUM(IF(OR($R32="Fairy",$R32="Ice",$R32="Rock"),0-1,IF(OR($R32="Steel",$R32="Electric",$R32="Fire",$R32="Water"),1,0)),IF(OR($S32="Fairy",$S32="Ice",$S32="Rock"),0-1,IF(OR($S32="Steel",$S32="Electric",$S32="Fire",$S32="Water"),1,0)))</f>
        <v>0</v>
      </c>
      <c r="AT32" s="508" t="n">
        <f aca="false">SUM(IF(OR($R32="Fire",$R32="Ground",$R32="Rock"),0-1,IF(OR($R32="Dragon",$R32="Grass",$R32="Water"),1,0)),IF(OR($S32="Fire",$S32="Ground",$S32="Rock"),0-1,IF(OR($S32="Dragon",$S32="Grass",$S32="Water"),1,0)))</f>
        <v>0</v>
      </c>
      <c r="AU32" s="518"/>
    </row>
    <row r="33" customFormat="false" ht="15.75" hidden="false" customHeight="false" outlineLevel="0" collapsed="false">
      <c r="A33" s="515" t="str">
        <f aca="false" t="array" ref="A33:A33">IF(ISNA(INDEX(Source!$U$7:$U$95,MATCH(B33,Source!$V$7:$V$95,0))),"FREE",INDEX(Source!$U$7:$U$95,MATCH(B33,Source!$V$7:$V$95,0)))</f>
        <v>LVC</v>
      </c>
      <c r="B33" s="511" t="s">
        <v>57</v>
      </c>
      <c r="C33" s="511"/>
      <c r="D33" s="511"/>
      <c r="E33" s="499" t="n">
        <f aca="false">IF(SUM($W33:$X33)&gt;0,SUM($W33:$X33),IF($H33&gt;0,0,IF($H33&gt;0,0,"-")))</f>
        <v>0</v>
      </c>
      <c r="F33" s="499" t="n">
        <f aca="false">IF(SUM($Y33:$Z33)&gt;0,SUM($Y33:$Z33),IF($H33&gt;0,0,"-"))</f>
        <v>0</v>
      </c>
      <c r="G33" s="499" t="e">
        <f aca="false">IF($H33&gt;0,minus(E33,F33),"-")</f>
        <v>#NAME?</v>
      </c>
      <c r="H33" s="500" t="n">
        <f aca="false">SUM(COUNTIF(MatchSource!$A:$A,$B33),COUNTIF(MatchSource!$H:$H,$B33))</f>
        <v>4</v>
      </c>
      <c r="I33" s="501" t="n">
        <f aca="false">SUM($AA33:$AB33)</f>
        <v>0</v>
      </c>
      <c r="J33" s="501" t="s">
        <v>698</v>
      </c>
      <c r="K33" s="512" t="n">
        <f aca="false" t="array" ref="K33:K33">IF(ISNA(INDEX(DraftRosters!$AA$3:$AA$199,MATCH($B33,DraftRosters!$AB$3:$AB$199,0))),"FA",IF(INDEX(DraftRosters!$AA$3:$AA$199,MATCH($B33,DraftRosters!$AB$3:$AB$199,0))="Franchise","Franch",INDEX(DraftRosters!$AA$3:$AA$199,MATCH($B33,DraftRosters!$AB$3:$AB$199,0))))</f>
        <v>1</v>
      </c>
      <c r="L33" s="507" t="n">
        <v>100</v>
      </c>
      <c r="M33" s="507" t="n">
        <v>50</v>
      </c>
      <c r="N33" s="507" t="n">
        <v>80</v>
      </c>
      <c r="O33" s="507" t="n">
        <v>60</v>
      </c>
      <c r="P33" s="507" t="n">
        <v>80</v>
      </c>
      <c r="Q33" s="508" t="n">
        <v>50</v>
      </c>
      <c r="R33" s="499" t="s">
        <v>798</v>
      </c>
      <c r="S33" s="501" t="s">
        <v>811</v>
      </c>
      <c r="T33" s="504" t="s">
        <v>867</v>
      </c>
      <c r="U33" s="505" t="s">
        <v>868</v>
      </c>
      <c r="V33" s="506" t="s">
        <v>869</v>
      </c>
      <c r="W33" s="500" t="str">
        <f aca="false">IFERROR(__xludf.dummyfunction("if(isna(SUM(FILTER(MatchSource!$A:$D,MatchSource!$A:$A=$B33))),0,SUM(FILTER(MatchSource!$A:$D,MatchSource!$A:$A=$B33)))"),"2")</f>
        <v>2</v>
      </c>
      <c r="X33" s="499" t="str">
        <f aca="false">IFERROR(__xludf.dummyfunction("if(isna(SUM(FILTER(MatchSource!$H:$K,MatchSource!$H:$H=$B33))),0,SUM(FILTER(MatchSource!$H:$K,MatchSource!$H:$H=$B33)))"),"0")</f>
        <v>0</v>
      </c>
      <c r="Y33" s="499" t="str">
        <f aca="false">IFERROR(__xludf.dummyfunction("if(isna(ABS(MINUS(SUM(FILTER(MatchSource!$A:$E,MatchSource!$A:$A=$B33)),SUM($W33)))),0,ABS(MINUS(SUM(FILTER(MatchSource!$A:$E,MatchSource!$A:$A=$B33)),SUM($W33))))"),"2")</f>
        <v>2</v>
      </c>
      <c r="Z33" s="499" t="str">
        <f aca="false">IFERROR(__xludf.dummyfunction("if(isna(ABS(MINUS(SUM(FILTER(MatchSource!$H:$L,MatchSource!$H:$H=$B33)),SUM($X33)))),0,ABS(MINUS(SUM(FILTER(MatchSource!$H:$L,MatchSource!$H:$H=$B33)),SUM($X33))))"),"1")</f>
        <v>1</v>
      </c>
      <c r="AA33" s="499" t="str">
        <f aca="false">IFERROR(__xludf.dummyfunction("if(isna(ABS(MINUS(SUM(FILTER(MatchSource!$A:$F,MatchSource!$A:$A=$B33)),SUM($W33,$Y33)))),0,ABS(MINUS(SUM(FILTER(MatchSource!$A:$F,MatchSource!$A:$A=$B33)),SUM($W33, $Y33,))))"),"1")</f>
        <v>1</v>
      </c>
      <c r="AB33" s="501" t="str">
        <f aca="false">IFERROR(__xludf.dummyfunction("if(isna(ABS(MINUS(SUM(FILTER(MatchSource!$H:$M,MatchSource!$H:$H=$B33)),SUM($X33,$Z33)))),0,ABS(MINUS(SUM(FILTER(MatchSource!$H:$M,MatchSource!$H:$H=$B33)),SUM($X33,$Z33))))"),"1")</f>
        <v>1</v>
      </c>
      <c r="AC33" s="507" t="n">
        <f aca="false">SUM(IF(OR($R33="Grass",$R33="Psychic",$R33="Dark"),0-1,IF(OR($R33="Fighting",$R33="Flying",$R33="Fire",$R33="Ghost",$R33="Poison",$R33="Steel",$R33="Fairy"),1,0)),IF(OR($S33="Grass",$S33="Psychic",$S33="Dark"),0-1,IF(OR($S33="Fighting",$S33="Flying",$S33="Fire",$S33="Ghost",$S33="Poison",$S33="Steel",$S33="Fairy"),1,0)))</f>
        <v>1</v>
      </c>
      <c r="AD33" s="507" t="n">
        <f aca="false">SUM(IF(OR($R33="Ghost",$R33="Psychic"),0-1,IF(OR($R33="Fighting",$R33="Dark",$R33="Fairy"),1,0)),IF(OR($S33="Ghost",$S33="Psychic"),0-1,IF(OR($S33="Fighting",$S33="Dark",$S33="Fairy"),1,0)))</f>
        <v>1</v>
      </c>
      <c r="AE33" s="507" t="n">
        <f aca="false">IF(OR($R33="Fairy",$S33="Fairy"),4,SUM(IF($R33="Dragon",0-1,IF($R33="Steel",1,0)),IF($S33="Dragon",0-1,IF($S33="Steel",1,0))))</f>
        <v>4</v>
      </c>
      <c r="AF33" s="507" t="n">
        <f aca="false">IF(OR($R33="Ground",$S33="Ground"),4,SUM(IF(OR($R33="Flying",$R33="Water"),0-1,IF(OR($R33="Dragon",$R33="Electric",$R33="Grass"),1,0)),IF(OR($S33="Flying",$S33="Water"),0-1,IF(OR($S33="Dragon",$S33="Electric",$S33="Grass"),1,0))))</f>
        <v>-1</v>
      </c>
      <c r="AG33" s="507" t="n">
        <f aca="false">SUM(IF(OR($R33="Dark",$R33="Dragon",$R33="Fighting"),0-1,IF(OR($R33="Steel",$R33="Poison",$R33="Fire"),1,0)),IF(OR($S33="Dark",$S33="Dragon",$S33="Fighting"),0-1,IF(OR($S33="Steel",$S33="Poison",$S33="Fire"),1,0)))</f>
        <v>0</v>
      </c>
      <c r="AH33" s="507" t="n">
        <f aca="false">IF(OR($R33="Ghost",$S33="Ghost"),4,SUM(IF(OR($R33="Dark",$R33="Ice",$R33="Normal",$R33="Rock",$R33="Steel"),0-1,IF(OR($R33="Bug",$R33="Fairy",$R33="Flying",$R33="Poison",$R33="Psychic"),1,0)),IF(OR($S33="Dark",$S33="Ice",$S33="Normal",$S33="Rock",$S33="Steel"),0-1,IF(OR($S33="Bug",$S33="Fairy",$S33="Flying",$S33="Poison",$S33="Psychic"),1,0))))</f>
        <v>1</v>
      </c>
      <c r="AI33" s="507" t="n">
        <f aca="false">SUM(IF(OR($R33="Bug",$R33="Grass",$R33="Ice",$R33="Steel"),0-1,IF(OR($R33="Dragon",$R33="Fire",$R33="Rock",$R33="Water"),1,0)),IF(OR($S33="Bug",$S33="Grass",$S33="Ice",$S33="Steel"),0-1,IF(OR($S33="Dragon",$S33="Fire",$S33="Rock",$S33="Water"),1,0)))</f>
        <v>1</v>
      </c>
      <c r="AJ33" s="507" t="n">
        <f aca="false">SUM(IF(OR($R33="Bug",$R33="Grass",$R33="Fighting"),0-1,IF(OR($R33="Electric",$R33="Rock",$R33="Steel"),1,0)),IF(OR($S33="Bug",$S33="Grass",$S33="Fighting"),0-1,IF(OR($S33="Electric",$S33="Rock",$S33="Steel"),1,0)))</f>
        <v>0</v>
      </c>
      <c r="AK33" s="507" t="n">
        <f aca="false">IF(OR($R33="Normal",$S33="Normal"),4,SUM(IF(OR($R33="Ghost",$R33="Psychic"),0-1,IF($R33="Dark",1,0)),IF(OR($S33="Ghost",$S33="Psychic"),0-1,IF($S33="Dark",1,0))))</f>
        <v>0</v>
      </c>
      <c r="AL33" s="507" t="n">
        <f aca="false">SUM(IF(OR($R33="Ground",$R33="Rock",$R33="Water"),0-1,IF(OR($R33="Bug",$R33="Flying",$R33="Fire",$R33="Dragon",$R33="Poison",$R33="Steel",$R33="Grass"),1,0)),IF(OR($S33="Ground",$S33="Rock",$S33="Water"),0-1,IF(OR($S33="Bug",$S33="Flying",$S33="Fire",$S33="Dragon",$S33="Poison",$S33="Steel",$S33="Grass"),1,0)))</f>
        <v>-1</v>
      </c>
      <c r="AM33" s="507" t="n">
        <f aca="false">IF(OR($R33="Flying",$S33="Flying"),4,SUM(IF(OR($R33="Electric",$R33="Fire",$R33="Rock",$R33="Steel",$R33="Poison"),0-1,IF(OR($R33="Bug",$R33="Grass"),1,0)),IF(OR($S33="Electric",$S33="Fire",$S33="Rock",$S33="Steel",$S33="Poison"),0-1,IF(OR($S33="Bug",$S33="Grass"),1,0))))</f>
        <v>0</v>
      </c>
      <c r="AN33" s="507" t="n">
        <f aca="false">SUM(IF(OR($R33="Flying",$R33="Dragon",$R33="Grass",$R33="Ground"),0-1,IF(OR($R33="Steel",$R33="Ice",$R33="Fire",$R33="Water"),1,0)),IF(OR($S33="Flying",$S33="Dragon",$S33="Grass",$S33="Ground"),0-1,IF(OR($S33="Steel",$S33="Ice",$S33="Fire",$S33="Water"),1,0)))</f>
        <v>1</v>
      </c>
      <c r="AO33" s="507" t="n">
        <f aca="false">IF(OR($R33="Ghost",$S33="Ghost"),4,SUM(IF(OR($R33="Steel",$R33="Rock"),1,0),IF(OR($S33="Steel",$S33="Rock"),1,0)))</f>
        <v>0</v>
      </c>
      <c r="AP33" s="507" t="n">
        <f aca="false">IF(OR($R33="Steel",$S33="Steel"),4,SUM(IF(OR($R33="Fairy",$R33="Grass"),0-1,IF(OR($R33="Ghost",$R33="Rock",$R33="Ground",$R33="Poison"),1,0)),IF(OR($S33="Fairy",$S33="Grass"),0-1,IF(OR($S33="Ghost",$S33="Rock",$S33="Ground",$S33="Poison"),1,0))))</f>
        <v>-1</v>
      </c>
      <c r="AQ33" s="507" t="n">
        <f aca="false">IF(OR($R33="Dark",$S33="Dark"),4,SUM(IF(OR($R33="Fighting",$R33="Poison"),0-1,IF(OR($R33="Psychic",$R33="Steel"),1,0)),IF(OR($S33="Fighting",$S33="Poison"),0-1,IF(OR($S33="Psychic",$S33="Steel"),1,0))))</f>
        <v>0</v>
      </c>
      <c r="AR33" s="507" t="n">
        <f aca="false">SUM(IF(OR($R33="Bug",$R33="Fire",$R33="Flying",$R33="Ice"),0-1,IF(OR($R33="Steel",$R33="Fighting",$R33="Ground"),1,0)),IF(OR($S33="Bug",$S33="Fire",$S33="Flying",$S33="Ice"),0-1,IF(OR($S33="Steel",$S33="Fighting",$S33="Ground"),1,0)))</f>
        <v>0</v>
      </c>
      <c r="AS33" s="507" t="n">
        <f aca="false">SUM(IF(OR($R33="Fairy",$R33="Ice",$R33="Rock"),0-1,IF(OR($R33="Steel",$R33="Electric",$R33="Fire",$R33="Water"),1,0)),IF(OR($S33="Fairy",$S33="Ice",$S33="Rock"),0-1,IF(OR($S33="Steel",$S33="Electric",$S33="Fire",$S33="Water"),1,0)))</f>
        <v>0</v>
      </c>
      <c r="AT33" s="508" t="n">
        <f aca="false">SUM(IF(OR($R33="Fire",$R33="Ground",$R33="Rock"),0-1,IF(OR($R33="Dragon",$R33="Grass",$R33="Water"),1,0)),IF(OR($S33="Fire",$S33="Ground",$S33="Rock"),0-1,IF(OR($S33="Dragon",$S33="Grass",$S33="Water"),1,0)))</f>
        <v>1</v>
      </c>
      <c r="AU33" s="518"/>
    </row>
    <row r="34" customFormat="false" ht="15.75" hidden="false" customHeight="false" outlineLevel="0" collapsed="false">
      <c r="A34" s="515" t="str">
        <f aca="false" t="array" ref="A34:A34">IF(ISNA(INDEX(Source!$U$7:$U$95,MATCH(B34,Source!$V$7:$V$95,0))),"FREE",INDEX(Source!$U$7:$U$95,MATCH(B34,Source!$V$7:$V$95,0)))</f>
        <v>FREE</v>
      </c>
      <c r="B34" s="511" t="s">
        <v>732</v>
      </c>
      <c r="C34" s="511"/>
      <c r="D34" s="511"/>
      <c r="E34" s="499" t="str">
        <f aca="false">IF(SUM($W34:$X34)&gt;0,SUM($W34:$X34),IF($H34&gt;0,0,IF($H34&gt;0,0,"-")))</f>
        <v>-</v>
      </c>
      <c r="F34" s="499" t="str">
        <f aca="false">IF(SUM($Y34:$Z34)&gt;0,SUM($Y34:$Z34),IF($H34&gt;0,0,"-"))</f>
        <v>-</v>
      </c>
      <c r="G34" s="499" t="str">
        <f aca="false">IF($H34&gt;0,minus(E34,F34),"-")</f>
        <v>-</v>
      </c>
      <c r="H34" s="500" t="n">
        <f aca="false">SUM(COUNTIF(MatchSource!$A:$A,$B34),COUNTIF(MatchSource!$H:$H,$B34))</f>
        <v>0</v>
      </c>
      <c r="I34" s="501" t="n">
        <f aca="false">SUM($AA34:$AB34)</f>
        <v>0</v>
      </c>
      <c r="J34" s="501" t="s">
        <v>702</v>
      </c>
      <c r="K34" s="512" t="str">
        <f aca="false" t="array" ref="K34:K34">IF(ISNA(INDEX(DraftRosters!$AA$3:$AA$199,MATCH($B34,DraftRosters!$AB$3:$AB$199,0))),"FA",IF(INDEX(DraftRosters!$AA$3:$AA$199,MATCH($B34,DraftRosters!$AB$3:$AB$199,0))="Franchise","Franch",INDEX(DraftRosters!$AA$3:$AA$199,MATCH($B34,DraftRosters!$AB$3:$AB$199,0))))</f>
        <v>FA</v>
      </c>
      <c r="L34" s="499" t="n">
        <v>64</v>
      </c>
      <c r="M34" s="499" t="n">
        <v>115</v>
      </c>
      <c r="N34" s="499" t="n">
        <v>65</v>
      </c>
      <c r="O34" s="499" t="n">
        <v>83</v>
      </c>
      <c r="P34" s="499" t="n">
        <v>63</v>
      </c>
      <c r="Q34" s="501" t="n">
        <v>65</v>
      </c>
      <c r="R34" s="499" t="s">
        <v>802</v>
      </c>
      <c r="S34" s="501"/>
      <c r="T34" s="504" t="s">
        <v>870</v>
      </c>
      <c r="U34" s="505" t="s">
        <v>871</v>
      </c>
      <c r="V34" s="506" t="s">
        <v>855</v>
      </c>
      <c r="W34" s="500" t="str">
        <f aca="false">IFERROR(__xludf.dummyfunction("if(isna(SUM(FILTER(MatchSource!$A:$D,MatchSource!$A:$A=$B34))),0,SUM(FILTER(MatchSource!$A:$D,MatchSource!$A:$A=$B34)))"),"0")</f>
        <v>0</v>
      </c>
      <c r="X34" s="499" t="str">
        <f aca="false">IFERROR(__xludf.dummyfunction("if(isna(SUM(FILTER(MatchSource!$H:$K,MatchSource!$H:$H=$B34))),0,SUM(FILTER(MatchSource!$H:$K,MatchSource!$H:$H=$B34)))"),"0")</f>
        <v>0</v>
      </c>
      <c r="Y34" s="499" t="str">
        <f aca="false">IFERROR(__xludf.dummyfunction("if(isna(ABS(MINUS(SUM(FILTER(MatchSource!$A:$E,MatchSource!$A:$A=$B34)),SUM($W34)))),0,ABS(MINUS(SUM(FILTER(MatchSource!$A:$E,MatchSource!$A:$A=$B34)),SUM($W34))))"),"0")</f>
        <v>0</v>
      </c>
      <c r="Z34" s="499" t="str">
        <f aca="false">IFERROR(__xludf.dummyfunction("if(isna(ABS(MINUS(SUM(FILTER(MatchSource!$H:$L,MatchSource!$H:$H=$B34)),SUM($X34)))),0,ABS(MINUS(SUM(FILTER(MatchSource!$H:$L,MatchSource!$H:$H=$B34)),SUM($X34))))"),"0")</f>
        <v>0</v>
      </c>
      <c r="AA34" s="499" t="str">
        <f aca="false">IFERROR(__xludf.dummyfunction("if(isna(ABS(MINUS(SUM(FILTER(MatchSource!$A:$F,MatchSource!$A:$A=$B34)),SUM($W34,$Y34)))),0,ABS(MINUS(SUM(FILTER(MatchSource!$A:$F,MatchSource!$A:$A=$B34)),SUM($W34, $Y34,))))"),"0")</f>
        <v>0</v>
      </c>
      <c r="AB34" s="501" t="str">
        <f aca="false">IFERROR(__xludf.dummyfunction("if(isna(ABS(MINUS(SUM(FILTER(MatchSource!$H:$M,MatchSource!$H:$H=$B34)),SUM($X34,$Z34)))),0,ABS(MINUS(SUM(FILTER(MatchSource!$H:$M,MatchSource!$H:$H=$B34)),SUM($X34,$Z34))))"),"0")</f>
        <v>0</v>
      </c>
      <c r="AC34" s="507" t="n">
        <f aca="false">SUM(IF(OR($R34="Grass",$R34="Psychic",$R34="Dark"),0-1,IF(OR($R34="Fighting",$R34="Flying",$R34="Fire",$R34="Ghost",$R34="Poison",$R34="Steel",$R34="Fairy"),1,0)),IF(OR($S34="Grass",$S34="Psychic",$S34="Dark"),0-1,IF(OR($S34="Fighting",$S34="Flying",$S34="Fire",$S34="Ghost",$S34="Poison",$S34="Steel",$S34="Fairy"),1,0)))</f>
        <v>1</v>
      </c>
      <c r="AD34" s="507" t="n">
        <f aca="false">SUM(IF(OR($R34="Ghost",$R34="Psychic"),0-1,IF(OR($R34="Fighting",$R34="Dark",$R34="Fairy"),1,0)),IF(OR($S34="Ghost",$S34="Psychic"),0-1,IF(OR($S34="Fighting",$S34="Dark",$S34="Fairy"),1,0)))</f>
        <v>-1</v>
      </c>
      <c r="AE34" s="507" t="n">
        <f aca="false">IF(OR($R34="Fairy",$S34="Fairy"),4,SUM(IF($R34="Dragon",0-1,IF($R34="Steel",1,0)),IF($S34="Dragon",0-1,IF($S34="Steel",1,0))))</f>
        <v>0</v>
      </c>
      <c r="AF34" s="507" t="n">
        <f aca="false">IF(OR($R34="Ground",$S34="Ground"),4,SUM(IF(OR($R34="Flying",$R34="Water"),0-1,IF(OR($R34="Dragon",$R34="Electric",$R34="Grass"),1,0)),IF(OR($S34="Flying",$S34="Water"),0-1,IF(OR($S34="Dragon",$S34="Electric",$S34="Grass"),1,0))))</f>
        <v>0</v>
      </c>
      <c r="AG34" s="507" t="n">
        <f aca="false">SUM(IF(OR($R34="Dark",$R34="Dragon",$R34="Fighting"),0-1,IF(OR($R34="Steel",$R34="Poison",$R34="Fire"),1,0)),IF(OR($S34="Dark",$S34="Dragon",$S34="Fighting"),0-1,IF(OR($S34="Steel",$S34="Poison",$S34="Fire"),1,0)))</f>
        <v>0</v>
      </c>
      <c r="AH34" s="507" t="n">
        <f aca="false">IF(OR($R34="Ghost",$S34="Ghost"),4,SUM(IF(OR($R34="Dark",$R34="Ice",$R34="Normal",$R34="Rock",$R34="Steel"),0-1,IF(OR($R34="Bug",$R34="Fairy",$R34="Flying",$R34="Poison",$R34="Psychic"),1,0)),IF(OR($S34="Dark",$S34="Ice",$S34="Normal",$S34="Rock",$S34="Steel"),0-1,IF(OR($S34="Bug",$S34="Fairy",$S34="Flying",$S34="Poison",$S34="Psychic"),1,0))))</f>
        <v>4</v>
      </c>
      <c r="AI34" s="507" t="n">
        <f aca="false">SUM(IF(OR($R34="Bug",$R34="Grass",$R34="Ice",$R34="Steel"),0-1,IF(OR($R34="Dragon",$R34="Fire",$R34="Rock",$R34="Water"),1,0)),IF(OR($S34="Bug",$S34="Grass",$S34="Ice",$S34="Steel"),0-1,IF(OR($S34="Dragon",$S34="Fire",$S34="Rock",$S34="Water"),1,0)))</f>
        <v>0</v>
      </c>
      <c r="AJ34" s="507" t="n">
        <f aca="false">SUM(IF(OR($R34="Bug",$R34="Grass",$R34="Fighting"),0-1,IF(OR($R34="Electric",$R34="Rock",$R34="Steel"),1,0)),IF(OR($S34="Bug",$S34="Grass",$S34="Fighting"),0-1,IF(OR($S34="Electric",$S34="Rock",$S34="Steel"),1,0)))</f>
        <v>0</v>
      </c>
      <c r="AK34" s="507" t="n">
        <f aca="false">IF(OR($R34="Normal",$S34="Normal"),4,SUM(IF(OR($R34="Ghost",$R34="Psychic"),0-1,IF($R34="Dark",1,0)),IF(OR($S34="Ghost",$S34="Psychic"),0-1,IF($S34="Dark",1,0))))</f>
        <v>-1</v>
      </c>
      <c r="AL34" s="507" t="n">
        <f aca="false">SUM(IF(OR($R34="Ground",$R34="Rock",$R34="Water"),0-1,IF(OR($R34="Bug",$R34="Flying",$R34="Fire",$R34="Dragon",$R34="Poison",$R34="Steel",$R34="Grass"),1,0)),IF(OR($S34="Ground",$S34="Rock",$S34="Water"),0-1,IF(OR($S34="Bug",$S34="Flying",$S34="Fire",$S34="Dragon",$S34="Poison",$S34="Steel",$S34="Grass"),1,0)))</f>
        <v>0</v>
      </c>
      <c r="AM34" s="507" t="n">
        <f aca="false">IF(OR($R34="Flying",$S34="Flying"),4,SUM(IF(OR($R34="Electric",$R34="Fire",$R34="Rock",$R34="Steel",$R34="Poison"),0-1,IF(OR($R34="Bug",$R34="Grass"),1,0)),IF(OR($S34="Electric",$S34="Fire",$S34="Rock",$S34="Steel",$S34="Poison"),0-1,IF(OR($S34="Bug",$S34="Grass"),1,0))))</f>
        <v>0</v>
      </c>
      <c r="AN34" s="507" t="n">
        <f aca="false">SUM(IF(OR($R34="Flying",$R34="Dragon",$R34="Grass",$R34="Ground"),0-1,IF(OR($R34="Steel",$R34="Ice",$R34="Fire",$R34="Water"),1,0)),IF(OR($S34="Flying",$S34="Dragon",$S34="Grass",$S34="Ground"),0-1,IF(OR($S34="Steel",$S34="Ice",$S34="Fire",$S34="Water"),1,0)))</f>
        <v>0</v>
      </c>
      <c r="AO34" s="507" t="n">
        <f aca="false">IF(OR($R34="Ghost",$S34="Ghost"),4,SUM(IF(OR($R34="Steel",$R34="Rock"),1,0),IF(OR($S34="Steel",$S34="Rock"),1,0)))</f>
        <v>4</v>
      </c>
      <c r="AP34" s="507" t="n">
        <f aca="false">IF(OR($R34="Steel",$S34="Steel"),4,SUM(IF(OR($R34="Fairy",$R34="Grass"),0-1,IF(OR($R34="Ghost",$R34="Rock",$R34="Ground",$R34="Poison"),1,0)),IF(OR($S34="Fairy",$S34="Grass"),0-1,IF(OR($S34="Ghost",$S34="Rock",$S34="Ground",$S34="Poison"),1,0))))</f>
        <v>1</v>
      </c>
      <c r="AQ34" s="507" t="n">
        <f aca="false">IF(OR($R34="Dark",$S34="Dark"),4,SUM(IF(OR($R34="Fighting",$R34="Poison"),0-1,IF(OR($R34="Psychic",$R34="Steel"),1,0)),IF(OR($S34="Fighting",$S34="Poison"),0-1,IF(OR($S34="Psychic",$S34="Steel"),1,0))))</f>
        <v>0</v>
      </c>
      <c r="AR34" s="507" t="n">
        <f aca="false">SUM(IF(OR($R34="Bug",$R34="Fire",$R34="Flying",$R34="Ice"),0-1,IF(OR($R34="Steel",$R34="Fighting",$R34="Ground"),1,0)),IF(OR($S34="Bug",$S34="Fire",$S34="Flying",$S34="Ice"),0-1,IF(OR($S34="Steel",$S34="Fighting",$S34="Ground"),1,0)))</f>
        <v>0</v>
      </c>
      <c r="AS34" s="507" t="n">
        <f aca="false">SUM(IF(OR($R34="Fairy",$R34="Ice",$R34="Rock"),0-1,IF(OR($R34="Steel",$R34="Electric",$R34="Fire",$R34="Water"),1,0)),IF(OR($S34="Fairy",$S34="Ice",$S34="Rock"),0-1,IF(OR($S34="Steel",$S34="Electric",$S34="Fire",$S34="Water"),1,0)))</f>
        <v>0</v>
      </c>
      <c r="AT34" s="508" t="n">
        <f aca="false">SUM(IF(OR($R34="Fire",$R34="Ground",$R34="Rock"),0-1,IF(OR($R34="Dragon",$R34="Grass",$R34="Water"),1,0)),IF(OR($S34="Fire",$S34="Ground",$S34="Rock"),0-1,IF(OR($S34="Dragon",$S34="Grass",$S34="Water"),1,0)))</f>
        <v>0</v>
      </c>
      <c r="AU34" s="518"/>
    </row>
    <row r="35" customFormat="false" ht="15.75" hidden="false" customHeight="false" outlineLevel="0" collapsed="false">
      <c r="A35" s="510" t="str">
        <f aca="false" t="array" ref="A35:A35">IF(ISNA(INDEX(Source!$U$7:$U$95,MATCH(B35,Source!$V$7:$V$95,0))),"FREE",INDEX(Source!$U$7:$U$95,MATCH(B35,Source!$V$7:$V$95,0)))</f>
        <v>SEA</v>
      </c>
      <c r="B35" s="511" t="s">
        <v>52</v>
      </c>
      <c r="C35" s="511"/>
      <c r="D35" s="511"/>
      <c r="E35" s="499" t="n">
        <f aca="false">IF(SUM($W35:$X35)&gt;0,SUM($W35:$X35),IF($H35&gt;0,0,IF($H35&gt;0,0,"-")))</f>
        <v>0</v>
      </c>
      <c r="F35" s="499" t="n">
        <f aca="false">IF(SUM($Y35:$Z35)&gt;0,SUM($Y35:$Z35),IF($H35&gt;0,0,"-"))</f>
        <v>0</v>
      </c>
      <c r="G35" s="499" t="e">
        <f aca="false">IF($H35&gt;0,minus(E35,F35),"-")</f>
        <v>#NAME?</v>
      </c>
      <c r="H35" s="500" t="n">
        <f aca="false">SUM(COUNTIF(MatchSource!$A:$A,$B35),COUNTIF(MatchSource!$H:$H,$B35))</f>
        <v>7</v>
      </c>
      <c r="I35" s="501" t="n">
        <f aca="false">SUM($AA35:$AB35)</f>
        <v>0</v>
      </c>
      <c r="J35" s="501" t="s">
        <v>279</v>
      </c>
      <c r="K35" s="512" t="n">
        <f aca="false" t="array" ref="K35:K35">IF(ISNA(INDEX(DraftRosters!$AA$3:$AA$199,MATCH($B35,DraftRosters!$AB$3:$AB$199,0))),"FA",IF(INDEX(DraftRosters!$AA$3:$AA$199,MATCH($B35,DraftRosters!$AB$3:$AB$199,0))="Franchise","Franch",INDEX(DraftRosters!$AA$3:$AA$199,MATCH($B35,DraftRosters!$AB$3:$AB$199,0))))</f>
        <v>8</v>
      </c>
      <c r="L35" s="499" t="n">
        <v>64</v>
      </c>
      <c r="M35" s="499" t="n">
        <v>165</v>
      </c>
      <c r="N35" s="499" t="n">
        <v>75</v>
      </c>
      <c r="O35" s="499" t="n">
        <v>93</v>
      </c>
      <c r="P35" s="499" t="n">
        <v>83</v>
      </c>
      <c r="Q35" s="501" t="n">
        <v>75</v>
      </c>
      <c r="R35" s="499" t="s">
        <v>802</v>
      </c>
      <c r="S35" s="501"/>
      <c r="T35" s="504" t="s">
        <v>872</v>
      </c>
      <c r="U35" s="513"/>
      <c r="V35" s="514"/>
      <c r="W35" s="500" t="str">
        <f aca="false">IFERROR(__xludf.dummyfunction("if(isna(SUM(FILTER(MatchSource!$A:$D,MatchSource!$A:$A=$B35))),0,SUM(FILTER(MatchSource!$A:$D,MatchSource!$A:$A=$B35)))"),"4")</f>
        <v>4</v>
      </c>
      <c r="X35" s="499" t="str">
        <f aca="false">IFERROR(__xludf.dummyfunction("if(isna(SUM(FILTER(MatchSource!$H:$K,MatchSource!$H:$H=$B35))),0,SUM(FILTER(MatchSource!$H:$K,MatchSource!$H:$H=$B35)))"),"2")</f>
        <v>2</v>
      </c>
      <c r="Y35" s="499" t="str">
        <f aca="false">IFERROR(__xludf.dummyfunction("if(isna(ABS(MINUS(SUM(FILTER(MatchSource!$A:$E,MatchSource!$A:$A=$B35)),SUM($W35)))),0,ABS(MINUS(SUM(FILTER(MatchSource!$A:$E,MatchSource!$A:$A=$B35)),SUM($W35))))"),"4")</f>
        <v>4</v>
      </c>
      <c r="Z35" s="499" t="str">
        <f aca="false">IFERROR(__xludf.dummyfunction("if(isna(ABS(MINUS(SUM(FILTER(MatchSource!$H:$L,MatchSource!$H:$H=$B35)),SUM($X35)))),0,ABS(MINUS(SUM(FILTER(MatchSource!$H:$L,MatchSource!$H:$H=$B35)),SUM($X35))))"),"1")</f>
        <v>1</v>
      </c>
      <c r="AA35" s="499" t="str">
        <f aca="false">IFERROR(__xludf.dummyfunction("if(isna(ABS(MINUS(SUM(FILTER(MatchSource!$A:$F,MatchSource!$A:$A=$B35)),SUM($W35,$Y35)))),0,ABS(MINUS(SUM(FILTER(MatchSource!$A:$F,MatchSource!$A:$A=$B35)),SUM($W35, $Y35,))))"),"3")</f>
        <v>3</v>
      </c>
      <c r="AB35" s="501" t="str">
        <f aca="false">IFERROR(__xludf.dummyfunction("if(isna(ABS(MINUS(SUM(FILTER(MatchSource!$H:$M,MatchSource!$H:$H=$B35)),SUM($X35,$Z35)))),0,ABS(MINUS(SUM(FILTER(MatchSource!$H:$M,MatchSource!$H:$H=$B35)),SUM($X35,$Z35))))"),"1")</f>
        <v>1</v>
      </c>
      <c r="AC35" s="507" t="n">
        <f aca="false">SUM(IF(OR($R35="Grass",$R35="Psychic",$R35="Dark"),0-1,IF(OR($R35="Fighting",$R35="Flying",$R35="Fire",$R35="Ghost",$R35="Poison",$R35="Steel",$R35="Fairy"),1,0)),IF(OR($S35="Grass",$S35="Psychic",$S35="Dark"),0-1,IF(OR($S35="Fighting",$S35="Flying",$S35="Fire",$S35="Ghost",$S35="Poison",$S35="Steel",$S35="Fairy"),1,0)))</f>
        <v>1</v>
      </c>
      <c r="AD35" s="507" t="n">
        <f aca="false">SUM(IF(OR($R35="Ghost",$R35="Psychic"),0-1,IF(OR($R35="Fighting",$R35="Dark",$R35="Fairy"),1,0)),IF(OR($S35="Ghost",$S35="Psychic"),0-1,IF(OR($S35="Fighting",$S35="Dark",$S35="Fairy"),1,0)))</f>
        <v>-1</v>
      </c>
      <c r="AE35" s="507" t="n">
        <f aca="false">IF(OR($R35="Fairy",$S35="Fairy"),4,SUM(IF($R35="Dragon",0-1,IF($R35="Steel",1,0)),IF($S35="Dragon",0-1,IF($S35="Steel",1,0))))</f>
        <v>0</v>
      </c>
      <c r="AF35" s="507" t="n">
        <f aca="false">IF(OR($R35="Ground",$S35="Ground"),4,SUM(IF(OR($R35="Flying",$R35="Water"),0-1,IF(OR($R35="Dragon",$R35="Electric",$R35="Grass"),1,0)),IF(OR($S35="Flying",$S35="Water"),0-1,IF(OR($S35="Dragon",$S35="Electric",$S35="Grass"),1,0))))</f>
        <v>0</v>
      </c>
      <c r="AG35" s="507" t="n">
        <f aca="false">SUM(IF(OR($R35="Dark",$R35="Dragon",$R35="Fighting"),0-1,IF(OR($R35="Steel",$R35="Poison",$R35="Fire"),1,0)),IF(OR($S35="Dark",$S35="Dragon",$S35="Fighting"),0-1,IF(OR($S35="Steel",$S35="Poison",$S35="Fire"),1,0)))</f>
        <v>0</v>
      </c>
      <c r="AH35" s="507" t="n">
        <f aca="false">IF(OR($R35="Ghost",$S35="Ghost"),4,SUM(IF(OR($R35="Dark",$R35="Ice",$R35="Normal",$R35="Rock",$R35="Steel"),0-1,IF(OR($R35="Bug",$R35="Fairy",$R35="Flying",$R35="Poison",$R35="Psychic"),1,0)),IF(OR($S35="Dark",$S35="Ice",$S35="Normal",$S35="Rock",$S35="Steel"),0-1,IF(OR($S35="Bug",$S35="Fairy",$S35="Flying",$S35="Poison",$S35="Psychic"),1,0))))</f>
        <v>4</v>
      </c>
      <c r="AI35" s="507" t="n">
        <f aca="false">SUM(IF(OR($R35="Bug",$R35="Grass",$R35="Ice",$R35="Steel"),0-1,IF(OR($R35="Dragon",$R35="Fire",$R35="Rock",$R35="Water"),1,0)),IF(OR($S35="Bug",$S35="Grass",$S35="Ice",$S35="Steel"),0-1,IF(OR($S35="Dragon",$S35="Fire",$S35="Rock",$S35="Water"),1,0)))</f>
        <v>0</v>
      </c>
      <c r="AJ35" s="507" t="n">
        <f aca="false">SUM(IF(OR($R35="Bug",$R35="Grass",$R35="Fighting"),0-1,IF(OR($R35="Electric",$R35="Rock",$R35="Steel"),1,0)),IF(OR($S35="Bug",$S35="Grass",$S35="Fighting"),0-1,IF(OR($S35="Electric",$S35="Rock",$S35="Steel"),1,0)))</f>
        <v>0</v>
      </c>
      <c r="AK35" s="507" t="n">
        <f aca="false">IF(OR($R35="Normal",$S35="Normal"),4,SUM(IF(OR($R35="Ghost",$R35="Psychic"),0-1,IF($R35="Dark",1,0)),IF(OR($S35="Ghost",$S35="Psychic"),0-1,IF($S35="Dark",1,0))))</f>
        <v>-1</v>
      </c>
      <c r="AL35" s="507" t="n">
        <f aca="false">SUM(IF(OR($R35="Ground",$R35="Rock",$R35="Water"),0-1,IF(OR($R35="Bug",$R35="Flying",$R35="Fire",$R35="Dragon",$R35="Poison",$R35="Steel",$R35="Grass"),1,0)),IF(OR($S35="Ground",$S35="Rock",$S35="Water"),0-1,IF(OR($S35="Bug",$S35="Flying",$S35="Fire",$S35="Dragon",$S35="Poison",$S35="Steel",$S35="Grass"),1,0)))</f>
        <v>0</v>
      </c>
      <c r="AM35" s="507" t="n">
        <f aca="false">IF(OR($R35="Flying",$S35="Flying"),4,SUM(IF(OR($R35="Electric",$R35="Fire",$R35="Rock",$R35="Steel",$R35="Poison"),0-1,IF(OR($R35="Bug",$R35="Grass"),1,0)),IF(OR($S35="Electric",$S35="Fire",$S35="Rock",$S35="Steel",$S35="Poison"),0-1,IF(OR($S35="Bug",$S35="Grass"),1,0))))</f>
        <v>0</v>
      </c>
      <c r="AN35" s="507" t="n">
        <f aca="false">SUM(IF(OR($R35="Flying",$R35="Dragon",$R35="Grass",$R35="Ground"),0-1,IF(OR($R35="Steel",$R35="Ice",$R35="Fire",$R35="Water"),1,0)),IF(OR($S35="Flying",$S35="Dragon",$S35="Grass",$S35="Ground"),0-1,IF(OR($S35="Steel",$S35="Ice",$S35="Fire",$S35="Water"),1,0)))</f>
        <v>0</v>
      </c>
      <c r="AO35" s="507" t="n">
        <f aca="false">IF(OR($R35="Ghost",$S35="Ghost"),4,SUM(IF(OR($R35="Steel",$R35="Rock"),1,0),IF(OR($S35="Steel",$S35="Rock"),1,0)))</f>
        <v>4</v>
      </c>
      <c r="AP35" s="507" t="n">
        <f aca="false">IF(OR($R35="Steel",$S35="Steel"),4,SUM(IF(OR($R35="Fairy",$R35="Grass"),0-1,IF(OR($R35="Ghost",$R35="Rock",$R35="Ground",$R35="Poison"),1,0)),IF(OR($S35="Fairy",$S35="Grass"),0-1,IF(OR($S35="Ghost",$S35="Rock",$S35="Ground",$S35="Poison"),1,0))))</f>
        <v>1</v>
      </c>
      <c r="AQ35" s="507" t="n">
        <f aca="false">IF(OR($R35="Dark",$S35="Dark"),4,SUM(IF(OR($R35="Fighting",$R35="Poison"),0-1,IF(OR($R35="Psychic",$R35="Steel"),1,0)),IF(OR($S35="Fighting",$S35="Poison"),0-1,IF(OR($S35="Psychic",$S35="Steel"),1,0))))</f>
        <v>0</v>
      </c>
      <c r="AR35" s="507" t="n">
        <f aca="false">SUM(IF(OR($R35="Bug",$R35="Fire",$R35="Flying",$R35="Ice"),0-1,IF(OR($R35="Steel",$R35="Fighting",$R35="Ground"),1,0)),IF(OR($S35="Bug",$S35="Fire",$S35="Flying",$S35="Ice"),0-1,IF(OR($S35="Steel",$S35="Fighting",$S35="Ground"),1,0)))</f>
        <v>0</v>
      </c>
      <c r="AS35" s="507" t="n">
        <f aca="false">SUM(IF(OR($R35="Fairy",$R35="Ice",$R35="Rock"),0-1,IF(OR($R35="Steel",$R35="Electric",$R35="Fire",$R35="Water"),1,0)),IF(OR($S35="Fairy",$S35="Ice",$S35="Rock"),0-1,IF(OR($S35="Steel",$S35="Electric",$S35="Fire",$S35="Water"),1,0)))</f>
        <v>0</v>
      </c>
      <c r="AT35" s="508" t="n">
        <f aca="false">SUM(IF(OR($R35="Fire",$R35="Ground",$R35="Rock"),0-1,IF(OR($R35="Dragon",$R35="Grass",$R35="Water"),1,0)),IF(OR($S35="Fire",$S35="Ground",$S35="Rock"),0-1,IF(OR($S35="Dragon",$S35="Grass",$S35="Water"),1,0)))</f>
        <v>0</v>
      </c>
      <c r="AU35" s="518"/>
    </row>
    <row r="36" customFormat="false" ht="15.75" hidden="false" customHeight="false" outlineLevel="0" collapsed="false">
      <c r="A36" s="497" t="str">
        <f aca="false" t="array" ref="A36:A36">IF(ISNA(INDEX(Source!$U$7:$U$95,MATCH(B36,Source!$V$7:$V$95,0))),"FREE",INDEX(Source!$U$7:$U$95,MATCH(B36,Source!$V$7:$V$95,0)))</f>
        <v>FREE</v>
      </c>
      <c r="B36" s="511" t="s">
        <v>375</v>
      </c>
      <c r="C36" s="511"/>
      <c r="D36" s="511"/>
      <c r="E36" s="499" t="str">
        <f aca="false">IF(SUM($W36:$X36)&gt;0,SUM($W36:$X36),IF($H36&gt;0,0,IF($H36&gt;0,0,"-")))</f>
        <v>-</v>
      </c>
      <c r="F36" s="499" t="str">
        <f aca="false">IF(SUM($Y36:$Z36)&gt;0,SUM($Y36:$Z36),IF($H36&gt;0,0,"-"))</f>
        <v>-</v>
      </c>
      <c r="G36" s="499" t="str">
        <f aca="false">IF($H36&gt;0,minus(E36,F36),"-")</f>
        <v>-</v>
      </c>
      <c r="H36" s="500" t="n">
        <f aca="false">SUM(COUNTIF(MatchSource!$A:$A,$B36),COUNTIF(MatchSource!$H:$H,$B36))</f>
        <v>0</v>
      </c>
      <c r="I36" s="501" t="n">
        <f aca="false">SUM($AA36:$AB36)</f>
        <v>0</v>
      </c>
      <c r="J36" s="501" t="s">
        <v>702</v>
      </c>
      <c r="K36" s="512" t="str">
        <f aca="false" t="array" ref="K36:K36">IF(ISNA(INDEX(DraftRosters!$AA$3:$AA$199,MATCH($B36,DraftRosters!$AB$3:$AB$199,0))),"FA",IF(INDEX(DraftRosters!$AA$3:$AA$199,MATCH($B36,DraftRosters!$AB$3:$AB$199,0))="Franchise","Franch",INDEX(DraftRosters!$AA$3:$AA$199,MATCH($B36,DraftRosters!$AB$3:$AB$199,0))))</f>
        <v>FA</v>
      </c>
      <c r="L36" s="499" t="n">
        <v>72</v>
      </c>
      <c r="M36" s="499" t="n">
        <v>105</v>
      </c>
      <c r="N36" s="499" t="n">
        <v>115</v>
      </c>
      <c r="O36" s="499" t="n">
        <v>54</v>
      </c>
      <c r="P36" s="499" t="n">
        <v>86</v>
      </c>
      <c r="Q36" s="501" t="n">
        <v>68</v>
      </c>
      <c r="R36" s="499" t="s">
        <v>809</v>
      </c>
      <c r="S36" s="501" t="s">
        <v>811</v>
      </c>
      <c r="T36" s="504" t="s">
        <v>873</v>
      </c>
      <c r="U36" s="505" t="s">
        <v>856</v>
      </c>
      <c r="V36" s="506" t="s">
        <v>824</v>
      </c>
      <c r="W36" s="500" t="str">
        <f aca="false">IFERROR(__xludf.dummyfunction("if(isna(SUM(FILTER(MatchSource!$A:$D,MatchSource!$A:$A=$B36))),0,SUM(FILTER(MatchSource!$A:$D,MatchSource!$A:$A=$B36)))"),"0")</f>
        <v>0</v>
      </c>
      <c r="X36" s="499" t="str">
        <f aca="false">IFERROR(__xludf.dummyfunction("if(isna(SUM(FILTER(MatchSource!$H:$K,MatchSource!$H:$H=$B36))),0,SUM(FILTER(MatchSource!$H:$K,MatchSource!$H:$H=$B36)))"),"0")</f>
        <v>0</v>
      </c>
      <c r="Y36" s="499" t="str">
        <f aca="false">IFERROR(__xludf.dummyfunction("if(isna(ABS(MINUS(SUM(FILTER(MatchSource!$A:$E,MatchSource!$A:$A=$B36)),SUM($W36)))),0,ABS(MINUS(SUM(FILTER(MatchSource!$A:$E,MatchSource!$A:$A=$B36)),SUM($W36))))"),"0")</f>
        <v>0</v>
      </c>
      <c r="Z36" s="499" t="str">
        <f aca="false">IFERROR(__xludf.dummyfunction("if(isna(ABS(MINUS(SUM(FILTER(MatchSource!$H:$L,MatchSource!$H:$H=$B36)),SUM($X36)))),0,ABS(MINUS(SUM(FILTER(MatchSource!$H:$L,MatchSource!$H:$H=$B36)),SUM($X36))))"),"0")</f>
        <v>0</v>
      </c>
      <c r="AA36" s="499" t="str">
        <f aca="false">IFERROR(__xludf.dummyfunction("if(isna(ABS(MINUS(SUM(FILTER(MatchSource!$A:$F,MatchSource!$A:$A=$B36)),SUM($W36,$Y36)))),0,ABS(MINUS(SUM(FILTER(MatchSource!$A:$F,MatchSource!$A:$A=$B36)),SUM($W36, $Y36,))))"),"0")</f>
        <v>0</v>
      </c>
      <c r="AB36" s="501" t="str">
        <f aca="false">IFERROR(__xludf.dummyfunction("if(isna(ABS(MINUS(SUM(FILTER(MatchSource!$H:$M,MatchSource!$H:$H=$B36)),SUM($X36,$Z36)))),0,ABS(MINUS(SUM(FILTER(MatchSource!$H:$M,MatchSource!$H:$H=$B36)),SUM($X36,$Z36))))"),"0")</f>
        <v>0</v>
      </c>
      <c r="AC36" s="507" t="n">
        <f aca="false">SUM(IF(OR($R36="Grass",$R36="Psychic",$R36="Dark"),0-1,IF(OR($R36="Fighting",$R36="Flying",$R36="Fire",$R36="Ghost",$R36="Poison",$R36="Steel",$R36="Fairy"),1,0)),IF(OR($S36="Grass",$S36="Psychic",$S36="Dark"),0-1,IF(OR($S36="Fighting",$S36="Flying",$S36="Fire",$S36="Ghost",$S36="Poison",$S36="Steel",$S36="Fairy"),1,0)))</f>
        <v>0</v>
      </c>
      <c r="AD36" s="507" t="n">
        <f aca="false">SUM(IF(OR($R36="Ghost",$R36="Psychic"),0-1,IF(OR($R36="Fighting",$R36="Dark",$R36="Fairy"),1,0)),IF(OR($S36="Ghost",$S36="Psychic"),0-1,IF(OR($S36="Fighting",$S36="Dark",$S36="Fairy"),1,0)))</f>
        <v>0</v>
      </c>
      <c r="AE36" s="507" t="n">
        <f aca="false">IF(OR($R36="Fairy",$S36="Fairy"),4,SUM(IF($R36="Dragon",0-1,IF($R36="Steel",1,0)),IF($S36="Dragon",0-1,IF($S36="Steel",1,0))))</f>
        <v>0</v>
      </c>
      <c r="AF36" s="507" t="n">
        <f aca="false">IF(OR($R36="Ground",$S36="Ground"),4,SUM(IF(OR($R36="Flying",$R36="Water"),0-1,IF(OR($R36="Dragon",$R36="Electric",$R36="Grass"),1,0)),IF(OR($S36="Flying",$S36="Water"),0-1,IF(OR($S36="Dragon",$S36="Electric",$S36="Grass"),1,0))))</f>
        <v>-1</v>
      </c>
      <c r="AG36" s="507" t="n">
        <f aca="false">SUM(IF(OR($R36="Dark",$R36="Dragon",$R36="Fighting"),0-1,IF(OR($R36="Steel",$R36="Poison",$R36="Fire"),1,0)),IF(OR($S36="Dark",$S36="Dragon",$S36="Fighting"),0-1,IF(OR($S36="Steel",$S36="Poison",$S36="Fire"),1,0)))</f>
        <v>0</v>
      </c>
      <c r="AH36" s="507" t="n">
        <f aca="false">IF(OR($R36="Ghost",$S36="Ghost"),4,SUM(IF(OR($R36="Dark",$R36="Ice",$R36="Normal",$R36="Rock",$R36="Steel"),0-1,IF(OR($R36="Bug",$R36="Fairy",$R36="Flying",$R36="Poison",$R36="Psychic"),1,0)),IF(OR($S36="Dark",$S36="Ice",$S36="Normal",$S36="Rock",$S36="Steel"),0-1,IF(OR($S36="Bug",$S36="Fairy",$S36="Flying",$S36="Poison",$S36="Psychic"),1,0))))</f>
        <v>-1</v>
      </c>
      <c r="AI36" s="507" t="n">
        <f aca="false">SUM(IF(OR($R36="Bug",$R36="Grass",$R36="Ice",$R36="Steel"),0-1,IF(OR($R36="Dragon",$R36="Fire",$R36="Rock",$R36="Water"),1,0)),IF(OR($S36="Bug",$S36="Grass",$S36="Ice",$S36="Steel"),0-1,IF(OR($S36="Dragon",$S36="Fire",$S36="Rock",$S36="Water"),1,0)))</f>
        <v>2</v>
      </c>
      <c r="AJ36" s="507" t="n">
        <f aca="false">SUM(IF(OR($R36="Bug",$R36="Grass",$R36="Fighting"),0-1,IF(OR($R36="Electric",$R36="Rock",$R36="Steel"),1,0)),IF(OR($S36="Bug",$S36="Grass",$S36="Fighting"),0-1,IF(OR($S36="Electric",$S36="Rock",$S36="Steel"),1,0)))</f>
        <v>1</v>
      </c>
      <c r="AK36" s="507" t="n">
        <f aca="false">IF(OR($R36="Normal",$S36="Normal"),4,SUM(IF(OR($R36="Ghost",$R36="Psychic"),0-1,IF($R36="Dark",1,0)),IF(OR($S36="Ghost",$S36="Psychic"),0-1,IF($S36="Dark",1,0))))</f>
        <v>0</v>
      </c>
      <c r="AL36" s="507" t="n">
        <f aca="false">SUM(IF(OR($R36="Ground",$R36="Rock",$R36="Water"),0-1,IF(OR($R36="Bug",$R36="Flying",$R36="Fire",$R36="Dragon",$R36="Poison",$R36="Steel",$R36="Grass"),1,0)),IF(OR($S36="Ground",$S36="Rock",$S36="Water"),0-1,IF(OR($S36="Bug",$S36="Flying",$S36="Fire",$S36="Dragon",$S36="Poison",$S36="Steel",$S36="Grass"),1,0)))</f>
        <v>-2</v>
      </c>
      <c r="AM36" s="507" t="n">
        <f aca="false">IF(OR($R36="Flying",$S36="Flying"),4,SUM(IF(OR($R36="Electric",$R36="Fire",$R36="Rock",$R36="Steel",$R36="Poison"),0-1,IF(OR($R36="Bug",$R36="Grass"),1,0)),IF(OR($S36="Electric",$S36="Fire",$S36="Rock",$S36="Steel",$S36="Poison"),0-1,IF(OR($S36="Bug",$S36="Grass"),1,0))))</f>
        <v>-1</v>
      </c>
      <c r="AN36" s="507" t="n">
        <f aca="false">SUM(IF(OR($R36="Flying",$R36="Dragon",$R36="Grass",$R36="Ground"),0-1,IF(OR($R36="Steel",$R36="Ice",$R36="Fire",$R36="Water"),1,0)),IF(OR($S36="Flying",$S36="Dragon",$S36="Grass",$S36="Ground"),0-1,IF(OR($S36="Steel",$S36="Ice",$S36="Fire",$S36="Water"),1,0)))</f>
        <v>1</v>
      </c>
      <c r="AO36" s="507" t="n">
        <f aca="false">IF(OR($R36="Ghost",$S36="Ghost"),4,SUM(IF(OR($R36="Steel",$R36="Rock"),1,0),IF(OR($S36="Steel",$S36="Rock"),1,0)))</f>
        <v>1</v>
      </c>
      <c r="AP36" s="507" t="n">
        <f aca="false">IF(OR($R36="Steel",$S36="Steel"),4,SUM(IF(OR($R36="Fairy",$R36="Grass"),0-1,IF(OR($R36="Ghost",$R36="Rock",$R36="Ground",$R36="Poison"),1,0)),IF(OR($S36="Fairy",$S36="Grass"),0-1,IF(OR($S36="Ghost",$S36="Rock",$S36="Ground",$S36="Poison"),1,0))))</f>
        <v>1</v>
      </c>
      <c r="AQ36" s="507" t="n">
        <f aca="false">IF(OR($R36="Dark",$S36="Dark"),4,SUM(IF(OR($R36="Fighting",$R36="Poison"),0-1,IF(OR($R36="Psychic",$R36="Steel"),1,0)),IF(OR($S36="Fighting",$S36="Poison"),0-1,IF(OR($S36="Psychic",$S36="Steel"),1,0))))</f>
        <v>0</v>
      </c>
      <c r="AR36" s="507" t="n">
        <f aca="false">SUM(IF(OR($R36="Bug",$R36="Fire",$R36="Flying",$R36="Ice"),0-1,IF(OR($R36="Steel",$R36="Fighting",$R36="Ground"),1,0)),IF(OR($S36="Bug",$S36="Fire",$S36="Flying",$S36="Ice"),0-1,IF(OR($S36="Steel",$S36="Fighting",$S36="Ground"),1,0)))</f>
        <v>0</v>
      </c>
      <c r="AS36" s="507" t="n">
        <f aca="false">SUM(IF(OR($R36="Fairy",$R36="Ice",$R36="Rock"),0-1,IF(OR($R36="Steel",$R36="Electric",$R36="Fire",$R36="Water"),1,0)),IF(OR($S36="Fairy",$S36="Ice",$S36="Rock"),0-1,IF(OR($S36="Steel",$S36="Electric",$S36="Fire",$S36="Water"),1,0)))</f>
        <v>0</v>
      </c>
      <c r="AT36" s="508" t="n">
        <f aca="false">SUM(IF(OR($R36="Fire",$R36="Ground",$R36="Rock"),0-1,IF(OR($R36="Dragon",$R36="Grass",$R36="Water"),1,0)),IF(OR($S36="Fire",$S36="Ground",$S36="Rock"),0-1,IF(OR($S36="Dragon",$S36="Grass",$S36="Water"),1,0)))</f>
        <v>0</v>
      </c>
      <c r="AU36" s="518"/>
    </row>
    <row r="37" customFormat="false" ht="15.75" hidden="false" customHeight="false" outlineLevel="0" collapsed="false">
      <c r="A37" s="510" t="str">
        <f aca="false" t="array" ref="A37:A37">IF(ISNA(INDEX(Source!$U$7:$U$95,MATCH(B37,Source!$V$7:$V$95,0))),"FREE",INDEX(Source!$U$7:$U$95,MATCH(B37,Source!$V$7:$V$95,0)))</f>
        <v>FREE</v>
      </c>
      <c r="B37" s="511" t="s">
        <v>381</v>
      </c>
      <c r="C37" s="511"/>
      <c r="D37" s="511"/>
      <c r="E37" s="499" t="str">
        <f aca="false">IF(SUM($W37:$X37)&gt;0,SUM($W37:$X37),IF($H37&gt;0,0,IF($H37&gt;0,0,"-")))</f>
        <v>-</v>
      </c>
      <c r="F37" s="499" t="str">
        <f aca="false">IF(SUM($Y37:$Z37)&gt;0,SUM($Y37:$Z37),IF($H37&gt;0,0,"-"))</f>
        <v>-</v>
      </c>
      <c r="G37" s="499" t="str">
        <f aca="false">IF($H37&gt;0,minus(E37,F37),"-")</f>
        <v>-</v>
      </c>
      <c r="H37" s="500" t="n">
        <f aca="false">SUM(COUNTIF(MatchSource!$A:$A,$B37),COUNTIF(MatchSource!$H:$H,$B37))</f>
        <v>0</v>
      </c>
      <c r="I37" s="501" t="n">
        <f aca="false">SUM($AA37:$AB37)</f>
        <v>0</v>
      </c>
      <c r="J37" s="501" t="s">
        <v>702</v>
      </c>
      <c r="K37" s="512" t="str">
        <f aca="false" t="array" ref="K37:K37">IF(ISNA(INDEX(DraftRosters!$AA$3:$AA$199,MATCH($B37,DraftRosters!$AB$3:$AB$199,0))),"FA",IF(INDEX(DraftRosters!$AA$3:$AA$199,MATCH($B37,DraftRosters!$AB$3:$AB$199,0))="Franchise","Franch",INDEX(DraftRosters!$AA$3:$AA$199,MATCH($B37,DraftRosters!$AB$3:$AB$199,0))))</f>
        <v>FA</v>
      </c>
      <c r="L37" s="499" t="n">
        <v>70</v>
      </c>
      <c r="M37" s="499" t="n">
        <v>92</v>
      </c>
      <c r="N37" s="499" t="n">
        <v>65</v>
      </c>
      <c r="O37" s="499" t="n">
        <v>80</v>
      </c>
      <c r="P37" s="499" t="n">
        <v>55</v>
      </c>
      <c r="Q37" s="501" t="n">
        <v>98</v>
      </c>
      <c r="R37" s="499" t="s">
        <v>811</v>
      </c>
      <c r="S37" s="501"/>
      <c r="T37" s="504" t="s">
        <v>874</v>
      </c>
      <c r="U37" s="505" t="s">
        <v>848</v>
      </c>
      <c r="V37" s="506" t="s">
        <v>875</v>
      </c>
      <c r="W37" s="500" t="str">
        <f aca="false">IFERROR(__xludf.dummyfunction("if(isna(SUM(FILTER(MatchSource!$A:$D,MatchSource!$A:$A=$B37))),0,SUM(FILTER(MatchSource!$A:$D,MatchSource!$A:$A=$B37)))"),"0")</f>
        <v>0</v>
      </c>
      <c r="X37" s="499" t="str">
        <f aca="false">IFERROR(__xludf.dummyfunction("if(isna(SUM(FILTER(MatchSource!$H:$K,MatchSource!$H:$H=$B37))),0,SUM(FILTER(MatchSource!$H:$K,MatchSource!$H:$H=$B37)))"),"0")</f>
        <v>0</v>
      </c>
      <c r="Y37" s="499" t="str">
        <f aca="false">IFERROR(__xludf.dummyfunction("if(isna(ABS(MINUS(SUM(FILTER(MatchSource!$A:$E,MatchSource!$A:$A=$B37)),SUM($W37)))),0,ABS(MINUS(SUM(FILTER(MatchSource!$A:$E,MatchSource!$A:$A=$B37)),SUM($W37))))"),"0")</f>
        <v>0</v>
      </c>
      <c r="Z37" s="499" t="str">
        <f aca="false">IFERROR(__xludf.dummyfunction("if(isna(ABS(MINUS(SUM(FILTER(MatchSource!$H:$L,MatchSource!$H:$H=$B37)),SUM($X37)))),0,ABS(MINUS(SUM(FILTER(MatchSource!$H:$L,MatchSource!$H:$H=$B37)),SUM($X37))))"),"0")</f>
        <v>0</v>
      </c>
      <c r="AA37" s="499" t="str">
        <f aca="false">IFERROR(__xludf.dummyfunction("if(isna(ABS(MINUS(SUM(FILTER(MatchSource!$A:$F,MatchSource!$A:$A=$B37)),SUM($W37,$Y37)))),0,ABS(MINUS(SUM(FILTER(MatchSource!$A:$F,MatchSource!$A:$A=$B37)),SUM($W37, $Y37,))))"),"0")</f>
        <v>0</v>
      </c>
      <c r="AB37" s="501" t="str">
        <f aca="false">IFERROR(__xludf.dummyfunction("if(isna(ABS(MINUS(SUM(FILTER(MatchSource!$H:$M,MatchSource!$H:$H=$B37)),SUM($X37,$Z37)))),0,ABS(MINUS(SUM(FILTER(MatchSource!$H:$M,MatchSource!$H:$H=$B37)),SUM($X37,$Z37))))"),"0")</f>
        <v>0</v>
      </c>
      <c r="AC37" s="507" t="n">
        <f aca="false">SUM(IF(OR($R37="Grass",$R37="Psychic",$R37="Dark"),0-1,IF(OR($R37="Fighting",$R37="Flying",$R37="Fire",$R37="Ghost",$R37="Poison",$R37="Steel",$R37="Fairy"),1,0)),IF(OR($S37="Grass",$S37="Psychic",$S37="Dark"),0-1,IF(OR($S37="Fighting",$S37="Flying",$S37="Fire",$S37="Ghost",$S37="Poison",$S37="Steel",$S37="Fairy"),1,0)))</f>
        <v>0</v>
      </c>
      <c r="AD37" s="507" t="n">
        <f aca="false">SUM(IF(OR($R37="Ghost",$R37="Psychic"),0-1,IF(OR($R37="Fighting",$R37="Dark",$R37="Fairy"),1,0)),IF(OR($S37="Ghost",$S37="Psychic"),0-1,IF(OR($S37="Fighting",$S37="Dark",$S37="Fairy"),1,0)))</f>
        <v>0</v>
      </c>
      <c r="AE37" s="507" t="n">
        <f aca="false">IF(OR($R37="Fairy",$S37="Fairy"),4,SUM(IF($R37="Dragon",0-1,IF($R37="Steel",1,0)),IF($S37="Dragon",0-1,IF($S37="Steel",1,0))))</f>
        <v>0</v>
      </c>
      <c r="AF37" s="507" t="n">
        <f aca="false">IF(OR($R37="Ground",$S37="Ground"),4,SUM(IF(OR($R37="Flying",$R37="Water"),0-1,IF(OR($R37="Dragon",$R37="Electric",$R37="Grass"),1,0)),IF(OR($S37="Flying",$S37="Water"),0-1,IF(OR($S37="Dragon",$S37="Electric",$S37="Grass"),1,0))))</f>
        <v>-1</v>
      </c>
      <c r="AG37" s="507" t="n">
        <f aca="false">SUM(IF(OR($R37="Dark",$R37="Dragon",$R37="Fighting"),0-1,IF(OR($R37="Steel",$R37="Poison",$R37="Fire"),1,0)),IF(OR($S37="Dark",$S37="Dragon",$S37="Fighting"),0-1,IF(OR($S37="Steel",$S37="Poison",$S37="Fire"),1,0)))</f>
        <v>0</v>
      </c>
      <c r="AH37" s="507" t="n">
        <f aca="false">IF(OR($R37="Ghost",$S37="Ghost"),4,SUM(IF(OR($R37="Dark",$R37="Ice",$R37="Normal",$R37="Rock",$R37="Steel"),0-1,IF(OR($R37="Bug",$R37="Fairy",$R37="Flying",$R37="Poison",$R37="Psychic"),1,0)),IF(OR($S37="Dark",$S37="Ice",$S37="Normal",$S37="Rock",$S37="Steel"),0-1,IF(OR($S37="Bug",$S37="Fairy",$S37="Flying",$S37="Poison",$S37="Psychic"),1,0))))</f>
        <v>0</v>
      </c>
      <c r="AI37" s="507" t="n">
        <f aca="false">SUM(IF(OR($R37="Bug",$R37="Grass",$R37="Ice",$R37="Steel"),0-1,IF(OR($R37="Dragon",$R37="Fire",$R37="Rock",$R37="Water"),1,0)),IF(OR($S37="Bug",$S37="Grass",$S37="Ice",$S37="Steel"),0-1,IF(OR($S37="Dragon",$S37="Fire",$S37="Rock",$S37="Water"),1,0)))</f>
        <v>1</v>
      </c>
      <c r="AJ37" s="507" t="n">
        <f aca="false">SUM(IF(OR($R37="Bug",$R37="Grass",$R37="Fighting"),0-1,IF(OR($R37="Electric",$R37="Rock",$R37="Steel"),1,0)),IF(OR($S37="Bug",$S37="Grass",$S37="Fighting"),0-1,IF(OR($S37="Electric",$S37="Rock",$S37="Steel"),1,0)))</f>
        <v>0</v>
      </c>
      <c r="AK37" s="507" t="n">
        <f aca="false">IF(OR($R37="Normal",$S37="Normal"),4,SUM(IF(OR($R37="Ghost",$R37="Psychic"),0-1,IF($R37="Dark",1,0)),IF(OR($S37="Ghost",$S37="Psychic"),0-1,IF($S37="Dark",1,0))))</f>
        <v>0</v>
      </c>
      <c r="AL37" s="507" t="n">
        <f aca="false">SUM(IF(OR($R37="Ground",$R37="Rock",$R37="Water"),0-1,IF(OR($R37="Bug",$R37="Flying",$R37="Fire",$R37="Dragon",$R37="Poison",$R37="Steel",$R37="Grass"),1,0)),IF(OR($S37="Ground",$S37="Rock",$S37="Water"),0-1,IF(OR($S37="Bug",$S37="Flying",$S37="Fire",$S37="Dragon",$S37="Poison",$S37="Steel",$S37="Grass"),1,0)))</f>
        <v>-1</v>
      </c>
      <c r="AM37" s="507" t="n">
        <f aca="false">IF(OR($R37="Flying",$S37="Flying"),4,SUM(IF(OR($R37="Electric",$R37="Fire",$R37="Rock",$R37="Steel",$R37="Poison"),0-1,IF(OR($R37="Bug",$R37="Grass"),1,0)),IF(OR($S37="Electric",$S37="Fire",$S37="Rock",$S37="Steel",$S37="Poison"),0-1,IF(OR($S37="Bug",$S37="Grass"),1,0))))</f>
        <v>0</v>
      </c>
      <c r="AN37" s="507" t="n">
        <f aca="false">SUM(IF(OR($R37="Flying",$R37="Dragon",$R37="Grass",$R37="Ground"),0-1,IF(OR($R37="Steel",$R37="Ice",$R37="Fire",$R37="Water"),1,0)),IF(OR($S37="Flying",$S37="Dragon",$S37="Grass",$S37="Ground"),0-1,IF(OR($S37="Steel",$S37="Ice",$S37="Fire",$S37="Water"),1,0)))</f>
        <v>1</v>
      </c>
      <c r="AO37" s="507" t="n">
        <f aca="false">IF(OR($R37="Ghost",$S37="Ghost"),4,SUM(IF(OR($R37="Steel",$R37="Rock"),1,0),IF(OR($S37="Steel",$S37="Rock"),1,0)))</f>
        <v>0</v>
      </c>
      <c r="AP37" s="507" t="n">
        <f aca="false">IF(OR($R37="Steel",$S37="Steel"),4,SUM(IF(OR($R37="Fairy",$R37="Grass"),0-1,IF(OR($R37="Ghost",$R37="Rock",$R37="Ground",$R37="Poison"),1,0)),IF(OR($S37="Fairy",$S37="Grass"),0-1,IF(OR($S37="Ghost",$S37="Rock",$S37="Ground",$S37="Poison"),1,0))))</f>
        <v>0</v>
      </c>
      <c r="AQ37" s="507" t="n">
        <f aca="false">IF(OR($R37="Dark",$S37="Dark"),4,SUM(IF(OR($R37="Fighting",$R37="Poison"),0-1,IF(OR($R37="Psychic",$R37="Steel"),1,0)),IF(OR($S37="Fighting",$S37="Poison"),0-1,IF(OR($S37="Psychic",$S37="Steel"),1,0))))</f>
        <v>0</v>
      </c>
      <c r="AR37" s="507" t="n">
        <f aca="false">SUM(IF(OR($R37="Bug",$R37="Fire",$R37="Flying",$R37="Ice"),0-1,IF(OR($R37="Steel",$R37="Fighting",$R37="Ground"),1,0)),IF(OR($S37="Bug",$S37="Fire",$S37="Flying",$S37="Ice"),0-1,IF(OR($S37="Steel",$S37="Fighting",$S37="Ground"),1,0)))</f>
        <v>0</v>
      </c>
      <c r="AS37" s="507" t="n">
        <f aca="false">SUM(IF(OR($R37="Fairy",$R37="Ice",$R37="Rock"),0-1,IF(OR($R37="Steel",$R37="Electric",$R37="Fire",$R37="Water"),1,0)),IF(OR($S37="Fairy",$S37="Ice",$S37="Rock"),0-1,IF(OR($S37="Steel",$S37="Electric",$S37="Fire",$S37="Water"),1,0)))</f>
        <v>1</v>
      </c>
      <c r="AT37" s="508" t="n">
        <f aca="false">SUM(IF(OR($R37="Fire",$R37="Ground",$R37="Rock"),0-1,IF(OR($R37="Dragon",$R37="Grass",$R37="Water"),1,0)),IF(OR($S37="Fire",$S37="Ground",$S37="Rock"),0-1,IF(OR($S37="Dragon",$S37="Grass",$S37="Water"),1,0)))</f>
        <v>1</v>
      </c>
      <c r="AU37" s="518"/>
    </row>
    <row r="38" customFormat="false" ht="15.75" hidden="false" customHeight="false" outlineLevel="0" collapsed="false">
      <c r="A38" s="510" t="str">
        <f aca="false" t="array" ref="A38:A38">IF(ISNA(INDEX(Source!$U$7:$U$95,MATCH(B38,Source!$V$7:$V$95,0))),"FREE",INDEX(Source!$U$7:$U$95,MATCH(B38,Source!$V$7:$V$95,0)))</f>
        <v>FREE</v>
      </c>
      <c r="B38" s="511" t="s">
        <v>386</v>
      </c>
      <c r="C38" s="511"/>
      <c r="D38" s="511"/>
      <c r="E38" s="499" t="str">
        <f aca="false">IF(SUM($W38:$X38)&gt;0,SUM($W38:$X38),IF($H38&gt;0,0,IF($H38&gt;0,0,"-")))</f>
        <v>-</v>
      </c>
      <c r="F38" s="499" t="str">
        <f aca="false">IF(SUM($Y38:$Z38)&gt;0,SUM($Y38:$Z38),IF($H38&gt;0,0,"-"))</f>
        <v>-</v>
      </c>
      <c r="G38" s="499" t="str">
        <f aca="false">IF($H38&gt;0,minus(E38,F38),"-")</f>
        <v>-</v>
      </c>
      <c r="H38" s="500" t="n">
        <f aca="false">SUM(COUNTIF(MatchSource!$A:$A,$B38),COUNTIF(MatchSource!$H:$H,$B38))</f>
        <v>0</v>
      </c>
      <c r="I38" s="501" t="n">
        <f aca="false">SUM($AA38:$AB38)</f>
        <v>0</v>
      </c>
      <c r="J38" s="501" t="s">
        <v>702</v>
      </c>
      <c r="K38" s="512" t="str">
        <f aca="false" t="array" ref="K38:K38">IF(ISNA(INDEX(DraftRosters!$AA$3:$AA$199,MATCH($B38,DraftRosters!$AB$3:$AB$199,0))),"FA",IF(INDEX(DraftRosters!$AA$3:$AA$199,MATCH($B38,DraftRosters!$AB$3:$AB$199,0))="Franchise","Franch",INDEX(DraftRosters!$AA$3:$AA$199,MATCH($B38,DraftRosters!$AB$3:$AB$199,0))))</f>
        <v>FA</v>
      </c>
      <c r="L38" s="499" t="n">
        <v>60</v>
      </c>
      <c r="M38" s="499" t="n">
        <v>52</v>
      </c>
      <c r="N38" s="499" t="n">
        <v>168</v>
      </c>
      <c r="O38" s="499" t="n">
        <v>47</v>
      </c>
      <c r="P38" s="499" t="n">
        <v>138</v>
      </c>
      <c r="Q38" s="501" t="n">
        <v>30</v>
      </c>
      <c r="R38" s="499" t="s">
        <v>809</v>
      </c>
      <c r="S38" s="501" t="s">
        <v>810</v>
      </c>
      <c r="T38" s="504" t="s">
        <v>814</v>
      </c>
      <c r="U38" s="505" t="s">
        <v>826</v>
      </c>
      <c r="V38" s="506"/>
      <c r="W38" s="500" t="str">
        <f aca="false">IFERROR(__xludf.dummyfunction("if(isna(SUM(FILTER(MatchSource!$A:$D,MatchSource!$A:$A=$B38))),0,SUM(FILTER(MatchSource!$A:$D,MatchSource!$A:$A=$B38)))"),"0")</f>
        <v>0</v>
      </c>
      <c r="X38" s="499" t="str">
        <f aca="false">IFERROR(__xludf.dummyfunction("if(isna(SUM(FILTER(MatchSource!$H:$K,MatchSource!$H:$H=$B38))),0,SUM(FILTER(MatchSource!$H:$K,MatchSource!$H:$H=$B38)))"),"0")</f>
        <v>0</v>
      </c>
      <c r="Y38" s="499" t="str">
        <f aca="false">IFERROR(__xludf.dummyfunction("if(isna(ABS(MINUS(SUM(FILTER(MatchSource!$A:$E,MatchSource!$A:$A=$B38)),SUM($W38)))),0,ABS(MINUS(SUM(FILTER(MatchSource!$A:$E,MatchSource!$A:$A=$B38)),SUM($W38))))"),"0")</f>
        <v>0</v>
      </c>
      <c r="Z38" s="499" t="str">
        <f aca="false">IFERROR(__xludf.dummyfunction("if(isna(ABS(MINUS(SUM(FILTER(MatchSource!$H:$L,MatchSource!$H:$H=$B38)),SUM($X38)))),0,ABS(MINUS(SUM(FILTER(MatchSource!$H:$L,MatchSource!$H:$H=$B38)),SUM($X38))))"),"0")</f>
        <v>0</v>
      </c>
      <c r="AA38" s="499" t="str">
        <f aca="false">IFERROR(__xludf.dummyfunction("if(isna(ABS(MINUS(SUM(FILTER(MatchSource!$A:$F,MatchSource!$A:$A=$B38)),SUM($W38,$Y38)))),0,ABS(MINUS(SUM(FILTER(MatchSource!$A:$F,MatchSource!$A:$A=$B38)),SUM($W38, $Y38,))))"),"0")</f>
        <v>0</v>
      </c>
      <c r="AB38" s="501" t="str">
        <f aca="false">IFERROR(__xludf.dummyfunction("if(isna(ABS(MINUS(SUM(FILTER(MatchSource!$H:$M,MatchSource!$H:$H=$B38)),SUM($X38,$Z38)))),0,ABS(MINUS(SUM(FILTER(MatchSource!$H:$M,MatchSource!$H:$H=$B38)),SUM($X38,$Z38))))"),"0")</f>
        <v>0</v>
      </c>
      <c r="AC38" s="507" t="n">
        <f aca="false">SUM(IF(OR($R38="Grass",$R38="Psychic",$R38="Dark"),0-1,IF(OR($R38="Fighting",$R38="Flying",$R38="Fire",$R38="Ghost",$R38="Poison",$R38="Steel",$R38="Fairy"),1,0)),IF(OR($S38="Grass",$S38="Psychic",$S38="Dark"),0-1,IF(OR($S38="Fighting",$S38="Flying",$S38="Fire",$S38="Ghost",$S38="Poison",$S38="Steel",$S38="Fairy"),1,0)))</f>
        <v>1</v>
      </c>
      <c r="AD38" s="507" t="n">
        <f aca="false">SUM(IF(OR($R38="Ghost",$R38="Psychic"),0-1,IF(OR($R38="Fighting",$R38="Dark",$R38="Fairy"),1,0)),IF(OR($S38="Ghost",$S38="Psychic"),0-1,IF(OR($S38="Fighting",$S38="Dark",$S38="Fairy"),1,0)))</f>
        <v>0</v>
      </c>
      <c r="AE38" s="507" t="n">
        <f aca="false">IF(OR($R38="Fairy",$S38="Fairy"),4,SUM(IF($R38="Dragon",0-1,IF($R38="Steel",1,0)),IF($S38="Dragon",0-1,IF($S38="Steel",1,0))))</f>
        <v>1</v>
      </c>
      <c r="AF38" s="507" t="n">
        <f aca="false">IF(OR($R38="Ground",$S38="Ground"),4,SUM(IF(OR($R38="Flying",$R38="Water"),0-1,IF(OR($R38="Dragon",$R38="Electric",$R38="Grass"),1,0)),IF(OR($S38="Flying",$S38="Water"),0-1,IF(OR($S38="Dragon",$S38="Electric",$S38="Grass"),1,0))))</f>
        <v>0</v>
      </c>
      <c r="AG38" s="507" t="n">
        <f aca="false">SUM(IF(OR($R38="Dark",$R38="Dragon",$R38="Fighting"),0-1,IF(OR($R38="Steel",$R38="Poison",$R38="Fire"),1,0)),IF(OR($S38="Dark",$S38="Dragon",$S38="Fighting"),0-1,IF(OR($S38="Steel",$S38="Poison",$S38="Fire"),1,0)))</f>
        <v>1</v>
      </c>
      <c r="AH38" s="507" t="n">
        <f aca="false">IF(OR($R38="Ghost",$S38="Ghost"),4,SUM(IF(OR($R38="Dark",$R38="Ice",$R38="Normal",$R38="Rock",$R38="Steel"),0-1,IF(OR($R38="Bug",$R38="Fairy",$R38="Flying",$R38="Poison",$R38="Psychic"),1,0)),IF(OR($S38="Dark",$S38="Ice",$S38="Normal",$S38="Rock",$S38="Steel"),0-1,IF(OR($S38="Bug",$S38="Fairy",$S38="Flying",$S38="Poison",$S38="Psychic"),1,0))))</f>
        <v>-2</v>
      </c>
      <c r="AI38" s="507" t="n">
        <f aca="false">SUM(IF(OR($R38="Bug",$R38="Grass",$R38="Ice",$R38="Steel"),0-1,IF(OR($R38="Dragon",$R38="Fire",$R38="Rock",$R38="Water"),1,0)),IF(OR($S38="Bug",$S38="Grass",$S38="Ice",$S38="Steel"),0-1,IF(OR($S38="Dragon",$S38="Fire",$S38="Rock",$S38="Water"),1,0)))</f>
        <v>0</v>
      </c>
      <c r="AJ38" s="507" t="n">
        <f aca="false">SUM(IF(OR($R38="Bug",$R38="Grass",$R38="Fighting"),0-1,IF(OR($R38="Electric",$R38="Rock",$R38="Steel"),1,0)),IF(OR($S38="Bug",$S38="Grass",$S38="Fighting"),0-1,IF(OR($S38="Electric",$S38="Rock",$S38="Steel"),1,0)))</f>
        <v>2</v>
      </c>
      <c r="AK38" s="507" t="n">
        <f aca="false">IF(OR($R38="Normal",$S38="Normal"),4,SUM(IF(OR($R38="Ghost",$R38="Psychic"),0-1,IF($R38="Dark",1,0)),IF(OR($S38="Ghost",$S38="Psychic"),0-1,IF($S38="Dark",1,0))))</f>
        <v>0</v>
      </c>
      <c r="AL38" s="507" t="n">
        <f aca="false">SUM(IF(OR($R38="Ground",$R38="Rock",$R38="Water"),0-1,IF(OR($R38="Bug",$R38="Flying",$R38="Fire",$R38="Dragon",$R38="Poison",$R38="Steel",$R38="Grass"),1,0)),IF(OR($S38="Ground",$S38="Rock",$S38="Water"),0-1,IF(OR($S38="Bug",$S38="Flying",$S38="Fire",$S38="Dragon",$S38="Poison",$S38="Steel",$S38="Grass"),1,0)))</f>
        <v>0</v>
      </c>
      <c r="AM38" s="507" t="n">
        <f aca="false">IF(OR($R38="Flying",$S38="Flying"),4,SUM(IF(OR($R38="Electric",$R38="Fire",$R38="Rock",$R38="Steel",$R38="Poison"),0-1,IF(OR($R38="Bug",$R38="Grass"),1,0)),IF(OR($S38="Electric",$S38="Fire",$S38="Rock",$S38="Steel",$S38="Poison"),0-1,IF(OR($S38="Bug",$S38="Grass"),1,0))))</f>
        <v>-2</v>
      </c>
      <c r="AN38" s="507" t="n">
        <f aca="false">SUM(IF(OR($R38="Flying",$R38="Dragon",$R38="Grass",$R38="Ground"),0-1,IF(OR($R38="Steel",$R38="Ice",$R38="Fire",$R38="Water"),1,0)),IF(OR($S38="Flying",$S38="Dragon",$S38="Grass",$S38="Ground"),0-1,IF(OR($S38="Steel",$S38="Ice",$S38="Fire",$S38="Water"),1,0)))</f>
        <v>1</v>
      </c>
      <c r="AO38" s="507" t="n">
        <f aca="false">IF(OR($R38="Ghost",$S38="Ghost"),4,SUM(IF(OR($R38="Steel",$R38="Rock"),1,0),IF(OR($S38="Steel",$S38="Rock"),1,0)))</f>
        <v>2</v>
      </c>
      <c r="AP38" s="507" t="n">
        <f aca="false">IF(OR($R38="Steel",$S38="Steel"),4,SUM(IF(OR($R38="Fairy",$R38="Grass"),0-1,IF(OR($R38="Ghost",$R38="Rock",$R38="Ground",$R38="Poison"),1,0)),IF(OR($S38="Fairy",$S38="Grass"),0-1,IF(OR($S38="Ghost",$S38="Rock",$S38="Ground",$S38="Poison"),1,0))))</f>
        <v>4</v>
      </c>
      <c r="AQ38" s="507" t="n">
        <f aca="false">IF(OR($R38="Dark",$S38="Dark"),4,SUM(IF(OR($R38="Fighting",$R38="Poison"),0-1,IF(OR($R38="Psychic",$R38="Steel"),1,0)),IF(OR($S38="Fighting",$S38="Poison"),0-1,IF(OR($S38="Psychic",$S38="Steel"),1,0))))</f>
        <v>1</v>
      </c>
      <c r="AR38" s="507" t="n">
        <f aca="false">SUM(IF(OR($R38="Bug",$R38="Fire",$R38="Flying",$R38="Ice"),0-1,IF(OR($R38="Steel",$R38="Fighting",$R38="Ground"),1,0)),IF(OR($S38="Bug",$S38="Fire",$S38="Flying",$S38="Ice"),0-1,IF(OR($S38="Steel",$S38="Fighting",$S38="Ground"),1,0)))</f>
        <v>1</v>
      </c>
      <c r="AS38" s="507" t="n">
        <f aca="false">SUM(IF(OR($R38="Fairy",$R38="Ice",$R38="Rock"),0-1,IF(OR($R38="Steel",$R38="Electric",$R38="Fire",$R38="Water"),1,0)),IF(OR($S38="Fairy",$S38="Ice",$S38="Rock"),0-1,IF(OR($S38="Steel",$S38="Electric",$S38="Fire",$S38="Water"),1,0)))</f>
        <v>0</v>
      </c>
      <c r="AT38" s="508" t="n">
        <f aca="false">SUM(IF(OR($R38="Fire",$R38="Ground",$R38="Rock"),0-1,IF(OR($R38="Dragon",$R38="Grass",$R38="Water"),1,0)),IF(OR($S38="Fire",$S38="Ground",$S38="Rock"),0-1,IF(OR($S38="Dragon",$S38="Grass",$S38="Water"),1,0)))</f>
        <v>-1</v>
      </c>
      <c r="AU38" s="518"/>
    </row>
    <row r="39" customFormat="false" ht="15.75" hidden="false" customHeight="false" outlineLevel="0" collapsed="false">
      <c r="A39" s="510" t="str">
        <f aca="false" t="array" ref="A39:A39">IF(ISNA(INDEX(Source!$U$7:$U$95,MATCH(B39,Source!$V$7:$V$95,0))),"FREE",INDEX(Source!$U$7:$U$95,MATCH(B39,Source!$V$7:$V$95,0)))</f>
        <v>FTT</v>
      </c>
      <c r="B39" s="511" t="s">
        <v>263</v>
      </c>
      <c r="C39" s="511"/>
      <c r="D39" s="511"/>
      <c r="E39" s="499" t="str">
        <f aca="false">IF(SUM($W39:$X39)&gt;0,SUM($W39:$X39),IF($H39&gt;0,0,IF($H39&gt;0,0,"-")))</f>
        <v>-</v>
      </c>
      <c r="F39" s="499" t="str">
        <f aca="false">IF(SUM($Y39:$Z39)&gt;0,SUM($Y39:$Z39),IF($H39&gt;0,0,"-"))</f>
        <v>-</v>
      </c>
      <c r="G39" s="499" t="str">
        <f aca="false">IF($H39&gt;0,minus(E39,F39),"-")</f>
        <v>-</v>
      </c>
      <c r="H39" s="500" t="n">
        <f aca="false">SUM(COUNTIF(MatchSource!$A:$A,$B39),COUNTIF(MatchSource!$H:$H,$B39))</f>
        <v>0</v>
      </c>
      <c r="I39" s="501" t="n">
        <f aca="false">SUM($AA39:$AB39)</f>
        <v>0</v>
      </c>
      <c r="J39" s="501" t="s">
        <v>702</v>
      </c>
      <c r="K39" s="512" t="n">
        <f aca="false" t="array" ref="K39:K39">IF(ISNA(INDEX(DraftRosters!$AA$3:$AA$199,MATCH($B39,DraftRosters!$AB$3:$AB$199,0))),"FA",IF(INDEX(DraftRosters!$AA$3:$AA$199,MATCH($B39,DraftRosters!$AB$3:$AB$199,0))="Franchise","Franch",INDEX(DraftRosters!$AA$3:$AA$199,MATCH($B39,DraftRosters!$AB$3:$AB$199,0))))</f>
        <v>86</v>
      </c>
      <c r="L39" s="499" t="n">
        <v>95</v>
      </c>
      <c r="M39" s="499" t="n">
        <v>130</v>
      </c>
      <c r="N39" s="499" t="n">
        <v>80</v>
      </c>
      <c r="O39" s="499" t="n">
        <v>70</v>
      </c>
      <c r="P39" s="499" t="n">
        <v>80</v>
      </c>
      <c r="Q39" s="501" t="n">
        <v>50</v>
      </c>
      <c r="R39" s="499" t="s">
        <v>805</v>
      </c>
      <c r="S39" s="501"/>
      <c r="T39" s="504" t="s">
        <v>861</v>
      </c>
      <c r="U39" s="505" t="s">
        <v>859</v>
      </c>
      <c r="V39" s="506" t="s">
        <v>876</v>
      </c>
      <c r="W39" s="500" t="str">
        <f aca="false">IFERROR(__xludf.dummyfunction("if(isna(SUM(FILTER(MatchSource!$A:$D,MatchSource!$A:$A=$B39))),0,SUM(FILTER(MatchSource!$A:$D,MatchSource!$A:$A=$B39)))"),"0")</f>
        <v>0</v>
      </c>
      <c r="X39" s="499" t="str">
        <f aca="false">IFERROR(__xludf.dummyfunction("if(isna(SUM(FILTER(MatchSource!$H:$K,MatchSource!$H:$H=$B39))),0,SUM(FILTER(MatchSource!$H:$K,MatchSource!$H:$H=$B39)))"),"0")</f>
        <v>0</v>
      </c>
      <c r="Y39" s="499" t="str">
        <f aca="false">IFERROR(__xludf.dummyfunction("if(isna(ABS(MINUS(SUM(FILTER(MatchSource!$A:$E,MatchSource!$A:$A=$B39)),SUM($W39)))),0,ABS(MINUS(SUM(FILTER(MatchSource!$A:$E,MatchSource!$A:$A=$B39)),SUM($W39))))"),"0")</f>
        <v>0</v>
      </c>
      <c r="Z39" s="499" t="str">
        <f aca="false">IFERROR(__xludf.dummyfunction("if(isna(ABS(MINUS(SUM(FILTER(MatchSource!$H:$L,MatchSource!$H:$H=$B39)),SUM($X39)))),0,ABS(MINUS(SUM(FILTER(MatchSource!$H:$L,MatchSource!$H:$H=$B39)),SUM($X39))))"),"0")</f>
        <v>0</v>
      </c>
      <c r="AA39" s="499" t="str">
        <f aca="false">IFERROR(__xludf.dummyfunction("if(isna(ABS(MINUS(SUM(FILTER(MatchSource!$A:$F,MatchSource!$A:$A=$B39)),SUM($W39,$Y39)))),0,ABS(MINUS(SUM(FILTER(MatchSource!$A:$F,MatchSource!$A:$A=$B39)),SUM($W39, $Y39,))))"),"0")</f>
        <v>0</v>
      </c>
      <c r="AB39" s="501" t="str">
        <f aca="false">IFERROR(__xludf.dummyfunction("if(isna(ABS(MINUS(SUM(FILTER(MatchSource!$H:$M,MatchSource!$H:$H=$B39)),SUM($X39,$Z39)))),0,ABS(MINUS(SUM(FILTER(MatchSource!$H:$M,MatchSource!$H:$H=$B39)),SUM($X39,$Z39))))"),"0")</f>
        <v>0</v>
      </c>
      <c r="AC39" s="507" t="n">
        <f aca="false">SUM(IF(OR($R39="Grass",$R39="Psychic",$R39="Dark"),0-1,IF(OR($R39="Fighting",$R39="Flying",$R39="Fire",$R39="Ghost",$R39="Poison",$R39="Steel",$R39="Fairy"),1,0)),IF(OR($S39="Grass",$S39="Psychic",$S39="Dark"),0-1,IF(OR($S39="Fighting",$S39="Flying",$S39="Fire",$S39="Ghost",$S39="Poison",$S39="Steel",$S39="Fairy"),1,0)))</f>
        <v>0</v>
      </c>
      <c r="AD39" s="507" t="n">
        <f aca="false">SUM(IF(OR($R39="Ghost",$R39="Psychic"),0-1,IF(OR($R39="Fighting",$R39="Dark",$R39="Fairy"),1,0)),IF(OR($S39="Ghost",$S39="Psychic"),0-1,IF(OR($S39="Fighting",$S39="Dark",$S39="Fairy"),1,0)))</f>
        <v>0</v>
      </c>
      <c r="AE39" s="507" t="n">
        <f aca="false">IF(OR($R39="Fairy",$S39="Fairy"),4,SUM(IF($R39="Dragon",0-1,IF($R39="Steel",1,0)),IF($S39="Dragon",0-1,IF($S39="Steel",1,0))))</f>
        <v>0</v>
      </c>
      <c r="AF39" s="507" t="n">
        <f aca="false">IF(OR($R39="Ground",$S39="Ground"),4,SUM(IF(OR($R39="Flying",$R39="Water"),0-1,IF(OR($R39="Dragon",$R39="Electric",$R39="Grass"),1,0)),IF(OR($S39="Flying",$S39="Water"),0-1,IF(OR($S39="Dragon",$S39="Electric",$S39="Grass"),1,0))))</f>
        <v>0</v>
      </c>
      <c r="AG39" s="507" t="n">
        <f aca="false">SUM(IF(OR($R39="Dark",$R39="Dragon",$R39="Fighting"),0-1,IF(OR($R39="Steel",$R39="Poison",$R39="Fire"),1,0)),IF(OR($S39="Dark",$S39="Dragon",$S39="Fighting"),0-1,IF(OR($S39="Steel",$S39="Poison",$S39="Fire"),1,0)))</f>
        <v>0</v>
      </c>
      <c r="AH39" s="507" t="n">
        <f aca="false">IF(OR($R39="Ghost",$S39="Ghost"),4,SUM(IF(OR($R39="Dark",$R39="Ice",$R39="Normal",$R39="Rock",$R39="Steel"),0-1,IF(OR($R39="Bug",$R39="Fairy",$R39="Flying",$R39="Poison",$R39="Psychic"),1,0)),IF(OR($S39="Dark",$S39="Ice",$S39="Normal",$S39="Rock",$S39="Steel"),0-1,IF(OR($S39="Bug",$S39="Fairy",$S39="Flying",$S39="Poison",$S39="Psychic"),1,0))))</f>
        <v>-1</v>
      </c>
      <c r="AI39" s="507" t="n">
        <f aca="false">SUM(IF(OR($R39="Bug",$R39="Grass",$R39="Ice",$R39="Steel"),0-1,IF(OR($R39="Dragon",$R39="Fire",$R39="Rock",$R39="Water"),1,0)),IF(OR($S39="Bug",$S39="Grass",$S39="Ice",$S39="Steel"),0-1,IF(OR($S39="Dragon",$S39="Fire",$S39="Rock",$S39="Water"),1,0)))</f>
        <v>-1</v>
      </c>
      <c r="AJ39" s="507" t="n">
        <f aca="false">SUM(IF(OR($R39="Bug",$R39="Grass",$R39="Fighting"),0-1,IF(OR($R39="Electric",$R39="Rock",$R39="Steel"),1,0)),IF(OR($S39="Bug",$S39="Grass",$S39="Fighting"),0-1,IF(OR($S39="Electric",$S39="Rock",$S39="Steel"),1,0)))</f>
        <v>0</v>
      </c>
      <c r="AK39" s="507" t="n">
        <f aca="false">IF(OR($R39="Normal",$S39="Normal"),4,SUM(IF(OR($R39="Ghost",$R39="Psychic"),0-1,IF($R39="Dark",1,0)),IF(OR($S39="Ghost",$S39="Psychic"),0-1,IF($S39="Dark",1,0))))</f>
        <v>0</v>
      </c>
      <c r="AL39" s="507" t="n">
        <f aca="false">SUM(IF(OR($R39="Ground",$R39="Rock",$R39="Water"),0-1,IF(OR($R39="Bug",$R39="Flying",$R39="Fire",$R39="Dragon",$R39="Poison",$R39="Steel",$R39="Grass"),1,0)),IF(OR($S39="Ground",$S39="Rock",$S39="Water"),0-1,IF(OR($S39="Bug",$S39="Flying",$S39="Fire",$S39="Dragon",$S39="Poison",$S39="Steel",$S39="Grass"),1,0)))</f>
        <v>0</v>
      </c>
      <c r="AM39" s="507" t="n">
        <f aca="false">IF(OR($R39="Flying",$S39="Flying"),4,SUM(IF(OR($R39="Electric",$R39="Fire",$R39="Rock",$R39="Steel",$R39="Poison"),0-1,IF(OR($R39="Bug",$R39="Grass"),1,0)),IF(OR($S39="Electric",$S39="Fire",$S39="Rock",$S39="Steel",$S39="Poison"),0-1,IF(OR($S39="Bug",$S39="Grass"),1,0))))</f>
        <v>0</v>
      </c>
      <c r="AN39" s="507" t="n">
        <f aca="false">SUM(IF(OR($R39="Flying",$R39="Dragon",$R39="Grass",$R39="Ground"),0-1,IF(OR($R39="Steel",$R39="Ice",$R39="Fire",$R39="Water"),1,0)),IF(OR($S39="Flying",$S39="Dragon",$S39="Grass",$S39="Ground"),0-1,IF(OR($S39="Steel",$S39="Ice",$S39="Fire",$S39="Water"),1,0)))</f>
        <v>1</v>
      </c>
      <c r="AO39" s="507" t="n">
        <f aca="false">IF(OR($R39="Ghost",$S39="Ghost"),4,SUM(IF(OR($R39="Steel",$R39="Rock"),1,0),IF(OR($S39="Steel",$S39="Rock"),1,0)))</f>
        <v>0</v>
      </c>
      <c r="AP39" s="507" t="n">
        <f aca="false">IF(OR($R39="Steel",$S39="Steel"),4,SUM(IF(OR($R39="Fairy",$R39="Grass"),0-1,IF(OR($R39="Ghost",$R39="Rock",$R39="Ground",$R39="Poison"),1,0)),IF(OR($S39="Fairy",$S39="Grass"),0-1,IF(OR($S39="Ghost",$S39="Rock",$S39="Ground",$S39="Poison"),1,0))))</f>
        <v>0</v>
      </c>
      <c r="AQ39" s="507" t="n">
        <f aca="false">IF(OR($R39="Dark",$S39="Dark"),4,SUM(IF(OR($R39="Fighting",$R39="Poison"),0-1,IF(OR($R39="Psychic",$R39="Steel"),1,0)),IF(OR($S39="Fighting",$S39="Poison"),0-1,IF(OR($S39="Psychic",$S39="Steel"),1,0))))</f>
        <v>0</v>
      </c>
      <c r="AR39" s="507" t="n">
        <f aca="false">SUM(IF(OR($R39="Bug",$R39="Fire",$R39="Flying",$R39="Ice"),0-1,IF(OR($R39="Steel",$R39="Fighting",$R39="Ground"),1,0)),IF(OR($S39="Bug",$S39="Fire",$S39="Flying",$S39="Ice"),0-1,IF(OR($S39="Steel",$S39="Fighting",$S39="Ground"),1,0)))</f>
        <v>-1</v>
      </c>
      <c r="AS39" s="507" t="n">
        <f aca="false">SUM(IF(OR($R39="Fairy",$R39="Ice",$R39="Rock"),0-1,IF(OR($R39="Steel",$R39="Electric",$R39="Fire",$R39="Water"),1,0)),IF(OR($S39="Fairy",$S39="Ice",$S39="Rock"),0-1,IF(OR($S39="Steel",$S39="Electric",$S39="Fire",$S39="Water"),1,0)))</f>
        <v>-1</v>
      </c>
      <c r="AT39" s="508" t="n">
        <f aca="false">SUM(IF(OR($R39="Fire",$R39="Ground",$R39="Rock"),0-1,IF(OR($R39="Dragon",$R39="Grass",$R39="Water"),1,0)),IF(OR($S39="Fire",$S39="Ground",$S39="Rock"),0-1,IF(OR($S39="Dragon",$S39="Grass",$S39="Water"),1,0)))</f>
        <v>0</v>
      </c>
      <c r="AU39" s="518"/>
    </row>
    <row r="40" customFormat="false" ht="15.75" hidden="false" customHeight="false" outlineLevel="0" collapsed="false">
      <c r="A40" s="510" t="str">
        <f aca="false" t="array" ref="A40:A40">IF(ISNA(INDEX(Source!$U$7:$U$95,MATCH(B40,Source!$V$7:$V$95,0))),"FREE",INDEX(Source!$U$7:$U$95,MATCH(B40,Source!$V$7:$V$95,0)))</f>
        <v>FREE</v>
      </c>
      <c r="B40" s="511" t="s">
        <v>393</v>
      </c>
      <c r="C40" s="511"/>
      <c r="D40" s="511"/>
      <c r="E40" s="499" t="str">
        <f aca="false">IF(SUM($W40:$X40)&gt;0,SUM($W40:$X40),IF($H40&gt;0,0,IF($H40&gt;0,0,"-")))</f>
        <v>-</v>
      </c>
      <c r="F40" s="499" t="str">
        <f aca="false">IF(SUM($Y40:$Z40)&gt;0,SUM($Y40:$Z40),IF($H40&gt;0,0,"-"))</f>
        <v>-</v>
      </c>
      <c r="G40" s="499" t="str">
        <f aca="false">IF($H40&gt;0,minus(E40,F40),"-")</f>
        <v>-</v>
      </c>
      <c r="H40" s="500" t="n">
        <f aca="false">SUM(COUNTIF(MatchSource!$A:$A,$B40),COUNTIF(MatchSource!$H:$H,$B40))</f>
        <v>0</v>
      </c>
      <c r="I40" s="501" t="n">
        <f aca="false">SUM($AA40:$AB40)</f>
        <v>0</v>
      </c>
      <c r="J40" s="501" t="s">
        <v>702</v>
      </c>
      <c r="K40" s="512" t="str">
        <f aca="false" t="array" ref="K40:K40">IF(ISNA(INDEX(DraftRosters!$AA$3:$AA$199,MATCH($B40,DraftRosters!$AB$3:$AB$199,0))),"FA",IF(INDEX(DraftRosters!$AA$3:$AA$199,MATCH($B40,DraftRosters!$AB$3:$AB$199,0))="Franchise","Franch",INDEX(DraftRosters!$AA$3:$AA$199,MATCH($B40,DraftRosters!$AB$3:$AB$199,0))))</f>
        <v>FA</v>
      </c>
      <c r="L40" s="499" t="n">
        <v>60</v>
      </c>
      <c r="M40" s="499" t="n">
        <v>70</v>
      </c>
      <c r="N40" s="499" t="n">
        <v>50</v>
      </c>
      <c r="O40" s="499" t="n">
        <v>100</v>
      </c>
      <c r="P40" s="499" t="n">
        <v>50</v>
      </c>
      <c r="Q40" s="501" t="n">
        <v>65</v>
      </c>
      <c r="R40" s="499" t="s">
        <v>794</v>
      </c>
      <c r="S40" s="501" t="s">
        <v>801</v>
      </c>
      <c r="T40" s="504" t="s">
        <v>877</v>
      </c>
      <c r="U40" s="505" t="s">
        <v>857</v>
      </c>
      <c r="V40" s="506"/>
      <c r="W40" s="500" t="str">
        <f aca="false">IFERROR(__xludf.dummyfunction("if(isna(SUM(FILTER(MatchSource!$A:$D,MatchSource!$A:$A=$B40))),0,SUM(FILTER(MatchSource!$A:$D,MatchSource!$A:$A=$B40)))"),"0")</f>
        <v>0</v>
      </c>
      <c r="X40" s="499" t="str">
        <f aca="false">IFERROR(__xludf.dummyfunction("if(isna(SUM(FILTER(MatchSource!$H:$K,MatchSource!$H:$H=$B40))),0,SUM(FILTER(MatchSource!$H:$K,MatchSource!$H:$H=$B40)))"),"0")</f>
        <v>0</v>
      </c>
      <c r="Y40" s="499" t="str">
        <f aca="false">IFERROR(__xludf.dummyfunction("if(isna(ABS(MINUS(SUM(FILTER(MatchSource!$A:$E,MatchSource!$A:$A=$B40)),SUM($W40)))),0,ABS(MINUS(SUM(FILTER(MatchSource!$A:$E,MatchSource!$A:$A=$B40)),SUM($W40))))"),"0")</f>
        <v>0</v>
      </c>
      <c r="Z40" s="499" t="str">
        <f aca="false">IFERROR(__xludf.dummyfunction("if(isna(ABS(MINUS(SUM(FILTER(MatchSource!$H:$L,MatchSource!$H:$H=$B40)),SUM($X40)))),0,ABS(MINUS(SUM(FILTER(MatchSource!$H:$L,MatchSource!$H:$H=$B40)),SUM($X40))))"),"0")</f>
        <v>0</v>
      </c>
      <c r="AA40" s="499" t="str">
        <f aca="false">IFERROR(__xludf.dummyfunction("if(isna(ABS(MINUS(SUM(FILTER(MatchSource!$A:$F,MatchSource!$A:$A=$B40)),SUM($W40,$Y40)))),0,ABS(MINUS(SUM(FILTER(MatchSource!$A:$F,MatchSource!$A:$A=$B40)),SUM($W40, $Y40,))))"),"0")</f>
        <v>0</v>
      </c>
      <c r="AB40" s="501" t="str">
        <f aca="false">IFERROR(__xludf.dummyfunction("if(isna(ABS(MINUS(SUM(FILTER(MatchSource!$H:$M,MatchSource!$H:$H=$B40)),SUM($X40,$Z40)))),0,ABS(MINUS(SUM(FILTER(MatchSource!$H:$M,MatchSource!$H:$H=$B40)),SUM($X40,$Z40))))"),"0")</f>
        <v>0</v>
      </c>
      <c r="AC40" s="507" t="n">
        <f aca="false">SUM(IF(OR($R40="Grass",$R40="Psychic",$R40="Dark"),0-1,IF(OR($R40="Fighting",$R40="Flying",$R40="Fire",$R40="Ghost",$R40="Poison",$R40="Steel",$R40="Fairy"),1,0)),IF(OR($S40="Grass",$S40="Psychic",$S40="Dark"),0-1,IF(OR($S40="Fighting",$S40="Flying",$S40="Fire",$S40="Ghost",$S40="Poison",$S40="Steel",$S40="Fairy"),1,0)))</f>
        <v>1</v>
      </c>
      <c r="AD40" s="507" t="n">
        <f aca="false">SUM(IF(OR($R40="Ghost",$R40="Psychic"),0-1,IF(OR($R40="Fighting",$R40="Dark",$R40="Fairy"),1,0)),IF(OR($S40="Ghost",$S40="Psychic"),0-1,IF(OR($S40="Fighting",$S40="Dark",$S40="Fairy"),1,0)))</f>
        <v>0</v>
      </c>
      <c r="AE40" s="507" t="n">
        <f aca="false">IF(OR($R40="Fairy",$S40="Fairy"),4,SUM(IF($R40="Dragon",0-1,IF($R40="Steel",1,0)),IF($S40="Dragon",0-1,IF($S40="Steel",1,0))))</f>
        <v>0</v>
      </c>
      <c r="AF40" s="507" t="n">
        <f aca="false">IF(OR($R40="Ground",$S40="Ground"),4,SUM(IF(OR($R40="Flying",$R40="Water"),0-1,IF(OR($R40="Dragon",$R40="Electric",$R40="Grass"),1,0)),IF(OR($S40="Flying",$S40="Water"),0-1,IF(OR($S40="Dragon",$S40="Electric",$S40="Grass"),1,0))))</f>
        <v>-1</v>
      </c>
      <c r="AG40" s="507" t="n">
        <f aca="false">SUM(IF(OR($R40="Dark",$R40="Dragon",$R40="Fighting"),0-1,IF(OR($R40="Steel",$R40="Poison",$R40="Fire"),1,0)),IF(OR($S40="Dark",$S40="Dragon",$S40="Fighting"),0-1,IF(OR($S40="Steel",$S40="Poison",$S40="Fire"),1,0)))</f>
        <v>0</v>
      </c>
      <c r="AH40" s="507" t="n">
        <f aca="false">IF(OR($R40="Ghost",$S40="Ghost"),4,SUM(IF(OR($R40="Dark",$R40="Ice",$R40="Normal",$R40="Rock",$R40="Steel"),0-1,IF(OR($R40="Bug",$R40="Fairy",$R40="Flying",$R40="Poison",$R40="Psychic"),1,0)),IF(OR($S40="Dark",$S40="Ice",$S40="Normal",$S40="Rock",$S40="Steel"),0-1,IF(OR($S40="Bug",$S40="Fairy",$S40="Flying",$S40="Poison",$S40="Psychic"),1,0))))</f>
        <v>2</v>
      </c>
      <c r="AI40" s="507" t="n">
        <f aca="false">SUM(IF(OR($R40="Bug",$R40="Grass",$R40="Ice",$R40="Steel"),0-1,IF(OR($R40="Dragon",$R40="Fire",$R40="Rock",$R40="Water"),1,0)),IF(OR($S40="Bug",$S40="Grass",$S40="Ice",$S40="Steel"),0-1,IF(OR($S40="Dragon",$S40="Fire",$S40="Rock",$S40="Water"),1,0)))</f>
        <v>-1</v>
      </c>
      <c r="AJ40" s="507" t="n">
        <f aca="false">SUM(IF(OR($R40="Bug",$R40="Grass",$R40="Fighting"),0-1,IF(OR($R40="Electric",$R40="Rock",$R40="Steel"),1,0)),IF(OR($S40="Bug",$S40="Grass",$S40="Fighting"),0-1,IF(OR($S40="Electric",$S40="Rock",$S40="Steel"),1,0)))</f>
        <v>-1</v>
      </c>
      <c r="AK40" s="507" t="n">
        <f aca="false">IF(OR($R40="Normal",$S40="Normal"),4,SUM(IF(OR($R40="Ghost",$R40="Psychic"),0-1,IF($R40="Dark",1,0)),IF(OR($S40="Ghost",$S40="Psychic"),0-1,IF($S40="Dark",1,0))))</f>
        <v>0</v>
      </c>
      <c r="AL40" s="507" t="n">
        <f aca="false">SUM(IF(OR($R40="Ground",$R40="Rock",$R40="Water"),0-1,IF(OR($R40="Bug",$R40="Flying",$R40="Fire",$R40="Dragon",$R40="Poison",$R40="Steel",$R40="Grass"),1,0)),IF(OR($S40="Ground",$S40="Rock",$S40="Water"),0-1,IF(OR($S40="Bug",$S40="Flying",$S40="Fire",$S40="Dragon",$S40="Poison",$S40="Steel",$S40="Grass"),1,0)))</f>
        <v>2</v>
      </c>
      <c r="AM40" s="507" t="n">
        <f aca="false">IF(OR($R40="Flying",$S40="Flying"),4,SUM(IF(OR($R40="Electric",$R40="Fire",$R40="Rock",$R40="Steel",$R40="Poison"),0-1,IF(OR($R40="Bug",$R40="Grass"),1,0)),IF(OR($S40="Electric",$S40="Fire",$S40="Rock",$S40="Steel",$S40="Poison"),0-1,IF(OR($S40="Bug",$S40="Grass"),1,0))))</f>
        <v>4</v>
      </c>
      <c r="AN40" s="507" t="n">
        <f aca="false">SUM(IF(OR($R40="Flying",$R40="Dragon",$R40="Grass",$R40="Ground"),0-1,IF(OR($R40="Steel",$R40="Ice",$R40="Fire",$R40="Water"),1,0)),IF(OR($S40="Flying",$S40="Dragon",$S40="Grass",$S40="Ground"),0-1,IF(OR($S40="Steel",$S40="Ice",$S40="Fire",$S40="Water"),1,0)))</f>
        <v>-1</v>
      </c>
      <c r="AO40" s="507" t="n">
        <f aca="false">IF(OR($R40="Ghost",$S40="Ghost"),4,SUM(IF(OR($R40="Steel",$R40="Rock"),1,0),IF(OR($S40="Steel",$S40="Rock"),1,0)))</f>
        <v>0</v>
      </c>
      <c r="AP40" s="507" t="n">
        <f aca="false">IF(OR($R40="Steel",$S40="Steel"),4,SUM(IF(OR($R40="Fairy",$R40="Grass"),0-1,IF(OR($R40="Ghost",$R40="Rock",$R40="Ground",$R40="Poison"),1,0)),IF(OR($S40="Fairy",$S40="Grass"),0-1,IF(OR($S40="Ghost",$S40="Rock",$S40="Ground",$S40="Poison"),1,0))))</f>
        <v>0</v>
      </c>
      <c r="AQ40" s="507" t="n">
        <f aca="false">IF(OR($R40="Dark",$S40="Dark"),4,SUM(IF(OR($R40="Fighting",$R40="Poison"),0-1,IF(OR($R40="Psychic",$R40="Steel"),1,0)),IF(OR($S40="Fighting",$S40="Poison"),0-1,IF(OR($S40="Psychic",$S40="Steel"),1,0))))</f>
        <v>0</v>
      </c>
      <c r="AR40" s="507" t="n">
        <f aca="false">SUM(IF(OR($R40="Bug",$R40="Fire",$R40="Flying",$R40="Ice"),0-1,IF(OR($R40="Steel",$R40="Fighting",$R40="Ground"),1,0)),IF(OR($S40="Bug",$S40="Fire",$S40="Flying",$S40="Ice"),0-1,IF(OR($S40="Steel",$S40="Fighting",$S40="Ground"),1,0)))</f>
        <v>-2</v>
      </c>
      <c r="AS40" s="507" t="n">
        <f aca="false">SUM(IF(OR($R40="Fairy",$R40="Ice",$R40="Rock"),0-1,IF(OR($R40="Steel",$R40="Electric",$R40="Fire",$R40="Water"),1,0)),IF(OR($S40="Fairy",$S40="Ice",$S40="Rock"),0-1,IF(OR($S40="Steel",$S40="Electric",$S40="Fire",$S40="Water"),1,0)))</f>
        <v>0</v>
      </c>
      <c r="AT40" s="508" t="n">
        <f aca="false">SUM(IF(OR($R40="Fire",$R40="Ground",$R40="Rock"),0-1,IF(OR($R40="Dragon",$R40="Grass",$R40="Water"),1,0)),IF(OR($S40="Fire",$S40="Ground",$S40="Rock"),0-1,IF(OR($S40="Dragon",$S40="Grass",$S40="Water"),1,0)))</f>
        <v>0</v>
      </c>
      <c r="AU40" s="518"/>
    </row>
    <row r="41" customFormat="false" ht="15.75" hidden="false" customHeight="false" outlineLevel="0" collapsed="false">
      <c r="A41" s="510" t="str">
        <f aca="false" t="array" ref="A41:A41">IF(ISNA(INDEX(Source!$U$7:$U$95,MATCH(B41,Source!$V$7:$V$95,0))),"FREE",INDEX(Source!$U$7:$U$95,MATCH(B41,Source!$V$7:$V$95,0)))</f>
        <v>FREE</v>
      </c>
      <c r="B41" s="511" t="s">
        <v>741</v>
      </c>
      <c r="C41" s="511"/>
      <c r="D41" s="511"/>
      <c r="E41" s="499" t="str">
        <f aca="false">IF(SUM($W41:$X41)&gt;0,SUM($W41:$X41),IF($H41&gt;0,0,IF($H41&gt;0,0,"-")))</f>
        <v>-</v>
      </c>
      <c r="F41" s="499" t="str">
        <f aca="false">IF(SUM($Y41:$Z41)&gt;0,SUM($Y41:$Z41),IF($H41&gt;0,0,"-"))</f>
        <v>-</v>
      </c>
      <c r="G41" s="499" t="str">
        <f aca="false">IF($H41&gt;0,minus(E41,F41),"-")</f>
        <v>-</v>
      </c>
      <c r="H41" s="500" t="n">
        <f aca="false">SUM(COUNTIF(MatchSource!$A:$A,$B41),COUNTIF(MatchSource!$H:$H,$B41))</f>
        <v>0</v>
      </c>
      <c r="I41" s="501" t="n">
        <f aca="false">SUM($AA41:$AB41)</f>
        <v>0</v>
      </c>
      <c r="J41" s="501" t="s">
        <v>702</v>
      </c>
      <c r="K41" s="512" t="str">
        <f aca="false" t="array" ref="K41:K41">IF(ISNA(INDEX(DraftRosters!$AA$3:$AA$199,MATCH($B41,DraftRosters!$AB$3:$AB$199,0))),"FA",IF(INDEX(DraftRosters!$AA$3:$AA$199,MATCH($B41,DraftRosters!$AB$3:$AB$199,0))="Franchise","Franch",INDEX(DraftRosters!$AA$3:$AA$199,MATCH($B41,DraftRosters!$AB$3:$AB$199,0))))</f>
        <v>FA</v>
      </c>
      <c r="L41" s="499" t="n">
        <v>65</v>
      </c>
      <c r="M41" s="499" t="n">
        <v>90</v>
      </c>
      <c r="N41" s="499" t="n">
        <v>40</v>
      </c>
      <c r="O41" s="499" t="n">
        <v>45</v>
      </c>
      <c r="P41" s="499" t="n">
        <v>80</v>
      </c>
      <c r="Q41" s="501" t="n">
        <v>75</v>
      </c>
      <c r="R41" s="499" t="s">
        <v>794</v>
      </c>
      <c r="S41" s="501" t="s">
        <v>843</v>
      </c>
      <c r="T41" s="504" t="s">
        <v>856</v>
      </c>
      <c r="U41" s="505" t="s">
        <v>857</v>
      </c>
      <c r="V41" s="506"/>
      <c r="W41" s="500" t="str">
        <f aca="false">IFERROR(__xludf.dummyfunction("if(isna(SUM(FILTER(MatchSource!$A:$D,MatchSource!$A:$A=$B41))),0,SUM(FILTER(MatchSource!$A:$D,MatchSource!$A:$A=$B41)))"),"0")</f>
        <v>0</v>
      </c>
      <c r="X41" s="499" t="str">
        <f aca="false">IFERROR(__xludf.dummyfunction("if(isna(SUM(FILTER(MatchSource!$H:$K,MatchSource!$H:$H=$B41))),0,SUM(FILTER(MatchSource!$H:$K,MatchSource!$H:$H=$B41)))"),"0")</f>
        <v>0</v>
      </c>
      <c r="Y41" s="499" t="str">
        <f aca="false">IFERROR(__xludf.dummyfunction("if(isna(ABS(MINUS(SUM(FILTER(MatchSource!$A:$E,MatchSource!$A:$A=$B41)),SUM($W41)))),0,ABS(MINUS(SUM(FILTER(MatchSource!$A:$E,MatchSource!$A:$A=$B41)),SUM($W41))))"),"0")</f>
        <v>0</v>
      </c>
      <c r="Z41" s="499" t="str">
        <f aca="false">IFERROR(__xludf.dummyfunction("if(isna(ABS(MINUS(SUM(FILTER(MatchSource!$H:$L,MatchSource!$H:$H=$B41)),SUM($X41)))),0,ABS(MINUS(SUM(FILTER(MatchSource!$H:$L,MatchSource!$H:$H=$B41)),SUM($X41))))"),"0")</f>
        <v>0</v>
      </c>
      <c r="AA41" s="499" t="str">
        <f aca="false">IFERROR(__xludf.dummyfunction("if(isna(ABS(MINUS(SUM(FILTER(MatchSource!$A:$F,MatchSource!$A:$A=$B41)),SUM($W41,$Y41)))),0,ABS(MINUS(SUM(FILTER(MatchSource!$A:$F,MatchSource!$A:$A=$B41)),SUM($W41, $Y41,))))"),"0")</f>
        <v>0</v>
      </c>
      <c r="AB41" s="501" t="str">
        <f aca="false">IFERROR(__xludf.dummyfunction("if(isna(ABS(MINUS(SUM(FILTER(MatchSource!$H:$M,MatchSource!$H:$H=$B41)),SUM($X41,$Z41)))),0,ABS(MINUS(SUM(FILTER(MatchSource!$H:$M,MatchSource!$H:$H=$B41)),SUM($X41,$Z41))))"),"0")</f>
        <v>0</v>
      </c>
      <c r="AC41" s="507" t="n">
        <f aca="false">SUM(IF(OR($R41="Grass",$R41="Psychic",$R41="Dark"),0-1,IF(OR($R41="Fighting",$R41="Flying",$R41="Fire",$R41="Ghost",$R41="Poison",$R41="Steel",$R41="Fairy"),1,0)),IF(OR($S41="Grass",$S41="Psychic",$S41="Dark"),0-1,IF(OR($S41="Fighting",$S41="Flying",$S41="Fire",$S41="Ghost",$S41="Poison",$S41="Steel",$S41="Fairy"),1,0)))</f>
        <v>1</v>
      </c>
      <c r="AD41" s="507" t="n">
        <f aca="false">SUM(IF(OR($R41="Ghost",$R41="Psychic"),0-1,IF(OR($R41="Fighting",$R41="Dark",$R41="Fairy"),1,0)),IF(OR($S41="Ghost",$S41="Psychic"),0-1,IF(OR($S41="Fighting",$S41="Dark",$S41="Fairy"),1,0)))</f>
        <v>0</v>
      </c>
      <c r="AE41" s="507" t="n">
        <f aca="false">IF(OR($R41="Fairy",$S41="Fairy"),4,SUM(IF($R41="Dragon",0-1,IF($R41="Steel",1,0)),IF($S41="Dragon",0-1,IF($S41="Steel",1,0))))</f>
        <v>0</v>
      </c>
      <c r="AF41" s="507" t="n">
        <f aca="false">IF(OR($R41="Ground",$S41="Ground"),4,SUM(IF(OR($R41="Flying",$R41="Water"),0-1,IF(OR($R41="Dragon",$R41="Electric",$R41="Grass"),1,0)),IF(OR($S41="Flying",$S41="Water"),0-1,IF(OR($S41="Dragon",$S41="Electric",$S41="Grass"),1,0))))</f>
        <v>0</v>
      </c>
      <c r="AG41" s="507" t="n">
        <f aca="false">SUM(IF(OR($R41="Dark",$R41="Dragon",$R41="Fighting"),0-1,IF(OR($R41="Steel",$R41="Poison",$R41="Fire"),1,0)),IF(OR($S41="Dark",$S41="Dragon",$S41="Fighting"),0-1,IF(OR($S41="Steel",$S41="Poison",$S41="Fire"),1,0)))</f>
        <v>1</v>
      </c>
      <c r="AH41" s="507" t="n">
        <f aca="false">IF(OR($R41="Ghost",$S41="Ghost"),4,SUM(IF(OR($R41="Dark",$R41="Ice",$R41="Normal",$R41="Rock",$R41="Steel"),0-1,IF(OR($R41="Bug",$R41="Fairy",$R41="Flying",$R41="Poison",$R41="Psychic"),1,0)),IF(OR($S41="Dark",$S41="Ice",$S41="Normal",$S41="Rock",$S41="Steel"),0-1,IF(OR($S41="Bug",$S41="Fairy",$S41="Flying",$S41="Poison",$S41="Psychic"),1,0))))</f>
        <v>2</v>
      </c>
      <c r="AI41" s="507" t="n">
        <f aca="false">SUM(IF(OR($R41="Bug",$R41="Grass",$R41="Ice",$R41="Steel"),0-1,IF(OR($R41="Dragon",$R41="Fire",$R41="Rock",$R41="Water"),1,0)),IF(OR($S41="Bug",$S41="Grass",$S41="Ice",$S41="Steel"),0-1,IF(OR($S41="Dragon",$S41="Fire",$S41="Rock",$S41="Water"),1,0)))</f>
        <v>-1</v>
      </c>
      <c r="AJ41" s="507" t="n">
        <f aca="false">SUM(IF(OR($R41="Bug",$R41="Grass",$R41="Fighting"),0-1,IF(OR($R41="Electric",$R41="Rock",$R41="Steel"),1,0)),IF(OR($S41="Bug",$S41="Grass",$S41="Fighting"),0-1,IF(OR($S41="Electric",$S41="Rock",$S41="Steel"),1,0)))</f>
        <v>-1</v>
      </c>
      <c r="AK41" s="507" t="n">
        <f aca="false">IF(OR($R41="Normal",$S41="Normal"),4,SUM(IF(OR($R41="Ghost",$R41="Psychic"),0-1,IF($R41="Dark",1,0)),IF(OR($S41="Ghost",$S41="Psychic"),0-1,IF($S41="Dark",1,0))))</f>
        <v>0</v>
      </c>
      <c r="AL41" s="507" t="n">
        <f aca="false">SUM(IF(OR($R41="Ground",$R41="Rock",$R41="Water"),0-1,IF(OR($R41="Bug",$R41="Flying",$R41="Fire",$R41="Dragon",$R41="Poison",$R41="Steel",$R41="Grass"),1,0)),IF(OR($S41="Ground",$S41="Rock",$S41="Water"),0-1,IF(OR($S41="Bug",$S41="Flying",$S41="Fire",$S41="Dragon",$S41="Poison",$S41="Steel",$S41="Grass"),1,0)))</f>
        <v>2</v>
      </c>
      <c r="AM41" s="507" t="n">
        <f aca="false">IF(OR($R41="Flying",$S41="Flying"),4,SUM(IF(OR($R41="Electric",$R41="Fire",$R41="Rock",$R41="Steel",$R41="Poison"),0-1,IF(OR($R41="Bug",$R41="Grass"),1,0)),IF(OR($S41="Electric",$S41="Fire",$S41="Rock",$S41="Steel",$S41="Poison"),0-1,IF(OR($S41="Bug",$S41="Grass"),1,0))))</f>
        <v>0</v>
      </c>
      <c r="AN41" s="507" t="n">
        <f aca="false">SUM(IF(OR($R41="Flying",$R41="Dragon",$R41="Grass",$R41="Ground"),0-1,IF(OR($R41="Steel",$R41="Ice",$R41="Fire",$R41="Water"),1,0)),IF(OR($S41="Flying",$S41="Dragon",$S41="Grass",$S41="Ground"),0-1,IF(OR($S41="Steel",$S41="Ice",$S41="Fire",$S41="Water"),1,0)))</f>
        <v>0</v>
      </c>
      <c r="AO41" s="507" t="n">
        <f aca="false">IF(OR($R41="Ghost",$S41="Ghost"),4,SUM(IF(OR($R41="Steel",$R41="Rock"),1,0),IF(OR($S41="Steel",$S41="Rock"),1,0)))</f>
        <v>0</v>
      </c>
      <c r="AP41" s="507" t="n">
        <f aca="false">IF(OR($R41="Steel",$S41="Steel"),4,SUM(IF(OR($R41="Fairy",$R41="Grass"),0-1,IF(OR($R41="Ghost",$R41="Rock",$R41="Ground",$R41="Poison"),1,0)),IF(OR($S41="Fairy",$S41="Grass"),0-1,IF(OR($S41="Ghost",$S41="Rock",$S41="Ground",$S41="Poison"),1,0))))</f>
        <v>1</v>
      </c>
      <c r="AQ41" s="507" t="n">
        <f aca="false">IF(OR($R41="Dark",$S41="Dark"),4,SUM(IF(OR($R41="Fighting",$R41="Poison"),0-1,IF(OR($R41="Psychic",$R41="Steel"),1,0)),IF(OR($S41="Fighting",$S41="Poison"),0-1,IF(OR($S41="Psychic",$S41="Steel"),1,0))))</f>
        <v>-1</v>
      </c>
      <c r="AR41" s="507" t="n">
        <f aca="false">SUM(IF(OR($R41="Bug",$R41="Fire",$R41="Flying",$R41="Ice"),0-1,IF(OR($R41="Steel",$R41="Fighting",$R41="Ground"),1,0)),IF(OR($S41="Bug",$S41="Fire",$S41="Flying",$S41="Ice"),0-1,IF(OR($S41="Steel",$S41="Fighting",$S41="Ground"),1,0)))</f>
        <v>-1</v>
      </c>
      <c r="AS41" s="507" t="n">
        <f aca="false">SUM(IF(OR($R41="Fairy",$R41="Ice",$R41="Rock"),0-1,IF(OR($R41="Steel",$R41="Electric",$R41="Fire",$R41="Water"),1,0)),IF(OR($S41="Fairy",$S41="Ice",$S41="Rock"),0-1,IF(OR($S41="Steel",$S41="Electric",$S41="Fire",$S41="Water"),1,0)))</f>
        <v>0</v>
      </c>
      <c r="AT41" s="508" t="n">
        <f aca="false">SUM(IF(OR($R41="Fire",$R41="Ground",$R41="Rock"),0-1,IF(OR($R41="Dragon",$R41="Grass",$R41="Water"),1,0)),IF(OR($S41="Fire",$S41="Ground",$S41="Rock"),0-1,IF(OR($S41="Dragon",$S41="Grass",$S41="Water"),1,0)))</f>
        <v>0</v>
      </c>
      <c r="AU41" s="518"/>
    </row>
    <row r="42" customFormat="false" ht="15.75" hidden="false" customHeight="false" outlineLevel="0" collapsed="false">
      <c r="A42" s="510" t="str">
        <f aca="false" t="array" ref="A42:A42">IF(ISNA(INDEX(Source!$U$7:$U$95,MATCH(B42,Source!$V$7:$V$95,0))),"FREE",INDEX(Source!$U$7:$U$95,MATCH(B42,Source!$V$7:$V$95,0)))</f>
        <v>BBG</v>
      </c>
      <c r="B42" s="511" t="s">
        <v>101</v>
      </c>
      <c r="C42" s="511"/>
      <c r="D42" s="511"/>
      <c r="E42" s="499" t="n">
        <f aca="false">IF(SUM($W42:$X42)&gt;0,SUM($W42:$X42),IF($H42&gt;0,0,IF($H42&gt;0,0,"-")))</f>
        <v>0</v>
      </c>
      <c r="F42" s="499" t="n">
        <f aca="false">IF(SUM($Y42:$Z42)&gt;0,SUM($Y42:$Z42),IF($H42&gt;0,0,"-"))</f>
        <v>0</v>
      </c>
      <c r="G42" s="499" t="e">
        <f aca="false">IF($H42&gt;0,minus(E42,F42),"-")</f>
        <v>#NAME?</v>
      </c>
      <c r="H42" s="500" t="n">
        <f aca="false">SUM(COUNTIF(MatchSource!$A:$A,$B42),COUNTIF(MatchSource!$H:$H,$B42))</f>
        <v>2</v>
      </c>
      <c r="I42" s="501" t="n">
        <f aca="false">SUM($AA42:$AB42)</f>
        <v>0</v>
      </c>
      <c r="J42" s="501" t="s">
        <v>278</v>
      </c>
      <c r="K42" s="512" t="n">
        <f aca="false" t="array" ref="K42:K42">IF(ISNA(INDEX(DraftRosters!$AA$3:$AA$199,MATCH($B42,DraftRosters!$AB$3:$AB$199,0))),"FA",IF(INDEX(DraftRosters!$AA$3:$AA$199,MATCH($B42,DraftRosters!$AB$3:$AB$199,0))="Franchise","Franch",INDEX(DraftRosters!$AA$3:$AA$199,MATCH($B42,DraftRosters!$AB$3:$AB$199,0))))</f>
        <v>45</v>
      </c>
      <c r="L42" s="499" t="n">
        <v>65</v>
      </c>
      <c r="M42" s="499" t="n">
        <v>140</v>
      </c>
      <c r="N42" s="499" t="n">
        <v>40</v>
      </c>
      <c r="O42" s="499" t="n">
        <v>15</v>
      </c>
      <c r="P42" s="499" t="n">
        <v>80</v>
      </c>
      <c r="Q42" s="501" t="n">
        <v>145</v>
      </c>
      <c r="R42" s="499" t="s">
        <v>794</v>
      </c>
      <c r="S42" s="501" t="s">
        <v>843</v>
      </c>
      <c r="T42" s="504" t="s">
        <v>874</v>
      </c>
      <c r="U42" s="513"/>
      <c r="V42" s="514"/>
      <c r="W42" s="500" t="str">
        <f aca="false">IFERROR(__xludf.dummyfunction("if(isna(SUM(FILTER(MatchSource!$A:$D,MatchSource!$A:$A=$B42))),0,SUM(FILTER(MatchSource!$A:$D,MatchSource!$A:$A=$B42)))"),"0")</f>
        <v>0</v>
      </c>
      <c r="X42" s="499" t="str">
        <f aca="false">IFERROR(__xludf.dummyfunction("if(isna(SUM(FILTER(MatchSource!$H:$K,MatchSource!$H:$H=$B42))),0,SUM(FILTER(MatchSource!$H:$K,MatchSource!$H:$H=$B42)))"),"0")</f>
        <v>0</v>
      </c>
      <c r="Y42" s="499" t="str">
        <f aca="false">IFERROR(__xludf.dummyfunction("if(isna(ABS(MINUS(SUM(FILTER(MatchSource!$A:$E,MatchSource!$A:$A=$B42)),SUM($W42)))),0,ABS(MINUS(SUM(FILTER(MatchSource!$A:$E,MatchSource!$A:$A=$B42)),SUM($W42))))"),"1")</f>
        <v>1</v>
      </c>
      <c r="Z42" s="499" t="str">
        <f aca="false">IFERROR(__xludf.dummyfunction("if(isna(ABS(MINUS(SUM(FILTER(MatchSource!$H:$L,MatchSource!$H:$H=$B42)),SUM($X42)))),0,ABS(MINUS(SUM(FILTER(MatchSource!$H:$L,MatchSource!$H:$H=$B42)),SUM($X42))))"),"0")</f>
        <v>0</v>
      </c>
      <c r="AA42" s="499" t="str">
        <f aca="false">IFERROR(__xludf.dummyfunction("if(isna(ABS(MINUS(SUM(FILTER(MatchSource!$A:$F,MatchSource!$A:$A=$B42)),SUM($W42,$Y42)))),0,ABS(MINUS(SUM(FILTER(MatchSource!$A:$F,MatchSource!$A:$A=$B42)),SUM($W42, $Y42,))))"),"0")</f>
        <v>0</v>
      </c>
      <c r="AB42" s="501" t="str">
        <f aca="false">IFERROR(__xludf.dummyfunction("if(isna(ABS(MINUS(SUM(FILTER(MatchSource!$H:$M,MatchSource!$H:$H=$B42)),SUM($X42,$Z42)))),0,ABS(MINUS(SUM(FILTER(MatchSource!$H:$M,MatchSource!$H:$H=$B42)),SUM($X42,$Z42))))"),"1")</f>
        <v>1</v>
      </c>
      <c r="AC42" s="507" t="n">
        <f aca="false">SUM(IF(OR($R42="Grass",$R42="Psychic",$R42="Dark"),0-1,IF(OR($R42="Fighting",$R42="Flying",$R42="Fire",$R42="Ghost",$R42="Poison",$R42="Steel",$R42="Fairy"),1,0)),IF(OR($S42="Grass",$S42="Psychic",$S42="Dark"),0-1,IF(OR($S42="Fighting",$S42="Flying",$S42="Fire",$S42="Ghost",$S42="Poison",$S42="Steel",$S42="Fairy"),1,0)))</f>
        <v>1</v>
      </c>
      <c r="AD42" s="507" t="n">
        <f aca="false">SUM(IF(OR($R42="Ghost",$R42="Psychic"),0-1,IF(OR($R42="Fighting",$R42="Dark",$R42="Fairy"),1,0)),IF(OR($S42="Ghost",$S42="Psychic"),0-1,IF(OR($S42="Fighting",$S42="Dark",$S42="Fairy"),1,0)))</f>
        <v>0</v>
      </c>
      <c r="AE42" s="507" t="n">
        <f aca="false">IF(OR($R42="Fairy",$S42="Fairy"),4,SUM(IF($R42="Dragon",0-1,IF($R42="Steel",1,0)),IF($S42="Dragon",0-1,IF($S42="Steel",1,0))))</f>
        <v>0</v>
      </c>
      <c r="AF42" s="507" t="n">
        <f aca="false">IF(OR($R42="Ground",$S42="Ground"),4,SUM(IF(OR($R42="Flying",$R42="Water"),0-1,IF(OR($R42="Dragon",$R42="Electric",$R42="Grass"),1,0)),IF(OR($S42="Flying",$S42="Water"),0-1,IF(OR($S42="Dragon",$S42="Electric",$S42="Grass"),1,0))))</f>
        <v>0</v>
      </c>
      <c r="AG42" s="507" t="n">
        <f aca="false">SUM(IF(OR($R42="Dark",$R42="Dragon",$R42="Fighting"),0-1,IF(OR($R42="Steel",$R42="Poison",$R42="Fire"),1,0)),IF(OR($S42="Dark",$S42="Dragon",$S42="Fighting"),0-1,IF(OR($S42="Steel",$S42="Poison",$S42="Fire"),1,0)))</f>
        <v>1</v>
      </c>
      <c r="AH42" s="507" t="n">
        <f aca="false">IF(OR($R42="Ghost",$S42="Ghost"),4,SUM(IF(OR($R42="Dark",$R42="Ice",$R42="Normal",$R42="Rock",$R42="Steel"),0-1,IF(OR($R42="Bug",$R42="Fairy",$R42="Flying",$R42="Poison",$R42="Psychic"),1,0)),IF(OR($S42="Dark",$S42="Ice",$S42="Normal",$S42="Rock",$S42="Steel"),0-1,IF(OR($S42="Bug",$S42="Fairy",$S42="Flying",$S42="Poison",$S42="Psychic"),1,0))))</f>
        <v>2</v>
      </c>
      <c r="AI42" s="507" t="n">
        <f aca="false">SUM(IF(OR($R42="Bug",$R42="Grass",$R42="Ice",$R42="Steel"),0-1,IF(OR($R42="Dragon",$R42="Fire",$R42="Rock",$R42="Water"),1,0)),IF(OR($S42="Bug",$S42="Grass",$S42="Ice",$S42="Steel"),0-1,IF(OR($S42="Dragon",$S42="Fire",$S42="Rock",$S42="Water"),1,0)))</f>
        <v>-1</v>
      </c>
      <c r="AJ42" s="507" t="n">
        <f aca="false">SUM(IF(OR($R42="Bug",$R42="Grass",$R42="Fighting"),0-1,IF(OR($R42="Electric",$R42="Rock",$R42="Steel"),1,0)),IF(OR($S42="Bug",$S42="Grass",$S42="Fighting"),0-1,IF(OR($S42="Electric",$S42="Rock",$S42="Steel"),1,0)))</f>
        <v>-1</v>
      </c>
      <c r="AK42" s="507" t="n">
        <f aca="false">IF(OR($R42="Normal",$S42="Normal"),4,SUM(IF(OR($R42="Ghost",$R42="Psychic"),0-1,IF($R42="Dark",1,0)),IF(OR($S42="Ghost",$S42="Psychic"),0-1,IF($S42="Dark",1,0))))</f>
        <v>0</v>
      </c>
      <c r="AL42" s="507" t="n">
        <f aca="false">SUM(IF(OR($R42="Ground",$R42="Rock",$R42="Water"),0-1,IF(OR($R42="Bug",$R42="Flying",$R42="Fire",$R42="Dragon",$R42="Poison",$R42="Steel",$R42="Grass"),1,0)),IF(OR($S42="Ground",$S42="Rock",$S42="Water"),0-1,IF(OR($S42="Bug",$S42="Flying",$S42="Fire",$S42="Dragon",$S42="Poison",$S42="Steel",$S42="Grass"),1,0)))</f>
        <v>2</v>
      </c>
      <c r="AM42" s="507" t="n">
        <f aca="false">IF(OR($R42="Flying",$S42="Flying"),4,SUM(IF(OR($R42="Electric",$R42="Fire",$R42="Rock",$R42="Steel",$R42="Poison"),0-1,IF(OR($R42="Bug",$R42="Grass"),1,0)),IF(OR($S42="Electric",$S42="Fire",$S42="Rock",$S42="Steel",$S42="Poison"),0-1,IF(OR($S42="Bug",$S42="Grass"),1,0))))</f>
        <v>0</v>
      </c>
      <c r="AN42" s="507" t="n">
        <f aca="false">SUM(IF(OR($R42="Flying",$R42="Dragon",$R42="Grass",$R42="Ground"),0-1,IF(OR($R42="Steel",$R42="Ice",$R42="Fire",$R42="Water"),1,0)),IF(OR($S42="Flying",$S42="Dragon",$S42="Grass",$S42="Ground"),0-1,IF(OR($S42="Steel",$S42="Ice",$S42="Fire",$S42="Water"),1,0)))</f>
        <v>0</v>
      </c>
      <c r="AO42" s="507" t="n">
        <f aca="false">IF(OR($R42="Ghost",$S42="Ghost"),4,SUM(IF(OR($R42="Steel",$R42="Rock"),1,0),IF(OR($S42="Steel",$S42="Rock"),1,0)))</f>
        <v>0</v>
      </c>
      <c r="AP42" s="507" t="n">
        <f aca="false">IF(OR($R42="Steel",$S42="Steel"),4,SUM(IF(OR($R42="Fairy",$R42="Grass"),0-1,IF(OR($R42="Ghost",$R42="Rock",$R42="Ground",$R42="Poison"),1,0)),IF(OR($S42="Fairy",$S42="Grass"),0-1,IF(OR($S42="Ghost",$S42="Rock",$S42="Ground",$S42="Poison"),1,0))))</f>
        <v>1</v>
      </c>
      <c r="AQ42" s="507" t="n">
        <f aca="false">IF(OR($R42="Dark",$S42="Dark"),4,SUM(IF(OR($R42="Fighting",$R42="Poison"),0-1,IF(OR($R42="Psychic",$R42="Steel"),1,0)),IF(OR($S42="Fighting",$S42="Poison"),0-1,IF(OR($S42="Psychic",$S42="Steel"),1,0))))</f>
        <v>-1</v>
      </c>
      <c r="AR42" s="507" t="n">
        <f aca="false">SUM(IF(OR($R42="Bug",$R42="Fire",$R42="Flying",$R42="Ice"),0-1,IF(OR($R42="Steel",$R42="Fighting",$R42="Ground"),1,0)),IF(OR($S42="Bug",$S42="Fire",$S42="Flying",$S42="Ice"),0-1,IF(OR($S42="Steel",$S42="Fighting",$S42="Ground"),1,0)))</f>
        <v>-1</v>
      </c>
      <c r="AS42" s="507" t="n">
        <f aca="false">SUM(IF(OR($R42="Fairy",$R42="Ice",$R42="Rock"),0-1,IF(OR($R42="Steel",$R42="Electric",$R42="Fire",$R42="Water"),1,0)),IF(OR($S42="Fairy",$S42="Ice",$S42="Rock"),0-1,IF(OR($S42="Steel",$S42="Electric",$S42="Fire",$S42="Water"),1,0)))</f>
        <v>0</v>
      </c>
      <c r="AT42" s="508" t="n">
        <f aca="false">SUM(IF(OR($R42="Fire",$R42="Ground",$R42="Rock"),0-1,IF(OR($R42="Dragon",$R42="Grass",$R42="Water"),1,0)),IF(OR($S42="Fire",$S42="Ground",$S42="Rock"),0-1,IF(OR($S42="Dragon",$S42="Grass",$S42="Water"),1,0)))</f>
        <v>0</v>
      </c>
      <c r="AU42" s="518"/>
    </row>
    <row r="43" customFormat="false" ht="15.75" hidden="false" customHeight="false" outlineLevel="0" collapsed="false">
      <c r="A43" s="515" t="str">
        <f aca="false" t="array" ref="A43:A43">IF(ISNA(INDEX(Source!$U$7:$U$95,MATCH(B43,Source!$V$7:$V$95,0))),"FREE",INDEX(Source!$U$7:$U$95,MATCH(B43,Source!$V$7:$V$95,0)))</f>
        <v>FREE</v>
      </c>
      <c r="B43" s="511" t="s">
        <v>397</v>
      </c>
      <c r="C43" s="511"/>
      <c r="D43" s="511"/>
      <c r="E43" s="499" t="str">
        <f aca="false">IF(SUM($W43:$X43)&gt;0,SUM($W43:$X43),IF($H43&gt;0,0,IF($H43&gt;0,0,"-")))</f>
        <v>-</v>
      </c>
      <c r="F43" s="499" t="str">
        <f aca="false">IF(SUM($Y43:$Z43)&gt;0,SUM($Y43:$Z43),IF($H43&gt;0,0,"-"))</f>
        <v>-</v>
      </c>
      <c r="G43" s="499" t="str">
        <f aca="false">IF($H43&gt;0,minus(E43,F43),"-")</f>
        <v>-</v>
      </c>
      <c r="H43" s="500" t="n">
        <f aca="false">SUM(COUNTIF(MatchSource!$A:$A,$B43),COUNTIF(MatchSource!$H:$H,$B43))</f>
        <v>0</v>
      </c>
      <c r="I43" s="501" t="n">
        <f aca="false">SUM($AA43:$AB43)</f>
        <v>0</v>
      </c>
      <c r="J43" s="501" t="s">
        <v>702</v>
      </c>
      <c r="K43" s="512" t="str">
        <f aca="false" t="array" ref="K43:K43">IF(ISNA(INDEX(DraftRosters!$AA$3:$AA$199,MATCH($B43,DraftRosters!$AB$3:$AB$199,0))),"FA",IF(INDEX(DraftRosters!$AA$3:$AA$199,MATCH($B43,DraftRosters!$AB$3:$AB$199,0))="Franchise","Franch",INDEX(DraftRosters!$AA$3:$AA$199,MATCH($B43,DraftRosters!$AB$3:$AB$199,0))))</f>
        <v>FA</v>
      </c>
      <c r="L43" s="499" t="n">
        <v>75</v>
      </c>
      <c r="M43" s="499" t="n">
        <v>75</v>
      </c>
      <c r="N43" s="499" t="n">
        <v>75</v>
      </c>
      <c r="O43" s="499" t="n">
        <v>125</v>
      </c>
      <c r="P43" s="499" t="n">
        <v>95</v>
      </c>
      <c r="Q43" s="501" t="n">
        <v>40</v>
      </c>
      <c r="R43" s="499" t="s">
        <v>828</v>
      </c>
      <c r="S43" s="501"/>
      <c r="T43" s="504" t="s">
        <v>878</v>
      </c>
      <c r="U43" s="505" t="s">
        <v>879</v>
      </c>
      <c r="V43" s="506" t="s">
        <v>831</v>
      </c>
      <c r="W43" s="500" t="str">
        <f aca="false">IFERROR(__xludf.dummyfunction("if(isna(SUM(FILTER(MatchSource!$A:$D,MatchSource!$A:$A=$B43))),0,SUM(FILTER(MatchSource!$A:$D,MatchSource!$A:$A=$B43)))"),"0")</f>
        <v>0</v>
      </c>
      <c r="X43" s="499" t="str">
        <f aca="false">IFERROR(__xludf.dummyfunction("if(isna(SUM(FILTER(MatchSource!$H:$K,MatchSource!$H:$H=$B43))),0,SUM(FILTER(MatchSource!$H:$K,MatchSource!$H:$H=$B43)))"),"0")</f>
        <v>0</v>
      </c>
      <c r="Y43" s="499" t="str">
        <f aca="false">IFERROR(__xludf.dummyfunction("if(isna(ABS(MINUS(SUM(FILTER(MatchSource!$A:$E,MatchSource!$A:$A=$B43)),SUM($W43)))),0,ABS(MINUS(SUM(FILTER(MatchSource!$A:$E,MatchSource!$A:$A=$B43)),SUM($W43))))"),"0")</f>
        <v>0</v>
      </c>
      <c r="Z43" s="499" t="str">
        <f aca="false">IFERROR(__xludf.dummyfunction("if(isna(ABS(MINUS(SUM(FILTER(MatchSource!$H:$L,MatchSource!$H:$H=$B43)),SUM($X43)))),0,ABS(MINUS(SUM(FILTER(MatchSource!$H:$L,MatchSource!$H:$H=$B43)),SUM($X43))))"),"0")</f>
        <v>0</v>
      </c>
      <c r="AA43" s="499" t="str">
        <f aca="false">IFERROR(__xludf.dummyfunction("if(isna(ABS(MINUS(SUM(FILTER(MatchSource!$A:$F,MatchSource!$A:$A=$B43)),SUM($W43,$Y43)))),0,ABS(MINUS(SUM(FILTER(MatchSource!$A:$F,MatchSource!$A:$A=$B43)),SUM($W43, $Y43,))))"),"0")</f>
        <v>0</v>
      </c>
      <c r="AB43" s="501" t="str">
        <f aca="false">IFERROR(__xludf.dummyfunction("if(isna(ABS(MINUS(SUM(FILTER(MatchSource!$H:$M,MatchSource!$H:$H=$B43)),SUM($X43,$Z43)))),0,ABS(MINUS(SUM(FILTER(MatchSource!$H:$M,MatchSource!$H:$H=$B43)),SUM($X43,$Z43))))"),"0")</f>
        <v>0</v>
      </c>
      <c r="AC43" s="507" t="n">
        <f aca="false">SUM(IF(OR($R43="Grass",$R43="Psychic",$R43="Dark"),0-1,IF(OR($R43="Fighting",$R43="Flying",$R43="Fire",$R43="Ghost",$R43="Poison",$R43="Steel",$R43="Fairy"),1,0)),IF(OR($S43="Grass",$S43="Psychic",$S43="Dark"),0-1,IF(OR($S43="Fighting",$S43="Flying",$S43="Fire",$S43="Ghost",$S43="Poison",$S43="Steel",$S43="Fairy"),1,0)))</f>
        <v>-1</v>
      </c>
      <c r="AD43" s="507" t="n">
        <f aca="false">SUM(IF(OR($R43="Ghost",$R43="Psychic"),0-1,IF(OR($R43="Fighting",$R43="Dark",$R43="Fairy"),1,0)),IF(OR($S43="Ghost",$S43="Psychic"),0-1,IF(OR($S43="Fighting",$S43="Dark",$S43="Fairy"),1,0)))</f>
        <v>-1</v>
      </c>
      <c r="AE43" s="507" t="n">
        <f aca="false">IF(OR($R43="Fairy",$S43="Fairy"),4,SUM(IF($R43="Dragon",0-1,IF($R43="Steel",1,0)),IF($S43="Dragon",0-1,IF($S43="Steel",1,0))))</f>
        <v>0</v>
      </c>
      <c r="AF43" s="507" t="n">
        <f aca="false">IF(OR($R43="Ground",$S43="Ground"),4,SUM(IF(OR($R43="Flying",$R43="Water"),0-1,IF(OR($R43="Dragon",$R43="Electric",$R43="Grass"),1,0)),IF(OR($S43="Flying",$S43="Water"),0-1,IF(OR($S43="Dragon",$S43="Electric",$S43="Grass"),1,0))))</f>
        <v>0</v>
      </c>
      <c r="AG43" s="507" t="n">
        <f aca="false">SUM(IF(OR($R43="Dark",$R43="Dragon",$R43="Fighting"),0-1,IF(OR($R43="Steel",$R43="Poison",$R43="Fire"),1,0)),IF(OR($S43="Dark",$S43="Dragon",$S43="Fighting"),0-1,IF(OR($S43="Steel",$S43="Poison",$S43="Fire"),1,0)))</f>
        <v>0</v>
      </c>
      <c r="AH43" s="507" t="n">
        <f aca="false">IF(OR($R43="Ghost",$S43="Ghost"),4,SUM(IF(OR($R43="Dark",$R43="Ice",$R43="Normal",$R43="Rock",$R43="Steel"),0-1,IF(OR($R43="Bug",$R43="Fairy",$R43="Flying",$R43="Poison",$R43="Psychic"),1,0)),IF(OR($S43="Dark",$S43="Ice",$S43="Normal",$S43="Rock",$S43="Steel"),0-1,IF(OR($S43="Bug",$S43="Fairy",$S43="Flying",$S43="Poison",$S43="Psychic"),1,0))))</f>
        <v>1</v>
      </c>
      <c r="AI43" s="507" t="n">
        <f aca="false">SUM(IF(OR($R43="Bug",$R43="Grass",$R43="Ice",$R43="Steel"),0-1,IF(OR($R43="Dragon",$R43="Fire",$R43="Rock",$R43="Water"),1,0)),IF(OR($S43="Bug",$S43="Grass",$S43="Ice",$S43="Steel"),0-1,IF(OR($S43="Dragon",$S43="Fire",$S43="Rock",$S43="Water"),1,0)))</f>
        <v>0</v>
      </c>
      <c r="AJ43" s="507" t="n">
        <f aca="false">SUM(IF(OR($R43="Bug",$R43="Grass",$R43="Fighting"),0-1,IF(OR($R43="Electric",$R43="Rock",$R43="Steel"),1,0)),IF(OR($S43="Bug",$S43="Grass",$S43="Fighting"),0-1,IF(OR($S43="Electric",$S43="Rock",$S43="Steel"),1,0)))</f>
        <v>0</v>
      </c>
      <c r="AK43" s="507" t="n">
        <f aca="false">IF(OR($R43="Normal",$S43="Normal"),4,SUM(IF(OR($R43="Ghost",$R43="Psychic"),0-1,IF($R43="Dark",1,0)),IF(OR($S43="Ghost",$S43="Psychic"),0-1,IF($S43="Dark",1,0))))</f>
        <v>-1</v>
      </c>
      <c r="AL43" s="507" t="n">
        <f aca="false">SUM(IF(OR($R43="Ground",$R43="Rock",$R43="Water"),0-1,IF(OR($R43="Bug",$R43="Flying",$R43="Fire",$R43="Dragon",$R43="Poison",$R43="Steel",$R43="Grass"),1,0)),IF(OR($S43="Ground",$S43="Rock",$S43="Water"),0-1,IF(OR($S43="Bug",$S43="Flying",$S43="Fire",$S43="Dragon",$S43="Poison",$S43="Steel",$S43="Grass"),1,0)))</f>
        <v>0</v>
      </c>
      <c r="AM43" s="507" t="n">
        <f aca="false">IF(OR($R43="Flying",$S43="Flying"),4,SUM(IF(OR($R43="Electric",$R43="Fire",$R43="Rock",$R43="Steel",$R43="Poison"),0-1,IF(OR($R43="Bug",$R43="Grass"),1,0)),IF(OR($S43="Electric",$S43="Fire",$S43="Rock",$S43="Steel",$S43="Poison"),0-1,IF(OR($S43="Bug",$S43="Grass"),1,0))))</f>
        <v>0</v>
      </c>
      <c r="AN43" s="507" t="n">
        <f aca="false">SUM(IF(OR($R43="Flying",$R43="Dragon",$R43="Grass",$R43="Ground"),0-1,IF(OR($R43="Steel",$R43="Ice",$R43="Fire",$R43="Water"),1,0)),IF(OR($S43="Flying",$S43="Dragon",$S43="Grass",$S43="Ground"),0-1,IF(OR($S43="Steel",$S43="Ice",$S43="Fire",$S43="Water"),1,0)))</f>
        <v>0</v>
      </c>
      <c r="AO43" s="507" t="n">
        <f aca="false">IF(OR($R43="Ghost",$S43="Ghost"),4,SUM(IF(OR($R43="Steel",$R43="Rock"),1,0),IF(OR($S43="Steel",$S43="Rock"),1,0)))</f>
        <v>0</v>
      </c>
      <c r="AP43" s="507" t="n">
        <f aca="false">IF(OR($R43="Steel",$S43="Steel"),4,SUM(IF(OR($R43="Fairy",$R43="Grass"),0-1,IF(OR($R43="Ghost",$R43="Rock",$R43="Ground",$R43="Poison"),1,0)),IF(OR($S43="Fairy",$S43="Grass"),0-1,IF(OR($S43="Ghost",$S43="Rock",$S43="Ground",$S43="Poison"),1,0))))</f>
        <v>0</v>
      </c>
      <c r="AQ43" s="507" t="n">
        <f aca="false">IF(OR($R43="Dark",$S43="Dark"),4,SUM(IF(OR($R43="Fighting",$R43="Poison"),0-1,IF(OR($R43="Psychic",$R43="Steel"),1,0)),IF(OR($S43="Fighting",$S43="Poison"),0-1,IF(OR($S43="Psychic",$S43="Steel"),1,0))))</f>
        <v>1</v>
      </c>
      <c r="AR43" s="507" t="n">
        <f aca="false">SUM(IF(OR($R43="Bug",$R43="Fire",$R43="Flying",$R43="Ice"),0-1,IF(OR($R43="Steel",$R43="Fighting",$R43="Ground"),1,0)),IF(OR($S43="Bug",$S43="Fire",$S43="Flying",$S43="Ice"),0-1,IF(OR($S43="Steel",$S43="Fighting",$S43="Ground"),1,0)))</f>
        <v>0</v>
      </c>
      <c r="AS43" s="507" t="n">
        <f aca="false">SUM(IF(OR($R43="Fairy",$R43="Ice",$R43="Rock"),0-1,IF(OR($R43="Steel",$R43="Electric",$R43="Fire",$R43="Water"),1,0)),IF(OR($S43="Fairy",$S43="Ice",$S43="Rock"),0-1,IF(OR($S43="Steel",$S43="Electric",$S43="Fire",$S43="Water"),1,0)))</f>
        <v>0</v>
      </c>
      <c r="AT43" s="508" t="n">
        <f aca="false">SUM(IF(OR($R43="Fire",$R43="Ground",$R43="Rock"),0-1,IF(OR($R43="Dragon",$R43="Grass",$R43="Water"),1,0)),IF(OR($S43="Fire",$S43="Ground",$S43="Rock"),0-1,IF(OR($S43="Dragon",$S43="Grass",$S43="Water"),1,0)))</f>
        <v>0</v>
      </c>
      <c r="AU43" s="518"/>
    </row>
    <row r="44" customFormat="false" ht="15.75" hidden="false" customHeight="false" outlineLevel="0" collapsed="false">
      <c r="A44" s="515" t="str">
        <f aca="false" t="array" ref="A44:A44">IF(ISNA(INDEX(Source!$U$7:$U$95,MATCH(B44,Source!$V$7:$V$95,0))),"FREE",INDEX(Source!$U$7:$U$95,MATCH(B44,Source!$V$7:$V$95,0)))</f>
        <v>FREE</v>
      </c>
      <c r="B44" s="511" t="s">
        <v>402</v>
      </c>
      <c r="C44" s="511"/>
      <c r="D44" s="511"/>
      <c r="E44" s="499" t="str">
        <f aca="false">IF(SUM($W44:$X44)&gt;0,SUM($W44:$X44),IF($H44&gt;0,0,IF($H44&gt;0,0,"-")))</f>
        <v>-</v>
      </c>
      <c r="F44" s="499" t="str">
        <f aca="false">IF(SUM($Y44:$Z44)&gt;0,SUM($Y44:$Z44),IF($H44&gt;0,0,"-"))</f>
        <v>-</v>
      </c>
      <c r="G44" s="499" t="str">
        <f aca="false">IF($H44&gt;0,minus(E44,F44),"-")</f>
        <v>-</v>
      </c>
      <c r="H44" s="500" t="n">
        <f aca="false">SUM(COUNTIF(MatchSource!$A:$A,$B44),COUNTIF(MatchSource!$H:$H,$B44))</f>
        <v>0</v>
      </c>
      <c r="I44" s="501" t="n">
        <f aca="false">SUM($AA44:$AB44)</f>
        <v>0</v>
      </c>
      <c r="J44" s="501" t="s">
        <v>702</v>
      </c>
      <c r="K44" s="512" t="str">
        <f aca="false" t="array" ref="K44:K44">IF(ISNA(INDEX(DraftRosters!$AA$3:$AA$199,MATCH($B44,DraftRosters!$AB$3:$AB$199,0))),"FA",IF(INDEX(DraftRosters!$AA$3:$AA$199,MATCH($B44,DraftRosters!$AB$3:$AB$199,0))="Franchise","Franch",INDEX(DraftRosters!$AA$3:$AA$199,MATCH($B44,DraftRosters!$AB$3:$AB$199,0))))</f>
        <v>FA</v>
      </c>
      <c r="L44" s="499" t="n">
        <v>75</v>
      </c>
      <c r="M44" s="499" t="n">
        <v>80</v>
      </c>
      <c r="N44" s="499" t="n">
        <v>95</v>
      </c>
      <c r="O44" s="499" t="n">
        <v>90</v>
      </c>
      <c r="P44" s="499" t="n">
        <v>100</v>
      </c>
      <c r="Q44" s="501" t="n">
        <v>50</v>
      </c>
      <c r="R44" s="499" t="s">
        <v>803</v>
      </c>
      <c r="S44" s="501"/>
      <c r="T44" s="504" t="s">
        <v>880</v>
      </c>
      <c r="U44" s="505" t="s">
        <v>833</v>
      </c>
      <c r="V44" s="506"/>
      <c r="W44" s="500" t="str">
        <f aca="false">IFERROR(__xludf.dummyfunction("if(isna(SUM(FILTER(MatchSource!$A:$D,MatchSource!$A:$A=$B44))),0,SUM(FILTER(MatchSource!$A:$D,MatchSource!$A:$A=$B44)))"),"0")</f>
        <v>0</v>
      </c>
      <c r="X44" s="499" t="str">
        <f aca="false">IFERROR(__xludf.dummyfunction("if(isna(SUM(FILTER(MatchSource!$H:$K,MatchSource!$H:$H=$B44))),0,SUM(FILTER(MatchSource!$H:$K,MatchSource!$H:$H=$B44)))"),"0")</f>
        <v>0</v>
      </c>
      <c r="Y44" s="499" t="str">
        <f aca="false">IFERROR(__xludf.dummyfunction("if(isna(ABS(MINUS(SUM(FILTER(MatchSource!$A:$E,MatchSource!$A:$A=$B44)),SUM($W44)))),0,ABS(MINUS(SUM(FILTER(MatchSource!$A:$E,MatchSource!$A:$A=$B44)),SUM($W44))))"),"0")</f>
        <v>0</v>
      </c>
      <c r="Z44" s="499" t="str">
        <f aca="false">IFERROR(__xludf.dummyfunction("if(isna(ABS(MINUS(SUM(FILTER(MatchSource!$H:$L,MatchSource!$H:$H=$B44)),SUM($X44)))),0,ABS(MINUS(SUM(FILTER(MatchSource!$H:$L,MatchSource!$H:$H=$B44)),SUM($X44))))"),"0")</f>
        <v>0</v>
      </c>
      <c r="AA44" s="499" t="str">
        <f aca="false">IFERROR(__xludf.dummyfunction("if(isna(ABS(MINUS(SUM(FILTER(MatchSource!$A:$F,MatchSource!$A:$A=$B44)),SUM($W44,$Y44)))),0,ABS(MINUS(SUM(FILTER(MatchSource!$A:$F,MatchSource!$A:$A=$B44)),SUM($W44, $Y44,))))"),"0")</f>
        <v>0</v>
      </c>
      <c r="AB44" s="501" t="str">
        <f aca="false">IFERROR(__xludf.dummyfunction("if(isna(ABS(MINUS(SUM(FILTER(MatchSource!$H:$M,MatchSource!$H:$H=$B44)),SUM($X44,$Z44)))),0,ABS(MINUS(SUM(FILTER(MatchSource!$H:$M,MatchSource!$H:$H=$B44)),SUM($X44,$Z44))))"),"0")</f>
        <v>0</v>
      </c>
      <c r="AC44" s="507" t="n">
        <f aca="false">SUM(IF(OR($R44="Grass",$R44="Psychic",$R44="Dark"),0-1,IF(OR($R44="Fighting",$R44="Flying",$R44="Fire",$R44="Ghost",$R44="Poison",$R44="Steel",$R44="Fairy"),1,0)),IF(OR($S44="Grass",$S44="Psychic",$S44="Dark"),0-1,IF(OR($S44="Fighting",$S44="Flying",$S44="Fire",$S44="Ghost",$S44="Poison",$S44="Steel",$S44="Fairy"),1,0)))</f>
        <v>-1</v>
      </c>
      <c r="AD44" s="507" t="n">
        <f aca="false">SUM(IF(OR($R44="Ghost",$R44="Psychic"),0-1,IF(OR($R44="Fighting",$R44="Dark",$R44="Fairy"),1,0)),IF(OR($S44="Ghost",$S44="Psychic"),0-1,IF(OR($S44="Fighting",$S44="Dark",$S44="Fairy"),1,0)))</f>
        <v>0</v>
      </c>
      <c r="AE44" s="507" t="n">
        <f aca="false">IF(OR($R44="Fairy",$S44="Fairy"),4,SUM(IF($R44="Dragon",0-1,IF($R44="Steel",1,0)),IF($S44="Dragon",0-1,IF($S44="Steel",1,0))))</f>
        <v>0</v>
      </c>
      <c r="AF44" s="507" t="n">
        <f aca="false">IF(OR($R44="Ground",$S44="Ground"),4,SUM(IF(OR($R44="Flying",$R44="Water"),0-1,IF(OR($R44="Dragon",$R44="Electric",$R44="Grass"),1,0)),IF(OR($S44="Flying",$S44="Water"),0-1,IF(OR($S44="Dragon",$S44="Electric",$S44="Grass"),1,0))))</f>
        <v>1</v>
      </c>
      <c r="AG44" s="507" t="n">
        <f aca="false">SUM(IF(OR($R44="Dark",$R44="Dragon",$R44="Fighting"),0-1,IF(OR($R44="Steel",$R44="Poison",$R44="Fire"),1,0)),IF(OR($S44="Dark",$S44="Dragon",$S44="Fighting"),0-1,IF(OR($S44="Steel",$S44="Poison",$S44="Fire"),1,0)))</f>
        <v>0</v>
      </c>
      <c r="AH44" s="507" t="n">
        <f aca="false">IF(OR($R44="Ghost",$S44="Ghost"),4,SUM(IF(OR($R44="Dark",$R44="Ice",$R44="Normal",$R44="Rock",$R44="Steel"),0-1,IF(OR($R44="Bug",$R44="Fairy",$R44="Flying",$R44="Poison",$R44="Psychic"),1,0)),IF(OR($S44="Dark",$S44="Ice",$S44="Normal",$S44="Rock",$S44="Steel"),0-1,IF(OR($S44="Bug",$S44="Fairy",$S44="Flying",$S44="Poison",$S44="Psychic"),1,0))))</f>
        <v>0</v>
      </c>
      <c r="AI44" s="507" t="n">
        <f aca="false">SUM(IF(OR($R44="Bug",$R44="Grass",$R44="Ice",$R44="Steel"),0-1,IF(OR($R44="Dragon",$R44="Fire",$R44="Rock",$R44="Water"),1,0)),IF(OR($S44="Bug",$S44="Grass",$S44="Ice",$S44="Steel"),0-1,IF(OR($S44="Dragon",$S44="Fire",$S44="Rock",$S44="Water"),1,0)))</f>
        <v>-1</v>
      </c>
      <c r="AJ44" s="507" t="n">
        <f aca="false">SUM(IF(OR($R44="Bug",$R44="Grass",$R44="Fighting"),0-1,IF(OR($R44="Electric",$R44="Rock",$R44="Steel"),1,0)),IF(OR($S44="Bug",$S44="Grass",$S44="Fighting"),0-1,IF(OR($S44="Electric",$S44="Rock",$S44="Steel"),1,0)))</f>
        <v>-1</v>
      </c>
      <c r="AK44" s="507" t="n">
        <f aca="false">IF(OR($R44="Normal",$S44="Normal"),4,SUM(IF(OR($R44="Ghost",$R44="Psychic"),0-1,IF($R44="Dark",1,0)),IF(OR($S44="Ghost",$S44="Psychic"),0-1,IF($S44="Dark",1,0))))</f>
        <v>0</v>
      </c>
      <c r="AL44" s="507" t="n">
        <f aca="false">SUM(IF(OR($R44="Ground",$R44="Rock",$R44="Water"),0-1,IF(OR($R44="Bug",$R44="Flying",$R44="Fire",$R44="Dragon",$R44="Poison",$R44="Steel",$R44="Grass"),1,0)),IF(OR($S44="Ground",$S44="Rock",$S44="Water"),0-1,IF(OR($S44="Bug",$S44="Flying",$S44="Fire",$S44="Dragon",$S44="Poison",$S44="Steel",$S44="Grass"),1,0)))</f>
        <v>1</v>
      </c>
      <c r="AM44" s="507" t="n">
        <f aca="false">IF(OR($R44="Flying",$S44="Flying"),4,SUM(IF(OR($R44="Electric",$R44="Fire",$R44="Rock",$R44="Steel",$R44="Poison"),0-1,IF(OR($R44="Bug",$R44="Grass"),1,0)),IF(OR($S44="Electric",$S44="Fire",$S44="Rock",$S44="Steel",$S44="Poison"),0-1,IF(OR($S44="Bug",$S44="Grass"),1,0))))</f>
        <v>1</v>
      </c>
      <c r="AN44" s="507" t="n">
        <f aca="false">SUM(IF(OR($R44="Flying",$R44="Dragon",$R44="Grass",$R44="Ground"),0-1,IF(OR($R44="Steel",$R44="Ice",$R44="Fire",$R44="Water"),1,0)),IF(OR($S44="Flying",$S44="Dragon",$S44="Grass",$S44="Ground"),0-1,IF(OR($S44="Steel",$S44="Ice",$S44="Fire",$S44="Water"),1,0)))</f>
        <v>-1</v>
      </c>
      <c r="AO44" s="507" t="n">
        <f aca="false">IF(OR($R44="Ghost",$S44="Ghost"),4,SUM(IF(OR($R44="Steel",$R44="Rock"),1,0),IF(OR($S44="Steel",$S44="Rock"),1,0)))</f>
        <v>0</v>
      </c>
      <c r="AP44" s="507" t="n">
        <f aca="false">IF(OR($R44="Steel",$S44="Steel"),4,SUM(IF(OR($R44="Fairy",$R44="Grass"),0-1,IF(OR($R44="Ghost",$R44="Rock",$R44="Ground",$R44="Poison"),1,0)),IF(OR($S44="Fairy",$S44="Grass"),0-1,IF(OR($S44="Ghost",$S44="Rock",$S44="Ground",$S44="Poison"),1,0))))</f>
        <v>-1</v>
      </c>
      <c r="AQ44" s="507" t="n">
        <f aca="false">IF(OR($R44="Dark",$S44="Dark"),4,SUM(IF(OR($R44="Fighting",$R44="Poison"),0-1,IF(OR($R44="Psychic",$R44="Steel"),1,0)),IF(OR($S44="Fighting",$S44="Poison"),0-1,IF(OR($S44="Psychic",$S44="Steel"),1,0))))</f>
        <v>0</v>
      </c>
      <c r="AR44" s="507" t="n">
        <f aca="false">SUM(IF(OR($R44="Bug",$R44="Fire",$R44="Flying",$R44="Ice"),0-1,IF(OR($R44="Steel",$R44="Fighting",$R44="Ground"),1,0)),IF(OR($S44="Bug",$S44="Fire",$S44="Flying",$S44="Ice"),0-1,IF(OR($S44="Steel",$S44="Fighting",$S44="Ground"),1,0)))</f>
        <v>0</v>
      </c>
      <c r="AS44" s="507" t="n">
        <f aca="false">SUM(IF(OR($R44="Fairy",$R44="Ice",$R44="Rock"),0-1,IF(OR($R44="Steel",$R44="Electric",$R44="Fire",$R44="Water"),1,0)),IF(OR($S44="Fairy",$S44="Ice",$S44="Rock"),0-1,IF(OR($S44="Steel",$S44="Electric",$S44="Fire",$S44="Water"),1,0)))</f>
        <v>0</v>
      </c>
      <c r="AT44" s="508" t="n">
        <f aca="false">SUM(IF(OR($R44="Fire",$R44="Ground",$R44="Rock"),0-1,IF(OR($R44="Dragon",$R44="Grass",$R44="Water"),1,0)),IF(OR($S44="Fire",$S44="Ground",$S44="Rock"),0-1,IF(OR($S44="Dragon",$S44="Grass",$S44="Water"),1,0)))</f>
        <v>1</v>
      </c>
      <c r="AU44" s="518"/>
    </row>
    <row r="45" customFormat="false" ht="15.75" hidden="false" customHeight="false" outlineLevel="0" collapsed="false">
      <c r="A45" s="515" t="str">
        <f aca="false" t="array" ref="A45:A45">IF(ISNA(INDEX(Source!$U$7:$U$95,MATCH(B45,Source!$V$7:$V$95,0))),"FREE",INDEX(Source!$U$7:$U$95,MATCH(B45,Source!$V$7:$V$95,0)))</f>
        <v>FREE</v>
      </c>
      <c r="B45" s="511" t="s">
        <v>369</v>
      </c>
      <c r="C45" s="511"/>
      <c r="D45" s="511"/>
      <c r="E45" s="499" t="str">
        <f aca="false">IF(SUM($W45:$X45)&gt;0,SUM($W45:$X45),IF($H45&gt;0,0,IF($H45&gt;0,0,"-")))</f>
        <v>-</v>
      </c>
      <c r="F45" s="499" t="str">
        <f aca="false">IF(SUM($Y45:$Z45)&gt;0,SUM($Y45:$Z45),IF($H45&gt;0,0,"-"))</f>
        <v>-</v>
      </c>
      <c r="G45" s="499" t="str">
        <f aca="false">IF($H45&gt;0,minus(E45,F45),"-")</f>
        <v>-</v>
      </c>
      <c r="H45" s="500" t="n">
        <f aca="false">SUM(COUNTIF(MatchSource!$A:$A,$B45),COUNTIF(MatchSource!$H:$H,$B45))</f>
        <v>0</v>
      </c>
      <c r="I45" s="501" t="n">
        <f aca="false">SUM($AA45:$AB45)</f>
        <v>0</v>
      </c>
      <c r="J45" s="501" t="s">
        <v>701</v>
      </c>
      <c r="K45" s="512" t="str">
        <f aca="false" t="array" ref="K45:K45">IF(ISNA(INDEX(DraftRosters!$AA$3:$AA$199,MATCH($B45,DraftRosters!$AB$3:$AB$199,0))),"FA",IF(INDEX(DraftRosters!$AA$3:$AA$199,MATCH($B45,DraftRosters!$AB$3:$AB$199,0))="Franchise","Franch",INDEX(DraftRosters!$AA$3:$AA$199,MATCH($B45,DraftRosters!$AB$3:$AB$199,0))))</f>
        <v>FA</v>
      </c>
      <c r="L45" s="499" t="n">
        <v>120</v>
      </c>
      <c r="M45" s="499" t="n">
        <v>125</v>
      </c>
      <c r="N45" s="499" t="n">
        <v>80</v>
      </c>
      <c r="O45" s="499" t="n">
        <v>55</v>
      </c>
      <c r="P45" s="499" t="n">
        <v>60</v>
      </c>
      <c r="Q45" s="501" t="n">
        <v>60</v>
      </c>
      <c r="R45" s="499" t="s">
        <v>881</v>
      </c>
      <c r="S45" s="501" t="s">
        <v>839</v>
      </c>
      <c r="T45" s="504" t="s">
        <v>882</v>
      </c>
      <c r="U45" s="505" t="s">
        <v>862</v>
      </c>
      <c r="V45" s="506" t="s">
        <v>822</v>
      </c>
      <c r="W45" s="500" t="str">
        <f aca="false">IFERROR(__xludf.dummyfunction("if(isna(SUM(FILTER(MatchSource!$A:$D,MatchSource!$A:$A=$B45))),0,SUM(FILTER(MatchSource!$A:$D,MatchSource!$A:$A=$B45)))"),"0")</f>
        <v>0</v>
      </c>
      <c r="X45" s="499" t="str">
        <f aca="false">IFERROR(__xludf.dummyfunction("if(isna(SUM(FILTER(MatchSource!$H:$K,MatchSource!$H:$H=$B45))),0,SUM(FILTER(MatchSource!$H:$K,MatchSource!$H:$H=$B45)))"),"0")</f>
        <v>0</v>
      </c>
      <c r="Y45" s="499" t="str">
        <f aca="false">IFERROR(__xludf.dummyfunction("if(isna(ABS(MINUS(SUM(FILTER(MatchSource!$A:$E,MatchSource!$A:$A=$B45)),SUM($W45)))),0,ABS(MINUS(SUM(FILTER(MatchSource!$A:$E,MatchSource!$A:$A=$B45)),SUM($W45))))"),"0")</f>
        <v>0</v>
      </c>
      <c r="Z45" s="499" t="str">
        <f aca="false">IFERROR(__xludf.dummyfunction("if(isna(ABS(MINUS(SUM(FILTER(MatchSource!$H:$L,MatchSource!$H:$H=$B45)),SUM($X45)))),0,ABS(MINUS(SUM(FILTER(MatchSource!$H:$L,MatchSource!$H:$H=$B45)),SUM($X45))))"),"0")</f>
        <v>0</v>
      </c>
      <c r="AA45" s="499" t="str">
        <f aca="false">IFERROR(__xludf.dummyfunction("if(isna(ABS(MINUS(SUM(FILTER(MatchSource!$A:$F,MatchSource!$A:$A=$B45)),SUM($W45,$Y45)))),0,ABS(MINUS(SUM(FILTER(MatchSource!$A:$F,MatchSource!$A:$A=$B45)),SUM($W45, $Y45,))))"),"0")</f>
        <v>0</v>
      </c>
      <c r="AB45" s="501" t="str">
        <f aca="false">IFERROR(__xludf.dummyfunction("if(isna(ABS(MINUS(SUM(FILTER(MatchSource!$H:$M,MatchSource!$H:$H=$B45)),SUM($X45,$Z45)))),0,ABS(MINUS(SUM(FILTER(MatchSource!$H:$M,MatchSource!$H:$H=$B45)),SUM($X45,$Z45))))"),"0")</f>
        <v>0</v>
      </c>
      <c r="AC45" s="507" t="n">
        <f aca="false">SUM(IF(OR($R45="Grass",$R45="Psychic",$R45="Dark"),0-1,IF(OR($R45="Fighting",$R45="Flying",$R45="Fire",$R45="Ghost",$R45="Poison",$R45="Steel",$R45="Fairy"),1,0)),IF(OR($S45="Grass",$S45="Psychic",$S45="Dark"),0-1,IF(OR($S45="Fighting",$S45="Flying",$S45="Fire",$S45="Ghost",$S45="Poison",$S45="Steel",$S45="Fairy"),1,0)))</f>
        <v>1</v>
      </c>
      <c r="AD45" s="507" t="n">
        <f aca="false">SUM(IF(OR($R45="Ghost",$R45="Psychic"),0-1,IF(OR($R45="Fighting",$R45="Dark",$R45="Fairy"),1,0)),IF(OR($S45="Ghost",$S45="Psychic"),0-1,IF(OR($S45="Fighting",$S45="Dark",$S45="Fairy"),1,0)))</f>
        <v>1</v>
      </c>
      <c r="AE45" s="507" t="n">
        <f aca="false">IF(OR($R45="Fairy",$S45="Fairy"),4,SUM(IF($R45="Dragon",0-1,IF($R45="Steel",1,0)),IF($S45="Dragon",0-1,IF($S45="Steel",1,0))))</f>
        <v>0</v>
      </c>
      <c r="AF45" s="507" t="n">
        <f aca="false">IF(OR($R45="Ground",$S45="Ground"),4,SUM(IF(OR($R45="Flying",$R45="Water"),0-1,IF(OR($R45="Dragon",$R45="Electric",$R45="Grass"),1,0)),IF(OR($S45="Flying",$S45="Water"),0-1,IF(OR($S45="Dragon",$S45="Electric",$S45="Grass"),1,0))))</f>
        <v>0</v>
      </c>
      <c r="AG45" s="507" t="n">
        <f aca="false">SUM(IF(OR($R45="Dark",$R45="Dragon",$R45="Fighting"),0-1,IF(OR($R45="Steel",$R45="Poison",$R45="Fire"),1,0)),IF(OR($S45="Dark",$S45="Dragon",$S45="Fighting"),0-1,IF(OR($S45="Steel",$S45="Poison",$S45="Fire"),1,0)))</f>
        <v>-1</v>
      </c>
      <c r="AH45" s="507" t="n">
        <f aca="false">IF(OR($R45="Ghost",$S45="Ghost"),4,SUM(IF(OR($R45="Dark",$R45="Ice",$R45="Normal",$R45="Rock",$R45="Steel"),0-1,IF(OR($R45="Bug",$R45="Fairy",$R45="Flying",$R45="Poison",$R45="Psychic"),1,0)),IF(OR($S45="Dark",$S45="Ice",$S45="Normal",$S45="Rock",$S45="Steel"),0-1,IF(OR($S45="Bug",$S45="Fairy",$S45="Flying",$S45="Poison",$S45="Psychic"),1,0))))</f>
        <v>-1</v>
      </c>
      <c r="AI45" s="507" t="n">
        <f aca="false">SUM(IF(OR($R45="Bug",$R45="Grass",$R45="Ice",$R45="Steel"),0-1,IF(OR($R45="Dragon",$R45="Fire",$R45="Rock",$R45="Water"),1,0)),IF(OR($S45="Bug",$S45="Grass",$S45="Ice",$S45="Steel"),0-1,IF(OR($S45="Dragon",$S45="Fire",$S45="Rock",$S45="Water"),1,0)))</f>
        <v>0</v>
      </c>
      <c r="AJ45" s="507" t="n">
        <f aca="false">SUM(IF(OR($R45="Bug",$R45="Grass",$R45="Fighting"),0-1,IF(OR($R45="Electric",$R45="Rock",$R45="Steel"),1,0)),IF(OR($S45="Bug",$S45="Grass",$S45="Fighting"),0-1,IF(OR($S45="Electric",$S45="Rock",$S45="Steel"),1,0)))</f>
        <v>-1</v>
      </c>
      <c r="AK45" s="507" t="n">
        <f aca="false">IF(OR($R45="Normal",$S45="Normal"),4,SUM(IF(OR($R45="Ghost",$R45="Psychic"),0-1,IF($R45="Dark",1,0)),IF(OR($S45="Ghost",$S45="Psychic"),0-1,IF($S45="Dark",1,0))))</f>
        <v>4</v>
      </c>
      <c r="AL45" s="507" t="n">
        <f aca="false">SUM(IF(OR($R45="Ground",$R45="Rock",$R45="Water"),0-1,IF(OR($R45="Bug",$R45="Flying",$R45="Fire",$R45="Dragon",$R45="Poison",$R45="Steel",$R45="Grass"),1,0)),IF(OR($S45="Ground",$S45="Rock",$S45="Water"),0-1,IF(OR($S45="Bug",$S45="Flying",$S45="Fire",$S45="Dragon",$S45="Poison",$S45="Steel",$S45="Grass"),1,0)))</f>
        <v>0</v>
      </c>
      <c r="AM45" s="507" t="n">
        <f aca="false">IF(OR($R45="Flying",$S45="Flying"),4,SUM(IF(OR($R45="Electric",$R45="Fire",$R45="Rock",$R45="Steel",$R45="Poison"),0-1,IF(OR($R45="Bug",$R45="Grass"),1,0)),IF(OR($S45="Electric",$S45="Fire",$S45="Rock",$S45="Steel",$S45="Poison"),0-1,IF(OR($S45="Bug",$S45="Grass"),1,0))))</f>
        <v>0</v>
      </c>
      <c r="AN45" s="507" t="n">
        <f aca="false">SUM(IF(OR($R45="Flying",$R45="Dragon",$R45="Grass",$R45="Ground"),0-1,IF(OR($R45="Steel",$R45="Ice",$R45="Fire",$R45="Water"),1,0)),IF(OR($S45="Flying",$S45="Dragon",$S45="Grass",$S45="Ground"),0-1,IF(OR($S45="Steel",$S45="Ice",$S45="Fire",$S45="Water"),1,0)))</f>
        <v>0</v>
      </c>
      <c r="AO45" s="507" t="n">
        <f aca="false">IF(OR($R45="Ghost",$S45="Ghost"),4,SUM(IF(OR($R45="Steel",$R45="Rock"),1,0),IF(OR($S45="Steel",$S45="Rock"),1,0)))</f>
        <v>0</v>
      </c>
      <c r="AP45" s="507" t="n">
        <f aca="false">IF(OR($R45="Steel",$S45="Steel"),4,SUM(IF(OR($R45="Fairy",$R45="Grass"),0-1,IF(OR($R45="Ghost",$R45="Rock",$R45="Ground",$R45="Poison"),1,0)),IF(OR($S45="Fairy",$S45="Grass"),0-1,IF(OR($S45="Ghost",$S45="Rock",$S45="Ground",$S45="Poison"),1,0))))</f>
        <v>0</v>
      </c>
      <c r="AQ45" s="507" t="n">
        <f aca="false">IF(OR($R45="Dark",$S45="Dark"),4,SUM(IF(OR($R45="Fighting",$R45="Poison"),0-1,IF(OR($R45="Psychic",$R45="Steel"),1,0)),IF(OR($S45="Fighting",$S45="Poison"),0-1,IF(OR($S45="Psychic",$S45="Steel"),1,0))))</f>
        <v>-1</v>
      </c>
      <c r="AR45" s="507" t="n">
        <f aca="false">SUM(IF(OR($R45="Bug",$R45="Fire",$R45="Flying",$R45="Ice"),0-1,IF(OR($R45="Steel",$R45="Fighting",$R45="Ground"),1,0)),IF(OR($S45="Bug",$S45="Fire",$S45="Flying",$S45="Ice"),0-1,IF(OR($S45="Steel",$S45="Fighting",$S45="Ground"),1,0)))</f>
        <v>1</v>
      </c>
      <c r="AS45" s="507" t="n">
        <f aca="false">SUM(IF(OR($R45="Fairy",$R45="Ice",$R45="Rock"),0-1,IF(OR($R45="Steel",$R45="Electric",$R45="Fire",$R45="Water"),1,0)),IF(OR($S45="Fairy",$S45="Ice",$S45="Rock"),0-1,IF(OR($S45="Steel",$S45="Electric",$S45="Fire",$S45="Water"),1,0)))</f>
        <v>0</v>
      </c>
      <c r="AT45" s="508" t="n">
        <f aca="false">SUM(IF(OR($R45="Fire",$R45="Ground",$R45="Rock"),0-1,IF(OR($R45="Dragon",$R45="Grass",$R45="Water"),1,0)),IF(OR($S45="Fire",$S45="Ground",$S45="Rock"),0-1,IF(OR($S45="Dragon",$S45="Grass",$S45="Water"),1,0)))</f>
        <v>0</v>
      </c>
      <c r="AU45" s="518"/>
    </row>
    <row r="46" customFormat="false" ht="15.75" hidden="false" customHeight="false" outlineLevel="0" collapsed="false">
      <c r="A46" s="515" t="str">
        <f aca="false" t="array" ref="A46:A46">IF(ISNA(INDEX(Source!$U$7:$U$95,MATCH(B46,Source!$V$7:$V$95,0))),"FREE",INDEX(Source!$U$7:$U$95,MATCH(B46,Source!$V$7:$V$95,0)))</f>
        <v>FREE</v>
      </c>
      <c r="B46" s="511" t="s">
        <v>407</v>
      </c>
      <c r="C46" s="511"/>
      <c r="D46" s="511"/>
      <c r="E46" s="499" t="str">
        <f aca="false">IF(SUM($W46:$X46)&gt;0,SUM($W46:$X46),IF($H46&gt;0,0,IF($H46&gt;0,0,"-")))</f>
        <v>-</v>
      </c>
      <c r="F46" s="499" t="str">
        <f aca="false">IF(SUM($Y46:$Z46)&gt;0,SUM($Y46:$Z46),IF($H46&gt;0,0,"-"))</f>
        <v>-</v>
      </c>
      <c r="G46" s="499" t="str">
        <f aca="false">IF($H46&gt;0,minus(E46,F46),"-")</f>
        <v>-</v>
      </c>
      <c r="H46" s="500" t="n">
        <f aca="false">SUM(COUNTIF(MatchSource!$A:$A,$B46),COUNTIF(MatchSource!$H:$H,$B46))</f>
        <v>0</v>
      </c>
      <c r="I46" s="501" t="n">
        <f aca="false">SUM($AA46:$AB46)</f>
        <v>0</v>
      </c>
      <c r="J46" s="501" t="s">
        <v>702</v>
      </c>
      <c r="K46" s="512" t="str">
        <f aca="false" t="array" ref="K46:K46">IF(ISNA(INDEX(DraftRosters!$AA$3:$AA$199,MATCH($B46,DraftRosters!$AB$3:$AB$199,0))),"FA",IF(INDEX(DraftRosters!$AA$3:$AA$199,MATCH($B46,DraftRosters!$AB$3:$AB$199,0))="Franchise","Franch",INDEX(DraftRosters!$AA$3:$AA$199,MATCH($B46,DraftRosters!$AB$3:$AB$199,0))))</f>
        <v>FA</v>
      </c>
      <c r="L46" s="499" t="n">
        <v>79</v>
      </c>
      <c r="M46" s="499" t="n">
        <v>85</v>
      </c>
      <c r="N46" s="499" t="n">
        <v>60</v>
      </c>
      <c r="O46" s="499" t="n">
        <v>55</v>
      </c>
      <c r="P46" s="499" t="n">
        <v>60</v>
      </c>
      <c r="Q46" s="501" t="n">
        <v>71</v>
      </c>
      <c r="R46" s="499" t="s">
        <v>839</v>
      </c>
      <c r="S46" s="501" t="s">
        <v>811</v>
      </c>
      <c r="T46" s="504" t="s">
        <v>883</v>
      </c>
      <c r="U46" s="505" t="s">
        <v>884</v>
      </c>
      <c r="V46" s="506" t="s">
        <v>885</v>
      </c>
      <c r="W46" s="500" t="str">
        <f aca="false">IFERROR(__xludf.dummyfunction("if(isna(SUM(FILTER(MatchSource!$A:$D,MatchSource!$A:$A=$B46))),0,SUM(FILTER(MatchSource!$A:$D,MatchSource!$A:$A=$B46)))"),"0")</f>
        <v>0</v>
      </c>
      <c r="X46" s="499" t="str">
        <f aca="false">IFERROR(__xludf.dummyfunction("if(isna(SUM(FILTER(MatchSource!$H:$K,MatchSource!$H:$H=$B46))),0,SUM(FILTER(MatchSource!$H:$K,MatchSource!$H:$H=$B46)))"),"0")</f>
        <v>0</v>
      </c>
      <c r="Y46" s="499" t="str">
        <f aca="false">IFERROR(__xludf.dummyfunction("if(isna(ABS(MINUS(SUM(FILTER(MatchSource!$A:$E,MatchSource!$A:$A=$B46)),SUM($W46)))),0,ABS(MINUS(SUM(FILTER(MatchSource!$A:$E,MatchSource!$A:$A=$B46)),SUM($W46))))"),"0")</f>
        <v>0</v>
      </c>
      <c r="Z46" s="499" t="str">
        <f aca="false">IFERROR(__xludf.dummyfunction("if(isna(ABS(MINUS(SUM(FILTER(MatchSource!$H:$L,MatchSource!$H:$H=$B46)),SUM($X46)))),0,ABS(MINUS(SUM(FILTER(MatchSource!$H:$L,MatchSource!$H:$H=$B46)),SUM($X46))))"),"0")</f>
        <v>0</v>
      </c>
      <c r="AA46" s="499" t="str">
        <f aca="false">IFERROR(__xludf.dummyfunction("if(isna(ABS(MINUS(SUM(FILTER(MatchSource!$A:$F,MatchSource!$A:$A=$B46)),SUM($W46,$Y46)))),0,ABS(MINUS(SUM(FILTER(MatchSource!$A:$F,MatchSource!$A:$A=$B46)),SUM($W46, $Y46,))))"),"0")</f>
        <v>0</v>
      </c>
      <c r="AB46" s="501" t="str">
        <f aca="false">IFERROR(__xludf.dummyfunction("if(isna(ABS(MINUS(SUM(FILTER(MatchSource!$H:$M,MatchSource!$H:$H=$B46)),SUM($X46,$Z46)))),0,ABS(MINUS(SUM(FILTER(MatchSource!$H:$M,MatchSource!$H:$H=$B46)),SUM($X46,$Z46))))"),"0")</f>
        <v>0</v>
      </c>
      <c r="AC46" s="507" t="n">
        <f aca="false">SUM(IF(OR($R46="Grass",$R46="Psychic",$R46="Dark"),0-1,IF(OR($R46="Fighting",$R46="Flying",$R46="Fire",$R46="Ghost",$R46="Poison",$R46="Steel",$R46="Fairy"),1,0)),IF(OR($S46="Grass",$S46="Psychic",$S46="Dark"),0-1,IF(OR($S46="Fighting",$S46="Flying",$S46="Fire",$S46="Ghost",$S46="Poison",$S46="Steel",$S46="Fairy"),1,0)))</f>
        <v>0</v>
      </c>
      <c r="AD46" s="507" t="n">
        <f aca="false">SUM(IF(OR($R46="Ghost",$R46="Psychic"),0-1,IF(OR($R46="Fighting",$R46="Dark",$R46="Fairy"),1,0)),IF(OR($S46="Ghost",$S46="Psychic"),0-1,IF(OR($S46="Fighting",$S46="Dark",$S46="Fairy"),1,0)))</f>
        <v>0</v>
      </c>
      <c r="AE46" s="507" t="n">
        <f aca="false">IF(OR($R46="Fairy",$S46="Fairy"),4,SUM(IF($R46="Dragon",0-1,IF($R46="Steel",1,0)),IF($S46="Dragon",0-1,IF($S46="Steel",1,0))))</f>
        <v>0</v>
      </c>
      <c r="AF46" s="507" t="n">
        <f aca="false">IF(OR($R46="Ground",$S46="Ground"),4,SUM(IF(OR($R46="Flying",$R46="Water"),0-1,IF(OR($R46="Dragon",$R46="Electric",$R46="Grass"),1,0)),IF(OR($S46="Flying",$S46="Water"),0-1,IF(OR($S46="Dragon",$S46="Electric",$S46="Grass"),1,0))))</f>
        <v>-1</v>
      </c>
      <c r="AG46" s="507" t="n">
        <f aca="false">SUM(IF(OR($R46="Dark",$R46="Dragon",$R46="Fighting"),0-1,IF(OR($R46="Steel",$R46="Poison",$R46="Fire"),1,0)),IF(OR($S46="Dark",$S46="Dragon",$S46="Fighting"),0-1,IF(OR($S46="Steel",$S46="Poison",$S46="Fire"),1,0)))</f>
        <v>0</v>
      </c>
      <c r="AH46" s="507" t="n">
        <f aca="false">IF(OR($R46="Ghost",$S46="Ghost"),4,SUM(IF(OR($R46="Dark",$R46="Ice",$R46="Normal",$R46="Rock",$R46="Steel"),0-1,IF(OR($R46="Bug",$R46="Fairy",$R46="Flying",$R46="Poison",$R46="Psychic"),1,0)),IF(OR($S46="Dark",$S46="Ice",$S46="Normal",$S46="Rock",$S46="Steel"),0-1,IF(OR($S46="Bug",$S46="Fairy",$S46="Flying",$S46="Poison",$S46="Psychic"),1,0))))</f>
        <v>-1</v>
      </c>
      <c r="AI46" s="507" t="n">
        <f aca="false">SUM(IF(OR($R46="Bug",$R46="Grass",$R46="Ice",$R46="Steel"),0-1,IF(OR($R46="Dragon",$R46="Fire",$R46="Rock",$R46="Water"),1,0)),IF(OR($S46="Bug",$S46="Grass",$S46="Ice",$S46="Steel"),0-1,IF(OR($S46="Dragon",$S46="Fire",$S46="Rock",$S46="Water"),1,0)))</f>
        <v>1</v>
      </c>
      <c r="AJ46" s="507" t="n">
        <f aca="false">SUM(IF(OR($R46="Bug",$R46="Grass",$R46="Fighting"),0-1,IF(OR($R46="Electric",$R46="Rock",$R46="Steel"),1,0)),IF(OR($S46="Bug",$S46="Grass",$S46="Fighting"),0-1,IF(OR($S46="Electric",$S46="Rock",$S46="Steel"),1,0)))</f>
        <v>0</v>
      </c>
      <c r="AK46" s="507" t="n">
        <f aca="false">IF(OR($R46="Normal",$S46="Normal"),4,SUM(IF(OR($R46="Ghost",$R46="Psychic"),0-1,IF($R46="Dark",1,0)),IF(OR($S46="Ghost",$S46="Psychic"),0-1,IF($S46="Dark",1,0))))</f>
        <v>4</v>
      </c>
      <c r="AL46" s="507" t="n">
        <f aca="false">SUM(IF(OR($R46="Ground",$R46="Rock",$R46="Water"),0-1,IF(OR($R46="Bug",$R46="Flying",$R46="Fire",$R46="Dragon",$R46="Poison",$R46="Steel",$R46="Grass"),1,0)),IF(OR($S46="Ground",$S46="Rock",$S46="Water"),0-1,IF(OR($S46="Bug",$S46="Flying",$S46="Fire",$S46="Dragon",$S46="Poison",$S46="Steel",$S46="Grass"),1,0)))</f>
        <v>-1</v>
      </c>
      <c r="AM46" s="507" t="n">
        <f aca="false">IF(OR($R46="Flying",$S46="Flying"),4,SUM(IF(OR($R46="Electric",$R46="Fire",$R46="Rock",$R46="Steel",$R46="Poison"),0-1,IF(OR($R46="Bug",$R46="Grass"),1,0)),IF(OR($S46="Electric",$S46="Fire",$S46="Rock",$S46="Steel",$S46="Poison"),0-1,IF(OR($S46="Bug",$S46="Grass"),1,0))))</f>
        <v>0</v>
      </c>
      <c r="AN46" s="507" t="n">
        <f aca="false">SUM(IF(OR($R46="Flying",$R46="Dragon",$R46="Grass",$R46="Ground"),0-1,IF(OR($R46="Steel",$R46="Ice",$R46="Fire",$R46="Water"),1,0)),IF(OR($S46="Flying",$S46="Dragon",$S46="Grass",$S46="Ground"),0-1,IF(OR($S46="Steel",$S46="Ice",$S46="Fire",$S46="Water"),1,0)))</f>
        <v>1</v>
      </c>
      <c r="AO46" s="507" t="n">
        <f aca="false">IF(OR($R46="Ghost",$S46="Ghost"),4,SUM(IF(OR($R46="Steel",$R46="Rock"),1,0),IF(OR($S46="Steel",$S46="Rock"),1,0)))</f>
        <v>0</v>
      </c>
      <c r="AP46" s="507" t="n">
        <f aca="false">IF(OR($R46="Steel",$S46="Steel"),4,SUM(IF(OR($R46="Fairy",$R46="Grass"),0-1,IF(OR($R46="Ghost",$R46="Rock",$R46="Ground",$R46="Poison"),1,0)),IF(OR($S46="Fairy",$S46="Grass"),0-1,IF(OR($S46="Ghost",$S46="Rock",$S46="Ground",$S46="Poison"),1,0))))</f>
        <v>0</v>
      </c>
      <c r="AQ46" s="507" t="n">
        <f aca="false">IF(OR($R46="Dark",$S46="Dark"),4,SUM(IF(OR($R46="Fighting",$R46="Poison"),0-1,IF(OR($R46="Psychic",$R46="Steel"),1,0)),IF(OR($S46="Fighting",$S46="Poison"),0-1,IF(OR($S46="Psychic",$S46="Steel"),1,0))))</f>
        <v>0</v>
      </c>
      <c r="AR46" s="507" t="n">
        <f aca="false">SUM(IF(OR($R46="Bug",$R46="Fire",$R46="Flying",$R46="Ice"),0-1,IF(OR($R46="Steel",$R46="Fighting",$R46="Ground"),1,0)),IF(OR($S46="Bug",$S46="Fire",$S46="Flying",$S46="Ice"),0-1,IF(OR($S46="Steel",$S46="Fighting",$S46="Ground"),1,0)))</f>
        <v>0</v>
      </c>
      <c r="AS46" s="507" t="n">
        <f aca="false">SUM(IF(OR($R46="Fairy",$R46="Ice",$R46="Rock"),0-1,IF(OR($R46="Steel",$R46="Electric",$R46="Fire",$R46="Water"),1,0)),IF(OR($S46="Fairy",$S46="Ice",$S46="Rock"),0-1,IF(OR($S46="Steel",$S46="Electric",$S46="Fire",$S46="Water"),1,0)))</f>
        <v>1</v>
      </c>
      <c r="AT46" s="508" t="n">
        <f aca="false">SUM(IF(OR($R46="Fire",$R46="Ground",$R46="Rock"),0-1,IF(OR($R46="Dragon",$R46="Grass",$R46="Water"),1,0)),IF(OR($S46="Fire",$S46="Ground",$S46="Rock"),0-1,IF(OR($S46="Dragon",$S46="Grass",$S46="Water"),1,0)))</f>
        <v>1</v>
      </c>
      <c r="AU46" s="518"/>
    </row>
    <row r="47" customFormat="false" ht="15.75" hidden="false" customHeight="false" outlineLevel="0" collapsed="false">
      <c r="A47" s="510" t="str">
        <f aca="false" t="array" ref="A47:A47">IF(ISNA(INDEX(Source!$U$7:$U$95,MATCH(B47,Source!$V$7:$V$95,0))),"FREE",INDEX(Source!$U$7:$U$95,MATCH(B47,Source!$V$7:$V$95,0)))</f>
        <v>FREE</v>
      </c>
      <c r="B47" s="511" t="s">
        <v>304</v>
      </c>
      <c r="C47" s="511"/>
      <c r="D47" s="511"/>
      <c r="E47" s="499" t="str">
        <f aca="false">IF(SUM($W47:$X47)&gt;0,SUM($W47:$X47),IF($H47&gt;0,0,IF($H47&gt;0,0,"-")))</f>
        <v>-</v>
      </c>
      <c r="F47" s="499" t="str">
        <f aca="false">IF(SUM($Y47:$Z47)&gt;0,SUM($Y47:$Z47),IF($H47&gt;0,0,"-"))</f>
        <v>-</v>
      </c>
      <c r="G47" s="499" t="str">
        <f aca="false">IF($H47&gt;0,minus(E47,F47),"-")</f>
        <v>-</v>
      </c>
      <c r="H47" s="500" t="n">
        <f aca="false">SUM(COUNTIF(MatchSource!$A:$A,$B47),COUNTIF(MatchSource!$H:$H,$B47))</f>
        <v>0</v>
      </c>
      <c r="I47" s="501" t="n">
        <f aca="false">SUM($AA47:$AB47)</f>
        <v>0</v>
      </c>
      <c r="J47" s="501" t="s">
        <v>699</v>
      </c>
      <c r="K47" s="512" t="str">
        <f aca="false" t="array" ref="K47:K47">IF(ISNA(INDEX(DraftRosters!$AA$3:$AA$199,MATCH($B47,DraftRosters!$AB$3:$AB$199,0))),"FA",IF(INDEX(DraftRosters!$AA$3:$AA$199,MATCH($B47,DraftRosters!$AB$3:$AB$199,0))="Franchise","Franch",INDEX(DraftRosters!$AA$3:$AA$199,MATCH($B47,DraftRosters!$AB$3:$AB$199,0))))</f>
        <v>FA</v>
      </c>
      <c r="L47" s="499" t="n">
        <v>65</v>
      </c>
      <c r="M47" s="499" t="n">
        <v>125</v>
      </c>
      <c r="N47" s="499" t="n">
        <v>100</v>
      </c>
      <c r="O47" s="499" t="n">
        <v>60</v>
      </c>
      <c r="P47" s="499" t="n">
        <v>70</v>
      </c>
      <c r="Q47" s="501" t="n">
        <v>70</v>
      </c>
      <c r="R47" s="499" t="s">
        <v>795</v>
      </c>
      <c r="S47" s="501" t="s">
        <v>810</v>
      </c>
      <c r="T47" s="504" t="s">
        <v>886</v>
      </c>
      <c r="U47" s="505" t="s">
        <v>829</v>
      </c>
      <c r="V47" s="506" t="s">
        <v>816</v>
      </c>
      <c r="W47" s="500" t="str">
        <f aca="false">IFERROR(__xludf.dummyfunction("if(isna(SUM(FILTER(MatchSource!$A:$D,MatchSource!$A:$A=$B47))),0,SUM(FILTER(MatchSource!$A:$D,MatchSource!$A:$A=$B47)))"),"0")</f>
        <v>0</v>
      </c>
      <c r="X47" s="499" t="str">
        <f aca="false">IFERROR(__xludf.dummyfunction("if(isna(SUM(FILTER(MatchSource!$H:$K,MatchSource!$H:$H=$B47))),0,SUM(FILTER(MatchSource!$H:$K,MatchSource!$H:$H=$B47)))"),"0")</f>
        <v>0</v>
      </c>
      <c r="Y47" s="499" t="str">
        <f aca="false">IFERROR(__xludf.dummyfunction("if(isna(ABS(MINUS(SUM(FILTER(MatchSource!$A:$E,MatchSource!$A:$A=$B47)),SUM($W47)))),0,ABS(MINUS(SUM(FILTER(MatchSource!$A:$E,MatchSource!$A:$A=$B47)),SUM($W47))))"),"0")</f>
        <v>0</v>
      </c>
      <c r="Z47" s="499" t="str">
        <f aca="false">IFERROR(__xludf.dummyfunction("if(isna(ABS(MINUS(SUM(FILTER(MatchSource!$H:$L,MatchSource!$H:$H=$B47)),SUM($X47)))),0,ABS(MINUS(SUM(FILTER(MatchSource!$H:$L,MatchSource!$H:$H=$B47)),SUM($X47))))"),"0")</f>
        <v>0</v>
      </c>
      <c r="AA47" s="499" t="str">
        <f aca="false">IFERROR(__xludf.dummyfunction("if(isna(ABS(MINUS(SUM(FILTER(MatchSource!$A:$F,MatchSource!$A:$A=$B47)),SUM($W47,$Y47)))),0,ABS(MINUS(SUM(FILTER(MatchSource!$A:$F,MatchSource!$A:$A=$B47)),SUM($W47, $Y47,))))"),"0")</f>
        <v>0</v>
      </c>
      <c r="AB47" s="501" t="str">
        <f aca="false">IFERROR(__xludf.dummyfunction("if(isna(ABS(MINUS(SUM(FILTER(MatchSource!$H:$M,MatchSource!$H:$H=$B47)),SUM($X47,$Z47)))),0,ABS(MINUS(SUM(FILTER(MatchSource!$H:$M,MatchSource!$H:$H=$B47)),SUM($X47,$Z47))))"),"0")</f>
        <v>0</v>
      </c>
      <c r="AC47" s="507" t="n">
        <f aca="false">SUM(IF(OR($R47="Grass",$R47="Psychic",$R47="Dark"),0-1,IF(OR($R47="Fighting",$R47="Flying",$R47="Fire",$R47="Ghost",$R47="Poison",$R47="Steel",$R47="Fairy"),1,0)),IF(OR($S47="Grass",$S47="Psychic",$S47="Dark"),0-1,IF(OR($S47="Fighting",$S47="Flying",$S47="Fire",$S47="Ghost",$S47="Poison",$S47="Steel",$S47="Fairy"),1,0)))</f>
        <v>0</v>
      </c>
      <c r="AD47" s="507" t="n">
        <f aca="false">SUM(IF(OR($R47="Ghost",$R47="Psychic"),0-1,IF(OR($R47="Fighting",$R47="Dark",$R47="Fairy"),1,0)),IF(OR($S47="Ghost",$S47="Psychic"),0-1,IF(OR($S47="Fighting",$S47="Dark",$S47="Fairy"),1,0)))</f>
        <v>1</v>
      </c>
      <c r="AE47" s="507" t="n">
        <f aca="false">IF(OR($R47="Fairy",$S47="Fairy"),4,SUM(IF($R47="Dragon",0-1,IF($R47="Steel",1,0)),IF($S47="Dragon",0-1,IF($S47="Steel",1,0))))</f>
        <v>1</v>
      </c>
      <c r="AF47" s="507" t="n">
        <f aca="false">IF(OR($R47="Ground",$S47="Ground"),4,SUM(IF(OR($R47="Flying",$R47="Water"),0-1,IF(OR($R47="Dragon",$R47="Electric",$R47="Grass"),1,0)),IF(OR($S47="Flying",$S47="Water"),0-1,IF(OR($S47="Dragon",$S47="Electric",$S47="Grass"),1,0))))</f>
        <v>0</v>
      </c>
      <c r="AG47" s="507" t="n">
        <f aca="false">SUM(IF(OR($R47="Dark",$R47="Dragon",$R47="Fighting"),0-1,IF(OR($R47="Steel",$R47="Poison",$R47="Fire"),1,0)),IF(OR($S47="Dark",$S47="Dragon",$S47="Fighting"),0-1,IF(OR($S47="Steel",$S47="Poison",$S47="Fire"),1,0)))</f>
        <v>0</v>
      </c>
      <c r="AH47" s="507" t="n">
        <f aca="false">IF(OR($R47="Ghost",$S47="Ghost"),4,SUM(IF(OR($R47="Dark",$R47="Ice",$R47="Normal",$R47="Rock",$R47="Steel"),0-1,IF(OR($R47="Bug",$R47="Fairy",$R47="Flying",$R47="Poison",$R47="Psychic"),1,0)),IF(OR($S47="Dark",$S47="Ice",$S47="Normal",$S47="Rock",$S47="Steel"),0-1,IF(OR($S47="Bug",$S47="Fairy",$S47="Flying",$S47="Poison",$S47="Psychic"),1,0))))</f>
        <v>-2</v>
      </c>
      <c r="AI47" s="507" t="n">
        <f aca="false">SUM(IF(OR($R47="Bug",$R47="Grass",$R47="Ice",$R47="Steel"),0-1,IF(OR($R47="Dragon",$R47="Fire",$R47="Rock",$R47="Water"),1,0)),IF(OR($S47="Bug",$S47="Grass",$S47="Ice",$S47="Steel"),0-1,IF(OR($S47="Dragon",$S47="Fire",$S47="Rock",$S47="Water"),1,0)))</f>
        <v>-1</v>
      </c>
      <c r="AJ47" s="507" t="n">
        <f aca="false">SUM(IF(OR($R47="Bug",$R47="Grass",$R47="Fighting"),0-1,IF(OR($R47="Electric",$R47="Rock",$R47="Steel"),1,0)),IF(OR($S47="Bug",$S47="Grass",$S47="Fighting"),0-1,IF(OR($S47="Electric",$S47="Rock",$S47="Steel"),1,0)))</f>
        <v>1</v>
      </c>
      <c r="AK47" s="507" t="n">
        <f aca="false">IF(OR($R47="Normal",$S47="Normal"),4,SUM(IF(OR($R47="Ghost",$R47="Psychic"),0-1,IF($R47="Dark",1,0)),IF(OR($S47="Ghost",$S47="Psychic"),0-1,IF($S47="Dark",1,0))))</f>
        <v>1</v>
      </c>
      <c r="AL47" s="507" t="n">
        <f aca="false">SUM(IF(OR($R47="Ground",$R47="Rock",$R47="Water"),0-1,IF(OR($R47="Bug",$R47="Flying",$R47="Fire",$R47="Dragon",$R47="Poison",$R47="Steel",$R47="Grass"),1,0)),IF(OR($S47="Ground",$S47="Rock",$S47="Water"),0-1,IF(OR($S47="Bug",$S47="Flying",$S47="Fire",$S47="Dragon",$S47="Poison",$S47="Steel",$S47="Grass"),1,0)))</f>
        <v>1</v>
      </c>
      <c r="AM47" s="507" t="n">
        <f aca="false">IF(OR($R47="Flying",$S47="Flying"),4,SUM(IF(OR($R47="Electric",$R47="Fire",$R47="Rock",$R47="Steel",$R47="Poison"),0-1,IF(OR($R47="Bug",$R47="Grass"),1,0)),IF(OR($S47="Electric",$S47="Fire",$S47="Rock",$S47="Steel",$S47="Poison"),0-1,IF(OR($S47="Bug",$S47="Grass"),1,0))))</f>
        <v>-1</v>
      </c>
      <c r="AN47" s="507" t="n">
        <f aca="false">SUM(IF(OR($R47="Flying",$R47="Dragon",$R47="Grass",$R47="Ground"),0-1,IF(OR($R47="Steel",$R47="Ice",$R47="Fire",$R47="Water"),1,0)),IF(OR($S47="Flying",$S47="Dragon",$S47="Grass",$S47="Ground"),0-1,IF(OR($S47="Steel",$S47="Ice",$S47="Fire",$S47="Water"),1,0)))</f>
        <v>1</v>
      </c>
      <c r="AO47" s="507" t="n">
        <f aca="false">IF(OR($R47="Ghost",$S47="Ghost"),4,SUM(IF(OR($R47="Steel",$R47="Rock"),1,0),IF(OR($S47="Steel",$S47="Rock"),1,0)))</f>
        <v>1</v>
      </c>
      <c r="AP47" s="507" t="n">
        <f aca="false">IF(OR($R47="Steel",$S47="Steel"),4,SUM(IF(OR($R47="Fairy",$R47="Grass"),0-1,IF(OR($R47="Ghost",$R47="Rock",$R47="Ground",$R47="Poison"),1,0)),IF(OR($S47="Fairy",$S47="Grass"),0-1,IF(OR($S47="Ghost",$S47="Rock",$S47="Ground",$S47="Poison"),1,0))))</f>
        <v>4</v>
      </c>
      <c r="AQ47" s="507" t="n">
        <f aca="false">IF(OR($R47="Dark",$S47="Dark"),4,SUM(IF(OR($R47="Fighting",$R47="Poison"),0-1,IF(OR($R47="Psychic",$R47="Steel"),1,0)),IF(OR($S47="Fighting",$S47="Poison"),0-1,IF(OR($S47="Psychic",$S47="Steel"),1,0))))</f>
        <v>4</v>
      </c>
      <c r="AR47" s="507" t="n">
        <f aca="false">SUM(IF(OR($R47="Bug",$R47="Fire",$R47="Flying",$R47="Ice"),0-1,IF(OR($R47="Steel",$R47="Fighting",$R47="Ground"),1,0)),IF(OR($S47="Bug",$S47="Fire",$S47="Flying",$S47="Ice"),0-1,IF(OR($S47="Steel",$S47="Fighting",$S47="Ground"),1,0)))</f>
        <v>1</v>
      </c>
      <c r="AS47" s="507" t="n">
        <f aca="false">SUM(IF(OR($R47="Fairy",$R47="Ice",$R47="Rock"),0-1,IF(OR($R47="Steel",$R47="Electric",$R47="Fire",$R47="Water"),1,0)),IF(OR($S47="Fairy",$S47="Ice",$S47="Rock"),0-1,IF(OR($S47="Steel",$S47="Electric",$S47="Fire",$S47="Water"),1,0)))</f>
        <v>1</v>
      </c>
      <c r="AT47" s="508" t="n">
        <f aca="false">SUM(IF(OR($R47="Fire",$R47="Ground",$R47="Rock"),0-1,IF(OR($R47="Dragon",$R47="Grass",$R47="Water"),1,0)),IF(OR($S47="Fire",$S47="Ground",$S47="Rock"),0-1,IF(OR($S47="Dragon",$S47="Grass",$S47="Water"),1,0)))</f>
        <v>0</v>
      </c>
      <c r="AU47" s="518"/>
    </row>
    <row r="48" customFormat="false" ht="15.75" hidden="false" customHeight="false" outlineLevel="0" collapsed="false">
      <c r="A48" s="510" t="str">
        <f aca="false" t="array" ref="A48:A48">IF(ISNA(INDEX(Source!$U$7:$U$95,MATCH(B48,Source!$V$7:$V$95,0))),"FREE",INDEX(Source!$U$7:$U$95,MATCH(B48,Source!$V$7:$V$95,0)))</f>
        <v>FREE</v>
      </c>
      <c r="B48" s="511" t="s">
        <v>887</v>
      </c>
      <c r="C48" s="511"/>
      <c r="D48" s="511"/>
      <c r="E48" s="499" t="str">
        <f aca="false">IF(SUM($W48:$X48)&gt;0,SUM($W48:$X48),IF($H48&gt;0,0,IF($H48&gt;0,0,"-")))</f>
        <v>-</v>
      </c>
      <c r="F48" s="499" t="str">
        <f aca="false">IF(SUM($Y48:$Z48)&gt;0,SUM($Y48:$Z48),IF($H48&gt;0,0,"-"))</f>
        <v>-</v>
      </c>
      <c r="G48" s="499" t="str">
        <f aca="false">IF($H48&gt;0,minus(E48,F48),"-")</f>
        <v>-</v>
      </c>
      <c r="H48" s="500" t="n">
        <f aca="false">SUM(COUNTIF(MatchSource!$A:$A,$B48),COUNTIF(MatchSource!$H:$H,$B48))</f>
        <v>0</v>
      </c>
      <c r="I48" s="501" t="n">
        <f aca="false">SUM($AA48:$AB48)</f>
        <v>0</v>
      </c>
      <c r="J48" s="501" t="s">
        <v>888</v>
      </c>
      <c r="K48" s="512" t="str">
        <f aca="false" t="array" ref="K48:K48">IF(ISNA(INDEX(DraftRosters!$AA$3:$AA$199,MATCH($B48,DraftRosters!$AB$3:$AB$199,0))),"FA",IF(INDEX(DraftRosters!$AA$3:$AA$199,MATCH($B48,DraftRosters!$AB$3:$AB$199,0))="Franchise","Franch",INDEX(DraftRosters!$AA$3:$AA$199,MATCH($B48,DraftRosters!$AB$3:$AB$199,0))))</f>
        <v>FA</v>
      </c>
      <c r="L48" s="499" t="n">
        <v>53</v>
      </c>
      <c r="M48" s="499" t="n">
        <v>127</v>
      </c>
      <c r="N48" s="499" t="n">
        <v>53</v>
      </c>
      <c r="O48" s="499" t="n">
        <v>151</v>
      </c>
      <c r="P48" s="499" t="n">
        <v>79</v>
      </c>
      <c r="Q48" s="501" t="n">
        <v>107</v>
      </c>
      <c r="R48" s="499" t="s">
        <v>800</v>
      </c>
      <c r="S48" s="501" t="s">
        <v>802</v>
      </c>
      <c r="T48" s="504" t="s">
        <v>889</v>
      </c>
      <c r="U48" s="505"/>
      <c r="V48" s="506"/>
      <c r="W48" s="500" t="str">
        <f aca="false">IFERROR(__xludf.dummyfunction("if(isna(SUM(FILTER(MatchSource!$A:$D,MatchSource!$A:$A=$B48))),0,SUM(FILTER(MatchSource!$A:$D,MatchSource!$A:$A=$B48)))"),"0")</f>
        <v>0</v>
      </c>
      <c r="X48" s="499" t="str">
        <f aca="false">IFERROR(__xludf.dummyfunction("if(isna(SUM(FILTER(MatchSource!$H:$K,MatchSource!$H:$H=$B48))),0,SUM(FILTER(MatchSource!$H:$K,MatchSource!$H:$H=$B48)))"),"0")</f>
        <v>0</v>
      </c>
      <c r="Y48" s="499" t="str">
        <f aca="false">IFERROR(__xludf.dummyfunction("if(isna(ABS(MINUS(SUM(FILTER(MatchSource!$A:$E,MatchSource!$A:$A=$B48)),SUM($W48)))),0,ABS(MINUS(SUM(FILTER(MatchSource!$A:$E,MatchSource!$A:$A=$B48)),SUM($W48))))"),"0")</f>
        <v>0</v>
      </c>
      <c r="Z48" s="499" t="str">
        <f aca="false">IFERROR(__xludf.dummyfunction("if(isna(ABS(MINUS(SUM(FILTER(MatchSource!$H:$L,MatchSource!$H:$H=$B48)),SUM($X48)))),0,ABS(MINUS(SUM(FILTER(MatchSource!$H:$L,MatchSource!$H:$H=$B48)),SUM($X48))))"),"0")</f>
        <v>0</v>
      </c>
      <c r="AA48" s="499" t="str">
        <f aca="false">IFERROR(__xludf.dummyfunction("if(isna(ABS(MINUS(SUM(FILTER(MatchSource!$A:$F,MatchSource!$A:$A=$B48)),SUM($W48,$Y48)))),0,ABS(MINUS(SUM(FILTER(MatchSource!$A:$F,MatchSource!$A:$A=$B48)),SUM($W48, $Y48,))))"),"0")</f>
        <v>0</v>
      </c>
      <c r="AB48" s="501" t="str">
        <f aca="false">IFERROR(__xludf.dummyfunction("if(isna(ABS(MINUS(SUM(FILTER(MatchSource!$H:$M,MatchSource!$H:$H=$B48)),SUM($X48,$Z48)))),0,ABS(MINUS(SUM(FILTER(MatchSource!$H:$M,MatchSource!$H:$H=$B48)),SUM($X48,$Z48))))"),"0")</f>
        <v>0</v>
      </c>
      <c r="AC48" s="507" t="n">
        <f aca="false">SUM(IF(OR($R48="Grass",$R48="Psychic",$R48="Dark"),0-1,IF(OR($R48="Fighting",$R48="Flying",$R48="Fire",$R48="Ghost",$R48="Poison",$R48="Steel",$R48="Fairy"),1,0)),IF(OR($S48="Grass",$S48="Psychic",$S48="Dark"),0-1,IF(OR($S48="Fighting",$S48="Flying",$S48="Fire",$S48="Ghost",$S48="Poison",$S48="Steel",$S48="Fairy"),1,0)))</f>
        <v>2</v>
      </c>
      <c r="AD48" s="507" t="n">
        <f aca="false">SUM(IF(OR($R48="Ghost",$R48="Psychic"),0-1,IF(OR($R48="Fighting",$R48="Dark",$R48="Fairy"),1,0)),IF(OR($S48="Ghost",$S48="Psychic"),0-1,IF(OR($S48="Fighting",$S48="Dark",$S48="Fairy"),1,0)))</f>
        <v>-1</v>
      </c>
      <c r="AE48" s="507" t="n">
        <f aca="false">IF(OR($R48="Fairy",$S48="Fairy"),4,SUM(IF($R48="Dragon",0-1,IF($R48="Steel",1,0)),IF($S48="Dragon",0-1,IF($S48="Steel",1,0))))</f>
        <v>0</v>
      </c>
      <c r="AF48" s="507" t="n">
        <f aca="false">IF(OR($R48="Ground",$S48="Ground"),4,SUM(IF(OR($R48="Flying",$R48="Water"),0-1,IF(OR($R48="Dragon",$R48="Electric",$R48="Grass"),1,0)),IF(OR($S48="Flying",$S48="Water"),0-1,IF(OR($S48="Dragon",$S48="Electric",$S48="Grass"),1,0))))</f>
        <v>0</v>
      </c>
      <c r="AG48" s="507" t="n">
        <f aca="false">SUM(IF(OR($R48="Dark",$R48="Dragon",$R48="Fighting"),0-1,IF(OR($R48="Steel",$R48="Poison",$R48="Fire"),1,0)),IF(OR($S48="Dark",$S48="Dragon",$S48="Fighting"),0-1,IF(OR($S48="Steel",$S48="Poison",$S48="Fire"),1,0)))</f>
        <v>1</v>
      </c>
      <c r="AH48" s="507" t="n">
        <f aca="false">IF(OR($R48="Ghost",$S48="Ghost"),4,SUM(IF(OR($R48="Dark",$R48="Ice",$R48="Normal",$R48="Rock",$R48="Steel"),0-1,IF(OR($R48="Bug",$R48="Fairy",$R48="Flying",$R48="Poison",$R48="Psychic"),1,0)),IF(OR($S48="Dark",$S48="Ice",$S48="Normal",$S48="Rock",$S48="Steel"),0-1,IF(OR($S48="Bug",$S48="Fairy",$S48="Flying",$S48="Poison",$S48="Psychic"),1,0))))</f>
        <v>4</v>
      </c>
      <c r="AI48" s="507" t="n">
        <f aca="false">SUM(IF(OR($R48="Bug",$R48="Grass",$R48="Ice",$R48="Steel"),0-1,IF(OR($R48="Dragon",$R48="Fire",$R48="Rock",$R48="Water"),1,0)),IF(OR($S48="Bug",$S48="Grass",$S48="Ice",$S48="Steel"),0-1,IF(OR($S48="Dragon",$S48="Fire",$S48="Rock",$S48="Water"),1,0)))</f>
        <v>1</v>
      </c>
      <c r="AJ48" s="507" t="n">
        <f aca="false">SUM(IF(OR($R48="Bug",$R48="Grass",$R48="Fighting"),0-1,IF(OR($R48="Electric",$R48="Rock",$R48="Steel"),1,0)),IF(OR($S48="Bug",$S48="Grass",$S48="Fighting"),0-1,IF(OR($S48="Electric",$S48="Rock",$S48="Steel"),1,0)))</f>
        <v>0</v>
      </c>
      <c r="AK48" s="507" t="n">
        <f aca="false">IF(OR($R48="Normal",$S48="Normal"),4,SUM(IF(OR($R48="Ghost",$R48="Psychic"),0-1,IF($R48="Dark",1,0)),IF(OR($S48="Ghost",$S48="Psychic"),0-1,IF($S48="Dark",1,0))))</f>
        <v>-1</v>
      </c>
      <c r="AL48" s="507" t="n">
        <f aca="false">SUM(IF(OR($R48="Ground",$R48="Rock",$R48="Water"),0-1,IF(OR($R48="Bug",$R48="Flying",$R48="Fire",$R48="Dragon",$R48="Poison",$R48="Steel",$R48="Grass"),1,0)),IF(OR($S48="Ground",$S48="Rock",$S48="Water"),0-1,IF(OR($S48="Bug",$S48="Flying",$S48="Fire",$S48="Dragon",$S48="Poison",$S48="Steel",$S48="Grass"),1,0)))</f>
        <v>1</v>
      </c>
      <c r="AM48" s="507" t="n">
        <f aca="false">IF(OR($R48="Flying",$S48="Flying"),4,SUM(IF(OR($R48="Electric",$R48="Fire",$R48="Rock",$R48="Steel",$R48="Poison"),0-1,IF(OR($R48="Bug",$R48="Grass"),1,0)),IF(OR($S48="Electric",$S48="Fire",$S48="Rock",$S48="Steel",$S48="Poison"),0-1,IF(OR($S48="Bug",$S48="Grass"),1,0))))</f>
        <v>-1</v>
      </c>
      <c r="AN48" s="507" t="n">
        <f aca="false">SUM(IF(OR($R48="Flying",$R48="Dragon",$R48="Grass",$R48="Ground"),0-1,IF(OR($R48="Steel",$R48="Ice",$R48="Fire",$R48="Water"),1,0)),IF(OR($S48="Flying",$S48="Dragon",$S48="Grass",$S48="Ground"),0-1,IF(OR($S48="Steel",$S48="Ice",$S48="Fire",$S48="Water"),1,0)))</f>
        <v>1</v>
      </c>
      <c r="AO48" s="507" t="n">
        <f aca="false">IF(OR($R48="Ghost",$S48="Ghost"),4,SUM(IF(OR($R48="Steel",$R48="Rock"),1,0),IF(OR($S48="Steel",$S48="Rock"),1,0)))</f>
        <v>4</v>
      </c>
      <c r="AP48" s="507" t="n">
        <f aca="false">IF(OR($R48="Steel",$S48="Steel"),4,SUM(IF(OR($R48="Fairy",$R48="Grass"),0-1,IF(OR($R48="Ghost",$R48="Rock",$R48="Ground",$R48="Poison"),1,0)),IF(OR($S48="Fairy",$S48="Grass"),0-1,IF(OR($S48="Ghost",$S48="Rock",$S48="Ground",$S48="Poison"),1,0))))</f>
        <v>1</v>
      </c>
      <c r="AQ48" s="507" t="n">
        <f aca="false">IF(OR($R48="Dark",$S48="Dark"),4,SUM(IF(OR($R48="Fighting",$R48="Poison"),0-1,IF(OR($R48="Psychic",$R48="Steel"),1,0)),IF(OR($S48="Fighting",$S48="Poison"),0-1,IF(OR($S48="Psychic",$S48="Steel"),1,0))))</f>
        <v>0</v>
      </c>
      <c r="AR48" s="507" t="n">
        <f aca="false">SUM(IF(OR($R48="Bug",$R48="Fire",$R48="Flying",$R48="Ice"),0-1,IF(OR($R48="Steel",$R48="Fighting",$R48="Ground"),1,0)),IF(OR($S48="Bug",$S48="Fire",$S48="Flying",$S48="Ice"),0-1,IF(OR($S48="Steel",$S48="Fighting",$S48="Ground"),1,0)))</f>
        <v>-1</v>
      </c>
      <c r="AS48" s="507" t="n">
        <f aca="false">SUM(IF(OR($R48="Fairy",$R48="Ice",$R48="Rock"),0-1,IF(OR($R48="Steel",$R48="Electric",$R48="Fire",$R48="Water"),1,0)),IF(OR($S48="Fairy",$S48="Ice",$S48="Rock"),0-1,IF(OR($S48="Steel",$S48="Electric",$S48="Fire",$S48="Water"),1,0)))</f>
        <v>1</v>
      </c>
      <c r="AT48" s="508" t="n">
        <f aca="false">SUM(IF(OR($R48="Fire",$R48="Ground",$R48="Rock"),0-1,IF(OR($R48="Dragon",$R48="Grass",$R48="Water"),1,0)),IF(OR($S48="Fire",$S48="Ground",$S48="Rock"),0-1,IF(OR($S48="Dragon",$S48="Grass",$S48="Water"),1,0)))</f>
        <v>-1</v>
      </c>
      <c r="AU48" s="518"/>
    </row>
    <row r="49" customFormat="false" ht="15.75" hidden="false" customHeight="false" outlineLevel="0" collapsed="false">
      <c r="A49" s="510" t="str">
        <f aca="false" t="array" ref="A49:A49">IF(ISNA(INDEX(Source!$U$7:$U$95,MATCH(B49,Source!$V$7:$V$95,0))),"FREE",INDEX(Source!$U$7:$U$95,MATCH(B49,Source!$V$7:$V$95,0)))</f>
        <v>KKS</v>
      </c>
      <c r="B49" s="511" t="s">
        <v>87</v>
      </c>
      <c r="C49" s="511"/>
      <c r="D49" s="511"/>
      <c r="E49" s="499" t="n">
        <f aca="false">IF(SUM($W49:$X49)&gt;0,SUM($W49:$X49),IF($H49&gt;0,0,IF($H49&gt;0,0,"-")))</f>
        <v>0</v>
      </c>
      <c r="F49" s="499" t="n">
        <f aca="false">IF(SUM($Y49:$Z49)&gt;0,SUM($Y49:$Z49),IF($H49&gt;0,0,"-"))</f>
        <v>0</v>
      </c>
      <c r="G49" s="499" t="e">
        <f aca="false">IF($H49&gt;0,minus(E49,F49),"-")</f>
        <v>#NAME?</v>
      </c>
      <c r="H49" s="500" t="n">
        <f aca="false">SUM(COUNTIF(MatchSource!$A:$A,$B49),COUNTIF(MatchSource!$H:$H,$B49))</f>
        <v>5</v>
      </c>
      <c r="I49" s="501" t="n">
        <f aca="false">SUM($AA49:$AB49)</f>
        <v>0</v>
      </c>
      <c r="J49" s="501" t="s">
        <v>700</v>
      </c>
      <c r="K49" s="512" t="str">
        <f aca="false" t="array" ref="K49:K49">IF(ISNA(INDEX(DraftRosters!$AA$3:$AA$199,MATCH($B49,DraftRosters!$AB$3:$AB$199,0))),"FA",IF(INDEX(DraftRosters!$AA$3:$AA$199,MATCH($B49,DraftRosters!$AB$3:$AB$199,0))="Franchise","Franch",INDEX(DraftRosters!$AA$3:$AA$199,MATCH($B49,DraftRosters!$AB$3:$AB$199,0))))</f>
        <v>FA</v>
      </c>
      <c r="L49" s="499" t="n">
        <v>79</v>
      </c>
      <c r="M49" s="499" t="n">
        <v>83</v>
      </c>
      <c r="N49" s="499" t="n">
        <v>100</v>
      </c>
      <c r="O49" s="499" t="n">
        <v>85</v>
      </c>
      <c r="P49" s="499" t="n">
        <v>105</v>
      </c>
      <c r="Q49" s="501" t="n">
        <v>78</v>
      </c>
      <c r="R49" s="499" t="s">
        <v>811</v>
      </c>
      <c r="S49" s="501"/>
      <c r="T49" s="504" t="s">
        <v>890</v>
      </c>
      <c r="U49" s="505" t="s">
        <v>891</v>
      </c>
      <c r="V49" s="506"/>
      <c r="W49" s="500" t="str">
        <f aca="false">IFERROR(__xludf.dummyfunction("if(isna(SUM(FILTER(MatchSource!$A:$D,MatchSource!$A:$A=$B49))),0,SUM(FILTER(MatchSource!$A:$D,MatchSource!$A:$A=$B49)))"),"1")</f>
        <v>1</v>
      </c>
      <c r="X49" s="499" t="str">
        <f aca="false">IFERROR(__xludf.dummyfunction("if(isna(SUM(FILTER(MatchSource!$H:$K,MatchSource!$H:$H=$B49))),0,SUM(FILTER(MatchSource!$H:$K,MatchSource!$H:$H=$B49)))"),"1")</f>
        <v>1</v>
      </c>
      <c r="Y49" s="499" t="str">
        <f aca="false">IFERROR(__xludf.dummyfunction("if(isna(ABS(MINUS(SUM(FILTER(MatchSource!$A:$E,MatchSource!$A:$A=$B49)),SUM($W49)))),0,ABS(MINUS(SUM(FILTER(MatchSource!$A:$E,MatchSource!$A:$A=$B49)),SUM($W49))))"),"2")</f>
        <v>2</v>
      </c>
      <c r="Z49" s="499" t="str">
        <f aca="false">IFERROR(__xludf.dummyfunction("if(isna(ABS(MINUS(SUM(FILTER(MatchSource!$H:$L,MatchSource!$H:$H=$B49)),SUM($X49)))),0,ABS(MINUS(SUM(FILTER(MatchSource!$H:$L,MatchSource!$H:$H=$B49)),SUM($X49))))"),"2")</f>
        <v>2</v>
      </c>
      <c r="AA49" s="499" t="str">
        <f aca="false">IFERROR(__xludf.dummyfunction("if(isna(ABS(MINUS(SUM(FILTER(MatchSource!$A:$F,MatchSource!$A:$A=$B49)),SUM($W49,$Y49)))),0,ABS(MINUS(SUM(FILTER(MatchSource!$A:$F,MatchSource!$A:$A=$B49)),SUM($W49, $Y49,))))"),"2")</f>
        <v>2</v>
      </c>
      <c r="AB49" s="501" t="str">
        <f aca="false">IFERROR(__xludf.dummyfunction("if(isna(ABS(MINUS(SUM(FILTER(MatchSource!$H:$M,MatchSource!$H:$H=$B49)),SUM($X49,$Z49)))),0,ABS(MINUS(SUM(FILTER(MatchSource!$H:$M,MatchSource!$H:$H=$B49)),SUM($X49,$Z49))))"),"3")</f>
        <v>3</v>
      </c>
      <c r="AC49" s="507" t="n">
        <f aca="false">SUM(IF(OR($R49="Grass",$R49="Psychic",$R49="Dark"),0-1,IF(OR($R49="Fighting",$R49="Flying",$R49="Fire",$R49="Ghost",$R49="Poison",$R49="Steel",$R49="Fairy"),1,0)),IF(OR($S49="Grass",$S49="Psychic",$S49="Dark"),0-1,IF(OR($S49="Fighting",$S49="Flying",$S49="Fire",$S49="Ghost",$S49="Poison",$S49="Steel",$S49="Fairy"),1,0)))</f>
        <v>0</v>
      </c>
      <c r="AD49" s="507" t="n">
        <f aca="false">SUM(IF(OR($R49="Ghost",$R49="Psychic"),0-1,IF(OR($R49="Fighting",$R49="Dark",$R49="Fairy"),1,0)),IF(OR($S49="Ghost",$S49="Psychic"),0-1,IF(OR($S49="Fighting",$S49="Dark",$S49="Fairy"),1,0)))</f>
        <v>0</v>
      </c>
      <c r="AE49" s="507" t="n">
        <f aca="false">IF(OR($R49="Fairy",$S49="Fairy"),4,SUM(IF($R49="Dragon",0-1,IF($R49="Steel",1,0)),IF($S49="Dragon",0-1,IF($S49="Steel",1,0))))</f>
        <v>0</v>
      </c>
      <c r="AF49" s="507" t="n">
        <f aca="false">IF(OR($R49="Ground",$S49="Ground"),4,SUM(IF(OR($R49="Flying",$R49="Water"),0-1,IF(OR($R49="Dragon",$R49="Electric",$R49="Grass"),1,0)),IF(OR($S49="Flying",$S49="Water"),0-1,IF(OR($S49="Dragon",$S49="Electric",$S49="Grass"),1,0))))</f>
        <v>-1</v>
      </c>
      <c r="AG49" s="507" t="n">
        <f aca="false">SUM(IF(OR($R49="Dark",$R49="Dragon",$R49="Fighting"),0-1,IF(OR($R49="Steel",$R49="Poison",$R49="Fire"),1,0)),IF(OR($S49="Dark",$S49="Dragon",$S49="Fighting"),0-1,IF(OR($S49="Steel",$S49="Poison",$S49="Fire"),1,0)))</f>
        <v>0</v>
      </c>
      <c r="AH49" s="507" t="n">
        <f aca="false">IF(OR($R49="Ghost",$S49="Ghost"),4,SUM(IF(OR($R49="Dark",$R49="Ice",$R49="Normal",$R49="Rock",$R49="Steel"),0-1,IF(OR($R49="Bug",$R49="Fairy",$R49="Flying",$R49="Poison",$R49="Psychic"),1,0)),IF(OR($S49="Dark",$S49="Ice",$S49="Normal",$S49="Rock",$S49="Steel"),0-1,IF(OR($S49="Bug",$S49="Fairy",$S49="Flying",$S49="Poison",$S49="Psychic"),1,0))))</f>
        <v>0</v>
      </c>
      <c r="AI49" s="507" t="n">
        <f aca="false">SUM(IF(OR($R49="Bug",$R49="Grass",$R49="Ice",$R49="Steel"),0-1,IF(OR($R49="Dragon",$R49="Fire",$R49="Rock",$R49="Water"),1,0)),IF(OR($S49="Bug",$S49="Grass",$S49="Ice",$S49="Steel"),0-1,IF(OR($S49="Dragon",$S49="Fire",$S49="Rock",$S49="Water"),1,0)))</f>
        <v>1</v>
      </c>
      <c r="AJ49" s="507" t="n">
        <f aca="false">SUM(IF(OR($R49="Bug",$R49="Grass",$R49="Fighting"),0-1,IF(OR($R49="Electric",$R49="Rock",$R49="Steel"),1,0)),IF(OR($S49="Bug",$S49="Grass",$S49="Fighting"),0-1,IF(OR($S49="Electric",$S49="Rock",$S49="Steel"),1,0)))</f>
        <v>0</v>
      </c>
      <c r="AK49" s="507" t="n">
        <f aca="false">IF(OR($R49="Normal",$S49="Normal"),4,SUM(IF(OR($R49="Ghost",$R49="Psychic"),0-1,IF($R49="Dark",1,0)),IF(OR($S49="Ghost",$S49="Psychic"),0-1,IF($S49="Dark",1,0))))</f>
        <v>0</v>
      </c>
      <c r="AL49" s="507" t="n">
        <f aca="false">SUM(IF(OR($R49="Ground",$R49="Rock",$R49="Water"),0-1,IF(OR($R49="Bug",$R49="Flying",$R49="Fire",$R49="Dragon",$R49="Poison",$R49="Steel",$R49="Grass"),1,0)),IF(OR($S49="Ground",$S49="Rock",$S49="Water"),0-1,IF(OR($S49="Bug",$S49="Flying",$S49="Fire",$S49="Dragon",$S49="Poison",$S49="Steel",$S49="Grass"),1,0)))</f>
        <v>-1</v>
      </c>
      <c r="AM49" s="507" t="n">
        <f aca="false">IF(OR($R49="Flying",$S49="Flying"),4,SUM(IF(OR($R49="Electric",$R49="Fire",$R49="Rock",$R49="Steel",$R49="Poison"),0-1,IF(OR($R49="Bug",$R49="Grass"),1,0)),IF(OR($S49="Electric",$S49="Fire",$S49="Rock",$S49="Steel",$S49="Poison"),0-1,IF(OR($S49="Bug",$S49="Grass"),1,0))))</f>
        <v>0</v>
      </c>
      <c r="AN49" s="507" t="n">
        <f aca="false">SUM(IF(OR($R49="Flying",$R49="Dragon",$R49="Grass",$R49="Ground"),0-1,IF(OR($R49="Steel",$R49="Ice",$R49="Fire",$R49="Water"),1,0)),IF(OR($S49="Flying",$S49="Dragon",$S49="Grass",$S49="Ground"),0-1,IF(OR($S49="Steel",$S49="Ice",$S49="Fire",$S49="Water"),1,0)))</f>
        <v>1</v>
      </c>
      <c r="AO49" s="507" t="n">
        <f aca="false">IF(OR($R49="Ghost",$S49="Ghost"),4,SUM(IF(OR($R49="Steel",$R49="Rock"),1,0),IF(OR($S49="Steel",$S49="Rock"),1,0)))</f>
        <v>0</v>
      </c>
      <c r="AP49" s="507" t="n">
        <f aca="false">IF(OR($R49="Steel",$S49="Steel"),4,SUM(IF(OR($R49="Fairy",$R49="Grass"),0-1,IF(OR($R49="Ghost",$R49="Rock",$R49="Ground",$R49="Poison"),1,0)),IF(OR($S49="Fairy",$S49="Grass"),0-1,IF(OR($S49="Ghost",$S49="Rock",$S49="Ground",$S49="Poison"),1,0))))</f>
        <v>0</v>
      </c>
      <c r="AQ49" s="507" t="n">
        <f aca="false">IF(OR($R49="Dark",$S49="Dark"),4,SUM(IF(OR($R49="Fighting",$R49="Poison"),0-1,IF(OR($R49="Psychic",$R49="Steel"),1,0)),IF(OR($S49="Fighting",$S49="Poison"),0-1,IF(OR($S49="Psychic",$S49="Steel"),1,0))))</f>
        <v>0</v>
      </c>
      <c r="AR49" s="507" t="n">
        <f aca="false">SUM(IF(OR($R49="Bug",$R49="Fire",$R49="Flying",$R49="Ice"),0-1,IF(OR($R49="Steel",$R49="Fighting",$R49="Ground"),1,0)),IF(OR($S49="Bug",$S49="Fire",$S49="Flying",$S49="Ice"),0-1,IF(OR($S49="Steel",$S49="Fighting",$S49="Ground"),1,0)))</f>
        <v>0</v>
      </c>
      <c r="AS49" s="507" t="n">
        <f aca="false">SUM(IF(OR($R49="Fairy",$R49="Ice",$R49="Rock"),0-1,IF(OR($R49="Steel",$R49="Electric",$R49="Fire",$R49="Water"),1,0)),IF(OR($S49="Fairy",$S49="Ice",$S49="Rock"),0-1,IF(OR($S49="Steel",$S49="Electric",$S49="Fire",$S49="Water"),1,0)))</f>
        <v>1</v>
      </c>
      <c r="AT49" s="508" t="n">
        <f aca="false">SUM(IF(OR($R49="Fire",$R49="Ground",$R49="Rock"),0-1,IF(OR($R49="Dragon",$R49="Grass",$R49="Water"),1,0)),IF(OR($S49="Fire",$S49="Ground",$S49="Rock"),0-1,IF(OR($S49="Dragon",$S49="Grass",$S49="Water"),1,0)))</f>
        <v>1</v>
      </c>
      <c r="AU49" s="518"/>
    </row>
    <row r="50" customFormat="false" ht="15.75" hidden="false" customHeight="false" outlineLevel="0" collapsed="false">
      <c r="A50" s="515" t="str">
        <f aca="false" t="array" ref="A50:A50">IF(ISNA(INDEX(Source!$U$7:$U$95,MATCH(B50,Source!$V$7:$V$95,0))),"FREE",INDEX(Source!$U$7:$U$95,MATCH(B50,Source!$V$7:$V$95,0)))</f>
        <v>FREE</v>
      </c>
      <c r="B50" s="511" t="s">
        <v>717</v>
      </c>
      <c r="C50" s="511"/>
      <c r="D50" s="511"/>
      <c r="E50" s="499" t="str">
        <f aca="false">IF(SUM($W50:$X50)&gt;0,SUM($W50:$X50),IF($H50&gt;0,0,IF($H50&gt;0,0,"-")))</f>
        <v>-</v>
      </c>
      <c r="F50" s="499" t="str">
        <f aca="false">IF(SUM($Y50:$Z50)&gt;0,SUM($Y50:$Z50),IF($H50&gt;0,0,"-"))</f>
        <v>-</v>
      </c>
      <c r="G50" s="499" t="str">
        <f aca="false">IF($H50&gt;0,minus(E50,F50),"-")</f>
        <v>-</v>
      </c>
      <c r="H50" s="500" t="n">
        <f aca="false">SUM(COUNTIF(MatchSource!$A:$A,$B50),COUNTIF(MatchSource!$H:$H,$B50))</f>
        <v>0</v>
      </c>
      <c r="I50" s="501" t="n">
        <f aca="false">SUM($AA50:$AB50)</f>
        <v>0</v>
      </c>
      <c r="J50" s="501" t="s">
        <v>278</v>
      </c>
      <c r="K50" s="512" t="str">
        <f aca="false" t="array" ref="K50:K50">IF(ISNA(INDEX(DraftRosters!$AA$3:$AA$199,MATCH($B50,DraftRosters!$AB$3:$AB$199,0))),"FA",IF(INDEX(DraftRosters!$AA$3:$AA$199,MATCH($B50,DraftRosters!$AB$3:$AB$199,0))="Franchise","Franch",INDEX(DraftRosters!$AA$3:$AA$199,MATCH($B50,DraftRosters!$AB$3:$AB$199,0))))</f>
        <v>FA</v>
      </c>
      <c r="L50" s="499" t="n">
        <v>79</v>
      </c>
      <c r="M50" s="499" t="n">
        <v>103</v>
      </c>
      <c r="N50" s="499" t="n">
        <v>120</v>
      </c>
      <c r="O50" s="499" t="n">
        <v>135</v>
      </c>
      <c r="P50" s="499" t="n">
        <v>115</v>
      </c>
      <c r="Q50" s="501" t="n">
        <v>78</v>
      </c>
      <c r="R50" s="499" t="s">
        <v>811</v>
      </c>
      <c r="S50" s="501"/>
      <c r="T50" s="504" t="s">
        <v>892</v>
      </c>
      <c r="U50" s="513"/>
      <c r="V50" s="514"/>
      <c r="W50" s="500" t="str">
        <f aca="false">IFERROR(__xludf.dummyfunction("if(isna(SUM(FILTER(MatchSource!$A:$D,MatchSource!$A:$A=$B50))),0,SUM(FILTER(MatchSource!$A:$D,MatchSource!$A:$A=$B50)))"),"0")</f>
        <v>0</v>
      </c>
      <c r="X50" s="499" t="str">
        <f aca="false">IFERROR(__xludf.dummyfunction("if(isna(SUM(FILTER(MatchSource!$H:$K,MatchSource!$H:$H=$B50))),0,SUM(FILTER(MatchSource!$H:$K,MatchSource!$H:$H=$B50)))"),"0")</f>
        <v>0</v>
      </c>
      <c r="Y50" s="499" t="str">
        <f aca="false">IFERROR(__xludf.dummyfunction("if(isna(ABS(MINUS(SUM(FILTER(MatchSource!$A:$E,MatchSource!$A:$A=$B50)),SUM($W50)))),0,ABS(MINUS(SUM(FILTER(MatchSource!$A:$E,MatchSource!$A:$A=$B50)),SUM($W50))))"),"0")</f>
        <v>0</v>
      </c>
      <c r="Z50" s="499" t="str">
        <f aca="false">IFERROR(__xludf.dummyfunction("if(isna(ABS(MINUS(SUM(FILTER(MatchSource!$H:$L,MatchSource!$H:$H=$B50)),SUM($X50)))),0,ABS(MINUS(SUM(FILTER(MatchSource!$H:$L,MatchSource!$H:$H=$B50)),SUM($X50))))"),"0")</f>
        <v>0</v>
      </c>
      <c r="AA50" s="499" t="str">
        <f aca="false">IFERROR(__xludf.dummyfunction("if(isna(ABS(MINUS(SUM(FILTER(MatchSource!$A:$F,MatchSource!$A:$A=$B50)),SUM($W50,$Y50)))),0,ABS(MINUS(SUM(FILTER(MatchSource!$A:$F,MatchSource!$A:$A=$B50)),SUM($W50, $Y50,))))"),"0")</f>
        <v>0</v>
      </c>
      <c r="AB50" s="501" t="str">
        <f aca="false">IFERROR(__xludf.dummyfunction("if(isna(ABS(MINUS(SUM(FILTER(MatchSource!$H:$M,MatchSource!$H:$H=$B50)),SUM($X50,$Z50)))),0,ABS(MINUS(SUM(FILTER(MatchSource!$H:$M,MatchSource!$H:$H=$B50)),SUM($X50,$Z50))))"),"0")</f>
        <v>0</v>
      </c>
      <c r="AC50" s="507" t="n">
        <f aca="false">SUM(IF(OR($R50="Grass",$R50="Psychic",$R50="Dark"),0-1,IF(OR($R50="Fighting",$R50="Flying",$R50="Fire",$R50="Ghost",$R50="Poison",$R50="Steel",$R50="Fairy"),1,0)),IF(OR($S50="Grass",$S50="Psychic",$S50="Dark"),0-1,IF(OR($S50="Fighting",$S50="Flying",$S50="Fire",$S50="Ghost",$S50="Poison",$S50="Steel",$S50="Fairy"),1,0)))</f>
        <v>0</v>
      </c>
      <c r="AD50" s="507" t="n">
        <f aca="false">SUM(IF(OR($R50="Ghost",$R50="Psychic"),0-1,IF(OR($R50="Fighting",$R50="Dark",$R50="Fairy"),1,0)),IF(OR($S50="Ghost",$S50="Psychic"),0-1,IF(OR($S50="Fighting",$S50="Dark",$S50="Fairy"),1,0)))</f>
        <v>0</v>
      </c>
      <c r="AE50" s="507" t="n">
        <f aca="false">IF(OR($R50="Fairy",$S50="Fairy"),4,SUM(IF($R50="Dragon",0-1,IF($R50="Steel",1,0)),IF($S50="Dragon",0-1,IF($S50="Steel",1,0))))</f>
        <v>0</v>
      </c>
      <c r="AF50" s="507" t="n">
        <f aca="false">IF(OR($R50="Ground",$S50="Ground"),4,SUM(IF(OR($R50="Flying",$R50="Water"),0-1,IF(OR($R50="Dragon",$R50="Electric",$R50="Grass"),1,0)),IF(OR($S50="Flying",$S50="Water"),0-1,IF(OR($S50="Dragon",$S50="Electric",$S50="Grass"),1,0))))</f>
        <v>-1</v>
      </c>
      <c r="AG50" s="507" t="n">
        <f aca="false">SUM(IF(OR($R50="Dark",$R50="Dragon",$R50="Fighting"),0-1,IF(OR($R50="Steel",$R50="Poison",$R50="Fire"),1,0)),IF(OR($S50="Dark",$S50="Dragon",$S50="Fighting"),0-1,IF(OR($S50="Steel",$S50="Poison",$S50="Fire"),1,0)))</f>
        <v>0</v>
      </c>
      <c r="AH50" s="507" t="n">
        <f aca="false">IF(OR($R50="Ghost",$S50="Ghost"),4,SUM(IF(OR($R50="Dark",$R50="Ice",$R50="Normal",$R50="Rock",$R50="Steel"),0-1,IF(OR($R50="Bug",$R50="Fairy",$R50="Flying",$R50="Poison",$R50="Psychic"),1,0)),IF(OR($S50="Dark",$S50="Ice",$S50="Normal",$S50="Rock",$S50="Steel"),0-1,IF(OR($S50="Bug",$S50="Fairy",$S50="Flying",$S50="Poison",$S50="Psychic"),1,0))))</f>
        <v>0</v>
      </c>
      <c r="AI50" s="507" t="n">
        <f aca="false">SUM(IF(OR($R50="Bug",$R50="Grass",$R50="Ice",$R50="Steel"),0-1,IF(OR($R50="Dragon",$R50="Fire",$R50="Rock",$R50="Water"),1,0)),IF(OR($S50="Bug",$S50="Grass",$S50="Ice",$S50="Steel"),0-1,IF(OR($S50="Dragon",$S50="Fire",$S50="Rock",$S50="Water"),1,0)))</f>
        <v>1</v>
      </c>
      <c r="AJ50" s="507" t="n">
        <f aca="false">SUM(IF(OR($R50="Bug",$R50="Grass",$R50="Fighting"),0-1,IF(OR($R50="Electric",$R50="Rock",$R50="Steel"),1,0)),IF(OR($S50="Bug",$S50="Grass",$S50="Fighting"),0-1,IF(OR($S50="Electric",$S50="Rock",$S50="Steel"),1,0)))</f>
        <v>0</v>
      </c>
      <c r="AK50" s="507" t="n">
        <f aca="false">IF(OR($R50="Normal",$S50="Normal"),4,SUM(IF(OR($R50="Ghost",$R50="Psychic"),0-1,IF($R50="Dark",1,0)),IF(OR($S50="Ghost",$S50="Psychic"),0-1,IF($S50="Dark",1,0))))</f>
        <v>0</v>
      </c>
      <c r="AL50" s="507" t="n">
        <f aca="false">SUM(IF(OR($R50="Ground",$R50="Rock",$R50="Water"),0-1,IF(OR($R50="Bug",$R50="Flying",$R50="Fire",$R50="Dragon",$R50="Poison",$R50="Steel",$R50="Grass"),1,0)),IF(OR($S50="Ground",$S50="Rock",$S50="Water"),0-1,IF(OR($S50="Bug",$S50="Flying",$S50="Fire",$S50="Dragon",$S50="Poison",$S50="Steel",$S50="Grass"),1,0)))</f>
        <v>-1</v>
      </c>
      <c r="AM50" s="507" t="n">
        <f aca="false">IF(OR($R50="Flying",$S50="Flying"),4,SUM(IF(OR($R50="Electric",$R50="Fire",$R50="Rock",$R50="Steel",$R50="Poison"),0-1,IF(OR($R50="Bug",$R50="Grass"),1,0)),IF(OR($S50="Electric",$S50="Fire",$S50="Rock",$S50="Steel",$S50="Poison"),0-1,IF(OR($S50="Bug",$S50="Grass"),1,0))))</f>
        <v>0</v>
      </c>
      <c r="AN50" s="507" t="n">
        <f aca="false">SUM(IF(OR($R50="Flying",$R50="Dragon",$R50="Grass",$R50="Ground"),0-1,IF(OR($R50="Steel",$R50="Ice",$R50="Fire",$R50="Water"),1,0)),IF(OR($S50="Flying",$S50="Dragon",$S50="Grass",$S50="Ground"),0-1,IF(OR($S50="Steel",$S50="Ice",$S50="Fire",$S50="Water"),1,0)))</f>
        <v>1</v>
      </c>
      <c r="AO50" s="507" t="n">
        <f aca="false">IF(OR($R50="Ghost",$S50="Ghost"),4,SUM(IF(OR($R50="Steel",$R50="Rock"),1,0),IF(OR($S50="Steel",$S50="Rock"),1,0)))</f>
        <v>0</v>
      </c>
      <c r="AP50" s="507" t="n">
        <f aca="false">IF(OR($R50="Steel",$S50="Steel"),4,SUM(IF(OR($R50="Fairy",$R50="Grass"),0-1,IF(OR($R50="Ghost",$R50="Rock",$R50="Ground",$R50="Poison"),1,0)),IF(OR($S50="Fairy",$S50="Grass"),0-1,IF(OR($S50="Ghost",$S50="Rock",$S50="Ground",$S50="Poison"),1,0))))</f>
        <v>0</v>
      </c>
      <c r="AQ50" s="507" t="n">
        <f aca="false">IF(OR($R50="Dark",$S50="Dark"),4,SUM(IF(OR($R50="Fighting",$R50="Poison"),0-1,IF(OR($R50="Psychic",$R50="Steel"),1,0)),IF(OR($S50="Fighting",$S50="Poison"),0-1,IF(OR($S50="Psychic",$S50="Steel"),1,0))))</f>
        <v>0</v>
      </c>
      <c r="AR50" s="507" t="n">
        <f aca="false">SUM(IF(OR($R50="Bug",$R50="Fire",$R50="Flying",$R50="Ice"),0-1,IF(OR($R50="Steel",$R50="Fighting",$R50="Ground"),1,0)),IF(OR($S50="Bug",$S50="Fire",$S50="Flying",$S50="Ice"),0-1,IF(OR($S50="Steel",$S50="Fighting",$S50="Ground"),1,0)))</f>
        <v>0</v>
      </c>
      <c r="AS50" s="507" t="n">
        <f aca="false">SUM(IF(OR($R50="Fairy",$R50="Ice",$R50="Rock"),0-1,IF(OR($R50="Steel",$R50="Electric",$R50="Fire",$R50="Water"),1,0)),IF(OR($S50="Fairy",$S50="Ice",$S50="Rock"),0-1,IF(OR($S50="Steel",$S50="Electric",$S50="Fire",$S50="Water"),1,0)))</f>
        <v>1</v>
      </c>
      <c r="AT50" s="508" t="n">
        <f aca="false">SUM(IF(OR($R50="Fire",$R50="Ground",$R50="Rock"),0-1,IF(OR($R50="Dragon",$R50="Grass",$R50="Water"),1,0)),IF(OR($S50="Fire",$S50="Ground",$S50="Rock"),0-1,IF(OR($S50="Dragon",$S50="Grass",$S50="Water"),1,0)))</f>
        <v>1</v>
      </c>
      <c r="AU50" s="518"/>
    </row>
    <row r="51" customFormat="false" ht="15.75" hidden="false" customHeight="false" outlineLevel="0" collapsed="false">
      <c r="A51" s="510" t="str">
        <f aca="false" t="array" ref="A51:A51">IF(ISNA(INDEX(Source!$U$7:$U$95,MATCH(B51,Source!$V$7:$V$95,0))),"FREE",INDEX(Source!$U$7:$U$95,MATCH(B51,Source!$V$7:$V$95,0)))</f>
        <v>FREE</v>
      </c>
      <c r="B51" s="511" t="s">
        <v>731</v>
      </c>
      <c r="C51" s="511"/>
      <c r="D51" s="511"/>
      <c r="E51" s="499" t="str">
        <f aca="false">IF(SUM($W51:$X51)&gt;0,SUM($W51:$X51),IF($H51&gt;0,0,IF($H51&gt;0,0,"-")))</f>
        <v>-</v>
      </c>
      <c r="F51" s="499" t="str">
        <f aca="false">IF(SUM($Y51:$Z51)&gt;0,SUM($Y51:$Z51),IF($H51&gt;0,0,"-"))</f>
        <v>-</v>
      </c>
      <c r="G51" s="499" t="str">
        <f aca="false">IF($H51&gt;0,minus(E51,F51),"-")</f>
        <v>-</v>
      </c>
      <c r="H51" s="500" t="n">
        <f aca="false">SUM(COUNTIF(MatchSource!$A:$A,$B51),COUNTIF(MatchSource!$H:$H,$B51))</f>
        <v>0</v>
      </c>
      <c r="I51" s="501" t="n">
        <f aca="false">SUM($AA51:$AB51)</f>
        <v>0</v>
      </c>
      <c r="J51" s="501" t="s">
        <v>701</v>
      </c>
      <c r="K51" s="512" t="str">
        <f aca="false" t="array" ref="K51:K51">IF(ISNA(INDEX(DraftRosters!$AA$3:$AA$199,MATCH($B51,DraftRosters!$AB$3:$AB$199,0))),"FA",IF(INDEX(DraftRosters!$AA$3:$AA$199,MATCH($B51,DraftRosters!$AB$3:$AB$199,0))="Franchise","Franch",INDEX(DraftRosters!$AA$3:$AA$199,MATCH($B51,DraftRosters!$AB$3:$AB$199,0))))</f>
        <v>FA</v>
      </c>
      <c r="L51" s="499" t="n">
        <v>80</v>
      </c>
      <c r="M51" s="499" t="n">
        <v>120</v>
      </c>
      <c r="N51" s="499" t="n">
        <v>70</v>
      </c>
      <c r="O51" s="499" t="n">
        <v>110</v>
      </c>
      <c r="P51" s="499" t="n">
        <v>70</v>
      </c>
      <c r="Q51" s="501" t="n">
        <v>80</v>
      </c>
      <c r="R51" s="499" t="s">
        <v>881</v>
      </c>
      <c r="S51" s="501" t="s">
        <v>800</v>
      </c>
      <c r="T51" s="504" t="s">
        <v>893</v>
      </c>
      <c r="U51" s="505" t="s">
        <v>894</v>
      </c>
      <c r="V51" s="506"/>
      <c r="W51" s="500" t="str">
        <f aca="false">IFERROR(__xludf.dummyfunction("if(isna(SUM(FILTER(MatchSource!$A:$D,MatchSource!$A:$A=$B51))),0,SUM(FILTER(MatchSource!$A:$D,MatchSource!$A:$A=$B51)))"),"0")</f>
        <v>0</v>
      </c>
      <c r="X51" s="499" t="str">
        <f aca="false">IFERROR(__xludf.dummyfunction("if(isna(SUM(FILTER(MatchSource!$H:$K,MatchSource!$H:$H=$B51))),0,SUM(FILTER(MatchSource!$H:$K,MatchSource!$H:$H=$B51)))"),"0")</f>
        <v>0</v>
      </c>
      <c r="Y51" s="499" t="str">
        <f aca="false">IFERROR(__xludf.dummyfunction("if(isna(ABS(MINUS(SUM(FILTER(MatchSource!$A:$E,MatchSource!$A:$A=$B51)),SUM($W51)))),0,ABS(MINUS(SUM(FILTER(MatchSource!$A:$E,MatchSource!$A:$A=$B51)),SUM($W51))))"),"0")</f>
        <v>0</v>
      </c>
      <c r="Z51" s="499" t="str">
        <f aca="false">IFERROR(__xludf.dummyfunction("if(isna(ABS(MINUS(SUM(FILTER(MatchSource!$H:$L,MatchSource!$H:$H=$B51)),SUM($X51)))),0,ABS(MINUS(SUM(FILTER(MatchSource!$H:$L,MatchSource!$H:$H=$B51)),SUM($X51))))"),"0")</f>
        <v>0</v>
      </c>
      <c r="AA51" s="499" t="str">
        <f aca="false">IFERROR(__xludf.dummyfunction("if(isna(ABS(MINUS(SUM(FILTER(MatchSource!$A:$F,MatchSource!$A:$A=$B51)),SUM($W51,$Y51)))),0,ABS(MINUS(SUM(FILTER(MatchSource!$A:$F,MatchSource!$A:$A=$B51)),SUM($W51, $Y51,))))"),"0")</f>
        <v>0</v>
      </c>
      <c r="AB51" s="501" t="str">
        <f aca="false">IFERROR(__xludf.dummyfunction("if(isna(ABS(MINUS(SUM(FILTER(MatchSource!$H:$M,MatchSource!$H:$H=$B51)),SUM($X51,$Z51)))),0,ABS(MINUS(SUM(FILTER(MatchSource!$H:$M,MatchSource!$H:$H=$B51)),SUM($X51,$Z51))))"),"0")</f>
        <v>0</v>
      </c>
      <c r="AC51" s="507" t="n">
        <f aca="false">SUM(IF(OR($R51="Grass",$R51="Psychic",$R51="Dark"),0-1,IF(OR($R51="Fighting",$R51="Flying",$R51="Fire",$R51="Ghost",$R51="Poison",$R51="Steel",$R51="Fairy"),1,0)),IF(OR($S51="Grass",$S51="Psychic",$S51="Dark"),0-1,IF(OR($S51="Fighting",$S51="Flying",$S51="Fire",$S51="Ghost",$S51="Poison",$S51="Steel",$S51="Fairy"),1,0)))</f>
        <v>2</v>
      </c>
      <c r="AD51" s="507" t="n">
        <f aca="false">SUM(IF(OR($R51="Ghost",$R51="Psychic"),0-1,IF(OR($R51="Fighting",$R51="Dark",$R51="Fairy"),1,0)),IF(OR($S51="Ghost",$S51="Psychic"),0-1,IF(OR($S51="Fighting",$S51="Dark",$S51="Fairy"),1,0)))</f>
        <v>1</v>
      </c>
      <c r="AE51" s="507" t="n">
        <f aca="false">IF(OR($R51="Fairy",$S51="Fairy"),4,SUM(IF($R51="Dragon",0-1,IF($R51="Steel",1,0)),IF($S51="Dragon",0-1,IF($S51="Steel",1,0))))</f>
        <v>0</v>
      </c>
      <c r="AF51" s="507" t="n">
        <f aca="false">IF(OR($R51="Ground",$S51="Ground"),4,SUM(IF(OR($R51="Flying",$R51="Water"),0-1,IF(OR($R51="Dragon",$R51="Electric",$R51="Grass"),1,0)),IF(OR($S51="Flying",$S51="Water"),0-1,IF(OR($S51="Dragon",$S51="Electric",$S51="Grass"),1,0))))</f>
        <v>0</v>
      </c>
      <c r="AG51" s="507" t="n">
        <f aca="false">SUM(IF(OR($R51="Dark",$R51="Dragon",$R51="Fighting"),0-1,IF(OR($R51="Steel",$R51="Poison",$R51="Fire"),1,0)),IF(OR($S51="Dark",$S51="Dragon",$S51="Fighting"),0-1,IF(OR($S51="Steel",$S51="Poison",$S51="Fire"),1,0)))</f>
        <v>0</v>
      </c>
      <c r="AH51" s="507" t="n">
        <f aca="false">IF(OR($R51="Ghost",$S51="Ghost"),4,SUM(IF(OR($R51="Dark",$R51="Ice",$R51="Normal",$R51="Rock",$R51="Steel"),0-1,IF(OR($R51="Bug",$R51="Fairy",$R51="Flying",$R51="Poison",$R51="Psychic"),1,0)),IF(OR($S51="Dark",$S51="Ice",$S51="Normal",$S51="Rock",$S51="Steel"),0-1,IF(OR($S51="Bug",$S51="Fairy",$S51="Flying",$S51="Poison",$S51="Psychic"),1,0))))</f>
        <v>0</v>
      </c>
      <c r="AI51" s="507" t="n">
        <f aca="false">SUM(IF(OR($R51="Bug",$R51="Grass",$R51="Ice",$R51="Steel"),0-1,IF(OR($R51="Dragon",$R51="Fire",$R51="Rock",$R51="Water"),1,0)),IF(OR($S51="Bug",$S51="Grass",$S51="Ice",$S51="Steel"),0-1,IF(OR($S51="Dragon",$S51="Fire",$S51="Rock",$S51="Water"),1,0)))</f>
        <v>1</v>
      </c>
      <c r="AJ51" s="507" t="n">
        <f aca="false">SUM(IF(OR($R51="Bug",$R51="Grass",$R51="Fighting"),0-1,IF(OR($R51="Electric",$R51="Rock",$R51="Steel"),1,0)),IF(OR($S51="Bug",$S51="Grass",$S51="Fighting"),0-1,IF(OR($S51="Electric",$S51="Rock",$S51="Steel"),1,0)))</f>
        <v>-1</v>
      </c>
      <c r="AK51" s="507" t="n">
        <f aca="false">IF(OR($R51="Normal",$S51="Normal"),4,SUM(IF(OR($R51="Ghost",$R51="Psychic"),0-1,IF($R51="Dark",1,0)),IF(OR($S51="Ghost",$S51="Psychic"),0-1,IF($S51="Dark",1,0))))</f>
        <v>0</v>
      </c>
      <c r="AL51" s="507" t="n">
        <f aca="false">SUM(IF(OR($R51="Ground",$R51="Rock",$R51="Water"),0-1,IF(OR($R51="Bug",$R51="Flying",$R51="Fire",$R51="Dragon",$R51="Poison",$R51="Steel",$R51="Grass"),1,0)),IF(OR($S51="Ground",$S51="Rock",$S51="Water"),0-1,IF(OR($S51="Bug",$S51="Flying",$S51="Fire",$S51="Dragon",$S51="Poison",$S51="Steel",$S51="Grass"),1,0)))</f>
        <v>1</v>
      </c>
      <c r="AM51" s="507" t="n">
        <f aca="false">IF(OR($R51="Flying",$S51="Flying"),4,SUM(IF(OR($R51="Electric",$R51="Fire",$R51="Rock",$R51="Steel",$R51="Poison"),0-1,IF(OR($R51="Bug",$R51="Grass"),1,0)),IF(OR($S51="Electric",$S51="Fire",$S51="Rock",$S51="Steel",$S51="Poison"),0-1,IF(OR($S51="Bug",$S51="Grass"),1,0))))</f>
        <v>-1</v>
      </c>
      <c r="AN51" s="507" t="n">
        <f aca="false">SUM(IF(OR($R51="Flying",$R51="Dragon",$R51="Grass",$R51="Ground"),0-1,IF(OR($R51="Steel",$R51="Ice",$R51="Fire",$R51="Water"),1,0)),IF(OR($S51="Flying",$S51="Dragon",$S51="Grass",$S51="Ground"),0-1,IF(OR($S51="Steel",$S51="Ice",$S51="Fire",$S51="Water"),1,0)))</f>
        <v>1</v>
      </c>
      <c r="AO51" s="507" t="n">
        <f aca="false">IF(OR($R51="Ghost",$S51="Ghost"),4,SUM(IF(OR($R51="Steel",$R51="Rock"),1,0),IF(OR($S51="Steel",$S51="Rock"),1,0)))</f>
        <v>0</v>
      </c>
      <c r="AP51" s="507" t="n">
        <f aca="false">IF(OR($R51="Steel",$S51="Steel"),4,SUM(IF(OR($R51="Fairy",$R51="Grass"),0-1,IF(OR($R51="Ghost",$R51="Rock",$R51="Ground",$R51="Poison"),1,0)),IF(OR($S51="Fairy",$S51="Grass"),0-1,IF(OR($S51="Ghost",$S51="Rock",$S51="Ground",$S51="Poison"),1,0))))</f>
        <v>0</v>
      </c>
      <c r="AQ51" s="507" t="n">
        <f aca="false">IF(OR($R51="Dark",$S51="Dark"),4,SUM(IF(OR($R51="Fighting",$R51="Poison"),0-1,IF(OR($R51="Psychic",$R51="Steel"),1,0)),IF(OR($S51="Fighting",$S51="Poison"),0-1,IF(OR($S51="Psychic",$S51="Steel"),1,0))))</f>
        <v>-1</v>
      </c>
      <c r="AR51" s="507" t="n">
        <f aca="false">SUM(IF(OR($R51="Bug",$R51="Fire",$R51="Flying",$R51="Ice"),0-1,IF(OR($R51="Steel",$R51="Fighting",$R51="Ground"),1,0)),IF(OR($S51="Bug",$S51="Fire",$S51="Flying",$S51="Ice"),0-1,IF(OR($S51="Steel",$S51="Fighting",$S51="Ground"),1,0)))</f>
        <v>0</v>
      </c>
      <c r="AS51" s="507" t="n">
        <f aca="false">SUM(IF(OR($R51="Fairy",$R51="Ice",$R51="Rock"),0-1,IF(OR($R51="Steel",$R51="Electric",$R51="Fire",$R51="Water"),1,0)),IF(OR($S51="Fairy",$S51="Ice",$S51="Rock"),0-1,IF(OR($S51="Steel",$S51="Electric",$S51="Fire",$S51="Water"),1,0)))</f>
        <v>1</v>
      </c>
      <c r="AT51" s="508" t="n">
        <f aca="false">SUM(IF(OR($R51="Fire",$R51="Ground",$R51="Rock"),0-1,IF(OR($R51="Dragon",$R51="Grass",$R51="Water"),1,0)),IF(OR($S51="Fire",$S51="Ground",$S51="Rock"),0-1,IF(OR($S51="Dragon",$S51="Grass",$S51="Water"),1,0)))</f>
        <v>-1</v>
      </c>
      <c r="AU51" s="518"/>
    </row>
    <row r="52" customFormat="false" ht="15.75" hidden="false" customHeight="false" outlineLevel="0" collapsed="false">
      <c r="A52" s="510" t="str">
        <f aca="false" t="array" ref="A52:A52">IF(ISNA(INDEX(Source!$U$7:$U$95,MATCH(B52,Source!$V$7:$V$95,0))),"FREE",INDEX(Source!$U$7:$U$95,MATCH(B52,Source!$V$7:$V$95,0)))</f>
        <v>FREE</v>
      </c>
      <c r="B52" s="511" t="s">
        <v>313</v>
      </c>
      <c r="C52" s="511"/>
      <c r="D52" s="511"/>
      <c r="E52" s="499" t="str">
        <f aca="false">IF(SUM($W52:$X52)&gt;0,SUM($W52:$X52),IF($H52&gt;0,0,IF($H52&gt;0,0,"-")))</f>
        <v>-</v>
      </c>
      <c r="F52" s="499" t="str">
        <f aca="false">IF(SUM($Y52:$Z52)&gt;0,SUM($Y52:$Z52),IF($H52&gt;0,0,"-"))</f>
        <v>-</v>
      </c>
      <c r="G52" s="499" t="str">
        <f aca="false">IF($H52&gt;0,minus(E52,F52),"-")</f>
        <v>-</v>
      </c>
      <c r="H52" s="500" t="n">
        <f aca="false">SUM(COUNTIF(MatchSource!$A:$A,$B52),COUNTIF(MatchSource!$H:$H,$B52))</f>
        <v>0</v>
      </c>
      <c r="I52" s="501" t="n">
        <f aca="false">SUM($AA52:$AB52)</f>
        <v>0</v>
      </c>
      <c r="J52" s="501" t="s">
        <v>699</v>
      </c>
      <c r="K52" s="512" t="str">
        <f aca="false" t="array" ref="K52:K52">IF(ISNA(INDEX(DraftRosters!$AA$3:$AA$199,MATCH($B52,DraftRosters!$AB$3:$AB$199,0))),"FA",IF(INDEX(DraftRosters!$AA$3:$AA$199,MATCH($B52,DraftRosters!$AB$3:$AB$199,0))="Franchise","Franch",INDEX(DraftRosters!$AA$3:$AA$199,MATCH($B52,DraftRosters!$AB$3:$AB$199,0))))</f>
        <v>FA</v>
      </c>
      <c r="L52" s="499" t="n">
        <v>255</v>
      </c>
      <c r="M52" s="499" t="n">
        <v>10</v>
      </c>
      <c r="N52" s="499" t="n">
        <v>10</v>
      </c>
      <c r="O52" s="499" t="n">
        <v>75</v>
      </c>
      <c r="P52" s="499" t="n">
        <v>135</v>
      </c>
      <c r="Q52" s="501" t="n">
        <v>55</v>
      </c>
      <c r="R52" s="499" t="s">
        <v>839</v>
      </c>
      <c r="S52" s="501"/>
      <c r="T52" s="504" t="s">
        <v>833</v>
      </c>
      <c r="U52" s="505" t="s">
        <v>837</v>
      </c>
      <c r="V52" s="506" t="s">
        <v>895</v>
      </c>
      <c r="W52" s="500" t="str">
        <f aca="false">IFERROR(__xludf.dummyfunction("if(isna(SUM(FILTER(MatchSource!$A:$D,MatchSource!$A:$A=$B52))),0,SUM(FILTER(MatchSource!$A:$D,MatchSource!$A:$A=$B52)))"),"0")</f>
        <v>0</v>
      </c>
      <c r="X52" s="499" t="str">
        <f aca="false">IFERROR(__xludf.dummyfunction("if(isna(SUM(FILTER(MatchSource!$H:$K,MatchSource!$H:$H=$B52))),0,SUM(FILTER(MatchSource!$H:$K,MatchSource!$H:$H=$B52)))"),"0")</f>
        <v>0</v>
      </c>
      <c r="Y52" s="499" t="str">
        <f aca="false">IFERROR(__xludf.dummyfunction("if(isna(ABS(MINUS(SUM(FILTER(MatchSource!$A:$E,MatchSource!$A:$A=$B52)),SUM($W52)))),0,ABS(MINUS(SUM(FILTER(MatchSource!$A:$E,MatchSource!$A:$A=$B52)),SUM($W52))))"),"0")</f>
        <v>0</v>
      </c>
      <c r="Z52" s="499" t="str">
        <f aca="false">IFERROR(__xludf.dummyfunction("if(isna(ABS(MINUS(SUM(FILTER(MatchSource!$H:$L,MatchSource!$H:$H=$B52)),SUM($X52)))),0,ABS(MINUS(SUM(FILTER(MatchSource!$H:$L,MatchSource!$H:$H=$B52)),SUM($X52))))"),"0")</f>
        <v>0</v>
      </c>
      <c r="AA52" s="499" t="str">
        <f aca="false">IFERROR(__xludf.dummyfunction("if(isna(ABS(MINUS(SUM(FILTER(MatchSource!$A:$F,MatchSource!$A:$A=$B52)),SUM($W52,$Y52)))),0,ABS(MINUS(SUM(FILTER(MatchSource!$A:$F,MatchSource!$A:$A=$B52)),SUM($W52, $Y52,))))"),"0")</f>
        <v>0</v>
      </c>
      <c r="AB52" s="501" t="str">
        <f aca="false">IFERROR(__xludf.dummyfunction("if(isna(ABS(MINUS(SUM(FILTER(MatchSource!$H:$M,MatchSource!$H:$H=$B52)),SUM($X52,$Z52)))),0,ABS(MINUS(SUM(FILTER(MatchSource!$H:$M,MatchSource!$H:$H=$B52)),SUM($X52,$Z52))))"),"0")</f>
        <v>0</v>
      </c>
      <c r="AC52" s="507" t="n">
        <f aca="false">SUM(IF(OR($R52="Grass",$R52="Psychic",$R52="Dark"),0-1,IF(OR($R52="Fighting",$R52="Flying",$R52="Fire",$R52="Ghost",$R52="Poison",$R52="Steel",$R52="Fairy"),1,0)),IF(OR($S52="Grass",$S52="Psychic",$S52="Dark"),0-1,IF(OR($S52="Fighting",$S52="Flying",$S52="Fire",$S52="Ghost",$S52="Poison",$S52="Steel",$S52="Fairy"),1,0)))</f>
        <v>0</v>
      </c>
      <c r="AD52" s="507" t="n">
        <f aca="false">SUM(IF(OR($R52="Ghost",$R52="Psychic"),0-1,IF(OR($R52="Fighting",$R52="Dark",$R52="Fairy"),1,0)),IF(OR($S52="Ghost",$S52="Psychic"),0-1,IF(OR($S52="Fighting",$S52="Dark",$S52="Fairy"),1,0)))</f>
        <v>0</v>
      </c>
      <c r="AE52" s="507" t="n">
        <f aca="false">IF(OR($R52="Fairy",$S52="Fairy"),4,SUM(IF($R52="Dragon",0-1,IF($R52="Steel",1,0)),IF($S52="Dragon",0-1,IF($S52="Steel",1,0))))</f>
        <v>0</v>
      </c>
      <c r="AF52" s="507" t="n">
        <f aca="false">IF(OR($R52="Ground",$S52="Ground"),4,SUM(IF(OR($R52="Flying",$R52="Water"),0-1,IF(OR($R52="Dragon",$R52="Electric",$R52="Grass"),1,0)),IF(OR($S52="Flying",$S52="Water"),0-1,IF(OR($S52="Dragon",$S52="Electric",$S52="Grass"),1,0))))</f>
        <v>0</v>
      </c>
      <c r="AG52" s="507" t="n">
        <f aca="false">SUM(IF(OR($R52="Dark",$R52="Dragon",$R52="Fighting"),0-1,IF(OR($R52="Steel",$R52="Poison",$R52="Fire"),1,0)),IF(OR($S52="Dark",$S52="Dragon",$S52="Fighting"),0-1,IF(OR($S52="Steel",$S52="Poison",$S52="Fire"),1,0)))</f>
        <v>0</v>
      </c>
      <c r="AH52" s="507" t="n">
        <f aca="false">IF(OR($R52="Ghost",$S52="Ghost"),4,SUM(IF(OR($R52="Dark",$R52="Ice",$R52="Normal",$R52="Rock",$R52="Steel"),0-1,IF(OR($R52="Bug",$R52="Fairy",$R52="Flying",$R52="Poison",$R52="Psychic"),1,0)),IF(OR($S52="Dark",$S52="Ice",$S52="Normal",$S52="Rock",$S52="Steel"),0-1,IF(OR($S52="Bug",$S52="Fairy",$S52="Flying",$S52="Poison",$S52="Psychic"),1,0))))</f>
        <v>-1</v>
      </c>
      <c r="AI52" s="507" t="n">
        <f aca="false">SUM(IF(OR($R52="Bug",$R52="Grass",$R52="Ice",$R52="Steel"),0-1,IF(OR($R52="Dragon",$R52="Fire",$R52="Rock",$R52="Water"),1,0)),IF(OR($S52="Bug",$S52="Grass",$S52="Ice",$S52="Steel"),0-1,IF(OR($S52="Dragon",$S52="Fire",$S52="Rock",$S52="Water"),1,0)))</f>
        <v>0</v>
      </c>
      <c r="AJ52" s="507" t="n">
        <f aca="false">SUM(IF(OR($R52="Bug",$R52="Grass",$R52="Fighting"),0-1,IF(OR($R52="Electric",$R52="Rock",$R52="Steel"),1,0)),IF(OR($S52="Bug",$S52="Grass",$S52="Fighting"),0-1,IF(OR($S52="Electric",$S52="Rock",$S52="Steel"),1,0)))</f>
        <v>0</v>
      </c>
      <c r="AK52" s="507" t="n">
        <f aca="false">IF(OR($R52="Normal",$S52="Normal"),4,SUM(IF(OR($R52="Ghost",$R52="Psychic"),0-1,IF($R52="Dark",1,0)),IF(OR($S52="Ghost",$S52="Psychic"),0-1,IF($S52="Dark",1,0))))</f>
        <v>4</v>
      </c>
      <c r="AL52" s="507" t="n">
        <f aca="false">SUM(IF(OR($R52="Ground",$R52="Rock",$R52="Water"),0-1,IF(OR($R52="Bug",$R52="Flying",$R52="Fire",$R52="Dragon",$R52="Poison",$R52="Steel",$R52="Grass"),1,0)),IF(OR($S52="Ground",$S52="Rock",$S52="Water"),0-1,IF(OR($S52="Bug",$S52="Flying",$S52="Fire",$S52="Dragon",$S52="Poison",$S52="Steel",$S52="Grass"),1,0)))</f>
        <v>0</v>
      </c>
      <c r="AM52" s="507" t="n">
        <f aca="false">IF(OR($R52="Flying",$S52="Flying"),4,SUM(IF(OR($R52="Electric",$R52="Fire",$R52="Rock",$R52="Steel",$R52="Poison"),0-1,IF(OR($R52="Bug",$R52="Grass"),1,0)),IF(OR($S52="Electric",$S52="Fire",$S52="Rock",$S52="Steel",$S52="Poison"),0-1,IF(OR($S52="Bug",$S52="Grass"),1,0))))</f>
        <v>0</v>
      </c>
      <c r="AN52" s="507" t="n">
        <f aca="false">SUM(IF(OR($R52="Flying",$R52="Dragon",$R52="Grass",$R52="Ground"),0-1,IF(OR($R52="Steel",$R52="Ice",$R52="Fire",$R52="Water"),1,0)),IF(OR($S52="Flying",$S52="Dragon",$S52="Grass",$S52="Ground"),0-1,IF(OR($S52="Steel",$S52="Ice",$S52="Fire",$S52="Water"),1,0)))</f>
        <v>0</v>
      </c>
      <c r="AO52" s="507" t="n">
        <f aca="false">IF(OR($R52="Ghost",$S52="Ghost"),4,SUM(IF(OR($R52="Steel",$R52="Rock"),1,0),IF(OR($S52="Steel",$S52="Rock"),1,0)))</f>
        <v>0</v>
      </c>
      <c r="AP52" s="507" t="n">
        <f aca="false">IF(OR($R52="Steel",$S52="Steel"),4,SUM(IF(OR($R52="Fairy",$R52="Grass"),0-1,IF(OR($R52="Ghost",$R52="Rock",$R52="Ground",$R52="Poison"),1,0)),IF(OR($S52="Fairy",$S52="Grass"),0-1,IF(OR($S52="Ghost",$S52="Rock",$S52="Ground",$S52="Poison"),1,0))))</f>
        <v>0</v>
      </c>
      <c r="AQ52" s="507" t="n">
        <f aca="false">IF(OR($R52="Dark",$S52="Dark"),4,SUM(IF(OR($R52="Fighting",$R52="Poison"),0-1,IF(OR($R52="Psychic",$R52="Steel"),1,0)),IF(OR($S52="Fighting",$S52="Poison"),0-1,IF(OR($S52="Psychic",$S52="Steel"),1,0))))</f>
        <v>0</v>
      </c>
      <c r="AR52" s="507" t="n">
        <f aca="false">SUM(IF(OR($R52="Bug",$R52="Fire",$R52="Flying",$R52="Ice"),0-1,IF(OR($R52="Steel",$R52="Fighting",$R52="Ground"),1,0)),IF(OR($S52="Bug",$S52="Fire",$S52="Flying",$S52="Ice"),0-1,IF(OR($S52="Steel",$S52="Fighting",$S52="Ground"),1,0)))</f>
        <v>0</v>
      </c>
      <c r="AS52" s="507" t="n">
        <f aca="false">SUM(IF(OR($R52="Fairy",$R52="Ice",$R52="Rock"),0-1,IF(OR($R52="Steel",$R52="Electric",$R52="Fire",$R52="Water"),1,0)),IF(OR($S52="Fairy",$S52="Ice",$S52="Rock"),0-1,IF(OR($S52="Steel",$S52="Electric",$S52="Fire",$S52="Water"),1,0)))</f>
        <v>0</v>
      </c>
      <c r="AT52" s="508" t="n">
        <f aca="false">SUM(IF(OR($R52="Fire",$R52="Ground",$R52="Rock"),0-1,IF(OR($R52="Dragon",$R52="Grass",$R52="Water"),1,0)),IF(OR($S52="Fire",$S52="Ground",$S52="Rock"),0-1,IF(OR($S52="Dragon",$S52="Grass",$S52="Water"),1,0)))</f>
        <v>0</v>
      </c>
      <c r="AU52" s="518"/>
    </row>
    <row r="53" customFormat="false" ht="15.75" hidden="false" customHeight="false" outlineLevel="0" collapsed="false">
      <c r="A53" s="510" t="str">
        <f aca="false" t="array" ref="A53:A53">IF(ISNA(INDEX(Source!$U$7:$U$95,MATCH(B53,Source!$V$7:$V$95,0))),"FREE",INDEX(Source!$U$7:$U$95,MATCH(B53,Source!$V$7:$V$95,0)))</f>
        <v>FREE</v>
      </c>
      <c r="B53" s="511" t="s">
        <v>413</v>
      </c>
      <c r="C53" s="511"/>
      <c r="D53" s="511"/>
      <c r="E53" s="499" t="str">
        <f aca="false">IF(SUM($W53:$X53)&gt;0,SUM($W53:$X53),IF($H53&gt;0,0,IF($H53&gt;0,0,"-")))</f>
        <v>-</v>
      </c>
      <c r="F53" s="499" t="str">
        <f aca="false">IF(SUM($Y53:$Z53)&gt;0,SUM($Y53:$Z53),IF($H53&gt;0,0,"-"))</f>
        <v>-</v>
      </c>
      <c r="G53" s="499" t="str">
        <f aca="false">IF($H53&gt;0,minus(E53,F53),"-")</f>
        <v>-</v>
      </c>
      <c r="H53" s="500" t="n">
        <f aca="false">SUM(COUNTIF(MatchSource!$A:$A,$B53),COUNTIF(MatchSource!$H:$H,$B53))</f>
        <v>0</v>
      </c>
      <c r="I53" s="501" t="n">
        <f aca="false">SUM($AA53:$AB53)</f>
        <v>0</v>
      </c>
      <c r="J53" s="501" t="s">
        <v>702</v>
      </c>
      <c r="K53" s="512" t="str">
        <f aca="false" t="array" ref="K53:K53">IF(ISNA(INDEX(DraftRosters!$AA$3:$AA$199,MATCH($B53,DraftRosters!$AB$3:$AB$199,0))),"FA",IF(INDEX(DraftRosters!$AA$3:$AA$199,MATCH($B53,DraftRosters!$AB$3:$AB$199,0))="Franchise","Franch",INDEX(DraftRosters!$AA$3:$AA$199,MATCH($B53,DraftRosters!$AB$3:$AB$199,0))))</f>
        <v>FA</v>
      </c>
      <c r="L53" s="499" t="n">
        <v>95</v>
      </c>
      <c r="M53" s="499" t="n">
        <v>110</v>
      </c>
      <c r="N53" s="499" t="n">
        <v>95</v>
      </c>
      <c r="O53" s="499" t="n">
        <v>40</v>
      </c>
      <c r="P53" s="499" t="n">
        <v>95</v>
      </c>
      <c r="Q53" s="501" t="n">
        <v>55</v>
      </c>
      <c r="R53" s="499" t="s">
        <v>839</v>
      </c>
      <c r="S53" s="501"/>
      <c r="T53" s="504" t="s">
        <v>896</v>
      </c>
      <c r="U53" s="505" t="s">
        <v>869</v>
      </c>
      <c r="V53" s="506" t="s">
        <v>814</v>
      </c>
      <c r="W53" s="500" t="str">
        <f aca="false">IFERROR(__xludf.dummyfunction("if(isna(SUM(FILTER(MatchSource!$A:$D,MatchSource!$A:$A=$B53))),0,SUM(FILTER(MatchSource!$A:$D,MatchSource!$A:$A=$B53)))"),"0")</f>
        <v>0</v>
      </c>
      <c r="X53" s="499" t="str">
        <f aca="false">IFERROR(__xludf.dummyfunction("if(isna(SUM(FILTER(MatchSource!$H:$K,MatchSource!$H:$H=$B53))),0,SUM(FILTER(MatchSource!$H:$K,MatchSource!$H:$H=$B53)))"),"0")</f>
        <v>0</v>
      </c>
      <c r="Y53" s="499" t="str">
        <f aca="false">IFERROR(__xludf.dummyfunction("if(isna(ABS(MINUS(SUM(FILTER(MatchSource!$A:$E,MatchSource!$A:$A=$B53)),SUM($W53)))),0,ABS(MINUS(SUM(FILTER(MatchSource!$A:$E,MatchSource!$A:$A=$B53)),SUM($W53))))"),"0")</f>
        <v>0</v>
      </c>
      <c r="Z53" s="499" t="str">
        <f aca="false">IFERROR(__xludf.dummyfunction("if(isna(ABS(MINUS(SUM(FILTER(MatchSource!$H:$L,MatchSource!$H:$H=$B53)),SUM($X53)))),0,ABS(MINUS(SUM(FILTER(MatchSource!$H:$L,MatchSource!$H:$H=$B53)),SUM($X53))))"),"0")</f>
        <v>0</v>
      </c>
      <c r="AA53" s="499" t="str">
        <f aca="false">IFERROR(__xludf.dummyfunction("if(isna(ABS(MINUS(SUM(FILTER(MatchSource!$A:$F,MatchSource!$A:$A=$B53)),SUM($W53,$Y53)))),0,ABS(MINUS(SUM(FILTER(MatchSource!$A:$F,MatchSource!$A:$A=$B53)),SUM($W53, $Y53,))))"),"0")</f>
        <v>0</v>
      </c>
      <c r="AB53" s="501" t="str">
        <f aca="false">IFERROR(__xludf.dummyfunction("if(isna(ABS(MINUS(SUM(FILTER(MatchSource!$H:$M,MatchSource!$H:$H=$B53)),SUM($X53,$Z53)))),0,ABS(MINUS(SUM(FILTER(MatchSource!$H:$M,MatchSource!$H:$H=$B53)),SUM($X53,$Z53))))"),"0")</f>
        <v>0</v>
      </c>
      <c r="AC53" s="507" t="n">
        <f aca="false">SUM(IF(OR($R53="Grass",$R53="Psychic",$R53="Dark"),0-1,IF(OR($R53="Fighting",$R53="Flying",$R53="Fire",$R53="Ghost",$R53="Poison",$R53="Steel",$R53="Fairy"),1,0)),IF(OR($S53="Grass",$S53="Psychic",$S53="Dark"),0-1,IF(OR($S53="Fighting",$S53="Flying",$S53="Fire",$S53="Ghost",$S53="Poison",$S53="Steel",$S53="Fairy"),1,0)))</f>
        <v>0</v>
      </c>
      <c r="AD53" s="507" t="n">
        <f aca="false">SUM(IF(OR($R53="Ghost",$R53="Psychic"),0-1,IF(OR($R53="Fighting",$R53="Dark",$R53="Fairy"),1,0)),IF(OR($S53="Ghost",$S53="Psychic"),0-1,IF(OR($S53="Fighting",$S53="Dark",$S53="Fairy"),1,0)))</f>
        <v>0</v>
      </c>
      <c r="AE53" s="507" t="n">
        <f aca="false">IF(OR($R53="Fairy",$S53="Fairy"),4,SUM(IF($R53="Dragon",0-1,IF($R53="Steel",1,0)),IF($S53="Dragon",0-1,IF($S53="Steel",1,0))))</f>
        <v>0</v>
      </c>
      <c r="AF53" s="507" t="n">
        <f aca="false">IF(OR($R53="Ground",$S53="Ground"),4,SUM(IF(OR($R53="Flying",$R53="Water"),0-1,IF(OR($R53="Dragon",$R53="Electric",$R53="Grass"),1,0)),IF(OR($S53="Flying",$S53="Water"),0-1,IF(OR($S53="Dragon",$S53="Electric",$S53="Grass"),1,0))))</f>
        <v>0</v>
      </c>
      <c r="AG53" s="507" t="n">
        <f aca="false">SUM(IF(OR($R53="Dark",$R53="Dragon",$R53="Fighting"),0-1,IF(OR($R53="Steel",$R53="Poison",$R53="Fire"),1,0)),IF(OR($S53="Dark",$S53="Dragon",$S53="Fighting"),0-1,IF(OR($S53="Steel",$S53="Poison",$S53="Fire"),1,0)))</f>
        <v>0</v>
      </c>
      <c r="AH53" s="507" t="n">
        <f aca="false">IF(OR($R53="Ghost",$S53="Ghost"),4,SUM(IF(OR($R53="Dark",$R53="Ice",$R53="Normal",$R53="Rock",$R53="Steel"),0-1,IF(OR($R53="Bug",$R53="Fairy",$R53="Flying",$R53="Poison",$R53="Psychic"),1,0)),IF(OR($S53="Dark",$S53="Ice",$S53="Normal",$S53="Rock",$S53="Steel"),0-1,IF(OR($S53="Bug",$S53="Fairy",$S53="Flying",$S53="Poison",$S53="Psychic"),1,0))))</f>
        <v>-1</v>
      </c>
      <c r="AI53" s="507" t="n">
        <f aca="false">SUM(IF(OR($R53="Bug",$R53="Grass",$R53="Ice",$R53="Steel"),0-1,IF(OR($R53="Dragon",$R53="Fire",$R53="Rock",$R53="Water"),1,0)),IF(OR($S53="Bug",$S53="Grass",$S53="Ice",$S53="Steel"),0-1,IF(OR($S53="Dragon",$S53="Fire",$S53="Rock",$S53="Water"),1,0)))</f>
        <v>0</v>
      </c>
      <c r="AJ53" s="507" t="n">
        <f aca="false">SUM(IF(OR($R53="Bug",$R53="Grass",$R53="Fighting"),0-1,IF(OR($R53="Electric",$R53="Rock",$R53="Steel"),1,0)),IF(OR($S53="Bug",$S53="Grass",$S53="Fighting"),0-1,IF(OR($S53="Electric",$S53="Rock",$S53="Steel"),1,0)))</f>
        <v>0</v>
      </c>
      <c r="AK53" s="507" t="n">
        <f aca="false">IF(OR($R53="Normal",$S53="Normal"),4,SUM(IF(OR($R53="Ghost",$R53="Psychic"),0-1,IF($R53="Dark",1,0)),IF(OR($S53="Ghost",$S53="Psychic"),0-1,IF($S53="Dark",1,0))))</f>
        <v>4</v>
      </c>
      <c r="AL53" s="507" t="n">
        <f aca="false">SUM(IF(OR($R53="Ground",$R53="Rock",$R53="Water"),0-1,IF(OR($R53="Bug",$R53="Flying",$R53="Fire",$R53="Dragon",$R53="Poison",$R53="Steel",$R53="Grass"),1,0)),IF(OR($S53="Ground",$S53="Rock",$S53="Water"),0-1,IF(OR($S53="Bug",$S53="Flying",$S53="Fire",$S53="Dragon",$S53="Poison",$S53="Steel",$S53="Grass"),1,0)))</f>
        <v>0</v>
      </c>
      <c r="AM53" s="507" t="n">
        <f aca="false">IF(OR($R53="Flying",$S53="Flying"),4,SUM(IF(OR($R53="Electric",$R53="Fire",$R53="Rock",$R53="Steel",$R53="Poison"),0-1,IF(OR($R53="Bug",$R53="Grass"),1,0)),IF(OR($S53="Electric",$S53="Fire",$S53="Rock",$S53="Steel",$S53="Poison"),0-1,IF(OR($S53="Bug",$S53="Grass"),1,0))))</f>
        <v>0</v>
      </c>
      <c r="AN53" s="507" t="n">
        <f aca="false">SUM(IF(OR($R53="Flying",$R53="Dragon",$R53="Grass",$R53="Ground"),0-1,IF(OR($R53="Steel",$R53="Ice",$R53="Fire",$R53="Water"),1,0)),IF(OR($S53="Flying",$S53="Dragon",$S53="Grass",$S53="Ground"),0-1,IF(OR($S53="Steel",$S53="Ice",$S53="Fire",$S53="Water"),1,0)))</f>
        <v>0</v>
      </c>
      <c r="AO53" s="507" t="n">
        <f aca="false">IF(OR($R53="Ghost",$S53="Ghost"),4,SUM(IF(OR($R53="Steel",$R53="Rock"),1,0),IF(OR($S53="Steel",$S53="Rock"),1,0)))</f>
        <v>0</v>
      </c>
      <c r="AP53" s="507" t="n">
        <f aca="false">IF(OR($R53="Steel",$S53="Steel"),4,SUM(IF(OR($R53="Fairy",$R53="Grass"),0-1,IF(OR($R53="Ghost",$R53="Rock",$R53="Ground",$R53="Poison"),1,0)),IF(OR($S53="Fairy",$S53="Grass"),0-1,IF(OR($S53="Ghost",$S53="Rock",$S53="Ground",$S53="Poison"),1,0))))</f>
        <v>0</v>
      </c>
      <c r="AQ53" s="507" t="n">
        <f aca="false">IF(OR($R53="Dark",$S53="Dark"),4,SUM(IF(OR($R53="Fighting",$R53="Poison"),0-1,IF(OR($R53="Psychic",$R53="Steel"),1,0)),IF(OR($S53="Fighting",$S53="Poison"),0-1,IF(OR($S53="Psychic",$S53="Steel"),1,0))))</f>
        <v>0</v>
      </c>
      <c r="AR53" s="507" t="n">
        <f aca="false">SUM(IF(OR($R53="Bug",$R53="Fire",$R53="Flying",$R53="Ice"),0-1,IF(OR($R53="Steel",$R53="Fighting",$R53="Ground"),1,0)),IF(OR($S53="Bug",$S53="Fire",$S53="Flying",$S53="Ice"),0-1,IF(OR($S53="Steel",$S53="Fighting",$S53="Ground"),1,0)))</f>
        <v>0</v>
      </c>
      <c r="AS53" s="507" t="n">
        <f aca="false">SUM(IF(OR($R53="Fairy",$R53="Ice",$R53="Rock"),0-1,IF(OR($R53="Steel",$R53="Electric",$R53="Fire",$R53="Water"),1,0)),IF(OR($S53="Fairy",$S53="Ice",$S53="Rock"),0-1,IF(OR($S53="Steel",$S53="Electric",$S53="Fire",$S53="Water"),1,0)))</f>
        <v>0</v>
      </c>
      <c r="AT53" s="508" t="n">
        <f aca="false">SUM(IF(OR($R53="Fire",$R53="Ground",$R53="Rock"),0-1,IF(OR($R53="Dragon",$R53="Grass",$R53="Water"),1,0)),IF(OR($S53="Fire",$S53="Ground",$S53="Rock"),0-1,IF(OR($S53="Dragon",$S53="Grass",$S53="Water"),1,0)))</f>
        <v>0</v>
      </c>
      <c r="AU53" s="518"/>
    </row>
    <row r="54" customFormat="false" ht="15.75" hidden="false" customHeight="false" outlineLevel="0" collapsed="false">
      <c r="A54" s="510" t="str">
        <f aca="false" t="array" ref="A54:A54">IF(ISNA(INDEX(Source!$U$7:$U$95,MATCH(B54,Source!$V$7:$V$95,0))),"FREE",INDEX(Source!$U$7:$U$95,MATCH(B54,Source!$V$7:$V$95,0)))</f>
        <v>FREE</v>
      </c>
      <c r="B54" s="511" t="s">
        <v>380</v>
      </c>
      <c r="C54" s="511"/>
      <c r="D54" s="511"/>
      <c r="E54" s="499" t="str">
        <f aca="false">IF(SUM($W54:$X54)&gt;0,SUM($W54:$X54),IF($H54&gt;0,0,IF($H54&gt;0,0,"-")))</f>
        <v>-</v>
      </c>
      <c r="F54" s="499" t="str">
        <f aca="false">IF(SUM($Y54:$Z54)&gt;0,SUM($Y54:$Z54),IF($H54&gt;0,0,"-"))</f>
        <v>-</v>
      </c>
      <c r="G54" s="499" t="str">
        <f aca="false">IF($H54&gt;0,minus(E54,F54),"-")</f>
        <v>-</v>
      </c>
      <c r="H54" s="500" t="n">
        <f aca="false">SUM(COUNTIF(MatchSource!$A:$A,$B54),COUNTIF(MatchSource!$H:$H,$B54))</f>
        <v>0</v>
      </c>
      <c r="I54" s="501" t="n">
        <f aca="false">SUM($AA54:$AB54)</f>
        <v>0</v>
      </c>
      <c r="J54" s="501" t="s">
        <v>701</v>
      </c>
      <c r="K54" s="512" t="str">
        <f aca="false" t="array" ref="K54:K54">IF(ISNA(INDEX(DraftRosters!$AA$3:$AA$199,MATCH($B54,DraftRosters!$AB$3:$AB$199,0))),"FA",IF(INDEX(DraftRosters!$AA$3:$AA$199,MATCH($B54,DraftRosters!$AB$3:$AB$199,0))="Franchise","Franch",INDEX(DraftRosters!$AA$3:$AA$199,MATCH($B54,DraftRosters!$AB$3:$AB$199,0))))</f>
        <v>FA</v>
      </c>
      <c r="L54" s="507" t="n">
        <v>100</v>
      </c>
      <c r="M54" s="507" t="n">
        <v>123</v>
      </c>
      <c r="N54" s="507" t="n">
        <v>75</v>
      </c>
      <c r="O54" s="507" t="n">
        <v>57</v>
      </c>
      <c r="P54" s="507" t="n">
        <v>75</v>
      </c>
      <c r="Q54" s="508" t="n">
        <v>80</v>
      </c>
      <c r="R54" s="499" t="s">
        <v>801</v>
      </c>
      <c r="S54" s="501" t="s">
        <v>839</v>
      </c>
      <c r="T54" s="504" t="s">
        <v>886</v>
      </c>
      <c r="U54" s="505" t="s">
        <v>897</v>
      </c>
      <c r="V54" s="506" t="s">
        <v>898</v>
      </c>
      <c r="W54" s="500" t="str">
        <f aca="false">IFERROR(__xludf.dummyfunction("if(isna(SUM(FILTER(MatchSource!$A:$D,MatchSource!$A:$A=$B54))),0,SUM(FILTER(MatchSource!$A:$D,MatchSource!$A:$A=$B54)))"),"0")</f>
        <v>0</v>
      </c>
      <c r="X54" s="499" t="str">
        <f aca="false">IFERROR(__xludf.dummyfunction("if(isna(SUM(FILTER(MatchSource!$H:$K,MatchSource!$H:$H=$B54))),0,SUM(FILTER(MatchSource!$H:$K,MatchSource!$H:$H=$B54)))"),"0")</f>
        <v>0</v>
      </c>
      <c r="Y54" s="499" t="str">
        <f aca="false">IFERROR(__xludf.dummyfunction("if(isna(ABS(MINUS(SUM(FILTER(MatchSource!$A:$E,MatchSource!$A:$A=$B54)),SUM($W54)))),0,ABS(MINUS(SUM(FILTER(MatchSource!$A:$E,MatchSource!$A:$A=$B54)),SUM($W54))))"),"0")</f>
        <v>0</v>
      </c>
      <c r="Z54" s="499" t="str">
        <f aca="false">IFERROR(__xludf.dummyfunction("if(isna(ABS(MINUS(SUM(FILTER(MatchSource!$H:$L,MatchSource!$H:$H=$B54)),SUM($X54)))),0,ABS(MINUS(SUM(FILTER(MatchSource!$H:$L,MatchSource!$H:$H=$B54)),SUM($X54))))"),"0")</f>
        <v>0</v>
      </c>
      <c r="AA54" s="499" t="str">
        <f aca="false">IFERROR(__xludf.dummyfunction("if(isna(ABS(MINUS(SUM(FILTER(MatchSource!$A:$F,MatchSource!$A:$A=$B54)),SUM($W54,$Y54)))),0,ABS(MINUS(SUM(FILTER(MatchSource!$A:$F,MatchSource!$A:$A=$B54)),SUM($W54, $Y54,))))"),"0")</f>
        <v>0</v>
      </c>
      <c r="AB54" s="501" t="str">
        <f aca="false">IFERROR(__xludf.dummyfunction("if(isna(ABS(MINUS(SUM(FILTER(MatchSource!$H:$M,MatchSource!$H:$H=$B54)),SUM($X54,$Z54)))),0,ABS(MINUS(SUM(FILTER(MatchSource!$H:$M,MatchSource!$H:$H=$B54)),SUM($X54,$Z54))))"),"0")</f>
        <v>0</v>
      </c>
      <c r="AC54" s="507" t="n">
        <f aca="false">SUM(IF(OR($R54="Grass",$R54="Psychic",$R54="Dark"),0-1,IF(OR($R54="Fighting",$R54="Flying",$R54="Fire",$R54="Ghost",$R54="Poison",$R54="Steel",$R54="Fairy"),1,0)),IF(OR($S54="Grass",$S54="Psychic",$S54="Dark"),0-1,IF(OR($S54="Fighting",$S54="Flying",$S54="Fire",$S54="Ghost",$S54="Poison",$S54="Steel",$S54="Fairy"),1,0)))</f>
        <v>1</v>
      </c>
      <c r="AD54" s="507" t="n">
        <f aca="false">SUM(IF(OR($R54="Ghost",$R54="Psychic"),0-1,IF(OR($R54="Fighting",$R54="Dark",$R54="Fairy"),1,0)),IF(OR($S54="Ghost",$S54="Psychic"),0-1,IF(OR($S54="Fighting",$S54="Dark",$S54="Fairy"),1,0)))</f>
        <v>0</v>
      </c>
      <c r="AE54" s="507" t="n">
        <f aca="false">IF(OR($R54="Fairy",$S54="Fairy"),4,SUM(IF($R54="Dragon",0-1,IF($R54="Steel",1,0)),IF($S54="Dragon",0-1,IF($S54="Steel",1,0))))</f>
        <v>0</v>
      </c>
      <c r="AF54" s="507" t="n">
        <f aca="false">IF(OR($R54="Ground",$S54="Ground"),4,SUM(IF(OR($R54="Flying",$R54="Water"),0-1,IF(OR($R54="Dragon",$R54="Electric",$R54="Grass"),1,0)),IF(OR($S54="Flying",$S54="Water"),0-1,IF(OR($S54="Dragon",$S54="Electric",$S54="Grass"),1,0))))</f>
        <v>-1</v>
      </c>
      <c r="AG54" s="507" t="n">
        <f aca="false">SUM(IF(OR($R54="Dark",$R54="Dragon",$R54="Fighting"),0-1,IF(OR($R54="Steel",$R54="Poison",$R54="Fire"),1,0)),IF(OR($S54="Dark",$S54="Dragon",$S54="Fighting"),0-1,IF(OR($S54="Steel",$S54="Poison",$S54="Fire"),1,0)))</f>
        <v>0</v>
      </c>
      <c r="AH54" s="507" t="n">
        <f aca="false">IF(OR($R54="Ghost",$S54="Ghost"),4,SUM(IF(OR($R54="Dark",$R54="Ice",$R54="Normal",$R54="Rock",$R54="Steel"),0-1,IF(OR($R54="Bug",$R54="Fairy",$R54="Flying",$R54="Poison",$R54="Psychic"),1,0)),IF(OR($S54="Dark",$S54="Ice",$S54="Normal",$S54="Rock",$S54="Steel"),0-1,IF(OR($S54="Bug",$S54="Fairy",$S54="Flying",$S54="Poison",$S54="Psychic"),1,0))))</f>
        <v>0</v>
      </c>
      <c r="AI54" s="507" t="n">
        <f aca="false">SUM(IF(OR($R54="Bug",$R54="Grass",$R54="Ice",$R54="Steel"),0-1,IF(OR($R54="Dragon",$R54="Fire",$R54="Rock",$R54="Water"),1,0)),IF(OR($S54="Bug",$S54="Grass",$S54="Ice",$S54="Steel"),0-1,IF(OR($S54="Dragon",$S54="Fire",$S54="Rock",$S54="Water"),1,0)))</f>
        <v>0</v>
      </c>
      <c r="AJ54" s="507" t="n">
        <f aca="false">SUM(IF(OR($R54="Bug",$R54="Grass",$R54="Fighting"),0-1,IF(OR($R54="Electric",$R54="Rock",$R54="Steel"),1,0)),IF(OR($S54="Bug",$S54="Grass",$S54="Fighting"),0-1,IF(OR($S54="Electric",$S54="Rock",$S54="Steel"),1,0)))</f>
        <v>0</v>
      </c>
      <c r="AK54" s="507" t="n">
        <f aca="false">IF(OR($R54="Normal",$S54="Normal"),4,SUM(IF(OR($R54="Ghost",$R54="Psychic"),0-1,IF($R54="Dark",1,0)),IF(OR($S54="Ghost",$S54="Psychic"),0-1,IF($S54="Dark",1,0))))</f>
        <v>4</v>
      </c>
      <c r="AL54" s="507" t="n">
        <f aca="false">SUM(IF(OR($R54="Ground",$R54="Rock",$R54="Water"),0-1,IF(OR($R54="Bug",$R54="Flying",$R54="Fire",$R54="Dragon",$R54="Poison",$R54="Steel",$R54="Grass"),1,0)),IF(OR($S54="Ground",$S54="Rock",$S54="Water"),0-1,IF(OR($S54="Bug",$S54="Flying",$S54="Fire",$S54="Dragon",$S54="Poison",$S54="Steel",$S54="Grass"),1,0)))</f>
        <v>1</v>
      </c>
      <c r="AM54" s="507" t="n">
        <f aca="false">IF(OR($R54="Flying",$S54="Flying"),4,SUM(IF(OR($R54="Electric",$R54="Fire",$R54="Rock",$R54="Steel",$R54="Poison"),0-1,IF(OR($R54="Bug",$R54="Grass"),1,0)),IF(OR($S54="Electric",$S54="Fire",$S54="Rock",$S54="Steel",$S54="Poison"),0-1,IF(OR($S54="Bug",$S54="Grass"),1,0))))</f>
        <v>4</v>
      </c>
      <c r="AN54" s="507" t="n">
        <f aca="false">SUM(IF(OR($R54="Flying",$R54="Dragon",$R54="Grass",$R54="Ground"),0-1,IF(OR($R54="Steel",$R54="Ice",$R54="Fire",$R54="Water"),1,0)),IF(OR($S54="Flying",$S54="Dragon",$S54="Grass",$S54="Ground"),0-1,IF(OR($S54="Steel",$S54="Ice",$S54="Fire",$S54="Water"),1,0)))</f>
        <v>-1</v>
      </c>
      <c r="AO54" s="507" t="n">
        <f aca="false">IF(OR($R54="Ghost",$S54="Ghost"),4,SUM(IF(OR($R54="Steel",$R54="Rock"),1,0),IF(OR($S54="Steel",$S54="Rock"),1,0)))</f>
        <v>0</v>
      </c>
      <c r="AP54" s="507" t="n">
        <f aca="false">IF(OR($R54="Steel",$S54="Steel"),4,SUM(IF(OR($R54="Fairy",$R54="Grass"),0-1,IF(OR($R54="Ghost",$R54="Rock",$R54="Ground",$R54="Poison"),1,0)),IF(OR($S54="Fairy",$S54="Grass"),0-1,IF(OR($S54="Ghost",$S54="Rock",$S54="Ground",$S54="Poison"),1,0))))</f>
        <v>0</v>
      </c>
      <c r="AQ54" s="507" t="n">
        <f aca="false">IF(OR($R54="Dark",$S54="Dark"),4,SUM(IF(OR($R54="Fighting",$R54="Poison"),0-1,IF(OR($R54="Psychic",$R54="Steel"),1,0)),IF(OR($S54="Fighting",$S54="Poison"),0-1,IF(OR($S54="Psychic",$S54="Steel"),1,0))))</f>
        <v>0</v>
      </c>
      <c r="AR54" s="507" t="n">
        <f aca="false">SUM(IF(OR($R54="Bug",$R54="Fire",$R54="Flying",$R54="Ice"),0-1,IF(OR($R54="Steel",$R54="Fighting",$R54="Ground"),1,0)),IF(OR($S54="Bug",$S54="Fire",$S54="Flying",$S54="Ice"),0-1,IF(OR($S54="Steel",$S54="Fighting",$S54="Ground"),1,0)))</f>
        <v>-1</v>
      </c>
      <c r="AS54" s="507" t="n">
        <f aca="false">SUM(IF(OR($R54="Fairy",$R54="Ice",$R54="Rock"),0-1,IF(OR($R54="Steel",$R54="Electric",$R54="Fire",$R54="Water"),1,0)),IF(OR($S54="Fairy",$S54="Ice",$S54="Rock"),0-1,IF(OR($S54="Steel",$S54="Electric",$S54="Fire",$S54="Water"),1,0)))</f>
        <v>0</v>
      </c>
      <c r="AT54" s="508" t="n">
        <f aca="false">SUM(IF(OR($R54="Fire",$R54="Ground",$R54="Rock"),0-1,IF(OR($R54="Dragon",$R54="Grass",$R54="Water"),1,0)),IF(OR($S54="Fire",$S54="Ground",$S54="Rock"),0-1,IF(OR($S54="Dragon",$S54="Grass",$S54="Water"),1,0)))</f>
        <v>0</v>
      </c>
      <c r="AU54" s="518"/>
    </row>
    <row r="55" customFormat="false" ht="15.75" hidden="false" customHeight="false" outlineLevel="0" collapsed="false">
      <c r="A55" s="515" t="str">
        <f aca="false" t="array" ref="A55:A55">IF(ISNA(INDEX(Source!$U$7:$U$95,MATCH(B55,Source!$V$7:$V$95,0))),"FREE",INDEX(Source!$U$7:$U$95,MATCH(B55,Source!$V$7:$V$95,0)))</f>
        <v>BTB</v>
      </c>
      <c r="B55" s="511" t="s">
        <v>67</v>
      </c>
      <c r="C55" s="511"/>
      <c r="D55" s="511"/>
      <c r="E55" s="499" t="n">
        <f aca="false">IF(SUM($W55:$X55)&gt;0,SUM($W55:$X55),IF($H55&gt;0,0,IF($H55&gt;0,0,"-")))</f>
        <v>0</v>
      </c>
      <c r="F55" s="499" t="n">
        <f aca="false">IF(SUM($Y55:$Z55)&gt;0,SUM($Y55:$Z55),IF($H55&gt;0,0,"-"))</f>
        <v>0</v>
      </c>
      <c r="G55" s="499" t="e">
        <f aca="false">IF($H55&gt;0,minus(E55,F55),"-")</f>
        <v>#NAME?</v>
      </c>
      <c r="H55" s="500" t="n">
        <f aca="false">SUM(COUNTIF(MatchSource!$A:$A,$B55),COUNTIF(MatchSource!$H:$H,$B55))</f>
        <v>7</v>
      </c>
      <c r="I55" s="501" t="n">
        <f aca="false">SUM($AA55:$AB55)</f>
        <v>0</v>
      </c>
      <c r="J55" s="501" t="s">
        <v>699</v>
      </c>
      <c r="K55" s="512" t="n">
        <f aca="false" t="array" ref="K55:K55">IF(ISNA(INDEX(DraftRosters!$AA$3:$AA$199,MATCH($B55,DraftRosters!$AB$3:$AB$199,0))),"FA",IF(INDEX(DraftRosters!$AA$3:$AA$199,MATCH($B55,DraftRosters!$AB$3:$AB$199,0))="Franchise","Franch",INDEX(DraftRosters!$AA$3:$AA$199,MATCH($B55,DraftRosters!$AB$3:$AB$199,0))))</f>
        <v>11</v>
      </c>
      <c r="L55" s="499" t="n">
        <v>60</v>
      </c>
      <c r="M55" s="499" t="n">
        <v>130</v>
      </c>
      <c r="N55" s="499" t="n">
        <v>80</v>
      </c>
      <c r="O55" s="499" t="n">
        <v>60</v>
      </c>
      <c r="P55" s="499" t="n">
        <v>60</v>
      </c>
      <c r="Q55" s="501" t="n">
        <v>70</v>
      </c>
      <c r="R55" s="499" t="s">
        <v>881</v>
      </c>
      <c r="S55" s="501" t="s">
        <v>803</v>
      </c>
      <c r="T55" s="504" t="s">
        <v>844</v>
      </c>
      <c r="U55" s="505" t="s">
        <v>842</v>
      </c>
      <c r="V55" s="506" t="s">
        <v>899</v>
      </c>
      <c r="W55" s="500" t="str">
        <f aca="false">IFERROR(__xludf.dummyfunction("if(isna(SUM(FILTER(MatchSource!$A:$D,MatchSource!$A:$A=$B55))),0,SUM(FILTER(MatchSource!$A:$D,MatchSource!$A:$A=$B55)))"),"1")</f>
        <v>1</v>
      </c>
      <c r="X55" s="499" t="str">
        <f aca="false">IFERROR(__xludf.dummyfunction("if(isna(SUM(FILTER(MatchSource!$H:$K,MatchSource!$H:$H=$B55))),0,SUM(FILTER(MatchSource!$H:$K,MatchSource!$H:$H=$B55)))"),"3")</f>
        <v>3</v>
      </c>
      <c r="Y55" s="499" t="str">
        <f aca="false">IFERROR(__xludf.dummyfunction("if(isna(ABS(MINUS(SUM(FILTER(MatchSource!$A:$E,MatchSource!$A:$A=$B55)),SUM($W55)))),0,ABS(MINUS(SUM(FILTER(MatchSource!$A:$E,MatchSource!$A:$A=$B55)),SUM($W55))))"),"1")</f>
        <v>1</v>
      </c>
      <c r="Z55" s="499" t="str">
        <f aca="false">IFERROR(__xludf.dummyfunction("if(isna(ABS(MINUS(SUM(FILTER(MatchSource!$H:$L,MatchSource!$H:$H=$B55)),SUM($X55)))),0,ABS(MINUS(SUM(FILTER(MatchSource!$H:$L,MatchSource!$H:$H=$B55)),SUM($X55))))"),"2")</f>
        <v>2</v>
      </c>
      <c r="AA55" s="499" t="str">
        <f aca="false">IFERROR(__xludf.dummyfunction("if(isna(ABS(MINUS(SUM(FILTER(MatchSource!$A:$F,MatchSource!$A:$A=$B55)),SUM($W55,$Y55)))),0,ABS(MINUS(SUM(FILTER(MatchSource!$A:$F,MatchSource!$A:$A=$B55)),SUM($W55, $Y55,))))"),"2")</f>
        <v>2</v>
      </c>
      <c r="AB55" s="501" t="str">
        <f aca="false">IFERROR(__xludf.dummyfunction("if(isna(ABS(MINUS(SUM(FILTER(MatchSource!$H:$M,MatchSource!$H:$H=$B55)),SUM($X55,$Z55)))),0,ABS(MINUS(SUM(FILTER(MatchSource!$H:$M,MatchSource!$H:$H=$B55)),SUM($X55,$Z55))))"),"2")</f>
        <v>2</v>
      </c>
      <c r="AC55" s="507" t="n">
        <f aca="false">SUM(IF(OR($R55="Grass",$R55="Psychic",$R55="Dark"),0-1,IF(OR($R55="Fighting",$R55="Flying",$R55="Fire",$R55="Ghost",$R55="Poison",$R55="Steel",$R55="Fairy"),1,0)),IF(OR($S55="Grass",$S55="Psychic",$S55="Dark"),0-1,IF(OR($S55="Fighting",$S55="Flying",$S55="Fire",$S55="Ghost",$S55="Poison",$S55="Steel",$S55="Fairy"),1,0)))</f>
        <v>0</v>
      </c>
      <c r="AD55" s="507" t="n">
        <f aca="false">SUM(IF(OR($R55="Ghost",$R55="Psychic"),0-1,IF(OR($R55="Fighting",$R55="Dark",$R55="Fairy"),1,0)),IF(OR($S55="Ghost",$S55="Psychic"),0-1,IF(OR($S55="Fighting",$S55="Dark",$S55="Fairy"),1,0)))</f>
        <v>1</v>
      </c>
      <c r="AE55" s="507" t="n">
        <f aca="false">IF(OR($R55="Fairy",$S55="Fairy"),4,SUM(IF($R55="Dragon",0-1,IF($R55="Steel",1,0)),IF($S55="Dragon",0-1,IF($S55="Steel",1,0))))</f>
        <v>0</v>
      </c>
      <c r="AF55" s="507" t="n">
        <f aca="false">IF(OR($R55="Ground",$S55="Ground"),4,SUM(IF(OR($R55="Flying",$R55="Water"),0-1,IF(OR($R55="Dragon",$R55="Electric",$R55="Grass"),1,0)),IF(OR($S55="Flying",$S55="Water"),0-1,IF(OR($S55="Dragon",$S55="Electric",$S55="Grass"),1,0))))</f>
        <v>1</v>
      </c>
      <c r="AG55" s="507" t="n">
        <f aca="false">SUM(IF(OR($R55="Dark",$R55="Dragon",$R55="Fighting"),0-1,IF(OR($R55="Steel",$R55="Poison",$R55="Fire"),1,0)),IF(OR($S55="Dark",$S55="Dragon",$S55="Fighting"),0-1,IF(OR($S55="Steel",$S55="Poison",$S55="Fire"),1,0)))</f>
        <v>-1</v>
      </c>
      <c r="AH55" s="507" t="n">
        <f aca="false">IF(OR($R55="Ghost",$S55="Ghost"),4,SUM(IF(OR($R55="Dark",$R55="Ice",$R55="Normal",$R55="Rock",$R55="Steel"),0-1,IF(OR($R55="Bug",$R55="Fairy",$R55="Flying",$R55="Poison",$R55="Psychic"),1,0)),IF(OR($S55="Dark",$S55="Ice",$S55="Normal",$S55="Rock",$S55="Steel"),0-1,IF(OR($S55="Bug",$S55="Fairy",$S55="Flying",$S55="Poison",$S55="Psychic"),1,0))))</f>
        <v>0</v>
      </c>
      <c r="AI55" s="507" t="n">
        <f aca="false">SUM(IF(OR($R55="Bug",$R55="Grass",$R55="Ice",$R55="Steel"),0-1,IF(OR($R55="Dragon",$R55="Fire",$R55="Rock",$R55="Water"),1,0)),IF(OR($S55="Bug",$S55="Grass",$S55="Ice",$S55="Steel"),0-1,IF(OR($S55="Dragon",$S55="Fire",$S55="Rock",$S55="Water"),1,0)))</f>
        <v>-1</v>
      </c>
      <c r="AJ55" s="507" t="n">
        <f aca="false">SUM(IF(OR($R55="Bug",$R55="Grass",$R55="Fighting"),0-1,IF(OR($R55="Electric",$R55="Rock",$R55="Steel"),1,0)),IF(OR($S55="Bug",$S55="Grass",$S55="Fighting"),0-1,IF(OR($S55="Electric",$S55="Rock",$S55="Steel"),1,0)))</f>
        <v>-2</v>
      </c>
      <c r="AK55" s="507" t="n">
        <f aca="false">IF(OR($R55="Normal",$S55="Normal"),4,SUM(IF(OR($R55="Ghost",$R55="Psychic"),0-1,IF($R55="Dark",1,0)),IF(OR($S55="Ghost",$S55="Psychic"),0-1,IF($S55="Dark",1,0))))</f>
        <v>0</v>
      </c>
      <c r="AL55" s="507" t="n">
        <f aca="false">SUM(IF(OR($R55="Ground",$R55="Rock",$R55="Water"),0-1,IF(OR($R55="Bug",$R55="Flying",$R55="Fire",$R55="Dragon",$R55="Poison",$R55="Steel",$R55="Grass"),1,0)),IF(OR($S55="Ground",$S55="Rock",$S55="Water"),0-1,IF(OR($S55="Bug",$S55="Flying",$S55="Fire",$S55="Dragon",$S55="Poison",$S55="Steel",$S55="Grass"),1,0)))</f>
        <v>1</v>
      </c>
      <c r="AM55" s="507" t="n">
        <f aca="false">IF(OR($R55="Flying",$S55="Flying"),4,SUM(IF(OR($R55="Electric",$R55="Fire",$R55="Rock",$R55="Steel",$R55="Poison"),0-1,IF(OR($R55="Bug",$R55="Grass"),1,0)),IF(OR($S55="Electric",$S55="Fire",$S55="Rock",$S55="Steel",$S55="Poison"),0-1,IF(OR($S55="Bug",$S55="Grass"),1,0))))</f>
        <v>1</v>
      </c>
      <c r="AN55" s="507" t="n">
        <f aca="false">SUM(IF(OR($R55="Flying",$R55="Dragon",$R55="Grass",$R55="Ground"),0-1,IF(OR($R55="Steel",$R55="Ice",$R55="Fire",$R55="Water"),1,0)),IF(OR($S55="Flying",$S55="Dragon",$S55="Grass",$S55="Ground"),0-1,IF(OR($S55="Steel",$S55="Ice",$S55="Fire",$S55="Water"),1,0)))</f>
        <v>-1</v>
      </c>
      <c r="AO55" s="507" t="n">
        <f aca="false">IF(OR($R55="Ghost",$S55="Ghost"),4,SUM(IF(OR($R55="Steel",$R55="Rock"),1,0),IF(OR($S55="Steel",$S55="Rock"),1,0)))</f>
        <v>0</v>
      </c>
      <c r="AP55" s="507" t="n">
        <f aca="false">IF(OR($R55="Steel",$S55="Steel"),4,SUM(IF(OR($R55="Fairy",$R55="Grass"),0-1,IF(OR($R55="Ghost",$R55="Rock",$R55="Ground",$R55="Poison"),1,0)),IF(OR($S55="Fairy",$S55="Grass"),0-1,IF(OR($S55="Ghost",$S55="Rock",$S55="Ground",$S55="Poison"),1,0))))</f>
        <v>-1</v>
      </c>
      <c r="AQ55" s="507" t="n">
        <f aca="false">IF(OR($R55="Dark",$S55="Dark"),4,SUM(IF(OR($R55="Fighting",$R55="Poison"),0-1,IF(OR($R55="Psychic",$R55="Steel"),1,0)),IF(OR($S55="Fighting",$S55="Poison"),0-1,IF(OR($S55="Psychic",$S55="Steel"),1,0))))</f>
        <v>-1</v>
      </c>
      <c r="AR55" s="507" t="n">
        <f aca="false">SUM(IF(OR($R55="Bug",$R55="Fire",$R55="Flying",$R55="Ice"),0-1,IF(OR($R55="Steel",$R55="Fighting",$R55="Ground"),1,0)),IF(OR($S55="Bug",$S55="Fire",$S55="Flying",$S55="Ice"),0-1,IF(OR($S55="Steel",$S55="Fighting",$S55="Ground"),1,0)))</f>
        <v>1</v>
      </c>
      <c r="AS55" s="507" t="n">
        <f aca="false">SUM(IF(OR($R55="Fairy",$R55="Ice",$R55="Rock"),0-1,IF(OR($R55="Steel",$R55="Electric",$R55="Fire",$R55="Water"),1,0)),IF(OR($S55="Fairy",$S55="Ice",$S55="Rock"),0-1,IF(OR($S55="Steel",$S55="Electric",$S55="Fire",$S55="Water"),1,0)))</f>
        <v>0</v>
      </c>
      <c r="AT55" s="508" t="n">
        <f aca="false">SUM(IF(OR($R55="Fire",$R55="Ground",$R55="Rock"),0-1,IF(OR($R55="Dragon",$R55="Grass",$R55="Water"),1,0)),IF(OR($S55="Fire",$S55="Ground",$S55="Rock"),0-1,IF(OR($S55="Dragon",$S55="Grass",$S55="Water"),1,0)))</f>
        <v>1</v>
      </c>
      <c r="AU55" s="518"/>
    </row>
    <row r="56" customFormat="false" ht="15.75" hidden="false" customHeight="false" outlineLevel="0" collapsed="false">
      <c r="A56" s="515" t="str">
        <f aca="false" t="array" ref="A56:A56">IF(ISNA(INDEX(Source!$U$7:$U$95,MATCH(B56,Source!$V$7:$V$95,0))),"FREE",INDEX(Source!$U$7:$U$95,MATCH(B56,Source!$V$7:$V$95,0)))</f>
        <v>FREE</v>
      </c>
      <c r="B56" s="511" t="s">
        <v>385</v>
      </c>
      <c r="C56" s="511"/>
      <c r="D56" s="511"/>
      <c r="E56" s="499" t="str">
        <f aca="false">IF(SUM($W56:$X56)&gt;0,SUM($W56:$X56),IF($H56&gt;0,0,IF($H56&gt;0,0,"-")))</f>
        <v>-</v>
      </c>
      <c r="F56" s="499" t="str">
        <f aca="false">IF(SUM($Y56:$Z56)&gt;0,SUM($Y56:$Z56),IF($H56&gt;0,0,"-"))</f>
        <v>-</v>
      </c>
      <c r="G56" s="499" t="str">
        <f aca="false">IF($H56&gt;0,minus(E56,F56),"-")</f>
        <v>-</v>
      </c>
      <c r="H56" s="500" t="n">
        <f aca="false">SUM(COUNTIF(MatchSource!$A:$A,$B56),COUNTIF(MatchSource!$H:$H,$B56))</f>
        <v>0</v>
      </c>
      <c r="I56" s="501" t="n">
        <f aca="false">SUM($AA56:$AB56)</f>
        <v>0</v>
      </c>
      <c r="J56" s="501" t="s">
        <v>701</v>
      </c>
      <c r="K56" s="512" t="str">
        <f aca="false" t="array" ref="K56:K56">IF(ISNA(INDEX(DraftRosters!$AA$3:$AA$199,MATCH($B56,DraftRosters!$AB$3:$AB$199,0))),"FA",IF(INDEX(DraftRosters!$AA$3:$AA$199,MATCH($B56,DraftRosters!$AB$3:$AB$199,0))="Franchise","Franch",INDEX(DraftRosters!$AA$3:$AA$199,MATCH($B56,DraftRosters!$AB$3:$AB$199,0))))</f>
        <v>FA</v>
      </c>
      <c r="L56" s="499" t="n">
        <v>67</v>
      </c>
      <c r="M56" s="499" t="n">
        <v>89</v>
      </c>
      <c r="N56" s="499" t="n">
        <v>116</v>
      </c>
      <c r="O56" s="499" t="n">
        <v>79</v>
      </c>
      <c r="P56" s="499" t="n">
        <v>116</v>
      </c>
      <c r="Q56" s="501" t="n">
        <v>33</v>
      </c>
      <c r="R56" s="499" t="s">
        <v>828</v>
      </c>
      <c r="S56" s="501" t="s">
        <v>810</v>
      </c>
      <c r="T56" s="504" t="s">
        <v>900</v>
      </c>
      <c r="U56" s="505" t="s">
        <v>825</v>
      </c>
      <c r="V56" s="506" t="s">
        <v>866</v>
      </c>
      <c r="W56" s="500" t="str">
        <f aca="false">IFERROR(__xludf.dummyfunction("if(isna(SUM(FILTER(MatchSource!$A:$D,MatchSource!$A:$A=$B56))),0,SUM(FILTER(MatchSource!$A:$D,MatchSource!$A:$A=$B56)))"),"0")</f>
        <v>0</v>
      </c>
      <c r="X56" s="499" t="str">
        <f aca="false">IFERROR(__xludf.dummyfunction("if(isna(SUM(FILTER(MatchSource!$H:$K,MatchSource!$H:$H=$B56))),0,SUM(FILTER(MatchSource!$H:$K,MatchSource!$H:$H=$B56)))"),"0")</f>
        <v>0</v>
      </c>
      <c r="Y56" s="499" t="str">
        <f aca="false">IFERROR(__xludf.dummyfunction("if(isna(ABS(MINUS(SUM(FILTER(MatchSource!$A:$E,MatchSource!$A:$A=$B56)),SUM($W56)))),0,ABS(MINUS(SUM(FILTER(MatchSource!$A:$E,MatchSource!$A:$A=$B56)),SUM($W56))))"),"0")</f>
        <v>0</v>
      </c>
      <c r="Z56" s="499" t="str">
        <f aca="false">IFERROR(__xludf.dummyfunction("if(isna(ABS(MINUS(SUM(FILTER(MatchSource!$H:$L,MatchSource!$H:$H=$B56)),SUM($X56)))),0,ABS(MINUS(SUM(FILTER(MatchSource!$H:$L,MatchSource!$H:$H=$B56)),SUM($X56))))"),"0")</f>
        <v>0</v>
      </c>
      <c r="AA56" s="499" t="str">
        <f aca="false">IFERROR(__xludf.dummyfunction("if(isna(ABS(MINUS(SUM(FILTER(MatchSource!$A:$F,MatchSource!$A:$A=$B56)),SUM($W56,$Y56)))),0,ABS(MINUS(SUM(FILTER(MatchSource!$A:$F,MatchSource!$A:$A=$B56)),SUM($W56, $Y56,))))"),"0")</f>
        <v>0</v>
      </c>
      <c r="AB56" s="501" t="str">
        <f aca="false">IFERROR(__xludf.dummyfunction("if(isna(ABS(MINUS(SUM(FILTER(MatchSource!$H:$M,MatchSource!$H:$H=$B56)),SUM($X56,$Z56)))),0,ABS(MINUS(SUM(FILTER(MatchSource!$H:$M,MatchSource!$H:$H=$B56)),SUM($X56,$Z56))))"),"0")</f>
        <v>0</v>
      </c>
      <c r="AC56" s="507" t="n">
        <f aca="false">SUM(IF(OR($R56="Grass",$R56="Psychic",$R56="Dark"),0-1,IF(OR($R56="Fighting",$R56="Flying",$R56="Fire",$R56="Ghost",$R56="Poison",$R56="Steel",$R56="Fairy"),1,0)),IF(OR($S56="Grass",$S56="Psychic",$S56="Dark"),0-1,IF(OR($S56="Fighting",$S56="Flying",$S56="Fire",$S56="Ghost",$S56="Poison",$S56="Steel",$S56="Fairy"),1,0)))</f>
        <v>0</v>
      </c>
      <c r="AD56" s="507" t="n">
        <f aca="false">SUM(IF(OR($R56="Ghost",$R56="Psychic"),0-1,IF(OR($R56="Fighting",$R56="Dark",$R56="Fairy"),1,0)),IF(OR($S56="Ghost",$S56="Psychic"),0-1,IF(OR($S56="Fighting",$S56="Dark",$S56="Fairy"),1,0)))</f>
        <v>-1</v>
      </c>
      <c r="AE56" s="507" t="n">
        <f aca="false">IF(OR($R56="Fairy",$S56="Fairy"),4,SUM(IF($R56="Dragon",0-1,IF($R56="Steel",1,0)),IF($S56="Dragon",0-1,IF($S56="Steel",1,0))))</f>
        <v>1</v>
      </c>
      <c r="AF56" s="507" t="n">
        <f aca="false">IF(OR($R56="Ground",$S56="Ground"),4,SUM(IF(OR($R56="Flying",$R56="Water"),0-1,IF(OR($R56="Dragon",$R56="Electric",$R56="Grass"),1,0)),IF(OR($S56="Flying",$S56="Water"),0-1,IF(OR($S56="Dragon",$S56="Electric",$S56="Grass"),1,0))))</f>
        <v>0</v>
      </c>
      <c r="AG56" s="507" t="n">
        <f aca="false">SUM(IF(OR($R56="Dark",$R56="Dragon",$R56="Fighting"),0-1,IF(OR($R56="Steel",$R56="Poison",$R56="Fire"),1,0)),IF(OR($S56="Dark",$S56="Dragon",$S56="Fighting"),0-1,IF(OR($S56="Steel",$S56="Poison",$S56="Fire"),1,0)))</f>
        <v>1</v>
      </c>
      <c r="AH56" s="507" t="n">
        <f aca="false">IF(OR($R56="Ghost",$S56="Ghost"),4,SUM(IF(OR($R56="Dark",$R56="Ice",$R56="Normal",$R56="Rock",$R56="Steel"),0-1,IF(OR($R56="Bug",$R56="Fairy",$R56="Flying",$R56="Poison",$R56="Psychic"),1,0)),IF(OR($S56="Dark",$S56="Ice",$S56="Normal",$S56="Rock",$S56="Steel"),0-1,IF(OR($S56="Bug",$S56="Fairy",$S56="Flying",$S56="Poison",$S56="Psychic"),1,0))))</f>
        <v>0</v>
      </c>
      <c r="AI56" s="507" t="n">
        <f aca="false">SUM(IF(OR($R56="Bug",$R56="Grass",$R56="Ice",$R56="Steel"),0-1,IF(OR($R56="Dragon",$R56="Fire",$R56="Rock",$R56="Water"),1,0)),IF(OR($S56="Bug",$S56="Grass",$S56="Ice",$S56="Steel"),0-1,IF(OR($S56="Dragon",$S56="Fire",$S56="Rock",$S56="Water"),1,0)))</f>
        <v>-1</v>
      </c>
      <c r="AJ56" s="507" t="n">
        <f aca="false">SUM(IF(OR($R56="Bug",$R56="Grass",$R56="Fighting"),0-1,IF(OR($R56="Electric",$R56="Rock",$R56="Steel"),1,0)),IF(OR($S56="Bug",$S56="Grass",$S56="Fighting"),0-1,IF(OR($S56="Electric",$S56="Rock",$S56="Steel"),1,0)))</f>
        <v>1</v>
      </c>
      <c r="AK56" s="507" t="n">
        <f aca="false">IF(OR($R56="Normal",$S56="Normal"),4,SUM(IF(OR($R56="Ghost",$R56="Psychic"),0-1,IF($R56="Dark",1,0)),IF(OR($S56="Ghost",$S56="Psychic"),0-1,IF($S56="Dark",1,0))))</f>
        <v>-1</v>
      </c>
      <c r="AL56" s="507" t="n">
        <f aca="false">SUM(IF(OR($R56="Ground",$R56="Rock",$R56="Water"),0-1,IF(OR($R56="Bug",$R56="Flying",$R56="Fire",$R56="Dragon",$R56="Poison",$R56="Steel",$R56="Grass"),1,0)),IF(OR($S56="Ground",$S56="Rock",$S56="Water"),0-1,IF(OR($S56="Bug",$S56="Flying",$S56="Fire",$S56="Dragon",$S56="Poison",$S56="Steel",$S56="Grass"),1,0)))</f>
        <v>1</v>
      </c>
      <c r="AM56" s="507" t="n">
        <f aca="false">IF(OR($R56="Flying",$S56="Flying"),4,SUM(IF(OR($R56="Electric",$R56="Fire",$R56="Rock",$R56="Steel",$R56="Poison"),0-1,IF(OR($R56="Bug",$R56="Grass"),1,0)),IF(OR($S56="Electric",$S56="Fire",$S56="Rock",$S56="Steel",$S56="Poison"),0-1,IF(OR($S56="Bug",$S56="Grass"),1,0))))</f>
        <v>-1</v>
      </c>
      <c r="AN56" s="507" t="n">
        <f aca="false">SUM(IF(OR($R56="Flying",$R56="Dragon",$R56="Grass",$R56="Ground"),0-1,IF(OR($R56="Steel",$R56="Ice",$R56="Fire",$R56="Water"),1,0)),IF(OR($S56="Flying",$S56="Dragon",$S56="Grass",$S56="Ground"),0-1,IF(OR($S56="Steel",$S56="Ice",$S56="Fire",$S56="Water"),1,0)))</f>
        <v>1</v>
      </c>
      <c r="AO56" s="507" t="n">
        <f aca="false">IF(OR($R56="Ghost",$S56="Ghost"),4,SUM(IF(OR($R56="Steel",$R56="Rock"),1,0),IF(OR($S56="Steel",$S56="Rock"),1,0)))</f>
        <v>1</v>
      </c>
      <c r="AP56" s="507" t="n">
        <f aca="false">IF(OR($R56="Steel",$S56="Steel"),4,SUM(IF(OR($R56="Fairy",$R56="Grass"),0-1,IF(OR($R56="Ghost",$R56="Rock",$R56="Ground",$R56="Poison"),1,0)),IF(OR($S56="Fairy",$S56="Grass"),0-1,IF(OR($S56="Ghost",$S56="Rock",$S56="Ground",$S56="Poison"),1,0))))</f>
        <v>4</v>
      </c>
      <c r="AQ56" s="507" t="n">
        <f aca="false">IF(OR($R56="Dark",$S56="Dark"),4,SUM(IF(OR($R56="Fighting",$R56="Poison"),0-1,IF(OR($R56="Psychic",$R56="Steel"),1,0)),IF(OR($S56="Fighting",$S56="Poison"),0-1,IF(OR($S56="Psychic",$S56="Steel"),1,0))))</f>
        <v>2</v>
      </c>
      <c r="AR56" s="507" t="n">
        <f aca="false">SUM(IF(OR($R56="Bug",$R56="Fire",$R56="Flying",$R56="Ice"),0-1,IF(OR($R56="Steel",$R56="Fighting",$R56="Ground"),1,0)),IF(OR($S56="Bug",$S56="Fire",$S56="Flying",$S56="Ice"),0-1,IF(OR($S56="Steel",$S56="Fighting",$S56="Ground"),1,0)))</f>
        <v>1</v>
      </c>
      <c r="AS56" s="507" t="n">
        <f aca="false">SUM(IF(OR($R56="Fairy",$R56="Ice",$R56="Rock"),0-1,IF(OR($R56="Steel",$R56="Electric",$R56="Fire",$R56="Water"),1,0)),IF(OR($S56="Fairy",$S56="Ice",$S56="Rock"),0-1,IF(OR($S56="Steel",$S56="Electric",$S56="Fire",$S56="Water"),1,0)))</f>
        <v>1</v>
      </c>
      <c r="AT56" s="508" t="n">
        <f aca="false">SUM(IF(OR($R56="Fire",$R56="Ground",$R56="Rock"),0-1,IF(OR($R56="Dragon",$R56="Grass",$R56="Water"),1,0)),IF(OR($S56="Fire",$S56="Ground",$S56="Rock"),0-1,IF(OR($S56="Dragon",$S56="Grass",$S56="Water"),1,0)))</f>
        <v>0</v>
      </c>
      <c r="AU56" s="518"/>
    </row>
    <row r="57" customFormat="false" ht="15.75" hidden="false" customHeight="false" outlineLevel="0" collapsed="false">
      <c r="A57" s="510" t="str">
        <f aca="false" t="array" ref="A57:A57">IF(ISNA(INDEX(Source!$U$7:$U$95,MATCH(B57,Source!$V$7:$V$95,0))),"FREE",INDEX(Source!$U$7:$U$95,MATCH(B57,Source!$V$7:$V$95,0)))</f>
        <v>FREE</v>
      </c>
      <c r="B57" s="511" t="s">
        <v>267</v>
      </c>
      <c r="C57" s="511"/>
      <c r="D57" s="511"/>
      <c r="E57" s="499" t="str">
        <f aca="false">IF(SUM($W57:$X57)&gt;0,SUM($W57:$X57),IF($H57&gt;0,0,IF($H57&gt;0,0,"-")))</f>
        <v>-</v>
      </c>
      <c r="F57" s="499" t="str">
        <f aca="false">IF(SUM($Y57:$Z57)&gt;0,SUM($Y57:$Z57),IF($H57&gt;0,0,"-"))</f>
        <v>-</v>
      </c>
      <c r="G57" s="499" t="str">
        <f aca="false">IF($H57&gt;0,minus(E57,F57),"-")</f>
        <v>-</v>
      </c>
      <c r="H57" s="500" t="n">
        <f aca="false">SUM(COUNTIF(MatchSource!$A:$A,$B57),COUNTIF(MatchSource!$H:$H,$B57))</f>
        <v>0</v>
      </c>
      <c r="I57" s="501" t="n">
        <f aca="false">SUM($AA57:$AB57)</f>
        <v>0</v>
      </c>
      <c r="J57" s="501" t="s">
        <v>701</v>
      </c>
      <c r="K57" s="512" t="n">
        <f aca="false" t="array" ref="K57:K57">IF(ISNA(INDEX(DraftRosters!$AA$3:$AA$199,MATCH($B57,DraftRosters!$AB$3:$AB$199,0))),"FA",IF(INDEX(DraftRosters!$AA$3:$AA$199,MATCH($B57,DraftRosters!$AB$3:$AB$199,0))="Franchise","Franch",INDEX(DraftRosters!$AA$3:$AA$199,MATCH($B57,DraftRosters!$AB$3:$AB$199,0))))</f>
        <v>31</v>
      </c>
      <c r="L57" s="499" t="n">
        <v>68</v>
      </c>
      <c r="M57" s="499" t="n">
        <v>105</v>
      </c>
      <c r="N57" s="499" t="n">
        <v>70</v>
      </c>
      <c r="O57" s="499" t="n">
        <v>70</v>
      </c>
      <c r="P57" s="499" t="n">
        <v>70</v>
      </c>
      <c r="Q57" s="501" t="n">
        <v>92</v>
      </c>
      <c r="R57" s="499" t="s">
        <v>828</v>
      </c>
      <c r="S57" s="501" t="s">
        <v>811</v>
      </c>
      <c r="T57" s="504" t="s">
        <v>901</v>
      </c>
      <c r="U57" s="505" t="s">
        <v>902</v>
      </c>
      <c r="V57" s="506" t="s">
        <v>903</v>
      </c>
      <c r="W57" s="500" t="str">
        <f aca="false">IFERROR(__xludf.dummyfunction("if(isna(SUM(FILTER(MatchSource!$A:$D,MatchSource!$A:$A=$B57))),0,SUM(FILTER(MatchSource!$A:$D,MatchSource!$A:$A=$B57)))"),"0")</f>
        <v>0</v>
      </c>
      <c r="X57" s="499" t="str">
        <f aca="false">IFERROR(__xludf.dummyfunction("if(isna(SUM(FILTER(MatchSource!$H:$K,MatchSource!$H:$H=$B57))),0,SUM(FILTER(MatchSource!$H:$K,MatchSource!$H:$H=$B57)))"),"0")</f>
        <v>0</v>
      </c>
      <c r="Y57" s="499" t="str">
        <f aca="false">IFERROR(__xludf.dummyfunction("if(isna(ABS(MINUS(SUM(FILTER(MatchSource!$A:$E,MatchSource!$A:$A=$B57)),SUM($W57)))),0,ABS(MINUS(SUM(FILTER(MatchSource!$A:$E,MatchSource!$A:$A=$B57)),SUM($W57))))"),"0")</f>
        <v>0</v>
      </c>
      <c r="Z57" s="499" t="str">
        <f aca="false">IFERROR(__xludf.dummyfunction("if(isna(ABS(MINUS(SUM(FILTER(MatchSource!$H:$L,MatchSource!$H:$H=$B57)),SUM($X57)))),0,ABS(MINUS(SUM(FILTER(MatchSource!$H:$L,MatchSource!$H:$H=$B57)),SUM($X57))))"),"0")</f>
        <v>0</v>
      </c>
      <c r="AA57" s="499" t="str">
        <f aca="false">IFERROR(__xludf.dummyfunction("if(isna(ABS(MINUS(SUM(FILTER(MatchSource!$A:$F,MatchSource!$A:$A=$B57)),SUM($W57,$Y57)))),0,ABS(MINUS(SUM(FILTER(MatchSource!$A:$F,MatchSource!$A:$A=$B57)),SUM($W57, $Y57,))))"),"0")</f>
        <v>0</v>
      </c>
      <c r="AB57" s="501" t="str">
        <f aca="false">IFERROR(__xludf.dummyfunction("if(isna(ABS(MINUS(SUM(FILTER(MatchSource!$H:$M,MatchSource!$H:$H=$B57)),SUM($X57,$Z57)))),0,ABS(MINUS(SUM(FILTER(MatchSource!$H:$M,MatchSource!$H:$H=$B57)),SUM($X57,$Z57))))"),"0")</f>
        <v>0</v>
      </c>
      <c r="AC57" s="507" t="n">
        <f aca="false">SUM(IF(OR($R57="Grass",$R57="Psychic",$R57="Dark"),0-1,IF(OR($R57="Fighting",$R57="Flying",$R57="Fire",$R57="Ghost",$R57="Poison",$R57="Steel",$R57="Fairy"),1,0)),IF(OR($S57="Grass",$S57="Psychic",$S57="Dark"),0-1,IF(OR($S57="Fighting",$S57="Flying",$S57="Fire",$S57="Ghost",$S57="Poison",$S57="Steel",$S57="Fairy"),1,0)))</f>
        <v>-1</v>
      </c>
      <c r="AD57" s="507" t="n">
        <f aca="false">SUM(IF(OR($R57="Ghost",$R57="Psychic"),0-1,IF(OR($R57="Fighting",$R57="Dark",$R57="Fairy"),1,0)),IF(OR($S57="Ghost",$S57="Psychic"),0-1,IF(OR($S57="Fighting",$S57="Dark",$S57="Fairy"),1,0)))</f>
        <v>-1</v>
      </c>
      <c r="AE57" s="507" t="n">
        <f aca="false">IF(OR($R57="Fairy",$S57="Fairy"),4,SUM(IF($R57="Dragon",0-1,IF($R57="Steel",1,0)),IF($S57="Dragon",0-1,IF($S57="Steel",1,0))))</f>
        <v>0</v>
      </c>
      <c r="AF57" s="507" t="n">
        <f aca="false">IF(OR($R57="Ground",$S57="Ground"),4,SUM(IF(OR($R57="Flying",$R57="Water"),0-1,IF(OR($R57="Dragon",$R57="Electric",$R57="Grass"),1,0)),IF(OR($S57="Flying",$S57="Water"),0-1,IF(OR($S57="Dragon",$S57="Electric",$S57="Grass"),1,0))))</f>
        <v>-1</v>
      </c>
      <c r="AG57" s="507" t="n">
        <f aca="false">SUM(IF(OR($R57="Dark",$R57="Dragon",$R57="Fighting"),0-1,IF(OR($R57="Steel",$R57="Poison",$R57="Fire"),1,0)),IF(OR($S57="Dark",$S57="Dragon",$S57="Fighting"),0-1,IF(OR($S57="Steel",$S57="Poison",$S57="Fire"),1,0)))</f>
        <v>0</v>
      </c>
      <c r="AH57" s="507" t="n">
        <f aca="false">IF(OR($R57="Ghost",$S57="Ghost"),4,SUM(IF(OR($R57="Dark",$R57="Ice",$R57="Normal",$R57="Rock",$R57="Steel"),0-1,IF(OR($R57="Bug",$R57="Fairy",$R57="Flying",$R57="Poison",$R57="Psychic"),1,0)),IF(OR($S57="Dark",$S57="Ice",$S57="Normal",$S57="Rock",$S57="Steel"),0-1,IF(OR($S57="Bug",$S57="Fairy",$S57="Flying",$S57="Poison",$S57="Psychic"),1,0))))</f>
        <v>1</v>
      </c>
      <c r="AI57" s="507" t="n">
        <f aca="false">SUM(IF(OR($R57="Bug",$R57="Grass",$R57="Ice",$R57="Steel"),0-1,IF(OR($R57="Dragon",$R57="Fire",$R57="Rock",$R57="Water"),1,0)),IF(OR($S57="Bug",$S57="Grass",$S57="Ice",$S57="Steel"),0-1,IF(OR($S57="Dragon",$S57="Fire",$S57="Rock",$S57="Water"),1,0)))</f>
        <v>1</v>
      </c>
      <c r="AJ57" s="507" t="n">
        <f aca="false">SUM(IF(OR($R57="Bug",$R57="Grass",$R57="Fighting"),0-1,IF(OR($R57="Electric",$R57="Rock",$R57="Steel"),1,0)),IF(OR($S57="Bug",$S57="Grass",$S57="Fighting"),0-1,IF(OR($S57="Electric",$S57="Rock",$S57="Steel"),1,0)))</f>
        <v>0</v>
      </c>
      <c r="AK57" s="507" t="n">
        <f aca="false">IF(OR($R57="Normal",$S57="Normal"),4,SUM(IF(OR($R57="Ghost",$R57="Psychic"),0-1,IF($R57="Dark",1,0)),IF(OR($S57="Ghost",$S57="Psychic"),0-1,IF($S57="Dark",1,0))))</f>
        <v>-1</v>
      </c>
      <c r="AL57" s="507" t="n">
        <f aca="false">SUM(IF(OR($R57="Ground",$R57="Rock",$R57="Water"),0-1,IF(OR($R57="Bug",$R57="Flying",$R57="Fire",$R57="Dragon",$R57="Poison",$R57="Steel",$R57="Grass"),1,0)),IF(OR($S57="Ground",$S57="Rock",$S57="Water"),0-1,IF(OR($S57="Bug",$S57="Flying",$S57="Fire",$S57="Dragon",$S57="Poison",$S57="Steel",$S57="Grass"),1,0)))</f>
        <v>-1</v>
      </c>
      <c r="AM57" s="507" t="n">
        <f aca="false">IF(OR($R57="Flying",$S57="Flying"),4,SUM(IF(OR($R57="Electric",$R57="Fire",$R57="Rock",$R57="Steel",$R57="Poison"),0-1,IF(OR($R57="Bug",$R57="Grass"),1,0)),IF(OR($S57="Electric",$S57="Fire",$S57="Rock",$S57="Steel",$S57="Poison"),0-1,IF(OR($S57="Bug",$S57="Grass"),1,0))))</f>
        <v>0</v>
      </c>
      <c r="AN57" s="507" t="n">
        <f aca="false">SUM(IF(OR($R57="Flying",$R57="Dragon",$R57="Grass",$R57="Ground"),0-1,IF(OR($R57="Steel",$R57="Ice",$R57="Fire",$R57="Water"),1,0)),IF(OR($S57="Flying",$S57="Dragon",$S57="Grass",$S57="Ground"),0-1,IF(OR($S57="Steel",$S57="Ice",$S57="Fire",$S57="Water"),1,0)))</f>
        <v>1</v>
      </c>
      <c r="AO57" s="507" t="n">
        <f aca="false">IF(OR($R57="Ghost",$S57="Ghost"),4,SUM(IF(OR($R57="Steel",$R57="Rock"),1,0),IF(OR($S57="Steel",$S57="Rock"),1,0)))</f>
        <v>0</v>
      </c>
      <c r="AP57" s="507" t="n">
        <f aca="false">IF(OR($R57="Steel",$S57="Steel"),4,SUM(IF(OR($R57="Fairy",$R57="Grass"),0-1,IF(OR($R57="Ghost",$R57="Rock",$R57="Ground",$R57="Poison"),1,0)),IF(OR($S57="Fairy",$S57="Grass"),0-1,IF(OR($S57="Ghost",$S57="Rock",$S57="Ground",$S57="Poison"),1,0))))</f>
        <v>0</v>
      </c>
      <c r="AQ57" s="507" t="n">
        <f aca="false">IF(OR($R57="Dark",$S57="Dark"),4,SUM(IF(OR($R57="Fighting",$R57="Poison"),0-1,IF(OR($R57="Psychic",$R57="Steel"),1,0)),IF(OR($S57="Fighting",$S57="Poison"),0-1,IF(OR($S57="Psychic",$S57="Steel"),1,0))))</f>
        <v>1</v>
      </c>
      <c r="AR57" s="507" t="n">
        <f aca="false">SUM(IF(OR($R57="Bug",$R57="Fire",$R57="Flying",$R57="Ice"),0-1,IF(OR($R57="Steel",$R57="Fighting",$R57="Ground"),1,0)),IF(OR($S57="Bug",$S57="Fire",$S57="Flying",$S57="Ice"),0-1,IF(OR($S57="Steel",$S57="Fighting",$S57="Ground"),1,0)))</f>
        <v>0</v>
      </c>
      <c r="AS57" s="507" t="n">
        <f aca="false">SUM(IF(OR($R57="Fairy",$R57="Ice",$R57="Rock"),0-1,IF(OR($R57="Steel",$R57="Electric",$R57="Fire",$R57="Water"),1,0)),IF(OR($S57="Fairy",$S57="Ice",$S57="Rock"),0-1,IF(OR($S57="Steel",$S57="Electric",$S57="Fire",$S57="Water"),1,0)))</f>
        <v>1</v>
      </c>
      <c r="AT57" s="508" t="n">
        <f aca="false">SUM(IF(OR($R57="Fire",$R57="Ground",$R57="Rock"),0-1,IF(OR($R57="Dragon",$R57="Grass",$R57="Water"),1,0)),IF(OR($S57="Fire",$S57="Ground",$S57="Rock"),0-1,IF(OR($S57="Dragon",$S57="Grass",$S57="Water"),1,0)))</f>
        <v>1</v>
      </c>
      <c r="AU57" s="518"/>
    </row>
    <row r="58" customFormat="false" ht="15.75" hidden="false" customHeight="false" outlineLevel="0" collapsed="false">
      <c r="A58" s="515" t="str">
        <f aca="false" t="array" ref="A58:A58">IF(ISNA(INDEX(Source!$U$7:$U$95,MATCH(B58,Source!$V$7:$V$95,0))),"FREE",INDEX(Source!$U$7:$U$95,MATCH(B58,Source!$V$7:$V$95,0)))</f>
        <v>FREE</v>
      </c>
      <c r="B58" s="511" t="s">
        <v>417</v>
      </c>
      <c r="C58" s="511"/>
      <c r="D58" s="511"/>
      <c r="E58" s="499" t="str">
        <f aca="false">IF(SUM($W58:$X58)&gt;0,SUM($W58:$X58),IF($H58&gt;0,0,IF($H58&gt;0,0,"-")))</f>
        <v>-</v>
      </c>
      <c r="F58" s="499" t="str">
        <f aca="false">IF(SUM($Y58:$Z58)&gt;0,SUM($Y58:$Z58),IF($H58&gt;0,0,"-"))</f>
        <v>-</v>
      </c>
      <c r="G58" s="499" t="str">
        <f aca="false">IF($H58&gt;0,minus(E58,F58),"-")</f>
        <v>-</v>
      </c>
      <c r="H58" s="500" t="n">
        <f aca="false">SUM(COUNTIF(MatchSource!$A:$A,$B58),COUNTIF(MatchSource!$H:$H,$B58))</f>
        <v>0</v>
      </c>
      <c r="I58" s="501" t="n">
        <f aca="false">SUM($AA58:$AB58)</f>
        <v>0</v>
      </c>
      <c r="J58" s="501" t="s">
        <v>702</v>
      </c>
      <c r="K58" s="512" t="str">
        <f aca="false" t="array" ref="K58:K58">IF(ISNA(INDEX(DraftRosters!$AA$3:$AA$199,MATCH($B58,DraftRosters!$AB$3:$AB$199,0))),"FA",IF(INDEX(DraftRosters!$AA$3:$AA$199,MATCH($B58,DraftRosters!$AB$3:$AB$199,0))="Franchise","Franch",INDEX(DraftRosters!$AA$3:$AA$199,MATCH($B58,DraftRosters!$AB$3:$AB$199,0))))</f>
        <v>FA</v>
      </c>
      <c r="L58" s="499" t="n">
        <v>65</v>
      </c>
      <c r="M58" s="499" t="n">
        <v>45</v>
      </c>
      <c r="N58" s="499" t="n">
        <v>50</v>
      </c>
      <c r="O58" s="499" t="n">
        <v>90</v>
      </c>
      <c r="P58" s="499" t="n">
        <v>80</v>
      </c>
      <c r="Q58" s="501" t="n">
        <v>70</v>
      </c>
      <c r="R58" s="499" t="s">
        <v>794</v>
      </c>
      <c r="S58" s="501" t="s">
        <v>801</v>
      </c>
      <c r="T58" s="504" t="s">
        <v>904</v>
      </c>
      <c r="U58" s="505" t="s">
        <v>905</v>
      </c>
      <c r="V58" s="506"/>
      <c r="W58" s="500" t="str">
        <f aca="false">IFERROR(__xludf.dummyfunction("if(isna(SUM(FILTER(MatchSource!$A:$D,MatchSource!$A:$A=$B58))),0,SUM(FILTER(MatchSource!$A:$D,MatchSource!$A:$A=$B58)))"),"0")</f>
        <v>0</v>
      </c>
      <c r="X58" s="499" t="str">
        <f aca="false">IFERROR(__xludf.dummyfunction("if(isna(SUM(FILTER(MatchSource!$H:$K,MatchSource!$H:$H=$B58))),0,SUM(FILTER(MatchSource!$H:$K,MatchSource!$H:$H=$B58)))"),"0")</f>
        <v>0</v>
      </c>
      <c r="Y58" s="499" t="str">
        <f aca="false">IFERROR(__xludf.dummyfunction("if(isna(ABS(MINUS(SUM(FILTER(MatchSource!$A:$E,MatchSource!$A:$A=$B58)),SUM($W58)))),0,ABS(MINUS(SUM(FILTER(MatchSource!$A:$E,MatchSource!$A:$A=$B58)),SUM($W58))))"),"0")</f>
        <v>0</v>
      </c>
      <c r="Z58" s="499" t="str">
        <f aca="false">IFERROR(__xludf.dummyfunction("if(isna(ABS(MINUS(SUM(FILTER(MatchSource!$H:$L,MatchSource!$H:$H=$B58)),SUM($X58)))),0,ABS(MINUS(SUM(FILTER(MatchSource!$H:$L,MatchSource!$H:$H=$B58)),SUM($X58))))"),"0")</f>
        <v>0</v>
      </c>
      <c r="AA58" s="499" t="str">
        <f aca="false">IFERROR(__xludf.dummyfunction("if(isna(ABS(MINUS(SUM(FILTER(MatchSource!$A:$F,MatchSource!$A:$A=$B58)),SUM($W58,$Y58)))),0,ABS(MINUS(SUM(FILTER(MatchSource!$A:$F,MatchSource!$A:$A=$B58)),SUM($W58, $Y58,))))"),"0")</f>
        <v>0</v>
      </c>
      <c r="AB58" s="501" t="str">
        <f aca="false">IFERROR(__xludf.dummyfunction("if(isna(ABS(MINUS(SUM(FILTER(MatchSource!$H:$M,MatchSource!$H:$H=$B58)),SUM($X58,$Z58)))),0,ABS(MINUS(SUM(FILTER(MatchSource!$H:$M,MatchSource!$H:$H=$B58)),SUM($X58,$Z58))))"),"0")</f>
        <v>0</v>
      </c>
      <c r="AC58" s="507" t="n">
        <f aca="false">SUM(IF(OR($R58="Grass",$R58="Psychic",$R58="Dark"),0-1,IF(OR($R58="Fighting",$R58="Flying",$R58="Fire",$R58="Ghost",$R58="Poison",$R58="Steel",$R58="Fairy"),1,0)),IF(OR($S58="Grass",$S58="Psychic",$S58="Dark"),0-1,IF(OR($S58="Fighting",$S58="Flying",$S58="Fire",$S58="Ghost",$S58="Poison",$S58="Steel",$S58="Fairy"),1,0)))</f>
        <v>1</v>
      </c>
      <c r="AD58" s="507" t="n">
        <f aca="false">SUM(IF(OR($R58="Ghost",$R58="Psychic"),0-1,IF(OR($R58="Fighting",$R58="Dark",$R58="Fairy"),1,0)),IF(OR($S58="Ghost",$S58="Psychic"),0-1,IF(OR($S58="Fighting",$S58="Dark",$S58="Fairy"),1,0)))</f>
        <v>0</v>
      </c>
      <c r="AE58" s="507" t="n">
        <f aca="false">IF(OR($R58="Fairy",$S58="Fairy"),4,SUM(IF($R58="Dragon",0-1,IF($R58="Steel",1,0)),IF($S58="Dragon",0-1,IF($S58="Steel",1,0))))</f>
        <v>0</v>
      </c>
      <c r="AF58" s="507" t="n">
        <f aca="false">IF(OR($R58="Ground",$S58="Ground"),4,SUM(IF(OR($R58="Flying",$R58="Water"),0-1,IF(OR($R58="Dragon",$R58="Electric",$R58="Grass"),1,0)),IF(OR($S58="Flying",$S58="Water"),0-1,IF(OR($S58="Dragon",$S58="Electric",$S58="Grass"),1,0))))</f>
        <v>-1</v>
      </c>
      <c r="AG58" s="507" t="n">
        <f aca="false">SUM(IF(OR($R58="Dark",$R58="Dragon",$R58="Fighting"),0-1,IF(OR($R58="Steel",$R58="Poison",$R58="Fire"),1,0)),IF(OR($S58="Dark",$S58="Dragon",$S58="Fighting"),0-1,IF(OR($S58="Steel",$S58="Poison",$S58="Fire"),1,0)))</f>
        <v>0</v>
      </c>
      <c r="AH58" s="507" t="n">
        <f aca="false">IF(OR($R58="Ghost",$S58="Ghost"),4,SUM(IF(OR($R58="Dark",$R58="Ice",$R58="Normal",$R58="Rock",$R58="Steel"),0-1,IF(OR($R58="Bug",$R58="Fairy",$R58="Flying",$R58="Poison",$R58="Psychic"),1,0)),IF(OR($S58="Dark",$S58="Ice",$S58="Normal",$S58="Rock",$S58="Steel"),0-1,IF(OR($S58="Bug",$S58="Fairy",$S58="Flying",$S58="Poison",$S58="Psychic"),1,0))))</f>
        <v>2</v>
      </c>
      <c r="AI58" s="507" t="n">
        <f aca="false">SUM(IF(OR($R58="Bug",$R58="Grass",$R58="Ice",$R58="Steel"),0-1,IF(OR($R58="Dragon",$R58="Fire",$R58="Rock",$R58="Water"),1,0)),IF(OR($S58="Bug",$S58="Grass",$S58="Ice",$S58="Steel"),0-1,IF(OR($S58="Dragon",$S58="Fire",$S58="Rock",$S58="Water"),1,0)))</f>
        <v>-1</v>
      </c>
      <c r="AJ58" s="507" t="n">
        <f aca="false">SUM(IF(OR($R58="Bug",$R58="Grass",$R58="Fighting"),0-1,IF(OR($R58="Electric",$R58="Rock",$R58="Steel"),1,0)),IF(OR($S58="Bug",$S58="Grass",$S58="Fighting"),0-1,IF(OR($S58="Electric",$S58="Rock",$S58="Steel"),1,0)))</f>
        <v>-1</v>
      </c>
      <c r="AK58" s="507" t="n">
        <f aca="false">IF(OR($R58="Normal",$S58="Normal"),4,SUM(IF(OR($R58="Ghost",$R58="Psychic"),0-1,IF($R58="Dark",1,0)),IF(OR($S58="Ghost",$S58="Psychic"),0-1,IF($S58="Dark",1,0))))</f>
        <v>0</v>
      </c>
      <c r="AL58" s="507" t="n">
        <f aca="false">SUM(IF(OR($R58="Ground",$R58="Rock",$R58="Water"),0-1,IF(OR($R58="Bug",$R58="Flying",$R58="Fire",$R58="Dragon",$R58="Poison",$R58="Steel",$R58="Grass"),1,0)),IF(OR($S58="Ground",$S58="Rock",$S58="Water"),0-1,IF(OR($S58="Bug",$S58="Flying",$S58="Fire",$S58="Dragon",$S58="Poison",$S58="Steel",$S58="Grass"),1,0)))</f>
        <v>2</v>
      </c>
      <c r="AM58" s="507" t="n">
        <f aca="false">IF(OR($R58="Flying",$S58="Flying"),4,SUM(IF(OR($R58="Electric",$R58="Fire",$R58="Rock",$R58="Steel",$R58="Poison"),0-1,IF(OR($R58="Bug",$R58="Grass"),1,0)),IF(OR($S58="Electric",$S58="Fire",$S58="Rock",$S58="Steel",$S58="Poison"),0-1,IF(OR($S58="Bug",$S58="Grass"),1,0))))</f>
        <v>4</v>
      </c>
      <c r="AN58" s="507" t="n">
        <f aca="false">SUM(IF(OR($R58="Flying",$R58="Dragon",$R58="Grass",$R58="Ground"),0-1,IF(OR($R58="Steel",$R58="Ice",$R58="Fire",$R58="Water"),1,0)),IF(OR($S58="Flying",$S58="Dragon",$S58="Grass",$S58="Ground"),0-1,IF(OR($S58="Steel",$S58="Ice",$S58="Fire",$S58="Water"),1,0)))</f>
        <v>-1</v>
      </c>
      <c r="AO58" s="507" t="n">
        <f aca="false">IF(OR($R58="Ghost",$S58="Ghost"),4,SUM(IF(OR($R58="Steel",$R58="Rock"),1,0),IF(OR($S58="Steel",$S58="Rock"),1,0)))</f>
        <v>0</v>
      </c>
      <c r="AP58" s="507" t="n">
        <f aca="false">IF(OR($R58="Steel",$S58="Steel"),4,SUM(IF(OR($R58="Fairy",$R58="Grass"),0-1,IF(OR($R58="Ghost",$R58="Rock",$R58="Ground",$R58="Poison"),1,0)),IF(OR($S58="Fairy",$S58="Grass"),0-1,IF(OR($S58="Ghost",$S58="Rock",$S58="Ground",$S58="Poison"),1,0))))</f>
        <v>0</v>
      </c>
      <c r="AQ58" s="507" t="n">
        <f aca="false">IF(OR($R58="Dark",$S58="Dark"),4,SUM(IF(OR($R58="Fighting",$R58="Poison"),0-1,IF(OR($R58="Psychic",$R58="Steel"),1,0)),IF(OR($S58="Fighting",$S58="Poison"),0-1,IF(OR($S58="Psychic",$S58="Steel"),1,0))))</f>
        <v>0</v>
      </c>
      <c r="AR58" s="507" t="n">
        <f aca="false">SUM(IF(OR($R58="Bug",$R58="Fire",$R58="Flying",$R58="Ice"),0-1,IF(OR($R58="Steel",$R58="Fighting",$R58="Ground"),1,0)),IF(OR($S58="Bug",$S58="Fire",$S58="Flying",$S58="Ice"),0-1,IF(OR($S58="Steel",$S58="Fighting",$S58="Ground"),1,0)))</f>
        <v>-2</v>
      </c>
      <c r="AS58" s="507" t="n">
        <f aca="false">SUM(IF(OR($R58="Fairy",$R58="Ice",$R58="Rock"),0-1,IF(OR($R58="Steel",$R58="Electric",$R58="Fire",$R58="Water"),1,0)),IF(OR($S58="Fairy",$S58="Ice",$S58="Rock"),0-1,IF(OR($S58="Steel",$S58="Electric",$S58="Fire",$S58="Water"),1,0)))</f>
        <v>0</v>
      </c>
      <c r="AT58" s="508" t="n">
        <f aca="false">SUM(IF(OR($R58="Fire",$R58="Ground",$R58="Rock"),0-1,IF(OR($R58="Dragon",$R58="Grass",$R58="Water"),1,0)),IF(OR($S58="Fire",$S58="Ground",$S58="Rock"),0-1,IF(OR($S58="Dragon",$S58="Grass",$S58="Water"),1,0)))</f>
        <v>0</v>
      </c>
      <c r="AU58" s="518"/>
    </row>
    <row r="59" customFormat="false" ht="15.75" hidden="false" customHeight="false" outlineLevel="0" collapsed="false">
      <c r="A59" s="515" t="str">
        <f aca="false" t="array" ref="A59:A59">IF(ISNA(INDEX(Source!$U$7:$U$95,MATCH(B59,Source!$V$7:$V$95,0))),"FREE",INDEX(Source!$U$7:$U$95,MATCH(B59,Source!$V$7:$V$95,0)))</f>
        <v>FREE</v>
      </c>
      <c r="B59" s="511" t="s">
        <v>327</v>
      </c>
      <c r="C59" s="511"/>
      <c r="D59" s="511"/>
      <c r="E59" s="499" t="str">
        <f aca="false">IF(SUM($W59:$X59)&gt;0,SUM($W59:$X59),IF($H59&gt;0,0,IF($H59&gt;0,0,"-")))</f>
        <v>-</v>
      </c>
      <c r="F59" s="499" t="str">
        <f aca="false">IF(SUM($Y59:$Z59)&gt;0,SUM($Y59:$Z59),IF($H59&gt;0,0,"-"))</f>
        <v>-</v>
      </c>
      <c r="G59" s="499" t="str">
        <f aca="false">IF($H59&gt;0,minus(E59,F59),"-")</f>
        <v>-</v>
      </c>
      <c r="H59" s="500" t="n">
        <f aca="false">SUM(COUNTIF(MatchSource!$A:$A,$B59),COUNTIF(MatchSource!$H:$H,$B59))</f>
        <v>0</v>
      </c>
      <c r="I59" s="501" t="n">
        <f aca="false">SUM($AA59:$AB59)</f>
        <v>0</v>
      </c>
      <c r="J59" s="501" t="s">
        <v>699</v>
      </c>
      <c r="K59" s="512" t="str">
        <f aca="false" t="array" ref="K59:K59">IF(ISNA(INDEX(DraftRosters!$AA$3:$AA$199,MATCH($B59,DraftRosters!$AB$3:$AB$199,0))),"FA",IF(INDEX(DraftRosters!$AA$3:$AA$199,MATCH($B59,DraftRosters!$AB$3:$AB$199,0))="Franchise","Franch",INDEX(DraftRosters!$AA$3:$AA$199,MATCH($B59,DraftRosters!$AB$3:$AB$199,0))))</f>
        <v>FA</v>
      </c>
      <c r="L59" s="499" t="n">
        <v>107</v>
      </c>
      <c r="M59" s="499" t="n">
        <v>139</v>
      </c>
      <c r="N59" s="499" t="n">
        <v>139</v>
      </c>
      <c r="O59" s="499" t="n">
        <v>53</v>
      </c>
      <c r="P59" s="499" t="n">
        <v>79</v>
      </c>
      <c r="Q59" s="501" t="n">
        <v>79</v>
      </c>
      <c r="R59" s="499" t="s">
        <v>794</v>
      </c>
      <c r="S59" s="501" t="s">
        <v>881</v>
      </c>
      <c r="T59" s="504" t="s">
        <v>889</v>
      </c>
      <c r="U59" s="505"/>
      <c r="V59" s="506"/>
      <c r="W59" s="500" t="str">
        <f aca="false">IFERROR(__xludf.dummyfunction("if(isna(SUM(FILTER(MatchSource!$A:$D,MatchSource!$A:$A=$B59))),0,SUM(FILTER(MatchSource!$A:$D,MatchSource!$A:$A=$B59)))"),"0")</f>
        <v>0</v>
      </c>
      <c r="X59" s="499" t="str">
        <f aca="false">IFERROR(__xludf.dummyfunction("if(isna(SUM(FILTER(MatchSource!$H:$K,MatchSource!$H:$H=$B59))),0,SUM(FILTER(MatchSource!$H:$K,MatchSource!$H:$H=$B59)))"),"0")</f>
        <v>0</v>
      </c>
      <c r="Y59" s="499" t="str">
        <f aca="false">IFERROR(__xludf.dummyfunction("if(isna(ABS(MINUS(SUM(FILTER(MatchSource!$A:$E,MatchSource!$A:$A=$B59)),SUM($W59)))),0,ABS(MINUS(SUM(FILTER(MatchSource!$A:$E,MatchSource!$A:$A=$B59)),SUM($W59))))"),"0")</f>
        <v>0</v>
      </c>
      <c r="Z59" s="499" t="str">
        <f aca="false">IFERROR(__xludf.dummyfunction("if(isna(ABS(MINUS(SUM(FILTER(MatchSource!$H:$L,MatchSource!$H:$H=$B59)),SUM($X59)))),0,ABS(MINUS(SUM(FILTER(MatchSource!$H:$L,MatchSource!$H:$H=$B59)),SUM($X59))))"),"0")</f>
        <v>0</v>
      </c>
      <c r="AA59" s="499" t="str">
        <f aca="false">IFERROR(__xludf.dummyfunction("if(isna(ABS(MINUS(SUM(FILTER(MatchSource!$A:$F,MatchSource!$A:$A=$B59)),SUM($W59,$Y59)))),0,ABS(MINUS(SUM(FILTER(MatchSource!$A:$F,MatchSource!$A:$A=$B59)),SUM($W59, $Y59,))))"),"0")</f>
        <v>0</v>
      </c>
      <c r="AB59" s="501" t="str">
        <f aca="false">IFERROR(__xludf.dummyfunction("if(isna(ABS(MINUS(SUM(FILTER(MatchSource!$H:$M,MatchSource!$H:$H=$B59)),SUM($X59,$Z59)))),0,ABS(MINUS(SUM(FILTER(MatchSource!$H:$M,MatchSource!$H:$H=$B59)),SUM($X59,$Z59))))"),"0")</f>
        <v>0</v>
      </c>
      <c r="AC59" s="507" t="n">
        <f aca="false">SUM(IF(OR($R59="Grass",$R59="Psychic",$R59="Dark"),0-1,IF(OR($R59="Fighting",$R59="Flying",$R59="Fire",$R59="Ghost",$R59="Poison",$R59="Steel",$R59="Fairy"),1,0)),IF(OR($S59="Grass",$S59="Psychic",$S59="Dark"),0-1,IF(OR($S59="Fighting",$S59="Flying",$S59="Fire",$S59="Ghost",$S59="Poison",$S59="Steel",$S59="Fairy"),1,0)))</f>
        <v>1</v>
      </c>
      <c r="AD59" s="507" t="n">
        <f aca="false">SUM(IF(OR($R59="Ghost",$R59="Psychic"),0-1,IF(OR($R59="Fighting",$R59="Dark",$R59="Fairy"),1,0)),IF(OR($S59="Ghost",$S59="Psychic"),0-1,IF(OR($S59="Fighting",$S59="Dark",$S59="Fairy"),1,0)))</f>
        <v>1</v>
      </c>
      <c r="AE59" s="507" t="n">
        <f aca="false">IF(OR($R59="Fairy",$S59="Fairy"),4,SUM(IF($R59="Dragon",0-1,IF($R59="Steel",1,0)),IF($S59="Dragon",0-1,IF($S59="Steel",1,0))))</f>
        <v>0</v>
      </c>
      <c r="AF59" s="507" t="n">
        <f aca="false">IF(OR($R59="Ground",$S59="Ground"),4,SUM(IF(OR($R59="Flying",$R59="Water"),0-1,IF(OR($R59="Dragon",$R59="Electric",$R59="Grass"),1,0)),IF(OR($S59="Flying",$S59="Water"),0-1,IF(OR($S59="Dragon",$S59="Electric",$S59="Grass"),1,0))))</f>
        <v>0</v>
      </c>
      <c r="AG59" s="507" t="n">
        <f aca="false">SUM(IF(OR($R59="Dark",$R59="Dragon",$R59="Fighting"),0-1,IF(OR($R59="Steel",$R59="Poison",$R59="Fire"),1,0)),IF(OR($S59="Dark",$S59="Dragon",$S59="Fighting"),0-1,IF(OR($S59="Steel",$S59="Poison",$S59="Fire"),1,0)))</f>
        <v>-1</v>
      </c>
      <c r="AH59" s="507" t="n">
        <f aca="false">IF(OR($R59="Ghost",$S59="Ghost"),4,SUM(IF(OR($R59="Dark",$R59="Ice",$R59="Normal",$R59="Rock",$R59="Steel"),0-1,IF(OR($R59="Bug",$R59="Fairy",$R59="Flying",$R59="Poison",$R59="Psychic"),1,0)),IF(OR($S59="Dark",$S59="Ice",$S59="Normal",$S59="Rock",$S59="Steel"),0-1,IF(OR($S59="Bug",$S59="Fairy",$S59="Flying",$S59="Poison",$S59="Psychic"),1,0))))</f>
        <v>1</v>
      </c>
      <c r="AI59" s="507" t="n">
        <f aca="false">SUM(IF(OR($R59="Bug",$R59="Grass",$R59="Ice",$R59="Steel"),0-1,IF(OR($R59="Dragon",$R59="Fire",$R59="Rock",$R59="Water"),1,0)),IF(OR($S59="Bug",$S59="Grass",$S59="Ice",$S59="Steel"),0-1,IF(OR($S59="Dragon",$S59="Fire",$S59="Rock",$S59="Water"),1,0)))</f>
        <v>-1</v>
      </c>
      <c r="AJ59" s="507" t="n">
        <f aca="false">SUM(IF(OR($R59="Bug",$R59="Grass",$R59="Fighting"),0-1,IF(OR($R59="Electric",$R59="Rock",$R59="Steel"),1,0)),IF(OR($S59="Bug",$S59="Grass",$S59="Fighting"),0-1,IF(OR($S59="Electric",$S59="Rock",$S59="Steel"),1,0)))</f>
        <v>-2</v>
      </c>
      <c r="AK59" s="507" t="n">
        <f aca="false">IF(OR($R59="Normal",$S59="Normal"),4,SUM(IF(OR($R59="Ghost",$R59="Psychic"),0-1,IF($R59="Dark",1,0)),IF(OR($S59="Ghost",$S59="Psychic"),0-1,IF($S59="Dark",1,0))))</f>
        <v>0</v>
      </c>
      <c r="AL59" s="507" t="n">
        <f aca="false">SUM(IF(OR($R59="Ground",$R59="Rock",$R59="Water"),0-1,IF(OR($R59="Bug",$R59="Flying",$R59="Fire",$R59="Dragon",$R59="Poison",$R59="Steel",$R59="Grass"),1,0)),IF(OR($S59="Ground",$S59="Rock",$S59="Water"),0-1,IF(OR($S59="Bug",$S59="Flying",$S59="Fire",$S59="Dragon",$S59="Poison",$S59="Steel",$S59="Grass"),1,0)))</f>
        <v>1</v>
      </c>
      <c r="AM59" s="507" t="n">
        <f aca="false">IF(OR($R59="Flying",$S59="Flying"),4,SUM(IF(OR($R59="Electric",$R59="Fire",$R59="Rock",$R59="Steel",$R59="Poison"),0-1,IF(OR($R59="Bug",$R59="Grass"),1,0)),IF(OR($S59="Electric",$S59="Fire",$S59="Rock",$S59="Steel",$S59="Poison"),0-1,IF(OR($S59="Bug",$S59="Grass"),1,0))))</f>
        <v>1</v>
      </c>
      <c r="AN59" s="507" t="n">
        <f aca="false">SUM(IF(OR($R59="Flying",$R59="Dragon",$R59="Grass",$R59="Ground"),0-1,IF(OR($R59="Steel",$R59="Ice",$R59="Fire",$R59="Water"),1,0)),IF(OR($S59="Flying",$S59="Dragon",$S59="Grass",$S59="Ground"),0-1,IF(OR($S59="Steel",$S59="Ice",$S59="Fire",$S59="Water"),1,0)))</f>
        <v>0</v>
      </c>
      <c r="AO59" s="507" t="n">
        <f aca="false">IF(OR($R59="Ghost",$S59="Ghost"),4,SUM(IF(OR($R59="Steel",$R59="Rock"),1,0),IF(OR($S59="Steel",$S59="Rock"),1,0)))</f>
        <v>0</v>
      </c>
      <c r="AP59" s="507" t="n">
        <f aca="false">IF(OR($R59="Steel",$S59="Steel"),4,SUM(IF(OR($R59="Fairy",$R59="Grass"),0-1,IF(OR($R59="Ghost",$R59="Rock",$R59="Ground",$R59="Poison"),1,0)),IF(OR($S59="Fairy",$S59="Grass"),0-1,IF(OR($S59="Ghost",$S59="Rock",$S59="Ground",$S59="Poison"),1,0))))</f>
        <v>0</v>
      </c>
      <c r="AQ59" s="507" t="n">
        <f aca="false">IF(OR($R59="Dark",$S59="Dark"),4,SUM(IF(OR($R59="Fighting",$R59="Poison"),0-1,IF(OR($R59="Psychic",$R59="Steel"),1,0)),IF(OR($S59="Fighting",$S59="Poison"),0-1,IF(OR($S59="Psychic",$S59="Steel"),1,0))))</f>
        <v>-1</v>
      </c>
      <c r="AR59" s="507" t="n">
        <f aca="false">SUM(IF(OR($R59="Bug",$R59="Fire",$R59="Flying",$R59="Ice"),0-1,IF(OR($R59="Steel",$R59="Fighting",$R59="Ground"),1,0)),IF(OR($S59="Bug",$S59="Fire",$S59="Flying",$S59="Ice"),0-1,IF(OR($S59="Steel",$S59="Fighting",$S59="Ground"),1,0)))</f>
        <v>0</v>
      </c>
      <c r="AS59" s="507" t="n">
        <f aca="false">SUM(IF(OR($R59="Fairy",$R59="Ice",$R59="Rock"),0-1,IF(OR($R59="Steel",$R59="Electric",$R59="Fire",$R59="Water"),1,0)),IF(OR($S59="Fairy",$S59="Ice",$S59="Rock"),0-1,IF(OR($S59="Steel",$S59="Electric",$S59="Fire",$S59="Water"),1,0)))</f>
        <v>0</v>
      </c>
      <c r="AT59" s="508" t="n">
        <f aca="false">SUM(IF(OR($R59="Fire",$R59="Ground",$R59="Rock"),0-1,IF(OR($R59="Dragon",$R59="Grass",$R59="Water"),1,0)),IF(OR($S59="Fire",$S59="Ground",$S59="Rock"),0-1,IF(OR($S59="Dragon",$S59="Grass",$S59="Water"),1,0)))</f>
        <v>0</v>
      </c>
      <c r="AU59" s="518"/>
    </row>
    <row r="60" customFormat="false" ht="15.75" hidden="false" customHeight="false" outlineLevel="0" collapsed="false">
      <c r="A60" s="510" t="str">
        <f aca="false" t="array" ref="A60:A60">IF(ISNA(INDEX(Source!$U$7:$U$95,MATCH(B60,Source!$V$7:$V$95,0))),"FREE",INDEX(Source!$U$7:$U$95,MATCH(B60,Source!$V$7:$V$95,0)))</f>
        <v>FREE</v>
      </c>
      <c r="B60" s="511" t="s">
        <v>420</v>
      </c>
      <c r="C60" s="511"/>
      <c r="D60" s="511"/>
      <c r="E60" s="499" t="str">
        <f aca="false">IF(SUM($W60:$X60)&gt;0,SUM($W60:$X60),IF($H60&gt;0,0,IF($H60&gt;0,0,"-")))</f>
        <v>-</v>
      </c>
      <c r="F60" s="499" t="str">
        <f aca="false">IF(SUM($Y60:$Z60)&gt;0,SUM($Y60:$Z60),IF($H60&gt;0,0,"-"))</f>
        <v>-</v>
      </c>
      <c r="G60" s="499" t="str">
        <f aca="false">IF($H60&gt;0,minus(E60,F60),"-")</f>
        <v>-</v>
      </c>
      <c r="H60" s="500" t="n">
        <f aca="false">SUM(COUNTIF(MatchSource!$A:$A,$B60),COUNTIF(MatchSource!$H:$H,$B60))</f>
        <v>0</v>
      </c>
      <c r="I60" s="501" t="n">
        <f aca="false">SUM($AA60:$AB60)</f>
        <v>0</v>
      </c>
      <c r="J60" s="501" t="s">
        <v>702</v>
      </c>
      <c r="K60" s="512" t="str">
        <f aca="false" t="array" ref="K60:K60">IF(ISNA(INDEX(DraftRosters!$AA$3:$AA$199,MATCH($B60,DraftRosters!$AB$3:$AB$199,0))),"FA",IF(INDEX(DraftRosters!$AA$3:$AA$199,MATCH($B60,DraftRosters!$AB$3:$AB$199,0))="Franchise","Franch",INDEX(DraftRosters!$AA$3:$AA$199,MATCH($B60,DraftRosters!$AB$3:$AB$199,0))))</f>
        <v>FA</v>
      </c>
      <c r="L60" s="499" t="n">
        <v>70</v>
      </c>
      <c r="M60" s="499" t="n">
        <v>115</v>
      </c>
      <c r="N60" s="499" t="n">
        <v>60</v>
      </c>
      <c r="O60" s="499" t="n">
        <v>115</v>
      </c>
      <c r="P60" s="499" t="n">
        <v>60</v>
      </c>
      <c r="Q60" s="501" t="n">
        <v>55</v>
      </c>
      <c r="R60" s="499" t="s">
        <v>795</v>
      </c>
      <c r="S60" s="501" t="s">
        <v>803</v>
      </c>
      <c r="T60" s="504" t="s">
        <v>906</v>
      </c>
      <c r="U60" s="505" t="s">
        <v>849</v>
      </c>
      <c r="V60" s="506"/>
      <c r="W60" s="500" t="str">
        <f aca="false">IFERROR(__xludf.dummyfunction("if(isna(SUM(FILTER(MatchSource!$A:$D,MatchSource!$A:$A=$B60))),0,SUM(FILTER(MatchSource!$A:$D,MatchSource!$A:$A=$B60)))"),"0")</f>
        <v>0</v>
      </c>
      <c r="X60" s="499" t="str">
        <f aca="false">IFERROR(__xludf.dummyfunction("if(isna(SUM(FILTER(MatchSource!$H:$K,MatchSource!$H:$H=$B60))),0,SUM(FILTER(MatchSource!$H:$K,MatchSource!$H:$H=$B60)))"),"0")</f>
        <v>0</v>
      </c>
      <c r="Y60" s="499" t="str">
        <f aca="false">IFERROR(__xludf.dummyfunction("if(isna(ABS(MINUS(SUM(FILTER(MatchSource!$A:$E,MatchSource!$A:$A=$B60)),SUM($W60)))),0,ABS(MINUS(SUM(FILTER(MatchSource!$A:$E,MatchSource!$A:$A=$B60)),SUM($W60))))"),"0")</f>
        <v>0</v>
      </c>
      <c r="Z60" s="499" t="str">
        <f aca="false">IFERROR(__xludf.dummyfunction("if(isna(ABS(MINUS(SUM(FILTER(MatchSource!$H:$L,MatchSource!$H:$H=$B60)),SUM($X60)))),0,ABS(MINUS(SUM(FILTER(MatchSource!$H:$L,MatchSource!$H:$H=$B60)),SUM($X60))))"),"0")</f>
        <v>0</v>
      </c>
      <c r="AA60" s="499" t="str">
        <f aca="false">IFERROR(__xludf.dummyfunction("if(isna(ABS(MINUS(SUM(FILTER(MatchSource!$A:$F,MatchSource!$A:$A=$B60)),SUM($W60,$Y60)))),0,ABS(MINUS(SUM(FILTER(MatchSource!$A:$F,MatchSource!$A:$A=$B60)),SUM($W60, $Y60,))))"),"0")</f>
        <v>0</v>
      </c>
      <c r="AB60" s="501" t="str">
        <f aca="false">IFERROR(__xludf.dummyfunction("if(isna(ABS(MINUS(SUM(FILTER(MatchSource!$H:$M,MatchSource!$H:$H=$B60)),SUM($X60,$Z60)))),0,ABS(MINUS(SUM(FILTER(MatchSource!$H:$M,MatchSource!$H:$H=$B60)),SUM($X60,$Z60))))"),"0")</f>
        <v>0</v>
      </c>
      <c r="AC60" s="507" t="n">
        <f aca="false">SUM(IF(OR($R60="Grass",$R60="Psychic",$R60="Dark"),0-1,IF(OR($R60="Fighting",$R60="Flying",$R60="Fire",$R60="Ghost",$R60="Poison",$R60="Steel",$R60="Fairy"),1,0)),IF(OR($S60="Grass",$S60="Psychic",$S60="Dark"),0-1,IF(OR($S60="Fighting",$S60="Flying",$S60="Fire",$S60="Ghost",$S60="Poison",$S60="Steel",$S60="Fairy"),1,0)))</f>
        <v>-2</v>
      </c>
      <c r="AD60" s="507" t="n">
        <f aca="false">SUM(IF(OR($R60="Ghost",$R60="Psychic"),0-1,IF(OR($R60="Fighting",$R60="Dark",$R60="Fairy"),1,0)),IF(OR($S60="Ghost",$S60="Psychic"),0-1,IF(OR($S60="Fighting",$S60="Dark",$S60="Fairy"),1,0)))</f>
        <v>1</v>
      </c>
      <c r="AE60" s="507" t="n">
        <f aca="false">IF(OR($R60="Fairy",$S60="Fairy"),4,SUM(IF($R60="Dragon",0-1,IF($R60="Steel",1,0)),IF($S60="Dragon",0-1,IF($S60="Steel",1,0))))</f>
        <v>0</v>
      </c>
      <c r="AF60" s="507" t="n">
        <f aca="false">IF(OR($R60="Ground",$S60="Ground"),4,SUM(IF(OR($R60="Flying",$R60="Water"),0-1,IF(OR($R60="Dragon",$R60="Electric",$R60="Grass"),1,0)),IF(OR($S60="Flying",$S60="Water"),0-1,IF(OR($S60="Dragon",$S60="Electric",$S60="Grass"),1,0))))</f>
        <v>1</v>
      </c>
      <c r="AG60" s="507" t="n">
        <f aca="false">SUM(IF(OR($R60="Dark",$R60="Dragon",$R60="Fighting"),0-1,IF(OR($R60="Steel",$R60="Poison",$R60="Fire"),1,0)),IF(OR($S60="Dark",$S60="Dragon",$S60="Fighting"),0-1,IF(OR($S60="Steel",$S60="Poison",$S60="Fire"),1,0)))</f>
        <v>-1</v>
      </c>
      <c r="AH60" s="507" t="n">
        <f aca="false">IF(OR($R60="Ghost",$S60="Ghost"),4,SUM(IF(OR($R60="Dark",$R60="Ice",$R60="Normal",$R60="Rock",$R60="Steel"),0-1,IF(OR($R60="Bug",$R60="Fairy",$R60="Flying",$R60="Poison",$R60="Psychic"),1,0)),IF(OR($S60="Dark",$S60="Ice",$S60="Normal",$S60="Rock",$S60="Steel"),0-1,IF(OR($S60="Bug",$S60="Fairy",$S60="Flying",$S60="Poison",$S60="Psychic"),1,0))))</f>
        <v>-1</v>
      </c>
      <c r="AI60" s="507" t="n">
        <f aca="false">SUM(IF(OR($R60="Bug",$R60="Grass",$R60="Ice",$R60="Steel"),0-1,IF(OR($R60="Dragon",$R60="Fire",$R60="Rock",$R60="Water"),1,0)),IF(OR($S60="Bug",$S60="Grass",$S60="Ice",$S60="Steel"),0-1,IF(OR($S60="Dragon",$S60="Fire",$S60="Rock",$S60="Water"),1,0)))</f>
        <v>-1</v>
      </c>
      <c r="AJ60" s="507" t="n">
        <f aca="false">SUM(IF(OR($R60="Bug",$R60="Grass",$R60="Fighting"),0-1,IF(OR($R60="Electric",$R60="Rock",$R60="Steel"),1,0)),IF(OR($S60="Bug",$S60="Grass",$S60="Fighting"),0-1,IF(OR($S60="Electric",$S60="Rock",$S60="Steel"),1,0)))</f>
        <v>-1</v>
      </c>
      <c r="AK60" s="507" t="n">
        <f aca="false">IF(OR($R60="Normal",$S60="Normal"),4,SUM(IF(OR($R60="Ghost",$R60="Psychic"),0-1,IF($R60="Dark",1,0)),IF(OR($S60="Ghost",$S60="Psychic"),0-1,IF($S60="Dark",1,0))))</f>
        <v>1</v>
      </c>
      <c r="AL60" s="507" t="n">
        <f aca="false">SUM(IF(OR($R60="Ground",$R60="Rock",$R60="Water"),0-1,IF(OR($R60="Bug",$R60="Flying",$R60="Fire",$R60="Dragon",$R60="Poison",$R60="Steel",$R60="Grass"),1,0)),IF(OR($S60="Ground",$S60="Rock",$S60="Water"),0-1,IF(OR($S60="Bug",$S60="Flying",$S60="Fire",$S60="Dragon",$S60="Poison",$S60="Steel",$S60="Grass"),1,0)))</f>
        <v>1</v>
      </c>
      <c r="AM60" s="507" t="n">
        <f aca="false">IF(OR($R60="Flying",$S60="Flying"),4,SUM(IF(OR($R60="Electric",$R60="Fire",$R60="Rock",$R60="Steel",$R60="Poison"),0-1,IF(OR($R60="Bug",$R60="Grass"),1,0)),IF(OR($S60="Electric",$S60="Fire",$S60="Rock",$S60="Steel",$S60="Poison"),0-1,IF(OR($S60="Bug",$S60="Grass"),1,0))))</f>
        <v>1</v>
      </c>
      <c r="AN60" s="507" t="n">
        <f aca="false">SUM(IF(OR($R60="Flying",$R60="Dragon",$R60="Grass",$R60="Ground"),0-1,IF(OR($R60="Steel",$R60="Ice",$R60="Fire",$R60="Water"),1,0)),IF(OR($S60="Flying",$S60="Dragon",$S60="Grass",$S60="Ground"),0-1,IF(OR($S60="Steel",$S60="Ice",$S60="Fire",$S60="Water"),1,0)))</f>
        <v>-1</v>
      </c>
      <c r="AO60" s="507" t="n">
        <f aca="false">IF(OR($R60="Ghost",$S60="Ghost"),4,SUM(IF(OR($R60="Steel",$R60="Rock"),1,0),IF(OR($S60="Steel",$S60="Rock"),1,0)))</f>
        <v>0</v>
      </c>
      <c r="AP60" s="507" t="n">
        <f aca="false">IF(OR($R60="Steel",$S60="Steel"),4,SUM(IF(OR($R60="Fairy",$R60="Grass"),0-1,IF(OR($R60="Ghost",$R60="Rock",$R60="Ground",$R60="Poison"),1,0)),IF(OR($S60="Fairy",$S60="Grass"),0-1,IF(OR($S60="Ghost",$S60="Rock",$S60="Ground",$S60="Poison"),1,0))))</f>
        <v>-1</v>
      </c>
      <c r="AQ60" s="507" t="n">
        <f aca="false">IF(OR($R60="Dark",$S60="Dark"),4,SUM(IF(OR($R60="Fighting",$R60="Poison"),0-1,IF(OR($R60="Psychic",$R60="Steel"),1,0)),IF(OR($S60="Fighting",$S60="Poison"),0-1,IF(OR($S60="Psychic",$S60="Steel"),1,0))))</f>
        <v>4</v>
      </c>
      <c r="AR60" s="507" t="n">
        <f aca="false">SUM(IF(OR($R60="Bug",$R60="Fire",$R60="Flying",$R60="Ice"),0-1,IF(OR($R60="Steel",$R60="Fighting",$R60="Ground"),1,0)),IF(OR($S60="Bug",$S60="Fire",$S60="Flying",$S60="Ice"),0-1,IF(OR($S60="Steel",$S60="Fighting",$S60="Ground"),1,0)))</f>
        <v>0</v>
      </c>
      <c r="AS60" s="507" t="n">
        <f aca="false">SUM(IF(OR($R60="Fairy",$R60="Ice",$R60="Rock"),0-1,IF(OR($R60="Steel",$R60="Electric",$R60="Fire",$R60="Water"),1,0)),IF(OR($S60="Fairy",$S60="Ice",$S60="Rock"),0-1,IF(OR($S60="Steel",$S60="Electric",$S60="Fire",$S60="Water"),1,0)))</f>
        <v>0</v>
      </c>
      <c r="AT60" s="508" t="n">
        <f aca="false">SUM(IF(OR($R60="Fire",$R60="Ground",$R60="Rock"),0-1,IF(OR($R60="Dragon",$R60="Grass",$R60="Water"),1,0)),IF(OR($S60="Fire",$S60="Ground",$S60="Rock"),0-1,IF(OR($S60="Dragon",$S60="Grass",$S60="Water"),1,0)))</f>
        <v>1</v>
      </c>
      <c r="AU60" s="518"/>
    </row>
    <row r="61" customFormat="false" ht="15.75" hidden="false" customHeight="false" outlineLevel="0" collapsed="false">
      <c r="A61" s="510" t="str">
        <f aca="false" t="array" ref="A61:A61">IF(ISNA(INDEX(Source!$U$7:$U$95,MATCH(B61,Source!$V$7:$V$95,0))),"FREE",INDEX(Source!$U$7:$U$95,MATCH(B61,Source!$V$7:$V$95,0)))</f>
        <v>FREE</v>
      </c>
      <c r="B61" s="511" t="s">
        <v>424</v>
      </c>
      <c r="C61" s="511"/>
      <c r="D61" s="511"/>
      <c r="E61" s="499" t="str">
        <f aca="false">IF(SUM($W61:$X61)&gt;0,SUM($W61:$X61),IF($H61&gt;0,0,IF($H61&gt;0,0,"-")))</f>
        <v>-</v>
      </c>
      <c r="F61" s="499" t="str">
        <f aca="false">IF(SUM($Y61:$Z61)&gt;0,SUM($Y61:$Z61),IF($H61&gt;0,0,"-"))</f>
        <v>-</v>
      </c>
      <c r="G61" s="499" t="str">
        <f aca="false">IF($H61&gt;0,minus(E61,F61),"-")</f>
        <v>-</v>
      </c>
      <c r="H61" s="500" t="n">
        <f aca="false">SUM(COUNTIF(MatchSource!$A:$A,$B61),COUNTIF(MatchSource!$H:$H,$B61))</f>
        <v>0</v>
      </c>
      <c r="I61" s="501" t="n">
        <f aca="false">SUM($AA61:$AB61)</f>
        <v>0</v>
      </c>
      <c r="J61" s="501" t="s">
        <v>702</v>
      </c>
      <c r="K61" s="512" t="str">
        <f aca="false" t="array" ref="K61:K61">IF(ISNA(INDEX(DraftRosters!$AA$3:$AA$199,MATCH($B61,DraftRosters!$AB$3:$AB$199,0))),"FA",IF(INDEX(DraftRosters!$AA$3:$AA$199,MATCH($B61,DraftRosters!$AB$3:$AB$199,0))="Franchise","Franch",INDEX(DraftRosters!$AA$3:$AA$199,MATCH($B61,DraftRosters!$AB$3:$AB$199,0))))</f>
        <v>FA</v>
      </c>
      <c r="L61" s="499" t="n">
        <v>70</v>
      </c>
      <c r="M61" s="499" t="n">
        <v>100</v>
      </c>
      <c r="N61" s="499" t="n">
        <v>70</v>
      </c>
      <c r="O61" s="499" t="n">
        <v>105</v>
      </c>
      <c r="P61" s="499" t="n">
        <v>75</v>
      </c>
      <c r="Q61" s="501" t="n">
        <v>40</v>
      </c>
      <c r="R61" s="499" t="s">
        <v>800</v>
      </c>
      <c r="S61" s="501" t="s">
        <v>907</v>
      </c>
      <c r="T61" s="504" t="s">
        <v>908</v>
      </c>
      <c r="U61" s="505" t="s">
        <v>909</v>
      </c>
      <c r="V61" s="506" t="s">
        <v>910</v>
      </c>
      <c r="W61" s="500" t="str">
        <f aca="false">IFERROR(__xludf.dummyfunction("if(isna(SUM(FILTER(MatchSource!$A:$D,MatchSource!$A:$A=$B61))),0,SUM(FILTER(MatchSource!$A:$D,MatchSource!$A:$A=$B61)))"),"0")</f>
        <v>0</v>
      </c>
      <c r="X61" s="499" t="str">
        <f aca="false">IFERROR(__xludf.dummyfunction("if(isna(SUM(FILTER(MatchSource!$H:$K,MatchSource!$H:$H=$B61))),0,SUM(FILTER(MatchSource!$H:$K,MatchSource!$H:$H=$B61)))"),"0")</f>
        <v>0</v>
      </c>
      <c r="Y61" s="499" t="str">
        <f aca="false">IFERROR(__xludf.dummyfunction("if(isna(ABS(MINUS(SUM(FILTER(MatchSource!$A:$E,MatchSource!$A:$A=$B61)),SUM($W61)))),0,ABS(MINUS(SUM(FILTER(MatchSource!$A:$E,MatchSource!$A:$A=$B61)),SUM($W61))))"),"0")</f>
        <v>0</v>
      </c>
      <c r="Z61" s="499" t="str">
        <f aca="false">IFERROR(__xludf.dummyfunction("if(isna(ABS(MINUS(SUM(FILTER(MatchSource!$H:$L,MatchSource!$H:$H=$B61)),SUM($X61)))),0,ABS(MINUS(SUM(FILTER(MatchSource!$H:$L,MatchSource!$H:$H=$B61)),SUM($X61))))"),"0")</f>
        <v>0</v>
      </c>
      <c r="AA61" s="499" t="str">
        <f aca="false">IFERROR(__xludf.dummyfunction("if(isna(ABS(MINUS(SUM(FILTER(MatchSource!$A:$F,MatchSource!$A:$A=$B61)),SUM($W61,$Y61)))),0,ABS(MINUS(SUM(FILTER(MatchSource!$A:$F,MatchSource!$A:$A=$B61)),SUM($W61, $Y61,))))"),"0")</f>
        <v>0</v>
      </c>
      <c r="AB61" s="501" t="str">
        <f aca="false">IFERROR(__xludf.dummyfunction("if(isna(ABS(MINUS(SUM(FILTER(MatchSource!$H:$M,MatchSource!$H:$H=$B61)),SUM($X61,$Z61)))),0,ABS(MINUS(SUM(FILTER(MatchSource!$H:$M,MatchSource!$H:$H=$B61)),SUM($X61,$Z61))))"),"0")</f>
        <v>0</v>
      </c>
      <c r="AC61" s="507" t="n">
        <f aca="false">SUM(IF(OR($R61="Grass",$R61="Psychic",$R61="Dark"),0-1,IF(OR($R61="Fighting",$R61="Flying",$R61="Fire",$R61="Ghost",$R61="Poison",$R61="Steel",$R61="Fairy"),1,0)),IF(OR($S61="Grass",$S61="Psychic",$S61="Dark"),0-1,IF(OR($S61="Fighting",$S61="Flying",$S61="Fire",$S61="Ghost",$S61="Poison",$S61="Steel",$S61="Fairy"),1,0)))</f>
        <v>1</v>
      </c>
      <c r="AD61" s="507" t="n">
        <f aca="false">SUM(IF(OR($R61="Ghost",$R61="Psychic"),0-1,IF(OR($R61="Fighting",$R61="Dark",$R61="Fairy"),1,0)),IF(OR($S61="Ghost",$S61="Psychic"),0-1,IF(OR($S61="Fighting",$S61="Dark",$S61="Fairy"),1,0)))</f>
        <v>0</v>
      </c>
      <c r="AE61" s="507" t="n">
        <f aca="false">IF(OR($R61="Fairy",$S61="Fairy"),4,SUM(IF($R61="Dragon",0-1,IF($R61="Steel",1,0)),IF($S61="Dragon",0-1,IF($S61="Steel",1,0))))</f>
        <v>0</v>
      </c>
      <c r="AF61" s="507" t="n">
        <f aca="false">IF(OR($R61="Ground",$S61="Ground"),4,SUM(IF(OR($R61="Flying",$R61="Water"),0-1,IF(OR($R61="Dragon",$R61="Electric",$R61="Grass"),1,0)),IF(OR($S61="Flying",$S61="Water"),0-1,IF(OR($S61="Dragon",$S61="Electric",$S61="Grass"),1,0))))</f>
        <v>4</v>
      </c>
      <c r="AG61" s="507" t="n">
        <f aca="false">SUM(IF(OR($R61="Dark",$R61="Dragon",$R61="Fighting"),0-1,IF(OR($R61="Steel",$R61="Poison",$R61="Fire"),1,0)),IF(OR($S61="Dark",$S61="Dragon",$S61="Fighting"),0-1,IF(OR($S61="Steel",$S61="Poison",$S61="Fire"),1,0)))</f>
        <v>1</v>
      </c>
      <c r="AH61" s="507" t="n">
        <f aca="false">IF(OR($R61="Ghost",$S61="Ghost"),4,SUM(IF(OR($R61="Dark",$R61="Ice",$R61="Normal",$R61="Rock",$R61="Steel"),0-1,IF(OR($R61="Bug",$R61="Fairy",$R61="Flying",$R61="Poison",$R61="Psychic"),1,0)),IF(OR($S61="Dark",$S61="Ice",$S61="Normal",$S61="Rock",$S61="Steel"),0-1,IF(OR($S61="Bug",$S61="Fairy",$S61="Flying",$S61="Poison",$S61="Psychic"),1,0))))</f>
        <v>0</v>
      </c>
      <c r="AI61" s="507" t="n">
        <f aca="false">SUM(IF(OR($R61="Bug",$R61="Grass",$R61="Ice",$R61="Steel"),0-1,IF(OR($R61="Dragon",$R61="Fire",$R61="Rock",$R61="Water"),1,0)),IF(OR($S61="Bug",$S61="Grass",$S61="Ice",$S61="Steel"),0-1,IF(OR($S61="Dragon",$S61="Fire",$S61="Rock",$S61="Water"),1,0)))</f>
        <v>1</v>
      </c>
      <c r="AJ61" s="507" t="n">
        <f aca="false">SUM(IF(OR($R61="Bug",$R61="Grass",$R61="Fighting"),0-1,IF(OR($R61="Electric",$R61="Rock",$R61="Steel"),1,0)),IF(OR($S61="Bug",$S61="Grass",$S61="Fighting"),0-1,IF(OR($S61="Electric",$S61="Rock",$S61="Steel"),1,0)))</f>
        <v>0</v>
      </c>
      <c r="AK61" s="507" t="n">
        <f aca="false">IF(OR($R61="Normal",$S61="Normal"),4,SUM(IF(OR($R61="Ghost",$R61="Psychic"),0-1,IF($R61="Dark",1,0)),IF(OR($S61="Ghost",$S61="Psychic"),0-1,IF($S61="Dark",1,0))))</f>
        <v>0</v>
      </c>
      <c r="AL61" s="507" t="n">
        <f aca="false">SUM(IF(OR($R61="Ground",$R61="Rock",$R61="Water"),0-1,IF(OR($R61="Bug",$R61="Flying",$R61="Fire",$R61="Dragon",$R61="Poison",$R61="Steel",$R61="Grass"),1,0)),IF(OR($S61="Ground",$S61="Rock",$S61="Water"),0-1,IF(OR($S61="Bug",$S61="Flying",$S61="Fire",$S61="Dragon",$S61="Poison",$S61="Steel",$S61="Grass"),1,0)))</f>
        <v>0</v>
      </c>
      <c r="AM61" s="507" t="n">
        <f aca="false">IF(OR($R61="Flying",$S61="Flying"),4,SUM(IF(OR($R61="Electric",$R61="Fire",$R61="Rock",$R61="Steel",$R61="Poison"),0-1,IF(OR($R61="Bug",$R61="Grass"),1,0)),IF(OR($S61="Electric",$S61="Fire",$S61="Rock",$S61="Steel",$S61="Poison"),0-1,IF(OR($S61="Bug",$S61="Grass"),1,0))))</f>
        <v>-1</v>
      </c>
      <c r="AN61" s="507" t="n">
        <f aca="false">SUM(IF(OR($R61="Flying",$R61="Dragon",$R61="Grass",$R61="Ground"),0-1,IF(OR($R61="Steel",$R61="Ice",$R61="Fire",$R61="Water"),1,0)),IF(OR($S61="Flying",$S61="Dragon",$S61="Grass",$S61="Ground"),0-1,IF(OR($S61="Steel",$S61="Ice",$S61="Fire",$S61="Water"),1,0)))</f>
        <v>0</v>
      </c>
      <c r="AO61" s="507" t="n">
        <f aca="false">IF(OR($R61="Ghost",$S61="Ghost"),4,SUM(IF(OR($R61="Steel",$R61="Rock"),1,0),IF(OR($S61="Steel",$S61="Rock"),1,0)))</f>
        <v>0</v>
      </c>
      <c r="AP61" s="507" t="n">
        <f aca="false">IF(OR($R61="Steel",$S61="Steel"),4,SUM(IF(OR($R61="Fairy",$R61="Grass"),0-1,IF(OR($R61="Ghost",$R61="Rock",$R61="Ground",$R61="Poison"),1,0)),IF(OR($S61="Fairy",$S61="Grass"),0-1,IF(OR($S61="Ghost",$S61="Rock",$S61="Ground",$S61="Poison"),1,0))))</f>
        <v>1</v>
      </c>
      <c r="AQ61" s="507" t="n">
        <f aca="false">IF(OR($R61="Dark",$S61="Dark"),4,SUM(IF(OR($R61="Fighting",$R61="Poison"),0-1,IF(OR($R61="Psychic",$R61="Steel"),1,0)),IF(OR($S61="Fighting",$S61="Poison"),0-1,IF(OR($S61="Psychic",$S61="Steel"),1,0))))</f>
        <v>0</v>
      </c>
      <c r="AR61" s="507" t="n">
        <f aca="false">SUM(IF(OR($R61="Bug",$R61="Fire",$R61="Flying",$R61="Ice"),0-1,IF(OR($R61="Steel",$R61="Fighting",$R61="Ground"),1,0)),IF(OR($S61="Bug",$S61="Fire",$S61="Flying",$S61="Ice"),0-1,IF(OR($S61="Steel",$S61="Fighting",$S61="Ground"),1,0)))</f>
        <v>0</v>
      </c>
      <c r="AS61" s="507" t="n">
        <f aca="false">SUM(IF(OR($R61="Fairy",$R61="Ice",$R61="Rock"),0-1,IF(OR($R61="Steel",$R61="Electric",$R61="Fire",$R61="Water"),1,0)),IF(OR($S61="Fairy",$S61="Ice",$S61="Rock"),0-1,IF(OR($S61="Steel",$S61="Electric",$S61="Fire",$S61="Water"),1,0)))</f>
        <v>1</v>
      </c>
      <c r="AT61" s="508" t="n">
        <f aca="false">SUM(IF(OR($R61="Fire",$R61="Ground",$R61="Rock"),0-1,IF(OR($R61="Dragon",$R61="Grass",$R61="Water"),1,0)),IF(OR($S61="Fire",$S61="Ground",$S61="Rock"),0-1,IF(OR($S61="Dragon",$S61="Grass",$S61="Water"),1,0)))</f>
        <v>-2</v>
      </c>
      <c r="AU61" s="518"/>
    </row>
    <row r="62" customFormat="false" ht="15.75" hidden="false" customHeight="false" outlineLevel="0" collapsed="false">
      <c r="A62" s="515" t="str">
        <f aca="false" t="array" ref="A62:A62">IF(ISNA(INDEX(Source!$U$7:$U$95,MATCH(B62,Source!$V$7:$V$95,0))),"FREE",INDEX(Source!$U$7:$U$95,MATCH(B62,Source!$V$7:$V$95,0)))</f>
        <v>LVC</v>
      </c>
      <c r="B62" s="511" t="s">
        <v>62</v>
      </c>
      <c r="C62" s="511"/>
      <c r="D62" s="511"/>
      <c r="E62" s="499" t="n">
        <f aca="false">IF(SUM($W62:$X62)&gt;0,SUM($W62:$X62),IF($H62&gt;0,0,IF($H62&gt;0,0,"-")))</f>
        <v>0</v>
      </c>
      <c r="F62" s="499" t="n">
        <f aca="false">IF(SUM($Y62:$Z62)&gt;0,SUM($Y62:$Z62),IF($H62&gt;0,0,"-"))</f>
        <v>0</v>
      </c>
      <c r="G62" s="499" t="e">
        <f aca="false">IF($H62&gt;0,minus(E62,F62),"-")</f>
        <v>#NAME?</v>
      </c>
      <c r="H62" s="500" t="n">
        <f aca="false">SUM(COUNTIF(MatchSource!$A:$A,$B62),COUNTIF(MatchSource!$H:$H,$B62))</f>
        <v>4</v>
      </c>
      <c r="I62" s="501" t="n">
        <f aca="false">SUM($AA62:$AB62)</f>
        <v>0</v>
      </c>
      <c r="J62" s="501" t="s">
        <v>279</v>
      </c>
      <c r="K62" s="512" t="n">
        <f aca="false" t="array" ref="K62:K62">IF(ISNA(INDEX(DraftRosters!$AA$3:$AA$199,MATCH($B62,DraftRosters!$AB$3:$AB$199,0))),"FA",IF(INDEX(DraftRosters!$AA$3:$AA$199,MATCH($B62,DraftRosters!$AB$3:$AB$199,0))="Franchise","Franch",INDEX(DraftRosters!$AA$3:$AA$199,MATCH($B62,DraftRosters!$AB$3:$AB$199,0))))</f>
        <v>43</v>
      </c>
      <c r="L62" s="499" t="n">
        <v>70</v>
      </c>
      <c r="M62" s="499" t="n">
        <v>120</v>
      </c>
      <c r="N62" s="499" t="n">
        <v>100</v>
      </c>
      <c r="O62" s="499" t="n">
        <v>145</v>
      </c>
      <c r="P62" s="499" t="n">
        <v>105</v>
      </c>
      <c r="Q62" s="501" t="n">
        <v>20</v>
      </c>
      <c r="R62" s="499" t="s">
        <v>800</v>
      </c>
      <c r="S62" s="501" t="s">
        <v>907</v>
      </c>
      <c r="T62" s="504" t="s">
        <v>898</v>
      </c>
      <c r="U62" s="513"/>
      <c r="V62" s="514"/>
      <c r="W62" s="500" t="str">
        <f aca="false">IFERROR(__xludf.dummyfunction("if(isna(SUM(FILTER(MatchSource!$A:$D,MatchSource!$A:$A=$B62))),0,SUM(FILTER(MatchSource!$A:$D,MatchSource!$A:$A=$B62)))"),"0")</f>
        <v>0</v>
      </c>
      <c r="X62" s="499" t="str">
        <f aca="false">IFERROR(__xludf.dummyfunction("if(isna(SUM(FILTER(MatchSource!$H:$K,MatchSource!$H:$H=$B62))),0,SUM(FILTER(MatchSource!$H:$K,MatchSource!$H:$H=$B62)))"),"0")</f>
        <v>0</v>
      </c>
      <c r="Y62" s="499" t="str">
        <f aca="false">IFERROR(__xludf.dummyfunction("if(isna(ABS(MINUS(SUM(FILTER(MatchSource!$A:$E,MatchSource!$A:$A=$B62)),SUM($W62)))),0,ABS(MINUS(SUM(FILTER(MatchSource!$A:$E,MatchSource!$A:$A=$B62)),SUM($W62))))"),"2")</f>
        <v>2</v>
      </c>
      <c r="Z62" s="499" t="str">
        <f aca="false">IFERROR(__xludf.dummyfunction("if(isna(ABS(MINUS(SUM(FILTER(MatchSource!$H:$L,MatchSource!$H:$H=$B62)),SUM($X62)))),0,ABS(MINUS(SUM(FILTER(MatchSource!$H:$L,MatchSource!$H:$H=$B62)),SUM($X62))))"),"2")</f>
        <v>2</v>
      </c>
      <c r="AA62" s="499" t="str">
        <f aca="false">IFERROR(__xludf.dummyfunction("if(isna(ABS(MINUS(SUM(FILTER(MatchSource!$A:$F,MatchSource!$A:$A=$B62)),SUM($W62,$Y62)))),0,ABS(MINUS(SUM(FILTER(MatchSource!$A:$F,MatchSource!$A:$A=$B62)),SUM($W62, $Y62,))))"),"1")</f>
        <v>1</v>
      </c>
      <c r="AB62" s="501" t="str">
        <f aca="false">IFERROR(__xludf.dummyfunction("if(isna(ABS(MINUS(SUM(FILTER(MatchSource!$H:$M,MatchSource!$H:$H=$B62)),SUM($X62,$Z62)))),0,ABS(MINUS(SUM(FILTER(MatchSource!$H:$M,MatchSource!$H:$H=$B62)),SUM($X62,$Z62))))"),"1")</f>
        <v>1</v>
      </c>
      <c r="AC62" s="507" t="n">
        <f aca="false">SUM(IF(OR($R62="Grass",$R62="Psychic",$R62="Dark"),0-1,IF(OR($R62="Fighting",$R62="Flying",$R62="Fire",$R62="Ghost",$R62="Poison",$R62="Steel",$R62="Fairy"),1,0)),IF(OR($S62="Grass",$S62="Psychic",$S62="Dark"),0-1,IF(OR($S62="Fighting",$S62="Flying",$S62="Fire",$S62="Ghost",$S62="Poison",$S62="Steel",$S62="Fairy"),1,0)))</f>
        <v>1</v>
      </c>
      <c r="AD62" s="507" t="n">
        <f aca="false">SUM(IF(OR($R62="Ghost",$R62="Psychic"),0-1,IF(OR($R62="Fighting",$R62="Dark",$R62="Fairy"),1,0)),IF(OR($S62="Ghost",$S62="Psychic"),0-1,IF(OR($S62="Fighting",$S62="Dark",$S62="Fairy"),1,0)))</f>
        <v>0</v>
      </c>
      <c r="AE62" s="507" t="n">
        <f aca="false">IF(OR($R62="Fairy",$S62="Fairy"),4,SUM(IF($R62="Dragon",0-1,IF($R62="Steel",1,0)),IF($S62="Dragon",0-1,IF($S62="Steel",1,0))))</f>
        <v>0</v>
      </c>
      <c r="AF62" s="507" t="n">
        <f aca="false">IF(OR($R62="Ground",$S62="Ground"),4,SUM(IF(OR($R62="Flying",$R62="Water"),0-1,IF(OR($R62="Dragon",$R62="Electric",$R62="Grass"),1,0)),IF(OR($S62="Flying",$S62="Water"),0-1,IF(OR($S62="Dragon",$S62="Electric",$S62="Grass"),1,0))))</f>
        <v>4</v>
      </c>
      <c r="AG62" s="507" t="n">
        <f aca="false">SUM(IF(OR($R62="Dark",$R62="Dragon",$R62="Fighting"),0-1,IF(OR($R62="Steel",$R62="Poison",$R62="Fire"),1,0)),IF(OR($S62="Dark",$S62="Dragon",$S62="Fighting"),0-1,IF(OR($S62="Steel",$S62="Poison",$S62="Fire"),1,0)))</f>
        <v>1</v>
      </c>
      <c r="AH62" s="507" t="n">
        <f aca="false">IF(OR($R62="Ghost",$S62="Ghost"),4,SUM(IF(OR($R62="Dark",$R62="Ice",$R62="Normal",$R62="Rock",$R62="Steel"),0-1,IF(OR($R62="Bug",$R62="Fairy",$R62="Flying",$R62="Poison",$R62="Psychic"),1,0)),IF(OR($S62="Dark",$S62="Ice",$S62="Normal",$S62="Rock",$S62="Steel"),0-1,IF(OR($S62="Bug",$S62="Fairy",$S62="Flying",$S62="Poison",$S62="Psychic"),1,0))))</f>
        <v>0</v>
      </c>
      <c r="AI62" s="507" t="n">
        <f aca="false">SUM(IF(OR($R62="Bug",$R62="Grass",$R62="Ice",$R62="Steel"),0-1,IF(OR($R62="Dragon",$R62="Fire",$R62="Rock",$R62="Water"),1,0)),IF(OR($S62="Bug",$S62="Grass",$S62="Ice",$S62="Steel"),0-1,IF(OR($S62="Dragon",$S62="Fire",$S62="Rock",$S62="Water"),1,0)))</f>
        <v>1</v>
      </c>
      <c r="AJ62" s="507" t="n">
        <f aca="false">SUM(IF(OR($R62="Bug",$R62="Grass",$R62="Fighting"),0-1,IF(OR($R62="Electric",$R62="Rock",$R62="Steel"),1,0)),IF(OR($S62="Bug",$S62="Grass",$S62="Fighting"),0-1,IF(OR($S62="Electric",$S62="Rock",$S62="Steel"),1,0)))</f>
        <v>0</v>
      </c>
      <c r="AK62" s="507" t="n">
        <f aca="false">IF(OR($R62="Normal",$S62="Normal"),4,SUM(IF(OR($R62="Ghost",$R62="Psychic"),0-1,IF($R62="Dark",1,0)),IF(OR($S62="Ghost",$S62="Psychic"),0-1,IF($S62="Dark",1,0))))</f>
        <v>0</v>
      </c>
      <c r="AL62" s="507" t="n">
        <f aca="false">SUM(IF(OR($R62="Ground",$R62="Rock",$R62="Water"),0-1,IF(OR($R62="Bug",$R62="Flying",$R62="Fire",$R62="Dragon",$R62="Poison",$R62="Steel",$R62="Grass"),1,0)),IF(OR($S62="Ground",$S62="Rock",$S62="Water"),0-1,IF(OR($S62="Bug",$S62="Flying",$S62="Fire",$S62="Dragon",$S62="Poison",$S62="Steel",$S62="Grass"),1,0)))</f>
        <v>0</v>
      </c>
      <c r="AM62" s="507" t="n">
        <f aca="false">IF(OR($R62="Flying",$S62="Flying"),4,SUM(IF(OR($R62="Electric",$R62="Fire",$R62="Rock",$R62="Steel",$R62="Poison"),0-1,IF(OR($R62="Bug",$R62="Grass"),1,0)),IF(OR($S62="Electric",$S62="Fire",$S62="Rock",$S62="Steel",$S62="Poison"),0-1,IF(OR($S62="Bug",$S62="Grass"),1,0))))</f>
        <v>-1</v>
      </c>
      <c r="AN62" s="507" t="n">
        <f aca="false">SUM(IF(OR($R62="Flying",$R62="Dragon",$R62="Grass",$R62="Ground"),0-1,IF(OR($R62="Steel",$R62="Ice",$R62="Fire",$R62="Water"),1,0)),IF(OR($S62="Flying",$S62="Dragon",$S62="Grass",$S62="Ground"),0-1,IF(OR($S62="Steel",$S62="Ice",$S62="Fire",$S62="Water"),1,0)))</f>
        <v>0</v>
      </c>
      <c r="AO62" s="507" t="n">
        <f aca="false">IF(OR($R62="Ghost",$S62="Ghost"),4,SUM(IF(OR($R62="Steel",$R62="Rock"),1,0),IF(OR($S62="Steel",$S62="Rock"),1,0)))</f>
        <v>0</v>
      </c>
      <c r="AP62" s="507" t="n">
        <f aca="false">IF(OR($R62="Steel",$S62="Steel"),4,SUM(IF(OR($R62="Fairy",$R62="Grass"),0-1,IF(OR($R62="Ghost",$R62="Rock",$R62="Ground",$R62="Poison"),1,0)),IF(OR($S62="Fairy",$S62="Grass"),0-1,IF(OR($S62="Ghost",$S62="Rock",$S62="Ground",$S62="Poison"),1,0))))</f>
        <v>1</v>
      </c>
      <c r="AQ62" s="507" t="n">
        <f aca="false">IF(OR($R62="Dark",$S62="Dark"),4,SUM(IF(OR($R62="Fighting",$R62="Poison"),0-1,IF(OR($R62="Psychic",$R62="Steel"),1,0)),IF(OR($S62="Fighting",$S62="Poison"),0-1,IF(OR($S62="Psychic",$S62="Steel"),1,0))))</f>
        <v>0</v>
      </c>
      <c r="AR62" s="507" t="n">
        <f aca="false">SUM(IF(OR($R62="Bug",$R62="Fire",$R62="Flying",$R62="Ice"),0-1,IF(OR($R62="Steel",$R62="Fighting",$R62="Ground"),1,0)),IF(OR($S62="Bug",$S62="Fire",$S62="Flying",$S62="Ice"),0-1,IF(OR($S62="Steel",$S62="Fighting",$S62="Ground"),1,0)))</f>
        <v>0</v>
      </c>
      <c r="AS62" s="507" t="n">
        <f aca="false">SUM(IF(OR($R62="Fairy",$R62="Ice",$R62="Rock"),0-1,IF(OR($R62="Steel",$R62="Electric",$R62="Fire",$R62="Water"),1,0)),IF(OR($S62="Fairy",$S62="Ice",$S62="Rock"),0-1,IF(OR($S62="Steel",$S62="Electric",$S62="Fire",$S62="Water"),1,0)))</f>
        <v>1</v>
      </c>
      <c r="AT62" s="508" t="n">
        <f aca="false">SUM(IF(OR($R62="Fire",$R62="Ground",$R62="Rock"),0-1,IF(OR($R62="Dragon",$R62="Grass",$R62="Water"),1,0)),IF(OR($S62="Fire",$S62="Ground",$S62="Rock"),0-1,IF(OR($S62="Dragon",$S62="Grass",$S62="Water"),1,0)))</f>
        <v>-2</v>
      </c>
      <c r="AU62" s="518"/>
    </row>
    <row r="63" customFormat="false" ht="15.75" hidden="false" customHeight="false" outlineLevel="0" collapsed="false">
      <c r="A63" s="510" t="str">
        <f aca="false" t="array" ref="A63:A63">IF(ISNA(INDEX(Source!$U$7:$U$95,MATCH(B63,Source!$V$7:$V$95,0))),"FREE",INDEX(Source!$U$7:$U$95,MATCH(B63,Source!$V$7:$V$95,0)))</f>
        <v>FREE</v>
      </c>
      <c r="B63" s="511" t="s">
        <v>429</v>
      </c>
      <c r="C63" s="511"/>
      <c r="D63" s="511"/>
      <c r="E63" s="499" t="str">
        <f aca="false">IF(SUM($W63:$X63)&gt;0,SUM($W63:$X63),IF($H63&gt;0,0,IF($H63&gt;0,0,"-")))</f>
        <v>-</v>
      </c>
      <c r="F63" s="499" t="str">
        <f aca="false">IF(SUM($Y63:$Z63)&gt;0,SUM($Y63:$Z63),IF($H63&gt;0,0,"-"))</f>
        <v>-</v>
      </c>
      <c r="G63" s="499" t="str">
        <f aca="false">IF($H63&gt;0,minus(E63,F63),"-")</f>
        <v>-</v>
      </c>
      <c r="H63" s="500" t="n">
        <f aca="false">SUM(COUNTIF(MatchSource!$A:$A,$B63),COUNTIF(MatchSource!$H:$H,$B63))</f>
        <v>0</v>
      </c>
      <c r="I63" s="501" t="n">
        <f aca="false">SUM($AA63:$AB63)</f>
        <v>0</v>
      </c>
      <c r="J63" s="501" t="s">
        <v>702</v>
      </c>
      <c r="K63" s="512" t="str">
        <f aca="false" t="array" ref="K63:K63">IF(ISNA(INDEX(DraftRosters!$AA$3:$AA$199,MATCH($B63,DraftRosters!$AB$3:$AB$199,0))),"FA",IF(INDEX(DraftRosters!$AA$3:$AA$199,MATCH($B63,DraftRosters!$AB$3:$AB$199,0))="Franchise","Franch",INDEX(DraftRosters!$AA$3:$AA$199,MATCH($B63,DraftRosters!$AB$3:$AB$199,0))))</f>
        <v>FA</v>
      </c>
      <c r="L63" s="499" t="n">
        <v>50</v>
      </c>
      <c r="M63" s="499" t="n">
        <v>50</v>
      </c>
      <c r="N63" s="499" t="n">
        <v>150</v>
      </c>
      <c r="O63" s="499" t="n">
        <v>50</v>
      </c>
      <c r="P63" s="499" t="n">
        <v>150</v>
      </c>
      <c r="Q63" s="501" t="n">
        <v>50</v>
      </c>
      <c r="R63" s="499" t="s">
        <v>798</v>
      </c>
      <c r="S63" s="501" t="s">
        <v>809</v>
      </c>
      <c r="T63" s="504" t="s">
        <v>911</v>
      </c>
      <c r="U63" s="505" t="s">
        <v>826</v>
      </c>
      <c r="V63" s="506"/>
      <c r="W63" s="500" t="str">
        <f aca="false">IFERROR(__xludf.dummyfunction("if(isna(SUM(FILTER(MatchSource!$A:$D,MatchSource!$A:$A=$B63))),0,SUM(FILTER(MatchSource!$A:$D,MatchSource!$A:$A=$B63)))"),"0")</f>
        <v>0</v>
      </c>
      <c r="X63" s="499" t="str">
        <f aca="false">IFERROR(__xludf.dummyfunction("if(isna(SUM(FILTER(MatchSource!$H:$K,MatchSource!$H:$H=$B63))),0,SUM(FILTER(MatchSource!$H:$K,MatchSource!$H:$H=$B63)))"),"0")</f>
        <v>0</v>
      </c>
      <c r="Y63" s="499" t="str">
        <f aca="false">IFERROR(__xludf.dummyfunction("if(isna(ABS(MINUS(SUM(FILTER(MatchSource!$A:$E,MatchSource!$A:$A=$B63)),SUM($W63)))),0,ABS(MINUS(SUM(FILTER(MatchSource!$A:$E,MatchSource!$A:$A=$B63)),SUM($W63))))"),"0")</f>
        <v>0</v>
      </c>
      <c r="Z63" s="499" t="str">
        <f aca="false">IFERROR(__xludf.dummyfunction("if(isna(ABS(MINUS(SUM(FILTER(MatchSource!$H:$L,MatchSource!$H:$H=$B63)),SUM($X63)))),0,ABS(MINUS(SUM(FILTER(MatchSource!$H:$L,MatchSource!$H:$H=$B63)),SUM($X63))))"),"0")</f>
        <v>0</v>
      </c>
      <c r="AA63" s="499" t="str">
        <f aca="false">IFERROR(__xludf.dummyfunction("if(isna(ABS(MINUS(SUM(FILTER(MatchSource!$A:$F,MatchSource!$A:$A=$B63)),SUM($W63,$Y63)))),0,ABS(MINUS(SUM(FILTER(MatchSource!$A:$F,MatchSource!$A:$A=$B63)),SUM($W63, $Y63,))))"),"0")</f>
        <v>0</v>
      </c>
      <c r="AB63" s="501" t="str">
        <f aca="false">IFERROR(__xludf.dummyfunction("if(isna(ABS(MINUS(SUM(FILTER(MatchSource!$H:$M,MatchSource!$H:$H=$B63)),SUM($X63,$Z63)))),0,ABS(MINUS(SUM(FILTER(MatchSource!$H:$M,MatchSource!$H:$H=$B63)),SUM($X63,$Z63))))"),"0")</f>
        <v>0</v>
      </c>
      <c r="AC63" s="507" t="n">
        <f aca="false">SUM(IF(OR($R63="Grass",$R63="Psychic",$R63="Dark"),0-1,IF(OR($R63="Fighting",$R63="Flying",$R63="Fire",$R63="Ghost",$R63="Poison",$R63="Steel",$R63="Fairy"),1,0)),IF(OR($S63="Grass",$S63="Psychic",$S63="Dark"),0-1,IF(OR($S63="Fighting",$S63="Flying",$S63="Fire",$S63="Ghost",$S63="Poison",$S63="Steel",$S63="Fairy"),1,0)))</f>
        <v>1</v>
      </c>
      <c r="AD63" s="507" t="n">
        <f aca="false">SUM(IF(OR($R63="Ghost",$R63="Psychic"),0-1,IF(OR($R63="Fighting",$R63="Dark",$R63="Fairy"),1,0)),IF(OR($S63="Ghost",$S63="Psychic"),0-1,IF(OR($S63="Fighting",$S63="Dark",$S63="Fairy"),1,0)))</f>
        <v>1</v>
      </c>
      <c r="AE63" s="507" t="n">
        <f aca="false">IF(OR($R63="Fairy",$S63="Fairy"),4,SUM(IF($R63="Dragon",0-1,IF($R63="Steel",1,0)),IF($S63="Dragon",0-1,IF($S63="Steel",1,0))))</f>
        <v>4</v>
      </c>
      <c r="AF63" s="507" t="n">
        <f aca="false">IF(OR($R63="Ground",$S63="Ground"),4,SUM(IF(OR($R63="Flying",$R63="Water"),0-1,IF(OR($R63="Dragon",$R63="Electric",$R63="Grass"),1,0)),IF(OR($S63="Flying",$S63="Water"),0-1,IF(OR($S63="Dragon",$S63="Electric",$S63="Grass"),1,0))))</f>
        <v>0</v>
      </c>
      <c r="AG63" s="507" t="n">
        <f aca="false">SUM(IF(OR($R63="Dark",$R63="Dragon",$R63="Fighting"),0-1,IF(OR($R63="Steel",$R63="Poison",$R63="Fire"),1,0)),IF(OR($S63="Dark",$S63="Dragon",$S63="Fighting"),0-1,IF(OR($S63="Steel",$S63="Poison",$S63="Fire"),1,0)))</f>
        <v>0</v>
      </c>
      <c r="AH63" s="507" t="n">
        <f aca="false">IF(OR($R63="Ghost",$S63="Ghost"),4,SUM(IF(OR($R63="Dark",$R63="Ice",$R63="Normal",$R63="Rock",$R63="Steel"),0-1,IF(OR($R63="Bug",$R63="Fairy",$R63="Flying",$R63="Poison",$R63="Psychic"),1,0)),IF(OR($S63="Dark",$S63="Ice",$S63="Normal",$S63="Rock",$S63="Steel"),0-1,IF(OR($S63="Bug",$S63="Fairy",$S63="Flying",$S63="Poison",$S63="Psychic"),1,0))))</f>
        <v>0</v>
      </c>
      <c r="AI63" s="507" t="n">
        <f aca="false">SUM(IF(OR($R63="Bug",$R63="Grass",$R63="Ice",$R63="Steel"),0-1,IF(OR($R63="Dragon",$R63="Fire",$R63="Rock",$R63="Water"),1,0)),IF(OR($S63="Bug",$S63="Grass",$S63="Ice",$S63="Steel"),0-1,IF(OR($S63="Dragon",$S63="Fire",$S63="Rock",$S63="Water"),1,0)))</f>
        <v>1</v>
      </c>
      <c r="AJ63" s="507" t="n">
        <f aca="false">SUM(IF(OR($R63="Bug",$R63="Grass",$R63="Fighting"),0-1,IF(OR($R63="Electric",$R63="Rock",$R63="Steel"),1,0)),IF(OR($S63="Bug",$S63="Grass",$S63="Fighting"),0-1,IF(OR($S63="Electric",$S63="Rock",$S63="Steel"),1,0)))</f>
        <v>1</v>
      </c>
      <c r="AK63" s="507" t="n">
        <f aca="false">IF(OR($R63="Normal",$S63="Normal"),4,SUM(IF(OR($R63="Ghost",$R63="Psychic"),0-1,IF($R63="Dark",1,0)),IF(OR($S63="Ghost",$S63="Psychic"),0-1,IF($S63="Dark",1,0))))</f>
        <v>0</v>
      </c>
      <c r="AL63" s="507" t="n">
        <f aca="false">SUM(IF(OR($R63="Ground",$R63="Rock",$R63="Water"),0-1,IF(OR($R63="Bug",$R63="Flying",$R63="Fire",$R63="Dragon",$R63="Poison",$R63="Steel",$R63="Grass"),1,0)),IF(OR($S63="Ground",$S63="Rock",$S63="Water"),0-1,IF(OR($S63="Bug",$S63="Flying",$S63="Fire",$S63="Dragon",$S63="Poison",$S63="Steel",$S63="Grass"),1,0)))</f>
        <v>-1</v>
      </c>
      <c r="AM63" s="507" t="n">
        <f aca="false">IF(OR($R63="Flying",$S63="Flying"),4,SUM(IF(OR($R63="Electric",$R63="Fire",$R63="Rock",$R63="Steel",$R63="Poison"),0-1,IF(OR($R63="Bug",$R63="Grass"),1,0)),IF(OR($S63="Electric",$S63="Fire",$S63="Rock",$S63="Steel",$S63="Poison"),0-1,IF(OR($S63="Bug",$S63="Grass"),1,0))))</f>
        <v>-1</v>
      </c>
      <c r="AN63" s="507" t="n">
        <f aca="false">SUM(IF(OR($R63="Flying",$R63="Dragon",$R63="Grass",$R63="Ground"),0-1,IF(OR($R63="Steel",$R63="Ice",$R63="Fire",$R63="Water"),1,0)),IF(OR($S63="Flying",$S63="Dragon",$S63="Grass",$S63="Ground"),0-1,IF(OR($S63="Steel",$S63="Ice",$S63="Fire",$S63="Water"),1,0)))</f>
        <v>0</v>
      </c>
      <c r="AO63" s="507" t="n">
        <f aca="false">IF(OR($R63="Ghost",$S63="Ghost"),4,SUM(IF(OR($R63="Steel",$R63="Rock"),1,0),IF(OR($S63="Steel",$S63="Rock"),1,0)))</f>
        <v>1</v>
      </c>
      <c r="AP63" s="507" t="n">
        <f aca="false">IF(OR($R63="Steel",$S63="Steel"),4,SUM(IF(OR($R63="Fairy",$R63="Grass"),0-1,IF(OR($R63="Ghost",$R63="Rock",$R63="Ground",$R63="Poison"),1,0)),IF(OR($S63="Fairy",$S63="Grass"),0-1,IF(OR($S63="Ghost",$S63="Rock",$S63="Ground",$S63="Poison"),1,0))))</f>
        <v>0</v>
      </c>
      <c r="AQ63" s="507" t="n">
        <f aca="false">IF(OR($R63="Dark",$S63="Dark"),4,SUM(IF(OR($R63="Fighting",$R63="Poison"),0-1,IF(OR($R63="Psychic",$R63="Steel"),1,0)),IF(OR($S63="Fighting",$S63="Poison"),0-1,IF(OR($S63="Psychic",$S63="Steel"),1,0))))</f>
        <v>0</v>
      </c>
      <c r="AR63" s="507" t="n">
        <f aca="false">SUM(IF(OR($R63="Bug",$R63="Fire",$R63="Flying",$R63="Ice"),0-1,IF(OR($R63="Steel",$R63="Fighting",$R63="Ground"),1,0)),IF(OR($S63="Bug",$S63="Fire",$S63="Flying",$S63="Ice"),0-1,IF(OR($S63="Steel",$S63="Fighting",$S63="Ground"),1,0)))</f>
        <v>0</v>
      </c>
      <c r="AS63" s="507" t="n">
        <f aca="false">SUM(IF(OR($R63="Fairy",$R63="Ice",$R63="Rock"),0-1,IF(OR($R63="Steel",$R63="Electric",$R63="Fire",$R63="Water"),1,0)),IF(OR($S63="Fairy",$S63="Ice",$S63="Rock"),0-1,IF(OR($S63="Steel",$S63="Electric",$S63="Fire",$S63="Water"),1,0)))</f>
        <v>-2</v>
      </c>
      <c r="AT63" s="508" t="n">
        <f aca="false">SUM(IF(OR($R63="Fire",$R63="Ground",$R63="Rock"),0-1,IF(OR($R63="Dragon",$R63="Grass",$R63="Water"),1,0)),IF(OR($S63="Fire",$S63="Ground",$S63="Rock"),0-1,IF(OR($S63="Dragon",$S63="Grass",$S63="Water"),1,0)))</f>
        <v>-1</v>
      </c>
      <c r="AU63" s="518"/>
    </row>
    <row r="64" customFormat="false" ht="15.75" hidden="false" customHeight="false" outlineLevel="0" collapsed="false">
      <c r="A64" s="510" t="str">
        <f aca="false" t="array" ref="A64:A64">IF(ISNA(INDEX(Source!$U$7:$U$95,MATCH(B64,Source!$V$7:$V$95,0))),"FREE",INDEX(Source!$U$7:$U$95,MATCH(B64,Source!$V$7:$V$95,0)))</f>
        <v>FREE</v>
      </c>
      <c r="B64" s="511" t="s">
        <v>435</v>
      </c>
      <c r="C64" s="511"/>
      <c r="D64" s="511"/>
      <c r="E64" s="499" t="str">
        <f aca="false">IF(SUM($W64:$X64)&gt;0,SUM($W64:$X64),IF($H64&gt;0,0,IF($H64&gt;0,0,"-")))</f>
        <v>-</v>
      </c>
      <c r="F64" s="499" t="str">
        <f aca="false">IF(SUM($Y64:$Z64)&gt;0,SUM($Y64:$Z64),IF($H64&gt;0,0,"-"))</f>
        <v>-</v>
      </c>
      <c r="G64" s="499" t="str">
        <f aca="false">IF($H64&gt;0,minus(E64,F64),"-")</f>
        <v>-</v>
      </c>
      <c r="H64" s="500" t="n">
        <f aca="false">SUM(COUNTIF(MatchSource!$A:$A,$B64),COUNTIF(MatchSource!$H:$H,$B64))</f>
        <v>0</v>
      </c>
      <c r="I64" s="501" t="n">
        <f aca="false">SUM($AA64:$AB64)</f>
        <v>0</v>
      </c>
      <c r="J64" s="501" t="s">
        <v>702</v>
      </c>
      <c r="K64" s="512" t="str">
        <f aca="false" t="array" ref="K64:K64">IF(ISNA(INDEX(DraftRosters!$AA$3:$AA$199,MATCH($B64,DraftRosters!$AB$3:$AB$199,0))),"FA",IF(INDEX(DraftRosters!$AA$3:$AA$199,MATCH($B64,DraftRosters!$AB$3:$AB$199,0))="Franchise","Franch",INDEX(DraftRosters!$AA$3:$AA$199,MATCH($B64,DraftRosters!$AB$3:$AB$199,0))))</f>
        <v>FA</v>
      </c>
      <c r="L64" s="499" t="n">
        <v>74</v>
      </c>
      <c r="M64" s="499" t="n">
        <v>100</v>
      </c>
      <c r="N64" s="499" t="n">
        <v>72</v>
      </c>
      <c r="O64" s="499" t="n">
        <v>90</v>
      </c>
      <c r="P64" s="499" t="n">
        <v>72</v>
      </c>
      <c r="Q64" s="501" t="n">
        <v>46</v>
      </c>
      <c r="R64" s="499" t="s">
        <v>803</v>
      </c>
      <c r="S64" s="501"/>
      <c r="T64" s="504" t="s">
        <v>866</v>
      </c>
      <c r="U64" s="505"/>
      <c r="V64" s="506"/>
      <c r="W64" s="500" t="str">
        <f aca="false">IFERROR(__xludf.dummyfunction("if(isna(SUM(FILTER(MatchSource!$A:$D,MatchSource!$A:$A=$B64))),0,SUM(FILTER(MatchSource!$A:$D,MatchSource!$A:$A=$B64)))"),"0")</f>
        <v>0</v>
      </c>
      <c r="X64" s="499" t="str">
        <f aca="false">IFERROR(__xludf.dummyfunction("if(isna(SUM(FILTER(MatchSource!$H:$K,MatchSource!$H:$H=$B64))),0,SUM(FILTER(MatchSource!$H:$K,MatchSource!$H:$H=$B64)))"),"0")</f>
        <v>0</v>
      </c>
      <c r="Y64" s="499" t="str">
        <f aca="false">IFERROR(__xludf.dummyfunction("if(isna(ABS(MINUS(SUM(FILTER(MatchSource!$A:$E,MatchSource!$A:$A=$B64)),SUM($W64)))),0,ABS(MINUS(SUM(FILTER(MatchSource!$A:$E,MatchSource!$A:$A=$B64)),SUM($W64))))"),"0")</f>
        <v>0</v>
      </c>
      <c r="Z64" s="499" t="str">
        <f aca="false">IFERROR(__xludf.dummyfunction("if(isna(ABS(MINUS(SUM(FILTER(MatchSource!$H:$L,MatchSource!$H:$H=$B64)),SUM($X64)))),0,ABS(MINUS(SUM(FILTER(MatchSource!$H:$L,MatchSource!$H:$H=$B64)),SUM($X64))))"),"0")</f>
        <v>0</v>
      </c>
      <c r="AA64" s="499" t="str">
        <f aca="false">IFERROR(__xludf.dummyfunction("if(isna(ABS(MINUS(SUM(FILTER(MatchSource!$A:$F,MatchSource!$A:$A=$B64)),SUM($W64,$Y64)))),0,ABS(MINUS(SUM(FILTER(MatchSource!$A:$F,MatchSource!$A:$A=$B64)),SUM($W64, $Y64,))))"),"0")</f>
        <v>0</v>
      </c>
      <c r="AB64" s="501" t="str">
        <f aca="false">IFERROR(__xludf.dummyfunction("if(isna(ABS(MINUS(SUM(FILTER(MatchSource!$H:$M,MatchSource!$H:$H=$B64)),SUM($X64,$Z64)))),0,ABS(MINUS(SUM(FILTER(MatchSource!$H:$M,MatchSource!$H:$H=$B64)),SUM($X64,$Z64))))"),"0")</f>
        <v>0</v>
      </c>
      <c r="AC64" s="507" t="n">
        <f aca="false">SUM(IF(OR($R64="Grass",$R64="Psychic",$R64="Dark"),0-1,IF(OR($R64="Fighting",$R64="Flying",$R64="Fire",$R64="Ghost",$R64="Poison",$R64="Steel",$R64="Fairy"),1,0)),IF(OR($S64="Grass",$S64="Psychic",$S64="Dark"),0-1,IF(OR($S64="Fighting",$S64="Flying",$S64="Fire",$S64="Ghost",$S64="Poison",$S64="Steel",$S64="Fairy"),1,0)))</f>
        <v>-1</v>
      </c>
      <c r="AD64" s="507" t="n">
        <f aca="false">SUM(IF(OR($R64="Ghost",$R64="Psychic"),0-1,IF(OR($R64="Fighting",$R64="Dark",$R64="Fairy"),1,0)),IF(OR($S64="Ghost",$S64="Psychic"),0-1,IF(OR($S64="Fighting",$S64="Dark",$S64="Fairy"),1,0)))</f>
        <v>0</v>
      </c>
      <c r="AE64" s="507" t="n">
        <f aca="false">IF(OR($R64="Fairy",$S64="Fairy"),4,SUM(IF($R64="Dragon",0-1,IF($R64="Steel",1,0)),IF($S64="Dragon",0-1,IF($S64="Steel",1,0))))</f>
        <v>0</v>
      </c>
      <c r="AF64" s="507" t="n">
        <f aca="false">IF(OR($R64="Ground",$S64="Ground"),4,SUM(IF(OR($R64="Flying",$R64="Water"),0-1,IF(OR($R64="Dragon",$R64="Electric",$R64="Grass"),1,0)),IF(OR($S64="Flying",$S64="Water"),0-1,IF(OR($S64="Dragon",$S64="Electric",$S64="Grass"),1,0))))</f>
        <v>1</v>
      </c>
      <c r="AG64" s="507" t="n">
        <f aca="false">SUM(IF(OR($R64="Dark",$R64="Dragon",$R64="Fighting"),0-1,IF(OR($R64="Steel",$R64="Poison",$R64="Fire"),1,0)),IF(OR($S64="Dark",$S64="Dragon",$S64="Fighting"),0-1,IF(OR($S64="Steel",$S64="Poison",$S64="Fire"),1,0)))</f>
        <v>0</v>
      </c>
      <c r="AH64" s="507" t="n">
        <f aca="false">IF(OR($R64="Ghost",$S64="Ghost"),4,SUM(IF(OR($R64="Dark",$R64="Ice",$R64="Normal",$R64="Rock",$R64="Steel"),0-1,IF(OR($R64="Bug",$R64="Fairy",$R64="Flying",$R64="Poison",$R64="Psychic"),1,0)),IF(OR($S64="Dark",$S64="Ice",$S64="Normal",$S64="Rock",$S64="Steel"),0-1,IF(OR($S64="Bug",$S64="Fairy",$S64="Flying",$S64="Poison",$S64="Psychic"),1,0))))</f>
        <v>0</v>
      </c>
      <c r="AI64" s="507" t="n">
        <f aca="false">SUM(IF(OR($R64="Bug",$R64="Grass",$R64="Ice",$R64="Steel"),0-1,IF(OR($R64="Dragon",$R64="Fire",$R64="Rock",$R64="Water"),1,0)),IF(OR($S64="Bug",$S64="Grass",$S64="Ice",$S64="Steel"),0-1,IF(OR($S64="Dragon",$S64="Fire",$S64="Rock",$S64="Water"),1,0)))</f>
        <v>-1</v>
      </c>
      <c r="AJ64" s="507" t="n">
        <f aca="false">SUM(IF(OR($R64="Bug",$R64="Grass",$R64="Fighting"),0-1,IF(OR($R64="Electric",$R64="Rock",$R64="Steel"),1,0)),IF(OR($S64="Bug",$S64="Grass",$S64="Fighting"),0-1,IF(OR($S64="Electric",$S64="Rock",$S64="Steel"),1,0)))</f>
        <v>-1</v>
      </c>
      <c r="AK64" s="507" t="n">
        <f aca="false">IF(OR($R64="Normal",$S64="Normal"),4,SUM(IF(OR($R64="Ghost",$R64="Psychic"),0-1,IF($R64="Dark",1,0)),IF(OR($S64="Ghost",$S64="Psychic"),0-1,IF($S64="Dark",1,0))))</f>
        <v>0</v>
      </c>
      <c r="AL64" s="507" t="n">
        <f aca="false">SUM(IF(OR($R64="Ground",$R64="Rock",$R64="Water"),0-1,IF(OR($R64="Bug",$R64="Flying",$R64="Fire",$R64="Dragon",$R64="Poison",$R64="Steel",$R64="Grass"),1,0)),IF(OR($S64="Ground",$S64="Rock",$S64="Water"),0-1,IF(OR($S64="Bug",$S64="Flying",$S64="Fire",$S64="Dragon",$S64="Poison",$S64="Steel",$S64="Grass"),1,0)))</f>
        <v>1</v>
      </c>
      <c r="AM64" s="507" t="n">
        <f aca="false">IF(OR($R64="Flying",$S64="Flying"),4,SUM(IF(OR($R64="Electric",$R64="Fire",$R64="Rock",$R64="Steel",$R64="Poison"),0-1,IF(OR($R64="Bug",$R64="Grass"),1,0)),IF(OR($S64="Electric",$S64="Fire",$S64="Rock",$S64="Steel",$S64="Poison"),0-1,IF(OR($S64="Bug",$S64="Grass"),1,0))))</f>
        <v>1</v>
      </c>
      <c r="AN64" s="507" t="n">
        <f aca="false">SUM(IF(OR($R64="Flying",$R64="Dragon",$R64="Grass",$R64="Ground"),0-1,IF(OR($R64="Steel",$R64="Ice",$R64="Fire",$R64="Water"),1,0)),IF(OR($S64="Flying",$S64="Dragon",$S64="Grass",$S64="Ground"),0-1,IF(OR($S64="Steel",$S64="Ice",$S64="Fire",$S64="Water"),1,0)))</f>
        <v>-1</v>
      </c>
      <c r="AO64" s="507" t="n">
        <f aca="false">IF(OR($R64="Ghost",$S64="Ghost"),4,SUM(IF(OR($R64="Steel",$R64="Rock"),1,0),IF(OR($S64="Steel",$S64="Rock"),1,0)))</f>
        <v>0</v>
      </c>
      <c r="AP64" s="507" t="n">
        <f aca="false">IF(OR($R64="Steel",$S64="Steel"),4,SUM(IF(OR($R64="Fairy",$R64="Grass"),0-1,IF(OR($R64="Ghost",$R64="Rock",$R64="Ground",$R64="Poison"),1,0)),IF(OR($S64="Fairy",$S64="Grass"),0-1,IF(OR($S64="Ghost",$S64="Rock",$S64="Ground",$S64="Poison"),1,0))))</f>
        <v>-1</v>
      </c>
      <c r="AQ64" s="507" t="n">
        <f aca="false">IF(OR($R64="Dark",$S64="Dark"),4,SUM(IF(OR($R64="Fighting",$R64="Poison"),0-1,IF(OR($R64="Psychic",$R64="Steel"),1,0)),IF(OR($S64="Fighting",$S64="Poison"),0-1,IF(OR($S64="Psychic",$S64="Steel"),1,0))))</f>
        <v>0</v>
      </c>
      <c r="AR64" s="507" t="n">
        <f aca="false">SUM(IF(OR($R64="Bug",$R64="Fire",$R64="Flying",$R64="Ice"),0-1,IF(OR($R64="Steel",$R64="Fighting",$R64="Ground"),1,0)),IF(OR($S64="Bug",$S64="Fire",$S64="Flying",$S64="Ice"),0-1,IF(OR($S64="Steel",$S64="Fighting",$S64="Ground"),1,0)))</f>
        <v>0</v>
      </c>
      <c r="AS64" s="507" t="n">
        <f aca="false">SUM(IF(OR($R64="Fairy",$R64="Ice",$R64="Rock"),0-1,IF(OR($R64="Steel",$R64="Electric",$R64="Fire",$R64="Water"),1,0)),IF(OR($S64="Fairy",$S64="Ice",$S64="Rock"),0-1,IF(OR($S64="Steel",$S64="Electric",$S64="Fire",$S64="Water"),1,0)))</f>
        <v>0</v>
      </c>
      <c r="AT64" s="508" t="n">
        <f aca="false">SUM(IF(OR($R64="Fire",$R64="Ground",$R64="Rock"),0-1,IF(OR($R64="Dragon",$R64="Grass",$R64="Water"),1,0)),IF(OR($S64="Fire",$S64="Ground",$S64="Rock"),0-1,IF(OR($S64="Dragon",$S64="Grass",$S64="Water"),1,0)))</f>
        <v>1</v>
      </c>
      <c r="AU64" s="518"/>
    </row>
    <row r="65" customFormat="false" ht="15.75" hidden="false" customHeight="false" outlineLevel="0" collapsed="false">
      <c r="A65" s="510" t="str">
        <f aca="false" t="array" ref="A65:A65">IF(ISNA(INDEX(Source!$U$7:$U$95,MATCH(B65,Source!$V$7:$V$95,0))),"FREE",INDEX(Source!$U$7:$U$95,MATCH(B65,Source!$V$7:$V$95,0)))</f>
        <v>FREE</v>
      </c>
      <c r="B65" s="511" t="s">
        <v>440</v>
      </c>
      <c r="C65" s="511"/>
      <c r="D65" s="511"/>
      <c r="E65" s="499" t="str">
        <f aca="false">IF(SUM($W65:$X65)&gt;0,SUM($W65:$X65),IF($H65&gt;0,0,IF($H65&gt;0,0,"-")))</f>
        <v>-</v>
      </c>
      <c r="F65" s="499" t="str">
        <f aca="false">IF(SUM($Y65:$Z65)&gt;0,SUM($Y65:$Z65),IF($H65&gt;0,0,"-"))</f>
        <v>-</v>
      </c>
      <c r="G65" s="499" t="str">
        <f aca="false">IF($H65&gt;0,minus(E65,F65),"-")</f>
        <v>-</v>
      </c>
      <c r="H65" s="500" t="n">
        <f aca="false">SUM(COUNTIF(MatchSource!$A:$A,$B65),COUNTIF(MatchSource!$H:$H,$B65))</f>
        <v>0</v>
      </c>
      <c r="I65" s="501" t="n">
        <f aca="false">SUM($AA65:$AB65)</f>
        <v>0</v>
      </c>
      <c r="J65" s="501" t="s">
        <v>702</v>
      </c>
      <c r="K65" s="512" t="str">
        <f aca="false" t="array" ref="K65:K65">IF(ISNA(INDEX(DraftRosters!$AA$3:$AA$199,MATCH($B65,DraftRosters!$AB$3:$AB$199,0))),"FA",IF(INDEX(DraftRosters!$AA$3:$AA$199,MATCH($B65,DraftRosters!$AB$3:$AB$199,0))="Franchise","Franch",INDEX(DraftRosters!$AA$3:$AA$199,MATCH($B65,DraftRosters!$AB$3:$AB$199,0))))</f>
        <v>FA</v>
      </c>
      <c r="L65" s="499" t="n">
        <v>74</v>
      </c>
      <c r="M65" s="499" t="n">
        <v>108</v>
      </c>
      <c r="N65" s="499" t="n">
        <v>133</v>
      </c>
      <c r="O65" s="499" t="n">
        <v>83</v>
      </c>
      <c r="P65" s="499" t="n">
        <v>65</v>
      </c>
      <c r="Q65" s="501" t="n">
        <v>32</v>
      </c>
      <c r="R65" s="499" t="s">
        <v>809</v>
      </c>
      <c r="S65" s="501" t="s">
        <v>811</v>
      </c>
      <c r="T65" s="504" t="s">
        <v>909</v>
      </c>
      <c r="U65" s="505" t="s">
        <v>826</v>
      </c>
      <c r="V65" s="506" t="s">
        <v>859</v>
      </c>
      <c r="W65" s="500" t="str">
        <f aca="false">IFERROR(__xludf.dummyfunction("if(isna(SUM(FILTER(MatchSource!$A:$D,MatchSource!$A:$A=$B65))),0,SUM(FILTER(MatchSource!$A:$D,MatchSource!$A:$A=$B65)))"),"0")</f>
        <v>0</v>
      </c>
      <c r="X65" s="499" t="str">
        <f aca="false">IFERROR(__xludf.dummyfunction("if(isna(SUM(FILTER(MatchSource!$H:$K,MatchSource!$H:$H=$B65))),0,SUM(FILTER(MatchSource!$H:$K,MatchSource!$H:$H=$B65)))"),"0")</f>
        <v>0</v>
      </c>
      <c r="Y65" s="499" t="str">
        <f aca="false">IFERROR(__xludf.dummyfunction("if(isna(ABS(MINUS(SUM(FILTER(MatchSource!$A:$E,MatchSource!$A:$A=$B65)),SUM($W65)))),0,ABS(MINUS(SUM(FILTER(MatchSource!$A:$E,MatchSource!$A:$A=$B65)),SUM($W65))))"),"0")</f>
        <v>0</v>
      </c>
      <c r="Z65" s="499" t="str">
        <f aca="false">IFERROR(__xludf.dummyfunction("if(isna(ABS(MINUS(SUM(FILTER(MatchSource!$H:$L,MatchSource!$H:$H=$B65)),SUM($X65)))),0,ABS(MINUS(SUM(FILTER(MatchSource!$H:$L,MatchSource!$H:$H=$B65)),SUM($X65))))"),"0")</f>
        <v>0</v>
      </c>
      <c r="AA65" s="499" t="str">
        <f aca="false">IFERROR(__xludf.dummyfunction("if(isna(ABS(MINUS(SUM(FILTER(MatchSource!$A:$F,MatchSource!$A:$A=$B65)),SUM($W65,$Y65)))),0,ABS(MINUS(SUM(FILTER(MatchSource!$A:$F,MatchSource!$A:$A=$B65)),SUM($W65, $Y65,))))"),"0")</f>
        <v>0</v>
      </c>
      <c r="AB65" s="501" t="str">
        <f aca="false">IFERROR(__xludf.dummyfunction("if(isna(ABS(MINUS(SUM(FILTER(MatchSource!$H:$M,MatchSource!$H:$H=$B65)),SUM($X65,$Z65)))),0,ABS(MINUS(SUM(FILTER(MatchSource!$H:$M,MatchSource!$H:$H=$B65)),SUM($X65,$Z65))))"),"0")</f>
        <v>0</v>
      </c>
      <c r="AC65" s="507" t="n">
        <f aca="false">SUM(IF(OR($R65="Grass",$R65="Psychic",$R65="Dark"),0-1,IF(OR($R65="Fighting",$R65="Flying",$R65="Fire",$R65="Ghost",$R65="Poison",$R65="Steel",$R65="Fairy"),1,0)),IF(OR($S65="Grass",$S65="Psychic",$S65="Dark"),0-1,IF(OR($S65="Fighting",$S65="Flying",$S65="Fire",$S65="Ghost",$S65="Poison",$S65="Steel",$S65="Fairy"),1,0)))</f>
        <v>0</v>
      </c>
      <c r="AD65" s="507" t="n">
        <f aca="false">SUM(IF(OR($R65="Ghost",$R65="Psychic"),0-1,IF(OR($R65="Fighting",$R65="Dark",$R65="Fairy"),1,0)),IF(OR($S65="Ghost",$S65="Psychic"),0-1,IF(OR($S65="Fighting",$S65="Dark",$S65="Fairy"),1,0)))</f>
        <v>0</v>
      </c>
      <c r="AE65" s="507" t="n">
        <f aca="false">IF(OR($R65="Fairy",$S65="Fairy"),4,SUM(IF($R65="Dragon",0-1,IF($R65="Steel",1,0)),IF($S65="Dragon",0-1,IF($S65="Steel",1,0))))</f>
        <v>0</v>
      </c>
      <c r="AF65" s="507" t="n">
        <f aca="false">IF(OR($R65="Ground",$S65="Ground"),4,SUM(IF(OR($R65="Flying",$R65="Water"),0-1,IF(OR($R65="Dragon",$R65="Electric",$R65="Grass"),1,0)),IF(OR($S65="Flying",$S65="Water"),0-1,IF(OR($S65="Dragon",$S65="Electric",$S65="Grass"),1,0))))</f>
        <v>-1</v>
      </c>
      <c r="AG65" s="507" t="n">
        <f aca="false">SUM(IF(OR($R65="Dark",$R65="Dragon",$R65="Fighting"),0-1,IF(OR($R65="Steel",$R65="Poison",$R65="Fire"),1,0)),IF(OR($S65="Dark",$S65="Dragon",$S65="Fighting"),0-1,IF(OR($S65="Steel",$S65="Poison",$S65="Fire"),1,0)))</f>
        <v>0</v>
      </c>
      <c r="AH65" s="507" t="n">
        <f aca="false">IF(OR($R65="Ghost",$S65="Ghost"),4,SUM(IF(OR($R65="Dark",$R65="Ice",$R65="Normal",$R65="Rock",$R65="Steel"),0-1,IF(OR($R65="Bug",$R65="Fairy",$R65="Flying",$R65="Poison",$R65="Psychic"),1,0)),IF(OR($S65="Dark",$S65="Ice",$S65="Normal",$S65="Rock",$S65="Steel"),0-1,IF(OR($S65="Bug",$S65="Fairy",$S65="Flying",$S65="Poison",$S65="Psychic"),1,0))))</f>
        <v>-1</v>
      </c>
      <c r="AI65" s="507" t="n">
        <f aca="false">SUM(IF(OR($R65="Bug",$R65="Grass",$R65="Ice",$R65="Steel"),0-1,IF(OR($R65="Dragon",$R65="Fire",$R65="Rock",$R65="Water"),1,0)),IF(OR($S65="Bug",$S65="Grass",$S65="Ice",$S65="Steel"),0-1,IF(OR($S65="Dragon",$S65="Fire",$S65="Rock",$S65="Water"),1,0)))</f>
        <v>2</v>
      </c>
      <c r="AJ65" s="507" t="n">
        <f aca="false">SUM(IF(OR($R65="Bug",$R65="Grass",$R65="Fighting"),0-1,IF(OR($R65="Electric",$R65="Rock",$R65="Steel"),1,0)),IF(OR($S65="Bug",$S65="Grass",$S65="Fighting"),0-1,IF(OR($S65="Electric",$S65="Rock",$S65="Steel"),1,0)))</f>
        <v>1</v>
      </c>
      <c r="AK65" s="507" t="n">
        <f aca="false">IF(OR($R65="Normal",$S65="Normal"),4,SUM(IF(OR($R65="Ghost",$R65="Psychic"),0-1,IF($R65="Dark",1,0)),IF(OR($S65="Ghost",$S65="Psychic"),0-1,IF($S65="Dark",1,0))))</f>
        <v>0</v>
      </c>
      <c r="AL65" s="507" t="n">
        <f aca="false">SUM(IF(OR($R65="Ground",$R65="Rock",$R65="Water"),0-1,IF(OR($R65="Bug",$R65="Flying",$R65="Fire",$R65="Dragon",$R65="Poison",$R65="Steel",$R65="Grass"),1,0)),IF(OR($S65="Ground",$S65="Rock",$S65="Water"),0-1,IF(OR($S65="Bug",$S65="Flying",$S65="Fire",$S65="Dragon",$S65="Poison",$S65="Steel",$S65="Grass"),1,0)))</f>
        <v>-2</v>
      </c>
      <c r="AM65" s="507" t="n">
        <f aca="false">IF(OR($R65="Flying",$S65="Flying"),4,SUM(IF(OR($R65="Electric",$R65="Fire",$R65="Rock",$R65="Steel",$R65="Poison"),0-1,IF(OR($R65="Bug",$R65="Grass"),1,0)),IF(OR($S65="Electric",$S65="Fire",$S65="Rock",$S65="Steel",$S65="Poison"),0-1,IF(OR($S65="Bug",$S65="Grass"),1,0))))</f>
        <v>-1</v>
      </c>
      <c r="AN65" s="507" t="n">
        <f aca="false">SUM(IF(OR($R65="Flying",$R65="Dragon",$R65="Grass",$R65="Ground"),0-1,IF(OR($R65="Steel",$R65="Ice",$R65="Fire",$R65="Water"),1,0)),IF(OR($S65="Flying",$S65="Dragon",$S65="Grass",$S65="Ground"),0-1,IF(OR($S65="Steel",$S65="Ice",$S65="Fire",$S65="Water"),1,0)))</f>
        <v>1</v>
      </c>
      <c r="AO65" s="507" t="n">
        <f aca="false">IF(OR($R65="Ghost",$S65="Ghost"),4,SUM(IF(OR($R65="Steel",$R65="Rock"),1,0),IF(OR($S65="Steel",$S65="Rock"),1,0)))</f>
        <v>1</v>
      </c>
      <c r="AP65" s="507" t="n">
        <f aca="false">IF(OR($R65="Steel",$S65="Steel"),4,SUM(IF(OR($R65="Fairy",$R65="Grass"),0-1,IF(OR($R65="Ghost",$R65="Rock",$R65="Ground",$R65="Poison"),1,0)),IF(OR($S65="Fairy",$S65="Grass"),0-1,IF(OR($S65="Ghost",$S65="Rock",$S65="Ground",$S65="Poison"),1,0))))</f>
        <v>1</v>
      </c>
      <c r="AQ65" s="507" t="n">
        <f aca="false">IF(OR($R65="Dark",$S65="Dark"),4,SUM(IF(OR($R65="Fighting",$R65="Poison"),0-1,IF(OR($R65="Psychic",$R65="Steel"),1,0)),IF(OR($S65="Fighting",$S65="Poison"),0-1,IF(OR($S65="Psychic",$S65="Steel"),1,0))))</f>
        <v>0</v>
      </c>
      <c r="AR65" s="507" t="n">
        <f aca="false">SUM(IF(OR($R65="Bug",$R65="Fire",$R65="Flying",$R65="Ice"),0-1,IF(OR($R65="Steel",$R65="Fighting",$R65="Ground"),1,0)),IF(OR($S65="Bug",$S65="Fire",$S65="Flying",$S65="Ice"),0-1,IF(OR($S65="Steel",$S65="Fighting",$S65="Ground"),1,0)))</f>
        <v>0</v>
      </c>
      <c r="AS65" s="507" t="n">
        <f aca="false">SUM(IF(OR($R65="Fairy",$R65="Ice",$R65="Rock"),0-1,IF(OR($R65="Steel",$R65="Electric",$R65="Fire",$R65="Water"),1,0)),IF(OR($S65="Fairy",$S65="Ice",$S65="Rock"),0-1,IF(OR($S65="Steel",$S65="Electric",$S65="Fire",$S65="Water"),1,0)))</f>
        <v>0</v>
      </c>
      <c r="AT65" s="508" t="n">
        <f aca="false">SUM(IF(OR($R65="Fire",$R65="Ground",$R65="Rock"),0-1,IF(OR($R65="Dragon",$R65="Grass",$R65="Water"),1,0)),IF(OR($S65="Fire",$S65="Ground",$S65="Rock"),0-1,IF(OR($S65="Dragon",$S65="Grass",$S65="Water"),1,0)))</f>
        <v>0</v>
      </c>
      <c r="AU65" s="518"/>
    </row>
    <row r="66" customFormat="false" ht="15.75" hidden="false" customHeight="false" outlineLevel="0" collapsed="false">
      <c r="A66" s="510" t="str">
        <f aca="false" t="array" ref="A66:A66">IF(ISNA(INDEX(Source!$U$7:$U$95,MATCH(B66,Source!$V$7:$V$95,0))),"FREE",INDEX(Source!$U$7:$U$95,MATCH(B66,Source!$V$7:$V$95,0)))</f>
        <v>FREE</v>
      </c>
      <c r="B66" s="511" t="s">
        <v>444</v>
      </c>
      <c r="C66" s="511"/>
      <c r="D66" s="511"/>
      <c r="E66" s="499" t="str">
        <f aca="false">IF(SUM($W66:$X66)&gt;0,SUM($W66:$X66),IF($H66&gt;0,0,IF($H66&gt;0,0,"-")))</f>
        <v>-</v>
      </c>
      <c r="F66" s="499" t="str">
        <f aca="false">IF(SUM($Y66:$Z66)&gt;0,SUM($Y66:$Z66),IF($H66&gt;0,0,"-"))</f>
        <v>-</v>
      </c>
      <c r="G66" s="499" t="str">
        <f aca="false">IF($H66&gt;0,minus(E66,F66),"-")</f>
        <v>-</v>
      </c>
      <c r="H66" s="500" t="n">
        <f aca="false">SUM(COUNTIF(MatchSource!$A:$A,$B66),COUNTIF(MatchSource!$H:$H,$B66))</f>
        <v>0</v>
      </c>
      <c r="I66" s="501" t="n">
        <f aca="false">SUM($AA66:$AB66)</f>
        <v>0</v>
      </c>
      <c r="J66" s="501" t="s">
        <v>702</v>
      </c>
      <c r="K66" s="512" t="str">
        <f aca="false" t="array" ref="K66:K66">IF(ISNA(INDEX(DraftRosters!$AA$3:$AA$199,MATCH($B66,DraftRosters!$AB$3:$AB$199,0))),"FA",IF(INDEX(DraftRosters!$AA$3:$AA$199,MATCH($B66,DraftRosters!$AB$3:$AB$199,0))="Franchise","Franch",INDEX(DraftRosters!$AA$3:$AA$199,MATCH($B66,DraftRosters!$AB$3:$AB$199,0))))</f>
        <v>FA</v>
      </c>
      <c r="L66" s="499" t="n">
        <v>70</v>
      </c>
      <c r="M66" s="499" t="n">
        <v>70</v>
      </c>
      <c r="N66" s="499" t="n">
        <v>70</v>
      </c>
      <c r="O66" s="499" t="n">
        <v>70</v>
      </c>
      <c r="P66" s="499" t="n">
        <v>70</v>
      </c>
      <c r="Q66" s="501" t="n">
        <v>70</v>
      </c>
      <c r="R66" s="499" t="s">
        <v>839</v>
      </c>
      <c r="S66" s="501"/>
      <c r="T66" s="504" t="s">
        <v>912</v>
      </c>
      <c r="U66" s="505"/>
      <c r="V66" s="506"/>
      <c r="W66" s="500" t="str">
        <f aca="false">IFERROR(__xludf.dummyfunction("if(isna(SUM(FILTER(MatchSource!$A:$D,MatchSource!$A:$A=$B66))),0,SUM(FILTER(MatchSource!$A:$D,MatchSource!$A:$A=$B66)))"),"0")</f>
        <v>0</v>
      </c>
      <c r="X66" s="499" t="str">
        <f aca="false">IFERROR(__xludf.dummyfunction("if(isna(SUM(FILTER(MatchSource!$H:$K,MatchSource!$H:$H=$B66))),0,SUM(FILTER(MatchSource!$H:$K,MatchSource!$H:$H=$B66)))"),"0")</f>
        <v>0</v>
      </c>
      <c r="Y66" s="499" t="str">
        <f aca="false">IFERROR(__xludf.dummyfunction("if(isna(ABS(MINUS(SUM(FILTER(MatchSource!$A:$E,MatchSource!$A:$A=$B66)),SUM($W66)))),0,ABS(MINUS(SUM(FILTER(MatchSource!$A:$E,MatchSource!$A:$A=$B66)),SUM($W66))))"),"0")</f>
        <v>0</v>
      </c>
      <c r="Z66" s="499" t="str">
        <f aca="false">IFERROR(__xludf.dummyfunction("if(isna(ABS(MINUS(SUM(FILTER(MatchSource!$H:$L,MatchSource!$H:$H=$B66)),SUM($X66)))),0,ABS(MINUS(SUM(FILTER(MatchSource!$H:$L,MatchSource!$H:$H=$B66)),SUM($X66))))"),"0")</f>
        <v>0</v>
      </c>
      <c r="AA66" s="499" t="str">
        <f aca="false">IFERROR(__xludf.dummyfunction("if(isna(ABS(MINUS(SUM(FILTER(MatchSource!$A:$F,MatchSource!$A:$A=$B66)),SUM($W66,$Y66)))),0,ABS(MINUS(SUM(FILTER(MatchSource!$A:$F,MatchSource!$A:$A=$B66)),SUM($W66, $Y66,))))"),"0")</f>
        <v>0</v>
      </c>
      <c r="AB66" s="501" t="str">
        <f aca="false">IFERROR(__xludf.dummyfunction("if(isna(ABS(MINUS(SUM(FILTER(MatchSource!$H:$M,MatchSource!$H:$H=$B66)),SUM($X66,$Z66)))),0,ABS(MINUS(SUM(FILTER(MatchSource!$H:$M,MatchSource!$H:$H=$B66)),SUM($X66,$Z66))))"),"0")</f>
        <v>0</v>
      </c>
      <c r="AC66" s="507" t="n">
        <f aca="false">SUM(IF(OR($R66="Grass",$R66="Psychic",$R66="Dark"),0-1,IF(OR($R66="Fighting",$R66="Flying",$R66="Fire",$R66="Ghost",$R66="Poison",$R66="Steel",$R66="Fairy"),1,0)),IF(OR($S66="Grass",$S66="Psychic",$S66="Dark"),0-1,IF(OR($S66="Fighting",$S66="Flying",$S66="Fire",$S66="Ghost",$S66="Poison",$S66="Steel",$S66="Fairy"),1,0)))</f>
        <v>0</v>
      </c>
      <c r="AD66" s="507" t="n">
        <f aca="false">SUM(IF(OR($R66="Ghost",$R66="Psychic"),0-1,IF(OR($R66="Fighting",$R66="Dark",$R66="Fairy"),1,0)),IF(OR($S66="Ghost",$S66="Psychic"),0-1,IF(OR($S66="Fighting",$S66="Dark",$S66="Fairy"),1,0)))</f>
        <v>0</v>
      </c>
      <c r="AE66" s="507" t="n">
        <f aca="false">IF(OR($R66="Fairy",$S66="Fairy"),4,SUM(IF($R66="Dragon",0-1,IF($R66="Steel",1,0)),IF($S66="Dragon",0-1,IF($S66="Steel",1,0))))</f>
        <v>0</v>
      </c>
      <c r="AF66" s="507" t="n">
        <f aca="false">IF(OR($R66="Ground",$S66="Ground"),4,SUM(IF(OR($R66="Flying",$R66="Water"),0-1,IF(OR($R66="Dragon",$R66="Electric",$R66="Grass"),1,0)),IF(OR($S66="Flying",$S66="Water"),0-1,IF(OR($S66="Dragon",$S66="Electric",$S66="Grass"),1,0))))</f>
        <v>0</v>
      </c>
      <c r="AG66" s="507" t="n">
        <f aca="false">SUM(IF(OR($R66="Dark",$R66="Dragon",$R66="Fighting"),0-1,IF(OR($R66="Steel",$R66="Poison",$R66="Fire"),1,0)),IF(OR($S66="Dark",$S66="Dragon",$S66="Fighting"),0-1,IF(OR($S66="Steel",$S66="Poison",$S66="Fire"),1,0)))</f>
        <v>0</v>
      </c>
      <c r="AH66" s="507" t="n">
        <f aca="false">IF(OR($R66="Ghost",$S66="Ghost"),4,SUM(IF(OR($R66="Dark",$R66="Ice",$R66="Normal",$R66="Rock",$R66="Steel"),0-1,IF(OR($R66="Bug",$R66="Fairy",$R66="Flying",$R66="Poison",$R66="Psychic"),1,0)),IF(OR($S66="Dark",$S66="Ice",$S66="Normal",$S66="Rock",$S66="Steel"),0-1,IF(OR($S66="Bug",$S66="Fairy",$S66="Flying",$S66="Poison",$S66="Psychic"),1,0))))</f>
        <v>-1</v>
      </c>
      <c r="AI66" s="507" t="n">
        <f aca="false">SUM(IF(OR($R66="Bug",$R66="Grass",$R66="Ice",$R66="Steel"),0-1,IF(OR($R66="Dragon",$R66="Fire",$R66="Rock",$R66="Water"),1,0)),IF(OR($S66="Bug",$S66="Grass",$S66="Ice",$S66="Steel"),0-1,IF(OR($S66="Dragon",$S66="Fire",$S66="Rock",$S66="Water"),1,0)))</f>
        <v>0</v>
      </c>
      <c r="AJ66" s="507" t="n">
        <f aca="false">SUM(IF(OR($R66="Bug",$R66="Grass",$R66="Fighting"),0-1,IF(OR($R66="Electric",$R66="Rock",$R66="Steel"),1,0)),IF(OR($S66="Bug",$S66="Grass",$S66="Fighting"),0-1,IF(OR($S66="Electric",$S66="Rock",$S66="Steel"),1,0)))</f>
        <v>0</v>
      </c>
      <c r="AK66" s="507" t="n">
        <f aca="false">IF(OR($R66="Normal",$S66="Normal"),4,SUM(IF(OR($R66="Ghost",$R66="Psychic"),0-1,IF($R66="Dark",1,0)),IF(OR($S66="Ghost",$S66="Psychic"),0-1,IF($S66="Dark",1,0))))</f>
        <v>4</v>
      </c>
      <c r="AL66" s="507" t="n">
        <f aca="false">SUM(IF(OR($R66="Ground",$R66="Rock",$R66="Water"),0-1,IF(OR($R66="Bug",$R66="Flying",$R66="Fire",$R66="Dragon",$R66="Poison",$R66="Steel",$R66="Grass"),1,0)),IF(OR($S66="Ground",$S66="Rock",$S66="Water"),0-1,IF(OR($S66="Bug",$S66="Flying",$S66="Fire",$S66="Dragon",$S66="Poison",$S66="Steel",$S66="Grass"),1,0)))</f>
        <v>0</v>
      </c>
      <c r="AM66" s="507" t="n">
        <f aca="false">IF(OR($R66="Flying",$S66="Flying"),4,SUM(IF(OR($R66="Electric",$R66="Fire",$R66="Rock",$R66="Steel",$R66="Poison"),0-1,IF(OR($R66="Bug",$R66="Grass"),1,0)),IF(OR($S66="Electric",$S66="Fire",$S66="Rock",$S66="Steel",$S66="Poison"),0-1,IF(OR($S66="Bug",$S66="Grass"),1,0))))</f>
        <v>0</v>
      </c>
      <c r="AN66" s="507" t="n">
        <f aca="false">SUM(IF(OR($R66="Flying",$R66="Dragon",$R66="Grass",$R66="Ground"),0-1,IF(OR($R66="Steel",$R66="Ice",$R66="Fire",$R66="Water"),1,0)),IF(OR($S66="Flying",$S66="Dragon",$S66="Grass",$S66="Ground"),0-1,IF(OR($S66="Steel",$S66="Ice",$S66="Fire",$S66="Water"),1,0)))</f>
        <v>0</v>
      </c>
      <c r="AO66" s="507" t="n">
        <f aca="false">IF(OR($R66="Ghost",$S66="Ghost"),4,SUM(IF(OR($R66="Steel",$R66="Rock"),1,0),IF(OR($S66="Steel",$S66="Rock"),1,0)))</f>
        <v>0</v>
      </c>
      <c r="AP66" s="507" t="n">
        <f aca="false">IF(OR($R66="Steel",$S66="Steel"),4,SUM(IF(OR($R66="Fairy",$R66="Grass"),0-1,IF(OR($R66="Ghost",$R66="Rock",$R66="Ground",$R66="Poison"),1,0)),IF(OR($S66="Fairy",$S66="Grass"),0-1,IF(OR($S66="Ghost",$S66="Rock",$S66="Ground",$S66="Poison"),1,0))))</f>
        <v>0</v>
      </c>
      <c r="AQ66" s="507" t="n">
        <f aca="false">IF(OR($R66="Dark",$S66="Dark"),4,SUM(IF(OR($R66="Fighting",$R66="Poison"),0-1,IF(OR($R66="Psychic",$R66="Steel"),1,0)),IF(OR($S66="Fighting",$S66="Poison"),0-1,IF(OR($S66="Psychic",$S66="Steel"),1,0))))</f>
        <v>0</v>
      </c>
      <c r="AR66" s="507" t="n">
        <f aca="false">SUM(IF(OR($R66="Bug",$R66="Fire",$R66="Flying",$R66="Ice"),0-1,IF(OR($R66="Steel",$R66="Fighting",$R66="Ground"),1,0)),IF(OR($S66="Bug",$S66="Fire",$S66="Flying",$S66="Ice"),0-1,IF(OR($S66="Steel",$S66="Fighting",$S66="Ground"),1,0)))</f>
        <v>0</v>
      </c>
      <c r="AS66" s="507" t="n">
        <f aca="false">SUM(IF(OR($R66="Fairy",$R66="Ice",$R66="Rock"),0-1,IF(OR($R66="Steel",$R66="Electric",$R66="Fire",$R66="Water"),1,0)),IF(OR($S66="Fairy",$S66="Ice",$S66="Rock"),0-1,IF(OR($S66="Steel",$S66="Electric",$S66="Fire",$S66="Water"),1,0)))</f>
        <v>0</v>
      </c>
      <c r="AT66" s="508" t="n">
        <f aca="false">SUM(IF(OR($R66="Fire",$R66="Ground",$R66="Rock"),0-1,IF(OR($R66="Dragon",$R66="Grass",$R66="Water"),1,0)),IF(OR($S66="Fire",$S66="Ground",$S66="Rock"),0-1,IF(OR($S66="Dragon",$S66="Grass",$S66="Water"),1,0)))</f>
        <v>0</v>
      </c>
      <c r="AU66" s="518"/>
    </row>
    <row r="67" customFormat="false" ht="15.75" hidden="false" customHeight="false" outlineLevel="0" collapsed="false">
      <c r="A67" s="515" t="str">
        <f aca="false" t="array" ref="A67:A67">IF(ISNA(INDEX(Source!$U$7:$U$95,MATCH(B67,Source!$V$7:$V$95,0))),"FREE",INDEX(Source!$U$7:$U$95,MATCH(B67,Source!$V$7:$V$95,0)))</f>
        <v>FREE</v>
      </c>
      <c r="B67" s="511" t="s">
        <v>334</v>
      </c>
      <c r="C67" s="511"/>
      <c r="D67" s="511"/>
      <c r="E67" s="499" t="str">
        <f aca="false">IF(SUM($W67:$X67)&gt;0,SUM($W67:$X67),IF($H67&gt;0,0,IF($H67&gt;0,0,"-")))</f>
        <v>-</v>
      </c>
      <c r="F67" s="499" t="str">
        <f aca="false">IF(SUM($Y67:$Z67)&gt;0,SUM($Y67:$Z67),IF($H67&gt;0,0,"-"))</f>
        <v>-</v>
      </c>
      <c r="G67" s="499" t="str">
        <f aca="false">IF($H67&gt;0,minus(E67,F67),"-")</f>
        <v>-</v>
      </c>
      <c r="H67" s="500" t="n">
        <f aca="false">SUM(COUNTIF(MatchSource!$A:$A,$B67),COUNTIF(MatchSource!$H:$H,$B67))</f>
        <v>0</v>
      </c>
      <c r="I67" s="501" t="n">
        <f aca="false">SUM($AA67:$AB67)</f>
        <v>0</v>
      </c>
      <c r="J67" s="501" t="s">
        <v>699</v>
      </c>
      <c r="K67" s="512" t="str">
        <f aca="false" t="array" ref="K67:K67">IF(ISNA(INDEX(DraftRosters!$AA$3:$AA$199,MATCH($B67,DraftRosters!$AB$3:$AB$199,0))),"FA",IF(INDEX(DraftRosters!$AA$3:$AA$199,MATCH($B67,DraftRosters!$AB$3:$AB$199,0))="Franchise","Franch",INDEX(DraftRosters!$AA$3:$AA$199,MATCH($B67,DraftRosters!$AB$3:$AB$199,0))))</f>
        <v>FA</v>
      </c>
      <c r="L67" s="499" t="n">
        <v>100</v>
      </c>
      <c r="M67" s="499" t="n">
        <v>100</v>
      </c>
      <c r="N67" s="499" t="n">
        <v>100</v>
      </c>
      <c r="O67" s="499" t="n">
        <v>100</v>
      </c>
      <c r="P67" s="499" t="n">
        <v>100</v>
      </c>
      <c r="Q67" s="501" t="n">
        <v>100</v>
      </c>
      <c r="R67" s="499" t="s">
        <v>803</v>
      </c>
      <c r="S67" s="501" t="s">
        <v>828</v>
      </c>
      <c r="T67" s="504" t="s">
        <v>837</v>
      </c>
      <c r="U67" s="505"/>
      <c r="V67" s="506"/>
      <c r="W67" s="500" t="str">
        <f aca="false">IFERROR(__xludf.dummyfunction("if(isna(SUM(FILTER(MatchSource!$A:$D,MatchSource!$A:$A=$B67))),0,SUM(FILTER(MatchSource!$A:$D,MatchSource!$A:$A=$B67)))"),"0")</f>
        <v>0</v>
      </c>
      <c r="X67" s="499" t="str">
        <f aca="false">IFERROR(__xludf.dummyfunction("if(isna(SUM(FILTER(MatchSource!$H:$K,MatchSource!$H:$H=$B67))),0,SUM(FILTER(MatchSource!$H:$K,MatchSource!$H:$H=$B67)))"),"0")</f>
        <v>0</v>
      </c>
      <c r="Y67" s="499" t="str">
        <f aca="false">IFERROR(__xludf.dummyfunction("if(isna(ABS(MINUS(SUM(FILTER(MatchSource!$A:$E,MatchSource!$A:$A=$B67)),SUM($W67)))),0,ABS(MINUS(SUM(FILTER(MatchSource!$A:$E,MatchSource!$A:$A=$B67)),SUM($W67))))"),"0")</f>
        <v>0</v>
      </c>
      <c r="Z67" s="499" t="str">
        <f aca="false">IFERROR(__xludf.dummyfunction("if(isna(ABS(MINUS(SUM(FILTER(MatchSource!$H:$L,MatchSource!$H:$H=$B67)),SUM($X67)))),0,ABS(MINUS(SUM(FILTER(MatchSource!$H:$L,MatchSource!$H:$H=$B67)),SUM($X67))))"),"0")</f>
        <v>0</v>
      </c>
      <c r="AA67" s="499" t="str">
        <f aca="false">IFERROR(__xludf.dummyfunction("if(isna(ABS(MINUS(SUM(FILTER(MatchSource!$A:$F,MatchSource!$A:$A=$B67)),SUM($W67,$Y67)))),0,ABS(MINUS(SUM(FILTER(MatchSource!$A:$F,MatchSource!$A:$A=$B67)),SUM($W67, $Y67,))))"),"0")</f>
        <v>0</v>
      </c>
      <c r="AB67" s="501" t="str">
        <f aca="false">IFERROR(__xludf.dummyfunction("if(isna(ABS(MINUS(SUM(FILTER(MatchSource!$H:$M,MatchSource!$H:$H=$B67)),SUM($X67,$Z67)))),0,ABS(MINUS(SUM(FILTER(MatchSource!$H:$M,MatchSource!$H:$H=$B67)),SUM($X67,$Z67))))"),"0")</f>
        <v>0</v>
      </c>
      <c r="AC67" s="507" t="n">
        <f aca="false">SUM(IF(OR($R67="Grass",$R67="Psychic",$R67="Dark"),0-1,IF(OR($R67="Fighting",$R67="Flying",$R67="Fire",$R67="Ghost",$R67="Poison",$R67="Steel",$R67="Fairy"),1,0)),IF(OR($S67="Grass",$S67="Psychic",$S67="Dark"),0-1,IF(OR($S67="Fighting",$S67="Flying",$S67="Fire",$S67="Ghost",$S67="Poison",$S67="Steel",$S67="Fairy"),1,0)))</f>
        <v>-2</v>
      </c>
      <c r="AD67" s="507" t="n">
        <f aca="false">SUM(IF(OR($R67="Ghost",$R67="Psychic"),0-1,IF(OR($R67="Fighting",$R67="Dark",$R67="Fairy"),1,0)),IF(OR($S67="Ghost",$S67="Psychic"),0-1,IF(OR($S67="Fighting",$S67="Dark",$S67="Fairy"),1,0)))</f>
        <v>-1</v>
      </c>
      <c r="AE67" s="507" t="n">
        <f aca="false">IF(OR($R67="Fairy",$S67="Fairy"),4,SUM(IF($R67="Dragon",0-1,IF($R67="Steel",1,0)),IF($S67="Dragon",0-1,IF($S67="Steel",1,0))))</f>
        <v>0</v>
      </c>
      <c r="AF67" s="507" t="n">
        <f aca="false">IF(OR($R67="Ground",$S67="Ground"),4,SUM(IF(OR($R67="Flying",$R67="Water"),0-1,IF(OR($R67="Dragon",$R67="Electric",$R67="Grass"),1,0)),IF(OR($S67="Flying",$S67="Water"),0-1,IF(OR($S67="Dragon",$S67="Electric",$S67="Grass"),1,0))))</f>
        <v>1</v>
      </c>
      <c r="AG67" s="507" t="n">
        <f aca="false">SUM(IF(OR($R67="Dark",$R67="Dragon",$R67="Fighting"),0-1,IF(OR($R67="Steel",$R67="Poison",$R67="Fire"),1,0)),IF(OR($S67="Dark",$S67="Dragon",$S67="Fighting"),0-1,IF(OR($S67="Steel",$S67="Poison",$S67="Fire"),1,0)))</f>
        <v>0</v>
      </c>
      <c r="AH67" s="507" t="n">
        <f aca="false">IF(OR($R67="Ghost",$S67="Ghost"),4,SUM(IF(OR($R67="Dark",$R67="Ice",$R67="Normal",$R67="Rock",$R67="Steel"),0-1,IF(OR($R67="Bug",$R67="Fairy",$R67="Flying",$R67="Poison",$R67="Psychic"),1,0)),IF(OR($S67="Dark",$S67="Ice",$S67="Normal",$S67="Rock",$S67="Steel"),0-1,IF(OR($S67="Bug",$S67="Fairy",$S67="Flying",$S67="Poison",$S67="Psychic"),1,0))))</f>
        <v>1</v>
      </c>
      <c r="AI67" s="507" t="n">
        <f aca="false">SUM(IF(OR($R67="Bug",$R67="Grass",$R67="Ice",$R67="Steel"),0-1,IF(OR($R67="Dragon",$R67="Fire",$R67="Rock",$R67="Water"),1,0)),IF(OR($S67="Bug",$S67="Grass",$S67="Ice",$S67="Steel"),0-1,IF(OR($S67="Dragon",$S67="Fire",$S67="Rock",$S67="Water"),1,0)))</f>
        <v>-1</v>
      </c>
      <c r="AJ67" s="507" t="n">
        <f aca="false">SUM(IF(OR($R67="Bug",$R67="Grass",$R67="Fighting"),0-1,IF(OR($R67="Electric",$R67="Rock",$R67="Steel"),1,0)),IF(OR($S67="Bug",$S67="Grass",$S67="Fighting"),0-1,IF(OR($S67="Electric",$S67="Rock",$S67="Steel"),1,0)))</f>
        <v>-1</v>
      </c>
      <c r="AK67" s="507" t="n">
        <f aca="false">IF(OR($R67="Normal",$S67="Normal"),4,SUM(IF(OR($R67="Ghost",$R67="Psychic"),0-1,IF($R67="Dark",1,0)),IF(OR($S67="Ghost",$S67="Psychic"),0-1,IF($S67="Dark",1,0))))</f>
        <v>-1</v>
      </c>
      <c r="AL67" s="507" t="n">
        <f aca="false">SUM(IF(OR($R67="Ground",$R67="Rock",$R67="Water"),0-1,IF(OR($R67="Bug",$R67="Flying",$R67="Fire",$R67="Dragon",$R67="Poison",$R67="Steel",$R67="Grass"),1,0)),IF(OR($S67="Ground",$S67="Rock",$S67="Water"),0-1,IF(OR($S67="Bug",$S67="Flying",$S67="Fire",$S67="Dragon",$S67="Poison",$S67="Steel",$S67="Grass"),1,0)))</f>
        <v>1</v>
      </c>
      <c r="AM67" s="507" t="n">
        <f aca="false">IF(OR($R67="Flying",$S67="Flying"),4,SUM(IF(OR($R67="Electric",$R67="Fire",$R67="Rock",$R67="Steel",$R67="Poison"),0-1,IF(OR($R67="Bug",$R67="Grass"),1,0)),IF(OR($S67="Electric",$S67="Fire",$S67="Rock",$S67="Steel",$S67="Poison"),0-1,IF(OR($S67="Bug",$S67="Grass"),1,0))))</f>
        <v>1</v>
      </c>
      <c r="AN67" s="507" t="n">
        <f aca="false">SUM(IF(OR($R67="Flying",$R67="Dragon",$R67="Grass",$R67="Ground"),0-1,IF(OR($R67="Steel",$R67="Ice",$R67="Fire",$R67="Water"),1,0)),IF(OR($S67="Flying",$S67="Dragon",$S67="Grass",$S67="Ground"),0-1,IF(OR($S67="Steel",$S67="Ice",$S67="Fire",$S67="Water"),1,0)))</f>
        <v>-1</v>
      </c>
      <c r="AO67" s="507" t="n">
        <f aca="false">IF(OR($R67="Ghost",$S67="Ghost"),4,SUM(IF(OR($R67="Steel",$R67="Rock"),1,0),IF(OR($S67="Steel",$S67="Rock"),1,0)))</f>
        <v>0</v>
      </c>
      <c r="AP67" s="507" t="n">
        <f aca="false">IF(OR($R67="Steel",$S67="Steel"),4,SUM(IF(OR($R67="Fairy",$R67="Grass"),0-1,IF(OR($R67="Ghost",$R67="Rock",$R67="Ground",$R67="Poison"),1,0)),IF(OR($S67="Fairy",$S67="Grass"),0-1,IF(OR($S67="Ghost",$S67="Rock",$S67="Ground",$S67="Poison"),1,0))))</f>
        <v>-1</v>
      </c>
      <c r="AQ67" s="507" t="n">
        <f aca="false">IF(OR($R67="Dark",$S67="Dark"),4,SUM(IF(OR($R67="Fighting",$R67="Poison"),0-1,IF(OR($R67="Psychic",$R67="Steel"),1,0)),IF(OR($S67="Fighting",$S67="Poison"),0-1,IF(OR($S67="Psychic",$S67="Steel"),1,0))))</f>
        <v>1</v>
      </c>
      <c r="AR67" s="507" t="n">
        <f aca="false">SUM(IF(OR($R67="Bug",$R67="Fire",$R67="Flying",$R67="Ice"),0-1,IF(OR($R67="Steel",$R67="Fighting",$R67="Ground"),1,0)),IF(OR($S67="Bug",$S67="Fire",$S67="Flying",$S67="Ice"),0-1,IF(OR($S67="Steel",$S67="Fighting",$S67="Ground"),1,0)))</f>
        <v>0</v>
      </c>
      <c r="AS67" s="507" t="n">
        <f aca="false">SUM(IF(OR($R67="Fairy",$R67="Ice",$R67="Rock"),0-1,IF(OR($R67="Steel",$R67="Electric",$R67="Fire",$R67="Water"),1,0)),IF(OR($S67="Fairy",$S67="Ice",$S67="Rock"),0-1,IF(OR($S67="Steel",$S67="Electric",$S67="Fire",$S67="Water"),1,0)))</f>
        <v>0</v>
      </c>
      <c r="AT67" s="508" t="n">
        <f aca="false">SUM(IF(OR($R67="Fire",$R67="Ground",$R67="Rock"),0-1,IF(OR($R67="Dragon",$R67="Grass",$R67="Water"),1,0)),IF(OR($S67="Fire",$S67="Ground",$S67="Rock"),0-1,IF(OR($S67="Dragon",$S67="Grass",$S67="Water"),1,0)))</f>
        <v>1</v>
      </c>
      <c r="AU67" s="518"/>
    </row>
    <row r="68" customFormat="false" ht="15.75" hidden="false" customHeight="false" outlineLevel="0" collapsed="false">
      <c r="A68" s="515" t="str">
        <f aca="false" t="array" ref="A68:A68">IF(ISNA(INDEX(Source!$U$7:$U$95,MATCH(B68,Source!$V$7:$V$95,0))),"FREE",INDEX(Source!$U$7:$U$95,MATCH(B68,Source!$V$7:$V$95,0)))</f>
        <v>JVJ</v>
      </c>
      <c r="B68" s="511" t="s">
        <v>95</v>
      </c>
      <c r="C68" s="511"/>
      <c r="D68" s="511"/>
      <c r="E68" s="499" t="n">
        <f aca="false">IF(SUM($W68:$X68)&gt;0,SUM($W68:$X68),IF($H68&gt;0,0,IF($H68&gt;0,0,"-")))</f>
        <v>0</v>
      </c>
      <c r="F68" s="499" t="n">
        <f aca="false">IF(SUM($Y68:$Z68)&gt;0,SUM($Y68:$Z68),IF($H68&gt;0,0,"-"))</f>
        <v>0</v>
      </c>
      <c r="G68" s="499" t="e">
        <f aca="false">IF($H68&gt;0,minus(E68,F68),"-")</f>
        <v>#NAME?</v>
      </c>
      <c r="H68" s="500" t="n">
        <f aca="false">SUM(COUNTIF(MatchSource!$A:$A,$B68),COUNTIF(MatchSource!$H:$H,$B68))</f>
        <v>7</v>
      </c>
      <c r="I68" s="501" t="n">
        <f aca="false">SUM($AA68:$AB68)</f>
        <v>0</v>
      </c>
      <c r="J68" s="501" t="s">
        <v>698</v>
      </c>
      <c r="K68" s="512" t="n">
        <f aca="false" t="array" ref="K68:K68">IF(ISNA(INDEX(DraftRosters!$AA$3:$AA$199,MATCH($B68,DraftRosters!$AB$3:$AB$199,0))),"FA",IF(INDEX(DraftRosters!$AA$3:$AA$199,MATCH($B68,DraftRosters!$AB$3:$AB$199,0))="Franchise","Franch",INDEX(DraftRosters!$AA$3:$AA$199,MATCH($B68,DraftRosters!$AB$3:$AB$199,0))))</f>
        <v>2</v>
      </c>
      <c r="L68" s="499" t="n">
        <v>97</v>
      </c>
      <c r="M68" s="499" t="n">
        <v>101</v>
      </c>
      <c r="N68" s="499" t="n">
        <v>103</v>
      </c>
      <c r="O68" s="499" t="n">
        <v>107</v>
      </c>
      <c r="P68" s="499" t="n">
        <v>101</v>
      </c>
      <c r="Q68" s="501" t="n">
        <v>61</v>
      </c>
      <c r="R68" s="499" t="s">
        <v>801</v>
      </c>
      <c r="S68" s="501" t="s">
        <v>810</v>
      </c>
      <c r="T68" s="504" t="s">
        <v>889</v>
      </c>
      <c r="U68" s="505"/>
      <c r="V68" s="506"/>
      <c r="W68" s="500" t="str">
        <f aca="false">IFERROR(__xludf.dummyfunction("if(isna(SUM(FILTER(MatchSource!$A:$D,MatchSource!$A:$A=$B68))),0,SUM(FILTER(MatchSource!$A:$D,MatchSource!$A:$A=$B68)))"),"3")</f>
        <v>3</v>
      </c>
      <c r="X68" s="499" t="str">
        <f aca="false">IFERROR(__xludf.dummyfunction("if(isna(SUM(FILTER(MatchSource!$H:$K,MatchSource!$H:$H=$B68))),0,SUM(FILTER(MatchSource!$H:$K,MatchSource!$H:$H=$B68)))"),"1")</f>
        <v>1</v>
      </c>
      <c r="Y68" s="499" t="str">
        <f aca="false">IFERROR(__xludf.dummyfunction("if(isna(ABS(MINUS(SUM(FILTER(MatchSource!$A:$E,MatchSource!$A:$A=$B68)),SUM($W68)))),0,ABS(MINUS(SUM(FILTER(MatchSource!$A:$E,MatchSource!$A:$A=$B68)),SUM($W68))))"),"2")</f>
        <v>2</v>
      </c>
      <c r="Z68" s="499" t="str">
        <f aca="false">IFERROR(__xludf.dummyfunction("if(isna(ABS(MINUS(SUM(FILTER(MatchSource!$H:$L,MatchSource!$H:$H=$B68)),SUM($X68)))),0,ABS(MINUS(SUM(FILTER(MatchSource!$H:$L,MatchSource!$H:$H=$B68)),SUM($X68))))"),"1")</f>
        <v>1</v>
      </c>
      <c r="AA68" s="499" t="str">
        <f aca="false">IFERROR(__xludf.dummyfunction("if(isna(ABS(MINUS(SUM(FILTER(MatchSource!$A:$F,MatchSource!$A:$A=$B68)),SUM($W68,$Y68)))),0,ABS(MINUS(SUM(FILTER(MatchSource!$A:$F,MatchSource!$A:$A=$B68)),SUM($W68, $Y68,))))"),"2")</f>
        <v>2</v>
      </c>
      <c r="AB68" s="501" t="str">
        <f aca="false">IFERROR(__xludf.dummyfunction("if(isna(ABS(MINUS(SUM(FILTER(MatchSource!$H:$M,MatchSource!$H:$H=$B68)),SUM($X68,$Z68)))),0,ABS(MINUS(SUM(FILTER(MatchSource!$H:$M,MatchSource!$H:$H=$B68)),SUM($X68,$Z68))))"),"2")</f>
        <v>2</v>
      </c>
      <c r="AC68" s="507" t="n">
        <f aca="false">SUM(IF(OR($R68="Grass",$R68="Psychic",$R68="Dark"),0-1,IF(OR($R68="Fighting",$R68="Flying",$R68="Fire",$R68="Ghost",$R68="Poison",$R68="Steel",$R68="Fairy"),1,0)),IF(OR($S68="Grass",$S68="Psychic",$S68="Dark"),0-1,IF(OR($S68="Fighting",$S68="Flying",$S68="Fire",$S68="Ghost",$S68="Poison",$S68="Steel",$S68="Fairy"),1,0)))</f>
        <v>2</v>
      </c>
      <c r="AD68" s="507" t="n">
        <f aca="false">SUM(IF(OR($R68="Ghost",$R68="Psychic"),0-1,IF(OR($R68="Fighting",$R68="Dark",$R68="Fairy"),1,0)),IF(OR($S68="Ghost",$S68="Psychic"),0-1,IF(OR($S68="Fighting",$S68="Dark",$S68="Fairy"),1,0)))</f>
        <v>0</v>
      </c>
      <c r="AE68" s="507" t="n">
        <f aca="false">IF(OR($R68="Fairy",$S68="Fairy"),4,SUM(IF($R68="Dragon",0-1,IF($R68="Steel",1,0)),IF($S68="Dragon",0-1,IF($S68="Steel",1,0))))</f>
        <v>1</v>
      </c>
      <c r="AF68" s="507" t="n">
        <f aca="false">IF(OR($R68="Ground",$S68="Ground"),4,SUM(IF(OR($R68="Flying",$R68="Water"),0-1,IF(OR($R68="Dragon",$R68="Electric",$R68="Grass"),1,0)),IF(OR($S68="Flying",$S68="Water"),0-1,IF(OR($S68="Dragon",$S68="Electric",$S68="Grass"),1,0))))</f>
        <v>-1</v>
      </c>
      <c r="AG68" s="507" t="n">
        <f aca="false">SUM(IF(OR($R68="Dark",$R68="Dragon",$R68="Fighting"),0-1,IF(OR($R68="Steel",$R68="Poison",$R68="Fire"),1,0)),IF(OR($S68="Dark",$S68="Dragon",$S68="Fighting"),0-1,IF(OR($S68="Steel",$S68="Poison",$S68="Fire"),1,0)))</f>
        <v>1</v>
      </c>
      <c r="AH68" s="507" t="n">
        <f aca="false">IF(OR($R68="Ghost",$S68="Ghost"),4,SUM(IF(OR($R68="Dark",$R68="Ice",$R68="Normal",$R68="Rock",$R68="Steel"),0-1,IF(OR($R68="Bug",$R68="Fairy",$R68="Flying",$R68="Poison",$R68="Psychic"),1,0)),IF(OR($S68="Dark",$S68="Ice",$S68="Normal",$S68="Rock",$S68="Steel"),0-1,IF(OR($S68="Bug",$S68="Fairy",$S68="Flying",$S68="Poison",$S68="Psychic"),1,0))))</f>
        <v>0</v>
      </c>
      <c r="AI68" s="507" t="n">
        <f aca="false">SUM(IF(OR($R68="Bug",$R68="Grass",$R68="Ice",$R68="Steel"),0-1,IF(OR($R68="Dragon",$R68="Fire",$R68="Rock",$R68="Water"),1,0)),IF(OR($S68="Bug",$S68="Grass",$S68="Ice",$S68="Steel"),0-1,IF(OR($S68="Dragon",$S68="Fire",$S68="Rock",$S68="Water"),1,0)))</f>
        <v>-1</v>
      </c>
      <c r="AJ68" s="507" t="n">
        <f aca="false">SUM(IF(OR($R68="Bug",$R68="Grass",$R68="Fighting"),0-1,IF(OR($R68="Electric",$R68="Rock",$R68="Steel"),1,0)),IF(OR($S68="Bug",$S68="Grass",$S68="Fighting"),0-1,IF(OR($S68="Electric",$S68="Rock",$S68="Steel"),1,0)))</f>
        <v>1</v>
      </c>
      <c r="AK68" s="507" t="n">
        <f aca="false">IF(OR($R68="Normal",$S68="Normal"),4,SUM(IF(OR($R68="Ghost",$R68="Psychic"),0-1,IF($R68="Dark",1,0)),IF(OR($S68="Ghost",$S68="Psychic"),0-1,IF($S68="Dark",1,0))))</f>
        <v>0</v>
      </c>
      <c r="AL68" s="507" t="n">
        <f aca="false">SUM(IF(OR($R68="Ground",$R68="Rock",$R68="Water"),0-1,IF(OR($R68="Bug",$R68="Flying",$R68="Fire",$R68="Dragon",$R68="Poison",$R68="Steel",$R68="Grass"),1,0)),IF(OR($S68="Ground",$S68="Rock",$S68="Water"),0-1,IF(OR($S68="Bug",$S68="Flying",$S68="Fire",$S68="Dragon",$S68="Poison",$S68="Steel",$S68="Grass"),1,0)))</f>
        <v>2</v>
      </c>
      <c r="AM68" s="507" t="n">
        <f aca="false">IF(OR($R68="Flying",$S68="Flying"),4,SUM(IF(OR($R68="Electric",$R68="Fire",$R68="Rock",$R68="Steel",$R68="Poison"),0-1,IF(OR($R68="Bug",$R68="Grass"),1,0)),IF(OR($S68="Electric",$S68="Fire",$S68="Rock",$S68="Steel",$S68="Poison"),0-1,IF(OR($S68="Bug",$S68="Grass"),1,0))))</f>
        <v>4</v>
      </c>
      <c r="AN68" s="507" t="n">
        <f aca="false">SUM(IF(OR($R68="Flying",$R68="Dragon",$R68="Grass",$R68="Ground"),0-1,IF(OR($R68="Steel",$R68="Ice",$R68="Fire",$R68="Water"),1,0)),IF(OR($S68="Flying",$S68="Dragon",$S68="Grass",$S68="Ground"),0-1,IF(OR($S68="Steel",$S68="Ice",$S68="Fire",$S68="Water"),1,0)))</f>
        <v>0</v>
      </c>
      <c r="AO68" s="507" t="n">
        <f aca="false">IF(OR($R68="Ghost",$S68="Ghost"),4,SUM(IF(OR($R68="Steel",$R68="Rock"),1,0),IF(OR($S68="Steel",$S68="Rock"),1,0)))</f>
        <v>1</v>
      </c>
      <c r="AP68" s="507" t="n">
        <f aca="false">IF(OR($R68="Steel",$S68="Steel"),4,SUM(IF(OR($R68="Fairy",$R68="Grass"),0-1,IF(OR($R68="Ghost",$R68="Rock",$R68="Ground",$R68="Poison"),1,0)),IF(OR($S68="Fairy",$S68="Grass"),0-1,IF(OR($S68="Ghost",$S68="Rock",$S68="Ground",$S68="Poison"),1,0))))</f>
        <v>4</v>
      </c>
      <c r="AQ68" s="507" t="n">
        <f aca="false">IF(OR($R68="Dark",$S68="Dark"),4,SUM(IF(OR($R68="Fighting",$R68="Poison"),0-1,IF(OR($R68="Psychic",$R68="Steel"),1,0)),IF(OR($S68="Fighting",$S68="Poison"),0-1,IF(OR($S68="Psychic",$S68="Steel"),1,0))))</f>
        <v>1</v>
      </c>
      <c r="AR68" s="507" t="n">
        <f aca="false">SUM(IF(OR($R68="Bug",$R68="Fire",$R68="Flying",$R68="Ice"),0-1,IF(OR($R68="Steel",$R68="Fighting",$R68="Ground"),1,0)),IF(OR($S68="Bug",$S68="Fire",$S68="Flying",$S68="Ice"),0-1,IF(OR($S68="Steel",$S68="Fighting",$S68="Ground"),1,0)))</f>
        <v>0</v>
      </c>
      <c r="AS68" s="507" t="n">
        <f aca="false">SUM(IF(OR($R68="Fairy",$R68="Ice",$R68="Rock"),0-1,IF(OR($R68="Steel",$R68="Electric",$R68="Fire",$R68="Water"),1,0)),IF(OR($S68="Fairy",$S68="Ice",$S68="Rock"),0-1,IF(OR($S68="Steel",$S68="Electric",$S68="Fire",$S68="Water"),1,0)))</f>
        <v>1</v>
      </c>
      <c r="AT68" s="508" t="n">
        <f aca="false">SUM(IF(OR($R68="Fire",$R68="Ground",$R68="Rock"),0-1,IF(OR($R68="Dragon",$R68="Grass",$R68="Water"),1,0)),IF(OR($S68="Fire",$S68="Ground",$S68="Rock"),0-1,IF(OR($S68="Dragon",$S68="Grass",$S68="Water"),1,0)))</f>
        <v>0</v>
      </c>
      <c r="AU68" s="518"/>
    </row>
    <row r="69" customFormat="false" ht="15.75" hidden="false" customHeight="false" outlineLevel="0" collapsed="false">
      <c r="A69" s="515" t="str">
        <f aca="false" t="array" ref="A69:A69">IF(ISNA(INDEX(Source!$U$7:$U$95,MATCH(B69,Source!$V$7:$V$95,0))),"FREE",INDEX(Source!$U$7:$U$95,MATCH(B69,Source!$V$7:$V$95,0)))</f>
        <v>SGP</v>
      </c>
      <c r="B69" s="511" t="s">
        <v>81</v>
      </c>
      <c r="C69" s="511"/>
      <c r="D69" s="511"/>
      <c r="E69" s="499" t="n">
        <f aca="false">IF(SUM($W69:$X69)&gt;0,SUM($W69:$X69),IF($H69&gt;0,0,IF($H69&gt;0,0,"-")))</f>
        <v>0</v>
      </c>
      <c r="F69" s="499" t="n">
        <f aca="false">IF(SUM($Y69:$Z69)&gt;0,SUM($Y69:$Z69),IF($H69&gt;0,0,"-"))</f>
        <v>0</v>
      </c>
      <c r="G69" s="499" t="e">
        <f aca="false">IF($H69&gt;0,minus(E69,F69),"-")</f>
        <v>#NAME?</v>
      </c>
      <c r="H69" s="500" t="n">
        <f aca="false">SUM(COUNTIF(MatchSource!$A:$A,$B69),COUNTIF(MatchSource!$H:$H,$B69))</f>
        <v>8</v>
      </c>
      <c r="I69" s="501" t="n">
        <f aca="false">SUM($AA69:$AB69)</f>
        <v>0</v>
      </c>
      <c r="J69" s="501" t="s">
        <v>700</v>
      </c>
      <c r="K69" s="512" t="n">
        <f aca="false" t="array" ref="K69:K69">IF(ISNA(INDEX(DraftRosters!$AA$3:$AA$199,MATCH($B69,DraftRosters!$AB$3:$AB$199,0))),"FA",IF(INDEX(DraftRosters!$AA$3:$AA$199,MATCH($B69,DraftRosters!$AB$3:$AB$199,0))="Franchise","Franch",INDEX(DraftRosters!$AA$3:$AA$199,MATCH($B69,DraftRosters!$AB$3:$AB$199,0))))</f>
        <v>38</v>
      </c>
      <c r="L69" s="499" t="n">
        <v>60</v>
      </c>
      <c r="M69" s="499" t="n">
        <v>55</v>
      </c>
      <c r="N69" s="499" t="n">
        <v>90</v>
      </c>
      <c r="O69" s="499" t="n">
        <v>145</v>
      </c>
      <c r="P69" s="499" t="n">
        <v>90</v>
      </c>
      <c r="Q69" s="501" t="n">
        <v>80</v>
      </c>
      <c r="R69" s="499" t="s">
        <v>800</v>
      </c>
      <c r="S69" s="501" t="s">
        <v>802</v>
      </c>
      <c r="T69" s="504" t="s">
        <v>913</v>
      </c>
      <c r="U69" s="505" t="s">
        <v>914</v>
      </c>
      <c r="V69" s="506" t="s">
        <v>853</v>
      </c>
      <c r="W69" s="500" t="str">
        <f aca="false">IFERROR(__xludf.dummyfunction("if(isna(SUM(FILTER(MatchSource!$A:$D,MatchSource!$A:$A=$B69))),0,SUM(FILTER(MatchSource!$A:$D,MatchSource!$A:$A=$B69)))"),"1")</f>
        <v>1</v>
      </c>
      <c r="X69" s="499" t="str">
        <f aca="false">IFERROR(__xludf.dummyfunction("if(isna(SUM(FILTER(MatchSource!$H:$K,MatchSource!$H:$H=$B69))),0,SUM(FILTER(MatchSource!$H:$K,MatchSource!$H:$H=$B69)))"),"0")</f>
        <v>0</v>
      </c>
      <c r="Y69" s="499" t="str">
        <f aca="false">IFERROR(__xludf.dummyfunction("if(isna(ABS(MINUS(SUM(FILTER(MatchSource!$A:$E,MatchSource!$A:$A=$B69)),SUM($W69)))),0,ABS(MINUS(SUM(FILTER(MatchSource!$A:$E,MatchSource!$A:$A=$B69)),SUM($W69))))"),"4")</f>
        <v>4</v>
      </c>
      <c r="Z69" s="499" t="str">
        <f aca="false">IFERROR(__xludf.dummyfunction("if(isna(ABS(MINUS(SUM(FILTER(MatchSource!$H:$L,MatchSource!$H:$H=$B69)),SUM($X69)))),0,ABS(MINUS(SUM(FILTER(MatchSource!$H:$L,MatchSource!$H:$H=$B69)),SUM($X69))))"),"4")</f>
        <v>4</v>
      </c>
      <c r="AA69" s="499" t="str">
        <f aca="false">IFERROR(__xludf.dummyfunction("if(isna(ABS(MINUS(SUM(FILTER(MatchSource!$A:$F,MatchSource!$A:$A=$B69)),SUM($W69,$Y69)))),0,ABS(MINUS(SUM(FILTER(MatchSource!$A:$F,MatchSource!$A:$A=$B69)),SUM($W69, $Y69,))))"),"0")</f>
        <v>0</v>
      </c>
      <c r="AB69" s="501" t="str">
        <f aca="false">IFERROR(__xludf.dummyfunction("if(isna(ABS(MINUS(SUM(FILTER(MatchSource!$H:$M,MatchSource!$H:$H=$B69)),SUM($X69,$Z69)))),0,ABS(MINUS(SUM(FILTER(MatchSource!$H:$M,MatchSource!$H:$H=$B69)),SUM($X69,$Z69))))"),"0")</f>
        <v>0</v>
      </c>
      <c r="AC69" s="507" t="n">
        <f aca="false">SUM(IF(OR($R69="Grass",$R69="Psychic",$R69="Dark"),0-1,IF(OR($R69="Fighting",$R69="Flying",$R69="Fire",$R69="Ghost",$R69="Poison",$R69="Steel",$R69="Fairy"),1,0)),IF(OR($S69="Grass",$S69="Psychic",$S69="Dark"),0-1,IF(OR($S69="Fighting",$S69="Flying",$S69="Fire",$S69="Ghost",$S69="Poison",$S69="Steel",$S69="Fairy"),1,0)))</f>
        <v>2</v>
      </c>
      <c r="AD69" s="507" t="n">
        <f aca="false">SUM(IF(OR($R69="Ghost",$R69="Psychic"),0-1,IF(OR($R69="Fighting",$R69="Dark",$R69="Fairy"),1,0)),IF(OR($S69="Ghost",$S69="Psychic"),0-1,IF(OR($S69="Fighting",$S69="Dark",$S69="Fairy"),1,0)))</f>
        <v>-1</v>
      </c>
      <c r="AE69" s="507" t="n">
        <f aca="false">IF(OR($R69="Fairy",$S69="Fairy"),4,SUM(IF($R69="Dragon",0-1,IF($R69="Steel",1,0)),IF($S69="Dragon",0-1,IF($S69="Steel",1,0))))</f>
        <v>0</v>
      </c>
      <c r="AF69" s="507" t="n">
        <f aca="false">IF(OR($R69="Ground",$S69="Ground"),4,SUM(IF(OR($R69="Flying",$R69="Water"),0-1,IF(OR($R69="Dragon",$R69="Electric",$R69="Grass"),1,0)),IF(OR($S69="Flying",$S69="Water"),0-1,IF(OR($S69="Dragon",$S69="Electric",$S69="Grass"),1,0))))</f>
        <v>0</v>
      </c>
      <c r="AG69" s="507" t="n">
        <f aca="false">SUM(IF(OR($R69="Dark",$R69="Dragon",$R69="Fighting"),0-1,IF(OR($R69="Steel",$R69="Poison",$R69="Fire"),1,0)),IF(OR($S69="Dark",$S69="Dragon",$S69="Fighting"),0-1,IF(OR($S69="Steel",$S69="Poison",$S69="Fire"),1,0)))</f>
        <v>1</v>
      </c>
      <c r="AH69" s="507" t="n">
        <f aca="false">IF(OR($R69="Ghost",$S69="Ghost"),4,SUM(IF(OR($R69="Dark",$R69="Ice",$R69="Normal",$R69="Rock",$R69="Steel"),0-1,IF(OR($R69="Bug",$R69="Fairy",$R69="Flying",$R69="Poison",$R69="Psychic"),1,0)),IF(OR($S69="Dark",$S69="Ice",$S69="Normal",$S69="Rock",$S69="Steel"),0-1,IF(OR($S69="Bug",$S69="Fairy",$S69="Flying",$S69="Poison",$S69="Psychic"),1,0))))</f>
        <v>4</v>
      </c>
      <c r="AI69" s="507" t="n">
        <f aca="false">SUM(IF(OR($R69="Bug",$R69="Grass",$R69="Ice",$R69="Steel"),0-1,IF(OR($R69="Dragon",$R69="Fire",$R69="Rock",$R69="Water"),1,0)),IF(OR($S69="Bug",$S69="Grass",$S69="Ice",$S69="Steel"),0-1,IF(OR($S69="Dragon",$S69="Fire",$S69="Rock",$S69="Water"),1,0)))</f>
        <v>1</v>
      </c>
      <c r="AJ69" s="507" t="n">
        <f aca="false">SUM(IF(OR($R69="Bug",$R69="Grass",$R69="Fighting"),0-1,IF(OR($R69="Electric",$R69="Rock",$R69="Steel"),1,0)),IF(OR($S69="Bug",$S69="Grass",$S69="Fighting"),0-1,IF(OR($S69="Electric",$S69="Rock",$S69="Steel"),1,0)))</f>
        <v>0</v>
      </c>
      <c r="AK69" s="507" t="n">
        <f aca="false">IF(OR($R69="Normal",$S69="Normal"),4,SUM(IF(OR($R69="Ghost",$R69="Psychic"),0-1,IF($R69="Dark",1,0)),IF(OR($S69="Ghost",$S69="Psychic"),0-1,IF($S69="Dark",1,0))))</f>
        <v>-1</v>
      </c>
      <c r="AL69" s="507" t="n">
        <f aca="false">SUM(IF(OR($R69="Ground",$R69="Rock",$R69="Water"),0-1,IF(OR($R69="Bug",$R69="Flying",$R69="Fire",$R69="Dragon",$R69="Poison",$R69="Steel",$R69="Grass"),1,0)),IF(OR($S69="Ground",$S69="Rock",$S69="Water"),0-1,IF(OR($S69="Bug",$S69="Flying",$S69="Fire",$S69="Dragon",$S69="Poison",$S69="Steel",$S69="Grass"),1,0)))</f>
        <v>1</v>
      </c>
      <c r="AM69" s="507" t="n">
        <f aca="false">IF(OR($R69="Flying",$S69="Flying"),4,SUM(IF(OR($R69="Electric",$R69="Fire",$R69="Rock",$R69="Steel",$R69="Poison"),0-1,IF(OR($R69="Bug",$R69="Grass"),1,0)),IF(OR($S69="Electric",$S69="Fire",$S69="Rock",$S69="Steel",$S69="Poison"),0-1,IF(OR($S69="Bug",$S69="Grass"),1,0))))</f>
        <v>-1</v>
      </c>
      <c r="AN69" s="507" t="n">
        <f aca="false">SUM(IF(OR($R69="Flying",$R69="Dragon",$R69="Grass",$R69="Ground"),0-1,IF(OR($R69="Steel",$R69="Ice",$R69="Fire",$R69="Water"),1,0)),IF(OR($S69="Flying",$S69="Dragon",$S69="Grass",$S69="Ground"),0-1,IF(OR($S69="Steel",$S69="Ice",$S69="Fire",$S69="Water"),1,0)))</f>
        <v>1</v>
      </c>
      <c r="AO69" s="507" t="n">
        <f aca="false">IF(OR($R69="Ghost",$S69="Ghost"),4,SUM(IF(OR($R69="Steel",$R69="Rock"),1,0),IF(OR($S69="Steel",$S69="Rock"),1,0)))</f>
        <v>4</v>
      </c>
      <c r="AP69" s="507" t="n">
        <f aca="false">IF(OR($R69="Steel",$S69="Steel"),4,SUM(IF(OR($R69="Fairy",$R69="Grass"),0-1,IF(OR($R69="Ghost",$R69="Rock",$R69="Ground",$R69="Poison"),1,0)),IF(OR($S69="Fairy",$S69="Grass"),0-1,IF(OR($S69="Ghost",$S69="Rock",$S69="Ground",$S69="Poison"),1,0))))</f>
        <v>1</v>
      </c>
      <c r="AQ69" s="507" t="n">
        <f aca="false">IF(OR($R69="Dark",$S69="Dark"),4,SUM(IF(OR($R69="Fighting",$R69="Poison"),0-1,IF(OR($R69="Psychic",$R69="Steel"),1,0)),IF(OR($S69="Fighting",$S69="Poison"),0-1,IF(OR($S69="Psychic",$S69="Steel"),1,0))))</f>
        <v>0</v>
      </c>
      <c r="AR69" s="507" t="n">
        <f aca="false">SUM(IF(OR($R69="Bug",$R69="Fire",$R69="Flying",$R69="Ice"),0-1,IF(OR($R69="Steel",$R69="Fighting",$R69="Ground"),1,0)),IF(OR($S69="Bug",$S69="Fire",$S69="Flying",$S69="Ice"),0-1,IF(OR($S69="Steel",$S69="Fighting",$S69="Ground"),1,0)))</f>
        <v>-1</v>
      </c>
      <c r="AS69" s="507" t="n">
        <f aca="false">SUM(IF(OR($R69="Fairy",$R69="Ice",$R69="Rock"),0-1,IF(OR($R69="Steel",$R69="Electric",$R69="Fire",$R69="Water"),1,0)),IF(OR($S69="Fairy",$S69="Ice",$S69="Rock"),0-1,IF(OR($S69="Steel",$S69="Electric",$S69="Fire",$S69="Water"),1,0)))</f>
        <v>1</v>
      </c>
      <c r="AT69" s="508" t="n">
        <f aca="false">SUM(IF(OR($R69="Fire",$R69="Ground",$R69="Rock"),0-1,IF(OR($R69="Dragon",$R69="Grass",$R69="Water"),1,0)),IF(OR($S69="Fire",$S69="Ground",$S69="Rock"),0-1,IF(OR($S69="Dragon",$S69="Grass",$S69="Water"),1,0)))</f>
        <v>-1</v>
      </c>
      <c r="AU69" s="518"/>
    </row>
    <row r="70" customFormat="false" ht="15.75" hidden="false" customHeight="false" outlineLevel="0" collapsed="false">
      <c r="A70" s="515" t="str">
        <f aca="false" t="array" ref="A70:A70">IF(ISNA(INDEX(Source!$U$7:$U$95,MATCH(B70,Source!$V$7:$V$95,0))),"FREE",INDEX(Source!$U$7:$U$95,MATCH(B70,Source!$V$7:$V$95,0)))</f>
        <v>FREE</v>
      </c>
      <c r="B70" s="511" t="s">
        <v>296</v>
      </c>
      <c r="C70" s="511"/>
      <c r="D70" s="511"/>
      <c r="E70" s="499" t="str">
        <f aca="false">IF(SUM($W70:$X70)&gt;0,SUM($W70:$X70),IF($H70&gt;0,0,IF($H70&gt;0,0,"-")))</f>
        <v>-</v>
      </c>
      <c r="F70" s="499" t="str">
        <f aca="false">IF(SUM($Y70:$Z70)&gt;0,SUM($Y70:$Z70),IF($H70&gt;0,0,"-"))</f>
        <v>-</v>
      </c>
      <c r="G70" s="499" t="str">
        <f aca="false">IF($H70&gt;0,minus(E70,F70),"-")</f>
        <v>-</v>
      </c>
      <c r="H70" s="500" t="n">
        <f aca="false">SUM(COUNTIF(MatchSource!$A:$A,$B70),COUNTIF(MatchSource!$H:$H,$B70))</f>
        <v>0</v>
      </c>
      <c r="I70" s="501" t="n">
        <f aca="false">SUM($AA70:$AB70)</f>
        <v>0</v>
      </c>
      <c r="J70" s="501" t="s">
        <v>698</v>
      </c>
      <c r="K70" s="512" t="str">
        <f aca="false" t="array" ref="K70:K70">IF(ISNA(INDEX(DraftRosters!$AA$3:$AA$199,MATCH($B70,DraftRosters!$AB$3:$AB$199,0))),"FA",IF(INDEX(DraftRosters!$AA$3:$AA$199,MATCH($B70,DraftRosters!$AB$3:$AB$199,0))="Franchise","Franch",INDEX(DraftRosters!$AA$3:$AA$199,MATCH($B70,DraftRosters!$AB$3:$AB$199,0))))</f>
        <v>FA</v>
      </c>
      <c r="L70" s="507" t="n">
        <v>250</v>
      </c>
      <c r="M70" s="507" t="n">
        <v>5</v>
      </c>
      <c r="N70" s="507" t="n">
        <v>5</v>
      </c>
      <c r="O70" s="507" t="n">
        <v>35</v>
      </c>
      <c r="P70" s="507" t="n">
        <v>105</v>
      </c>
      <c r="Q70" s="508" t="n">
        <v>50</v>
      </c>
      <c r="R70" s="499" t="s">
        <v>839</v>
      </c>
      <c r="S70" s="501"/>
      <c r="T70" s="504" t="s">
        <v>833</v>
      </c>
      <c r="U70" s="505" t="s">
        <v>837</v>
      </c>
      <c r="V70" s="506" t="s">
        <v>895</v>
      </c>
      <c r="W70" s="500" t="str">
        <f aca="false">IFERROR(__xludf.dummyfunction("if(isna(SUM(FILTER(MatchSource!$A:$D,MatchSource!$A:$A=$B70))),0,SUM(FILTER(MatchSource!$A:$D,MatchSource!$A:$A=$B70)))"),"0")</f>
        <v>0</v>
      </c>
      <c r="X70" s="499" t="str">
        <f aca="false">IFERROR(__xludf.dummyfunction("if(isna(SUM(FILTER(MatchSource!$H:$K,MatchSource!$H:$H=$B70))),0,SUM(FILTER(MatchSource!$H:$K,MatchSource!$H:$H=$B70)))"),"0")</f>
        <v>0</v>
      </c>
      <c r="Y70" s="499" t="str">
        <f aca="false">IFERROR(__xludf.dummyfunction("if(isna(ABS(MINUS(SUM(FILTER(MatchSource!$A:$E,MatchSource!$A:$A=$B70)),SUM($W70)))),0,ABS(MINUS(SUM(FILTER(MatchSource!$A:$E,MatchSource!$A:$A=$B70)),SUM($W70))))"),"0")</f>
        <v>0</v>
      </c>
      <c r="Z70" s="499" t="str">
        <f aca="false">IFERROR(__xludf.dummyfunction("if(isna(ABS(MINUS(SUM(FILTER(MatchSource!$H:$L,MatchSource!$H:$H=$B70)),SUM($X70)))),0,ABS(MINUS(SUM(FILTER(MatchSource!$H:$L,MatchSource!$H:$H=$B70)),SUM($X70))))"),"0")</f>
        <v>0</v>
      </c>
      <c r="AA70" s="499" t="str">
        <f aca="false">IFERROR(__xludf.dummyfunction("if(isna(ABS(MINUS(SUM(FILTER(MatchSource!$A:$F,MatchSource!$A:$A=$B70)),SUM($W70,$Y70)))),0,ABS(MINUS(SUM(FILTER(MatchSource!$A:$F,MatchSource!$A:$A=$B70)),SUM($W70, $Y70,))))"),"0")</f>
        <v>0</v>
      </c>
      <c r="AB70" s="501" t="str">
        <f aca="false">IFERROR(__xludf.dummyfunction("if(isna(ABS(MINUS(SUM(FILTER(MatchSource!$H:$M,MatchSource!$H:$H=$B70)),SUM($X70,$Z70)))),0,ABS(MINUS(SUM(FILTER(MatchSource!$H:$M,MatchSource!$H:$H=$B70)),SUM($X70,$Z70))))"),"0")</f>
        <v>0</v>
      </c>
      <c r="AC70" s="507" t="n">
        <f aca="false">SUM(IF(OR($R70="Grass",$R70="Psychic",$R70="Dark"),0-1,IF(OR($R70="Fighting",$R70="Flying",$R70="Fire",$R70="Ghost",$R70="Poison",$R70="Steel",$R70="Fairy"),1,0)),IF(OR($S70="Grass",$S70="Psychic",$S70="Dark"),0-1,IF(OR($S70="Fighting",$S70="Flying",$S70="Fire",$S70="Ghost",$S70="Poison",$S70="Steel",$S70="Fairy"),1,0)))</f>
        <v>0</v>
      </c>
      <c r="AD70" s="507" t="n">
        <f aca="false">SUM(IF(OR($R70="Ghost",$R70="Psychic"),0-1,IF(OR($R70="Fighting",$R70="Dark",$R70="Fairy"),1,0)),IF(OR($S70="Ghost",$S70="Psychic"),0-1,IF(OR($S70="Fighting",$S70="Dark",$S70="Fairy"),1,0)))</f>
        <v>0</v>
      </c>
      <c r="AE70" s="507" t="n">
        <f aca="false">IF(OR($R70="Fairy",$S70="Fairy"),4,SUM(IF($R70="Dragon",0-1,IF($R70="Steel",1,0)),IF($S70="Dragon",0-1,IF($S70="Steel",1,0))))</f>
        <v>0</v>
      </c>
      <c r="AF70" s="507" t="n">
        <f aca="false">IF(OR($R70="Ground",$S70="Ground"),4,SUM(IF(OR($R70="Flying",$R70="Water"),0-1,IF(OR($R70="Dragon",$R70="Electric",$R70="Grass"),1,0)),IF(OR($S70="Flying",$S70="Water"),0-1,IF(OR($S70="Dragon",$S70="Electric",$S70="Grass"),1,0))))</f>
        <v>0</v>
      </c>
      <c r="AG70" s="507" t="n">
        <f aca="false">SUM(IF(OR($R70="Dark",$R70="Dragon",$R70="Fighting"),0-1,IF(OR($R70="Steel",$R70="Poison",$R70="Fire"),1,0)),IF(OR($S70="Dark",$S70="Dragon",$S70="Fighting"),0-1,IF(OR($S70="Steel",$S70="Poison",$S70="Fire"),1,0)))</f>
        <v>0</v>
      </c>
      <c r="AH70" s="507" t="n">
        <f aca="false">IF(OR($R70="Ghost",$S70="Ghost"),4,SUM(IF(OR($R70="Dark",$R70="Ice",$R70="Normal",$R70="Rock",$R70="Steel"),0-1,IF(OR($R70="Bug",$R70="Fairy",$R70="Flying",$R70="Poison",$R70="Psychic"),1,0)),IF(OR($S70="Dark",$S70="Ice",$S70="Normal",$S70="Rock",$S70="Steel"),0-1,IF(OR($S70="Bug",$S70="Fairy",$S70="Flying",$S70="Poison",$S70="Psychic"),1,0))))</f>
        <v>-1</v>
      </c>
      <c r="AI70" s="507" t="n">
        <f aca="false">SUM(IF(OR($R70="Bug",$R70="Grass",$R70="Ice",$R70="Steel"),0-1,IF(OR($R70="Dragon",$R70="Fire",$R70="Rock",$R70="Water"),1,0)),IF(OR($S70="Bug",$S70="Grass",$S70="Ice",$S70="Steel"),0-1,IF(OR($S70="Dragon",$S70="Fire",$S70="Rock",$S70="Water"),1,0)))</f>
        <v>0</v>
      </c>
      <c r="AJ70" s="507" t="n">
        <f aca="false">SUM(IF(OR($R70="Bug",$R70="Grass",$R70="Fighting"),0-1,IF(OR($R70="Electric",$R70="Rock",$R70="Steel"),1,0)),IF(OR($S70="Bug",$S70="Grass",$S70="Fighting"),0-1,IF(OR($S70="Electric",$S70="Rock",$S70="Steel"),1,0)))</f>
        <v>0</v>
      </c>
      <c r="AK70" s="507" t="n">
        <f aca="false">IF(OR($R70="Normal",$S70="Normal"),4,SUM(IF(OR($R70="Ghost",$R70="Psychic"),0-1,IF($R70="Dark",1,0)),IF(OR($S70="Ghost",$S70="Psychic"),0-1,IF($S70="Dark",1,0))))</f>
        <v>4</v>
      </c>
      <c r="AL70" s="507" t="n">
        <f aca="false">SUM(IF(OR($R70="Ground",$R70="Rock",$R70="Water"),0-1,IF(OR($R70="Bug",$R70="Flying",$R70="Fire",$R70="Dragon",$R70="Poison",$R70="Steel",$R70="Grass"),1,0)),IF(OR($S70="Ground",$S70="Rock",$S70="Water"),0-1,IF(OR($S70="Bug",$S70="Flying",$S70="Fire",$S70="Dragon",$S70="Poison",$S70="Steel",$S70="Grass"),1,0)))</f>
        <v>0</v>
      </c>
      <c r="AM70" s="507" t="n">
        <f aca="false">IF(OR($R70="Flying",$S70="Flying"),4,SUM(IF(OR($R70="Electric",$R70="Fire",$R70="Rock",$R70="Steel",$R70="Poison"),0-1,IF(OR($R70="Bug",$R70="Grass"),1,0)),IF(OR($S70="Electric",$S70="Fire",$S70="Rock",$S70="Steel",$S70="Poison"),0-1,IF(OR($S70="Bug",$S70="Grass"),1,0))))</f>
        <v>0</v>
      </c>
      <c r="AN70" s="507" t="n">
        <f aca="false">SUM(IF(OR($R70="Flying",$R70="Dragon",$R70="Grass",$R70="Ground"),0-1,IF(OR($R70="Steel",$R70="Ice",$R70="Fire",$R70="Water"),1,0)),IF(OR($S70="Flying",$S70="Dragon",$S70="Grass",$S70="Ground"),0-1,IF(OR($S70="Steel",$S70="Ice",$S70="Fire",$S70="Water"),1,0)))</f>
        <v>0</v>
      </c>
      <c r="AO70" s="507" t="n">
        <f aca="false">IF(OR($R70="Ghost",$S70="Ghost"),4,SUM(IF(OR($R70="Steel",$R70="Rock"),1,0),IF(OR($S70="Steel",$S70="Rock"),1,0)))</f>
        <v>0</v>
      </c>
      <c r="AP70" s="507" t="n">
        <f aca="false">IF(OR($R70="Steel",$S70="Steel"),4,SUM(IF(OR($R70="Fairy",$R70="Grass"),0-1,IF(OR($R70="Ghost",$R70="Rock",$R70="Ground",$R70="Poison"),1,0)),IF(OR($S70="Fairy",$S70="Grass"),0-1,IF(OR($S70="Ghost",$S70="Rock",$S70="Ground",$S70="Poison"),1,0))))</f>
        <v>0</v>
      </c>
      <c r="AQ70" s="507" t="n">
        <f aca="false">IF(OR($R70="Dark",$S70="Dark"),4,SUM(IF(OR($R70="Fighting",$R70="Poison"),0-1,IF(OR($R70="Psychic",$R70="Steel"),1,0)),IF(OR($S70="Fighting",$S70="Poison"),0-1,IF(OR($S70="Psychic",$S70="Steel"),1,0))))</f>
        <v>0</v>
      </c>
      <c r="AR70" s="507" t="n">
        <f aca="false">SUM(IF(OR($R70="Bug",$R70="Fire",$R70="Flying",$R70="Ice"),0-1,IF(OR($R70="Steel",$R70="Fighting",$R70="Ground"),1,0)),IF(OR($S70="Bug",$S70="Fire",$S70="Flying",$S70="Ice"),0-1,IF(OR($S70="Steel",$S70="Fighting",$S70="Ground"),1,0)))</f>
        <v>0</v>
      </c>
      <c r="AS70" s="507" t="n">
        <f aca="false">SUM(IF(OR($R70="Fairy",$R70="Ice",$R70="Rock"),0-1,IF(OR($R70="Steel",$R70="Electric",$R70="Fire",$R70="Water"),1,0)),IF(OR($S70="Fairy",$S70="Ice",$S70="Rock"),0-1,IF(OR($S70="Steel",$S70="Electric",$S70="Fire",$S70="Water"),1,0)))</f>
        <v>0</v>
      </c>
      <c r="AT70" s="508" t="n">
        <f aca="false">SUM(IF(OR($R70="Fire",$R70="Ground",$R70="Rock"),0-1,IF(OR($R70="Dragon",$R70="Grass",$R70="Water"),1,0)),IF(OR($S70="Fire",$S70="Ground",$S70="Rock"),0-1,IF(OR($S70="Dragon",$S70="Grass",$S70="Water"),1,0)))</f>
        <v>0</v>
      </c>
      <c r="AU70" s="518"/>
    </row>
    <row r="71" customFormat="false" ht="15.75" hidden="false" customHeight="false" outlineLevel="0" collapsed="false">
      <c r="A71" s="510" t="str">
        <f aca="false" t="array" ref="A71:A71">IF(ISNA(INDEX(Source!$U$7:$U$95,MATCH(B71,Source!$V$7:$V$95,0))),"FREE",INDEX(Source!$U$7:$U$95,MATCH(B71,Source!$V$7:$V$95,0)))</f>
        <v>SEA</v>
      </c>
      <c r="B71" s="511" t="s">
        <v>92</v>
      </c>
      <c r="C71" s="511"/>
      <c r="D71" s="511"/>
      <c r="E71" s="499" t="n">
        <f aca="false">IF(SUM($W71:$X71)&gt;0,SUM($W71:$X71),IF($H71&gt;0,0,IF($H71&gt;0,0,"-")))</f>
        <v>0</v>
      </c>
      <c r="F71" s="499" t="n">
        <f aca="false">IF(SUM($Y71:$Z71)&gt;0,SUM($Y71:$Z71),IF($H71&gt;0,0,"-"))</f>
        <v>0</v>
      </c>
      <c r="G71" s="499" t="e">
        <f aca="false">IF($H71&gt;0,minus(E71,F71),"-")</f>
        <v>#NAME?</v>
      </c>
      <c r="H71" s="500" t="n">
        <f aca="false">SUM(COUNTIF(MatchSource!$A:$A,$B71),COUNTIF(MatchSource!$H:$H,$B71))</f>
        <v>4</v>
      </c>
      <c r="I71" s="501" t="n">
        <f aca="false">SUM($AA71:$AB71)</f>
        <v>0</v>
      </c>
      <c r="J71" s="501" t="s">
        <v>702</v>
      </c>
      <c r="K71" s="512" t="n">
        <f aca="false" t="array" ref="K71:K71">IF(ISNA(INDEX(DraftRosters!$AA$3:$AA$199,MATCH($B71,DraftRosters!$AB$3:$AB$199,0))),"FA",IF(INDEX(DraftRosters!$AA$3:$AA$199,MATCH($B71,DraftRosters!$AB$3:$AB$199,0))="Franchise","Franch",INDEX(DraftRosters!$AA$3:$AA$199,MATCH($B71,DraftRosters!$AB$3:$AB$199,0))))</f>
        <v>50</v>
      </c>
      <c r="L71" s="499" t="n">
        <v>78</v>
      </c>
      <c r="M71" s="499" t="n">
        <v>84</v>
      </c>
      <c r="N71" s="499" t="n">
        <v>78</v>
      </c>
      <c r="O71" s="499" t="n">
        <v>109</v>
      </c>
      <c r="P71" s="499" t="n">
        <v>85</v>
      </c>
      <c r="Q71" s="501" t="n">
        <v>100</v>
      </c>
      <c r="R71" s="499" t="s">
        <v>800</v>
      </c>
      <c r="S71" s="501" t="s">
        <v>801</v>
      </c>
      <c r="T71" s="504" t="s">
        <v>893</v>
      </c>
      <c r="U71" s="505" t="s">
        <v>915</v>
      </c>
      <c r="V71" s="506"/>
      <c r="W71" s="500" t="str">
        <f aca="false">IFERROR(__xludf.dummyfunction("if(isna(SUM(FILTER(MatchSource!$A:$D,MatchSource!$A:$A=$B71))),0,SUM(FILTER(MatchSource!$A:$D,MatchSource!$A:$A=$B71)))"),"3")</f>
        <v>3</v>
      </c>
      <c r="X71" s="499" t="str">
        <f aca="false">IFERROR(__xludf.dummyfunction("if(isna(SUM(FILTER(MatchSource!$H:$K,MatchSource!$H:$H=$B71))),0,SUM(FILTER(MatchSource!$H:$K,MatchSource!$H:$H=$B71)))"),"0")</f>
        <v>0</v>
      </c>
      <c r="Y71" s="499" t="str">
        <f aca="false">IFERROR(__xludf.dummyfunction("if(isna(ABS(MINUS(SUM(FILTER(MatchSource!$A:$E,MatchSource!$A:$A=$B71)),SUM($W71)))),0,ABS(MINUS(SUM(FILTER(MatchSource!$A:$E,MatchSource!$A:$A=$B71)),SUM($W71))))"),"2")</f>
        <v>2</v>
      </c>
      <c r="Z71" s="499" t="str">
        <f aca="false">IFERROR(__xludf.dummyfunction("if(isna(ABS(MINUS(SUM(FILTER(MatchSource!$H:$L,MatchSource!$H:$H=$B71)),SUM($X71)))),0,ABS(MINUS(SUM(FILTER(MatchSource!$H:$L,MatchSource!$H:$H=$B71)),SUM($X71))))"),"1")</f>
        <v>1</v>
      </c>
      <c r="AA71" s="499" t="str">
        <f aca="false">IFERROR(__xludf.dummyfunction("if(isna(ABS(MINUS(SUM(FILTER(MatchSource!$A:$F,MatchSource!$A:$A=$B71)),SUM($W71,$Y71)))),0,ABS(MINUS(SUM(FILTER(MatchSource!$A:$F,MatchSource!$A:$A=$B71)),SUM($W71, $Y71,))))"),"2")</f>
        <v>2</v>
      </c>
      <c r="AB71" s="501" t="str">
        <f aca="false">IFERROR(__xludf.dummyfunction("if(isna(ABS(MINUS(SUM(FILTER(MatchSource!$H:$M,MatchSource!$H:$H=$B71)),SUM($X71,$Z71)))),0,ABS(MINUS(SUM(FILTER(MatchSource!$H:$M,MatchSource!$H:$H=$B71)),SUM($X71,$Z71))))"),"1")</f>
        <v>1</v>
      </c>
      <c r="AC71" s="507" t="n">
        <f aca="false">SUM(IF(OR($R71="Grass",$R71="Psychic",$R71="Dark"),0-1,IF(OR($R71="Fighting",$R71="Flying",$R71="Fire",$R71="Ghost",$R71="Poison",$R71="Steel",$R71="Fairy"),1,0)),IF(OR($S71="Grass",$S71="Psychic",$S71="Dark"),0-1,IF(OR($S71="Fighting",$S71="Flying",$S71="Fire",$S71="Ghost",$S71="Poison",$S71="Steel",$S71="Fairy"),1,0)))</f>
        <v>2</v>
      </c>
      <c r="AD71" s="507" t="n">
        <f aca="false">SUM(IF(OR($R71="Ghost",$R71="Psychic"),0-1,IF(OR($R71="Fighting",$R71="Dark",$R71="Fairy"),1,0)),IF(OR($S71="Ghost",$S71="Psychic"),0-1,IF(OR($S71="Fighting",$S71="Dark",$S71="Fairy"),1,0)))</f>
        <v>0</v>
      </c>
      <c r="AE71" s="507" t="n">
        <f aca="false">IF(OR($R71="Fairy",$S71="Fairy"),4,SUM(IF($R71="Dragon",0-1,IF($R71="Steel",1,0)),IF($S71="Dragon",0-1,IF($S71="Steel",1,0))))</f>
        <v>0</v>
      </c>
      <c r="AF71" s="507" t="n">
        <f aca="false">IF(OR($R71="Ground",$S71="Ground"),4,SUM(IF(OR($R71="Flying",$R71="Water"),0-1,IF(OR($R71="Dragon",$R71="Electric",$R71="Grass"),1,0)),IF(OR($S71="Flying",$S71="Water"),0-1,IF(OR($S71="Dragon",$S71="Electric",$S71="Grass"),1,0))))</f>
        <v>-1</v>
      </c>
      <c r="AG71" s="507" t="n">
        <f aca="false">SUM(IF(OR($R71="Dark",$R71="Dragon",$R71="Fighting"),0-1,IF(OR($R71="Steel",$R71="Poison",$R71="Fire"),1,0)),IF(OR($S71="Dark",$S71="Dragon",$S71="Fighting"),0-1,IF(OR($S71="Steel",$S71="Poison",$S71="Fire"),1,0)))</f>
        <v>1</v>
      </c>
      <c r="AH71" s="507" t="n">
        <f aca="false">IF(OR($R71="Ghost",$S71="Ghost"),4,SUM(IF(OR($R71="Dark",$R71="Ice",$R71="Normal",$R71="Rock",$R71="Steel"),0-1,IF(OR($R71="Bug",$R71="Fairy",$R71="Flying",$R71="Poison",$R71="Psychic"),1,0)),IF(OR($S71="Dark",$S71="Ice",$S71="Normal",$S71="Rock",$S71="Steel"),0-1,IF(OR($S71="Bug",$S71="Fairy",$S71="Flying",$S71="Poison",$S71="Psychic"),1,0))))</f>
        <v>1</v>
      </c>
      <c r="AI71" s="507" t="n">
        <f aca="false">SUM(IF(OR($R71="Bug",$R71="Grass",$R71="Ice",$R71="Steel"),0-1,IF(OR($R71="Dragon",$R71="Fire",$R71="Rock",$R71="Water"),1,0)),IF(OR($S71="Bug",$S71="Grass",$S71="Ice",$S71="Steel"),0-1,IF(OR($S71="Dragon",$S71="Fire",$S71="Rock",$S71="Water"),1,0)))</f>
        <v>1</v>
      </c>
      <c r="AJ71" s="507" t="n">
        <f aca="false">SUM(IF(OR($R71="Bug",$R71="Grass",$R71="Fighting"),0-1,IF(OR($R71="Electric",$R71="Rock",$R71="Steel"),1,0)),IF(OR($S71="Bug",$S71="Grass",$S71="Fighting"),0-1,IF(OR($S71="Electric",$S71="Rock",$S71="Steel"),1,0)))</f>
        <v>0</v>
      </c>
      <c r="AK71" s="507" t="n">
        <f aca="false">IF(OR($R71="Normal",$S71="Normal"),4,SUM(IF(OR($R71="Ghost",$R71="Psychic"),0-1,IF($R71="Dark",1,0)),IF(OR($S71="Ghost",$S71="Psychic"),0-1,IF($S71="Dark",1,0))))</f>
        <v>0</v>
      </c>
      <c r="AL71" s="507" t="n">
        <f aca="false">SUM(IF(OR($R71="Ground",$R71="Rock",$R71="Water"),0-1,IF(OR($R71="Bug",$R71="Flying",$R71="Fire",$R71="Dragon",$R71="Poison",$R71="Steel",$R71="Grass"),1,0)),IF(OR($S71="Ground",$S71="Rock",$S71="Water"),0-1,IF(OR($S71="Bug",$S71="Flying",$S71="Fire",$S71="Dragon",$S71="Poison",$S71="Steel",$S71="Grass"),1,0)))</f>
        <v>2</v>
      </c>
      <c r="AM71" s="507" t="n">
        <f aca="false">IF(OR($R71="Flying",$S71="Flying"),4,SUM(IF(OR($R71="Electric",$R71="Fire",$R71="Rock",$R71="Steel",$R71="Poison"),0-1,IF(OR($R71="Bug",$R71="Grass"),1,0)),IF(OR($S71="Electric",$S71="Fire",$S71="Rock",$S71="Steel",$S71="Poison"),0-1,IF(OR($S71="Bug",$S71="Grass"),1,0))))</f>
        <v>4</v>
      </c>
      <c r="AN71" s="507" t="n">
        <f aca="false">SUM(IF(OR($R71="Flying",$R71="Dragon",$R71="Grass",$R71="Ground"),0-1,IF(OR($R71="Steel",$R71="Ice",$R71="Fire",$R71="Water"),1,0)),IF(OR($S71="Flying",$S71="Dragon",$S71="Grass",$S71="Ground"),0-1,IF(OR($S71="Steel",$S71="Ice",$S71="Fire",$S71="Water"),1,0)))</f>
        <v>0</v>
      </c>
      <c r="AO71" s="507" t="n">
        <f aca="false">IF(OR($R71="Ghost",$S71="Ghost"),4,SUM(IF(OR($R71="Steel",$R71="Rock"),1,0),IF(OR($S71="Steel",$S71="Rock"),1,0)))</f>
        <v>0</v>
      </c>
      <c r="AP71" s="507" t="n">
        <f aca="false">IF(OR($R71="Steel",$S71="Steel"),4,SUM(IF(OR($R71="Fairy",$R71="Grass"),0-1,IF(OR($R71="Ghost",$R71="Rock",$R71="Ground",$R71="Poison"),1,0)),IF(OR($S71="Fairy",$S71="Grass"),0-1,IF(OR($S71="Ghost",$S71="Rock",$S71="Ground",$S71="Poison"),1,0))))</f>
        <v>0</v>
      </c>
      <c r="AQ71" s="507" t="n">
        <f aca="false">IF(OR($R71="Dark",$S71="Dark"),4,SUM(IF(OR($R71="Fighting",$R71="Poison"),0-1,IF(OR($R71="Psychic",$R71="Steel"),1,0)),IF(OR($S71="Fighting",$S71="Poison"),0-1,IF(OR($S71="Psychic",$S71="Steel"),1,0))))</f>
        <v>0</v>
      </c>
      <c r="AR71" s="507" t="n">
        <f aca="false">SUM(IF(OR($R71="Bug",$R71="Fire",$R71="Flying",$R71="Ice"),0-1,IF(OR($R71="Steel",$R71="Fighting",$R71="Ground"),1,0)),IF(OR($S71="Bug",$S71="Fire",$S71="Flying",$S71="Ice"),0-1,IF(OR($S71="Steel",$S71="Fighting",$S71="Ground"),1,0)))</f>
        <v>-2</v>
      </c>
      <c r="AS71" s="507" t="n">
        <f aca="false">SUM(IF(OR($R71="Fairy",$R71="Ice",$R71="Rock"),0-1,IF(OR($R71="Steel",$R71="Electric",$R71="Fire",$R71="Water"),1,0)),IF(OR($S71="Fairy",$S71="Ice",$S71="Rock"),0-1,IF(OR($S71="Steel",$S71="Electric",$S71="Fire",$S71="Water"),1,0)))</f>
        <v>1</v>
      </c>
      <c r="AT71" s="508" t="n">
        <f aca="false">SUM(IF(OR($R71="Fire",$R71="Ground",$R71="Rock"),0-1,IF(OR($R71="Dragon",$R71="Grass",$R71="Water"),1,0)),IF(OR($S71="Fire",$S71="Ground",$S71="Rock"),0-1,IF(OR($S71="Dragon",$S71="Grass",$S71="Water"),1,0)))</f>
        <v>-1</v>
      </c>
      <c r="AU71" s="518"/>
    </row>
    <row r="72" customFormat="false" ht="15.75" hidden="false" customHeight="false" outlineLevel="0" collapsed="false">
      <c r="A72" s="515" t="str">
        <f aca="false" t="array" ref="A72:A72">IF(ISNA(INDEX(Source!$U$7:$U$95,MATCH(B72,Source!$V$7:$V$95,0))),"FREE",INDEX(Source!$U$7:$U$95,MATCH(B72,Source!$V$7:$V$95,0)))</f>
        <v>FREE</v>
      </c>
      <c r="B72" s="511" t="s">
        <v>708</v>
      </c>
      <c r="C72" s="511"/>
      <c r="D72" s="511"/>
      <c r="E72" s="499" t="str">
        <f aca="false">IF(SUM($W72:$X72)&gt;0,SUM($W72:$X72),IF($H72&gt;0,0,IF($H72&gt;0,0,"-")))</f>
        <v>-</v>
      </c>
      <c r="F72" s="499" t="str">
        <f aca="false">IF(SUM($Y72:$Z72)&gt;0,SUM($Y72:$Z72),IF($H72&gt;0,0,"-"))</f>
        <v>-</v>
      </c>
      <c r="G72" s="499" t="str">
        <f aca="false">IF($H72&gt;0,minus(E72,F72),"-")</f>
        <v>-</v>
      </c>
      <c r="H72" s="500" t="n">
        <f aca="false">SUM(COUNTIF(MatchSource!$A:$A,$B72),COUNTIF(MatchSource!$H:$H,$B72))</f>
        <v>0</v>
      </c>
      <c r="I72" s="501" t="n">
        <f aca="false">SUM($AA72:$AB72)</f>
        <v>0</v>
      </c>
      <c r="J72" s="501" t="s">
        <v>276</v>
      </c>
      <c r="K72" s="512" t="str">
        <f aca="false" t="array" ref="K72:K72">IF(ISNA(INDEX(DraftRosters!$AA$3:$AA$199,MATCH($B72,DraftRosters!$AB$3:$AB$199,0))),"FA",IF(INDEX(DraftRosters!$AA$3:$AA$199,MATCH($B72,DraftRosters!$AB$3:$AB$199,0))="Franchise","Franch",INDEX(DraftRosters!$AA$3:$AA$199,MATCH($B72,DraftRosters!$AB$3:$AB$199,0))))</f>
        <v>FA</v>
      </c>
      <c r="L72" s="507" t="n">
        <v>78</v>
      </c>
      <c r="M72" s="507" t="n">
        <v>130</v>
      </c>
      <c r="N72" s="507" t="n">
        <v>111</v>
      </c>
      <c r="O72" s="507" t="n">
        <v>130</v>
      </c>
      <c r="P72" s="507" t="n">
        <v>85</v>
      </c>
      <c r="Q72" s="508" t="n">
        <v>100</v>
      </c>
      <c r="R72" s="499" t="s">
        <v>835</v>
      </c>
      <c r="S72" s="501" t="s">
        <v>800</v>
      </c>
      <c r="T72" s="504" t="s">
        <v>824</v>
      </c>
      <c r="U72" s="513"/>
      <c r="V72" s="514"/>
      <c r="W72" s="500" t="str">
        <f aca="false">IFERROR(__xludf.dummyfunction("if(isna(SUM(FILTER(MatchSource!$A:$D,MatchSource!$A:$A=$B72))),0,SUM(FILTER(MatchSource!$A:$D,MatchSource!$A:$A=$B72)))"),"0")</f>
        <v>0</v>
      </c>
      <c r="X72" s="499" t="str">
        <f aca="false">IFERROR(__xludf.dummyfunction("if(isna(SUM(FILTER(MatchSource!$H:$K,MatchSource!$H:$H=$B72))),0,SUM(FILTER(MatchSource!$H:$K,MatchSource!$H:$H=$B72)))"),"0")</f>
        <v>0</v>
      </c>
      <c r="Y72" s="499" t="str">
        <f aca="false">IFERROR(__xludf.dummyfunction("if(isna(ABS(MINUS(SUM(FILTER(MatchSource!$A:$E,MatchSource!$A:$A=$B72)),SUM($W72)))),0,ABS(MINUS(SUM(FILTER(MatchSource!$A:$E,MatchSource!$A:$A=$B72)),SUM($W72))))"),"0")</f>
        <v>0</v>
      </c>
      <c r="Z72" s="499" t="str">
        <f aca="false">IFERROR(__xludf.dummyfunction("if(isna(ABS(MINUS(SUM(FILTER(MatchSource!$H:$L,MatchSource!$H:$H=$B72)),SUM($X72)))),0,ABS(MINUS(SUM(FILTER(MatchSource!$H:$L,MatchSource!$H:$H=$B72)),SUM($X72))))"),"0")</f>
        <v>0</v>
      </c>
      <c r="AA72" s="499" t="str">
        <f aca="false">IFERROR(__xludf.dummyfunction("if(isna(ABS(MINUS(SUM(FILTER(MatchSource!$A:$F,MatchSource!$A:$A=$B72)),SUM($W72,$Y72)))),0,ABS(MINUS(SUM(FILTER(MatchSource!$A:$F,MatchSource!$A:$A=$B72)),SUM($W72, $Y72,))))"),"0")</f>
        <v>0</v>
      </c>
      <c r="AB72" s="501" t="str">
        <f aca="false">IFERROR(__xludf.dummyfunction("if(isna(ABS(MINUS(SUM(FILTER(MatchSource!$H:$M,MatchSource!$H:$H=$B72)),SUM($X72,$Z72)))),0,ABS(MINUS(SUM(FILTER(MatchSource!$H:$M,MatchSource!$H:$H=$B72)),SUM($X72,$Z72))))"),"0")</f>
        <v>0</v>
      </c>
      <c r="AC72" s="507" t="n">
        <f aca="false">SUM(IF(OR($R72="Grass",$R72="Psychic",$R72="Dark"),0-1,IF(OR($R72="Fighting",$R72="Flying",$R72="Fire",$R72="Ghost",$R72="Poison",$R72="Steel",$R72="Fairy"),1,0)),IF(OR($S72="Grass",$S72="Psychic",$S72="Dark"),0-1,IF(OR($S72="Fighting",$S72="Flying",$S72="Fire",$S72="Ghost",$S72="Poison",$S72="Steel",$S72="Fairy"),1,0)))</f>
        <v>1</v>
      </c>
      <c r="AD72" s="507" t="n">
        <f aca="false">SUM(IF(OR($R72="Ghost",$R72="Psychic"),0-1,IF(OR($R72="Fighting",$R72="Dark",$R72="Fairy"),1,0)),IF(OR($S72="Ghost",$S72="Psychic"),0-1,IF(OR($S72="Fighting",$S72="Dark",$S72="Fairy"),1,0)))</f>
        <v>0</v>
      </c>
      <c r="AE72" s="507" t="n">
        <f aca="false">IF(OR($R72="Fairy",$S72="Fairy"),4,SUM(IF($R72="Dragon",0-1,IF($R72="Steel",1,0)),IF($S72="Dragon",0-1,IF($S72="Steel",1,0))))</f>
        <v>-1</v>
      </c>
      <c r="AF72" s="507" t="n">
        <f aca="false">IF(OR($R72="Ground",$S72="Ground"),4,SUM(IF(OR($R72="Flying",$R72="Water"),0-1,IF(OR($R72="Dragon",$R72="Electric",$R72="Grass"),1,0)),IF(OR($S72="Flying",$S72="Water"),0-1,IF(OR($S72="Dragon",$S72="Electric",$S72="Grass"),1,0))))</f>
        <v>1</v>
      </c>
      <c r="AG72" s="507" t="n">
        <f aca="false">SUM(IF(OR($R72="Dark",$R72="Dragon",$R72="Fighting"),0-1,IF(OR($R72="Steel",$R72="Poison",$R72="Fire"),1,0)),IF(OR($S72="Dark",$S72="Dragon",$S72="Fighting"),0-1,IF(OR($S72="Steel",$S72="Poison",$S72="Fire"),1,0)))</f>
        <v>0</v>
      </c>
      <c r="AH72" s="507" t="n">
        <f aca="false">IF(OR($R72="Ghost",$S72="Ghost"),4,SUM(IF(OR($R72="Dark",$R72="Ice",$R72="Normal",$R72="Rock",$R72="Steel"),0-1,IF(OR($R72="Bug",$R72="Fairy",$R72="Flying",$R72="Poison",$R72="Psychic"),1,0)),IF(OR($S72="Dark",$S72="Ice",$S72="Normal",$S72="Rock",$S72="Steel"),0-1,IF(OR($S72="Bug",$S72="Fairy",$S72="Flying",$S72="Poison",$S72="Psychic"),1,0))))</f>
        <v>0</v>
      </c>
      <c r="AI72" s="507" t="n">
        <f aca="false">SUM(IF(OR($R72="Bug",$R72="Grass",$R72="Ice",$R72="Steel"),0-1,IF(OR($R72="Dragon",$R72="Fire",$R72="Rock",$R72="Water"),1,0)),IF(OR($S72="Bug",$S72="Grass",$S72="Ice",$S72="Steel"),0-1,IF(OR($S72="Dragon",$S72="Fire",$S72="Rock",$S72="Water"),1,0)))</f>
        <v>2</v>
      </c>
      <c r="AJ72" s="507" t="n">
        <f aca="false">SUM(IF(OR($R72="Bug",$R72="Grass",$R72="Fighting"),0-1,IF(OR($R72="Electric",$R72="Rock",$R72="Steel"),1,0)),IF(OR($S72="Bug",$S72="Grass",$S72="Fighting"),0-1,IF(OR($S72="Electric",$S72="Rock",$S72="Steel"),1,0)))</f>
        <v>0</v>
      </c>
      <c r="AK72" s="507" t="n">
        <f aca="false">IF(OR($R72="Normal",$S72="Normal"),4,SUM(IF(OR($R72="Ghost",$R72="Psychic"),0-1,IF($R72="Dark",1,0)),IF(OR($S72="Ghost",$S72="Psychic"),0-1,IF($S72="Dark",1,0))))</f>
        <v>0</v>
      </c>
      <c r="AL72" s="507" t="n">
        <f aca="false">SUM(IF(OR($R72="Ground",$R72="Rock",$R72="Water"),0-1,IF(OR($R72="Bug",$R72="Flying",$R72="Fire",$R72="Dragon",$R72="Poison",$R72="Steel",$R72="Grass"),1,0)),IF(OR($S72="Ground",$S72="Rock",$S72="Water"),0-1,IF(OR($S72="Bug",$S72="Flying",$S72="Fire",$S72="Dragon",$S72="Poison",$S72="Steel",$S72="Grass"),1,0)))</f>
        <v>2</v>
      </c>
      <c r="AM72" s="507" t="n">
        <f aca="false">IF(OR($R72="Flying",$S72="Flying"),4,SUM(IF(OR($R72="Electric",$R72="Fire",$R72="Rock",$R72="Steel",$R72="Poison"),0-1,IF(OR($R72="Bug",$R72="Grass"),1,0)),IF(OR($S72="Electric",$S72="Fire",$S72="Rock",$S72="Steel",$S72="Poison"),0-1,IF(OR($S72="Bug",$S72="Grass"),1,0))))</f>
        <v>-1</v>
      </c>
      <c r="AN72" s="507" t="n">
        <f aca="false">SUM(IF(OR($R72="Flying",$R72="Dragon",$R72="Grass",$R72="Ground"),0-1,IF(OR($R72="Steel",$R72="Ice",$R72="Fire",$R72="Water"),1,0)),IF(OR($S72="Flying",$S72="Dragon",$S72="Grass",$S72="Ground"),0-1,IF(OR($S72="Steel",$S72="Ice",$S72="Fire",$S72="Water"),1,0)))</f>
        <v>0</v>
      </c>
      <c r="AO72" s="507" t="n">
        <f aca="false">IF(OR($R72="Ghost",$S72="Ghost"),4,SUM(IF(OR($R72="Steel",$R72="Rock"),1,0),IF(OR($S72="Steel",$S72="Rock"),1,0)))</f>
        <v>0</v>
      </c>
      <c r="AP72" s="507" t="n">
        <f aca="false">IF(OR($R72="Steel",$S72="Steel"),4,SUM(IF(OR($R72="Fairy",$R72="Grass"),0-1,IF(OR($R72="Ghost",$R72="Rock",$R72="Ground",$R72="Poison"),1,0)),IF(OR($S72="Fairy",$S72="Grass"),0-1,IF(OR($S72="Ghost",$S72="Rock",$S72="Ground",$S72="Poison"),1,0))))</f>
        <v>0</v>
      </c>
      <c r="AQ72" s="507" t="n">
        <f aca="false">IF(OR($R72="Dark",$S72="Dark"),4,SUM(IF(OR($R72="Fighting",$R72="Poison"),0-1,IF(OR($R72="Psychic",$R72="Steel"),1,0)),IF(OR($S72="Fighting",$S72="Poison"),0-1,IF(OR($S72="Psychic",$S72="Steel"),1,0))))</f>
        <v>0</v>
      </c>
      <c r="AR72" s="507" t="n">
        <f aca="false">SUM(IF(OR($R72="Bug",$R72="Fire",$R72="Flying",$R72="Ice"),0-1,IF(OR($R72="Steel",$R72="Fighting",$R72="Ground"),1,0)),IF(OR($S72="Bug",$S72="Fire",$S72="Flying",$S72="Ice"),0-1,IF(OR($S72="Steel",$S72="Fighting",$S72="Ground"),1,0)))</f>
        <v>-1</v>
      </c>
      <c r="AS72" s="507" t="n">
        <f aca="false">SUM(IF(OR($R72="Fairy",$R72="Ice",$R72="Rock"),0-1,IF(OR($R72="Steel",$R72="Electric",$R72="Fire",$R72="Water"),1,0)),IF(OR($S72="Fairy",$S72="Ice",$S72="Rock"),0-1,IF(OR($S72="Steel",$S72="Electric",$S72="Fire",$S72="Water"),1,0)))</f>
        <v>1</v>
      </c>
      <c r="AT72" s="508" t="n">
        <f aca="false">SUM(IF(OR($R72="Fire",$R72="Ground",$R72="Rock"),0-1,IF(OR($R72="Dragon",$R72="Grass",$R72="Water"),1,0)),IF(OR($S72="Fire",$S72="Ground",$S72="Rock"),0-1,IF(OR($S72="Dragon",$S72="Grass",$S72="Water"),1,0)))</f>
        <v>0</v>
      </c>
      <c r="AU72" s="518"/>
    </row>
    <row r="73" customFormat="false" ht="15.75" hidden="false" customHeight="false" outlineLevel="0" collapsed="false">
      <c r="A73" s="510" t="str">
        <f aca="false" t="array" ref="A73:A73">IF(ISNA(INDEX(Source!$U$7:$U$95,MATCH(B73,Source!$V$7:$V$95,0))),"FREE",INDEX(Source!$U$7:$U$95,MATCH(B73,Source!$V$7:$V$95,0)))</f>
        <v>FREE</v>
      </c>
      <c r="B73" s="511" t="s">
        <v>712</v>
      </c>
      <c r="C73" s="511"/>
      <c r="D73" s="511"/>
      <c r="E73" s="499" t="str">
        <f aca="false">IF(SUM($W73:$X73)&gt;0,SUM($W73:$X73),IF($H73&gt;0,0,IF($H73&gt;0,0,"-")))</f>
        <v>-</v>
      </c>
      <c r="F73" s="499" t="str">
        <f aca="false">IF(SUM($Y73:$Z73)&gt;0,SUM($Y73:$Z73),IF($H73&gt;0,0,"-"))</f>
        <v>-</v>
      </c>
      <c r="G73" s="499" t="str">
        <f aca="false">IF($H73&gt;0,minus(E73,F73),"-")</f>
        <v>-</v>
      </c>
      <c r="H73" s="500" t="n">
        <f aca="false">SUM(COUNTIF(MatchSource!$A:$A,$B73),COUNTIF(MatchSource!$H:$H,$B73))</f>
        <v>0</v>
      </c>
      <c r="I73" s="501" t="n">
        <f aca="false">SUM($AA73:$AB73)</f>
        <v>0</v>
      </c>
      <c r="J73" s="501" t="s">
        <v>276</v>
      </c>
      <c r="K73" s="512" t="str">
        <f aca="false" t="array" ref="K73:K73">IF(ISNA(INDEX(DraftRosters!$AA$3:$AA$199,MATCH($B73,DraftRosters!$AB$3:$AB$199,0))),"FA",IF(INDEX(DraftRosters!$AA$3:$AA$199,MATCH($B73,DraftRosters!$AB$3:$AB$199,0))="Franchise","Franch",INDEX(DraftRosters!$AA$3:$AA$199,MATCH($B73,DraftRosters!$AB$3:$AB$199,0))))</f>
        <v>FA</v>
      </c>
      <c r="L73" s="499" t="n">
        <v>78</v>
      </c>
      <c r="M73" s="499" t="n">
        <v>104</v>
      </c>
      <c r="N73" s="499" t="n">
        <v>78</v>
      </c>
      <c r="O73" s="499" t="n">
        <v>159</v>
      </c>
      <c r="P73" s="499" t="n">
        <v>115</v>
      </c>
      <c r="Q73" s="501" t="n">
        <v>100</v>
      </c>
      <c r="R73" s="499" t="s">
        <v>800</v>
      </c>
      <c r="S73" s="501" t="s">
        <v>801</v>
      </c>
      <c r="T73" s="504" t="s">
        <v>916</v>
      </c>
      <c r="U73" s="513"/>
      <c r="V73" s="514"/>
      <c r="W73" s="500" t="str">
        <f aca="false">IFERROR(__xludf.dummyfunction("if(isna(SUM(FILTER(MatchSource!$A:$D,MatchSource!$A:$A=$B73))),0,SUM(FILTER(MatchSource!$A:$D,MatchSource!$A:$A=$B73)))"),"0")</f>
        <v>0</v>
      </c>
      <c r="X73" s="499" t="str">
        <f aca="false">IFERROR(__xludf.dummyfunction("if(isna(SUM(FILTER(MatchSource!$H:$K,MatchSource!$H:$H=$B73))),0,SUM(FILTER(MatchSource!$H:$K,MatchSource!$H:$H=$B73)))"),"0")</f>
        <v>0</v>
      </c>
      <c r="Y73" s="499" t="str">
        <f aca="false">IFERROR(__xludf.dummyfunction("if(isna(ABS(MINUS(SUM(FILTER(MatchSource!$A:$E,MatchSource!$A:$A=$B73)),SUM($W73)))),0,ABS(MINUS(SUM(FILTER(MatchSource!$A:$E,MatchSource!$A:$A=$B73)),SUM($W73))))"),"0")</f>
        <v>0</v>
      </c>
      <c r="Z73" s="499" t="str">
        <f aca="false">IFERROR(__xludf.dummyfunction("if(isna(ABS(MINUS(SUM(FILTER(MatchSource!$H:$L,MatchSource!$H:$H=$B73)),SUM($X73)))),0,ABS(MINUS(SUM(FILTER(MatchSource!$H:$L,MatchSource!$H:$H=$B73)),SUM($X73))))"),"0")</f>
        <v>0</v>
      </c>
      <c r="AA73" s="499" t="str">
        <f aca="false">IFERROR(__xludf.dummyfunction("if(isna(ABS(MINUS(SUM(FILTER(MatchSource!$A:$F,MatchSource!$A:$A=$B73)),SUM($W73,$Y73)))),0,ABS(MINUS(SUM(FILTER(MatchSource!$A:$F,MatchSource!$A:$A=$B73)),SUM($W73, $Y73,))))"),"0")</f>
        <v>0</v>
      </c>
      <c r="AB73" s="501" t="str">
        <f aca="false">IFERROR(__xludf.dummyfunction("if(isna(ABS(MINUS(SUM(FILTER(MatchSource!$H:$M,MatchSource!$H:$H=$B73)),SUM($X73,$Z73)))),0,ABS(MINUS(SUM(FILTER(MatchSource!$H:$M,MatchSource!$H:$H=$B73)),SUM($X73,$Z73))))"),"0")</f>
        <v>0</v>
      </c>
      <c r="AC73" s="507" t="n">
        <f aca="false">SUM(IF(OR($R73="Grass",$R73="Psychic",$R73="Dark"),0-1,IF(OR($R73="Fighting",$R73="Flying",$R73="Fire",$R73="Ghost",$R73="Poison",$R73="Steel",$R73="Fairy"),1,0)),IF(OR($S73="Grass",$S73="Psychic",$S73="Dark"),0-1,IF(OR($S73="Fighting",$S73="Flying",$S73="Fire",$S73="Ghost",$S73="Poison",$S73="Steel",$S73="Fairy"),1,0)))</f>
        <v>2</v>
      </c>
      <c r="AD73" s="507" t="n">
        <f aca="false">SUM(IF(OR($R73="Ghost",$R73="Psychic"),0-1,IF(OR($R73="Fighting",$R73="Dark",$R73="Fairy"),1,0)),IF(OR($S73="Ghost",$S73="Psychic"),0-1,IF(OR($S73="Fighting",$S73="Dark",$S73="Fairy"),1,0)))</f>
        <v>0</v>
      </c>
      <c r="AE73" s="507" t="n">
        <f aca="false">IF(OR($R73="Fairy",$S73="Fairy"),4,SUM(IF($R73="Dragon",0-1,IF($R73="Steel",1,0)),IF($S73="Dragon",0-1,IF($S73="Steel",1,0))))</f>
        <v>0</v>
      </c>
      <c r="AF73" s="507" t="n">
        <f aca="false">IF(OR($R73="Ground",$S73="Ground"),4,SUM(IF(OR($R73="Flying",$R73="Water"),0-1,IF(OR($R73="Dragon",$R73="Electric",$R73="Grass"),1,0)),IF(OR($S73="Flying",$S73="Water"),0-1,IF(OR($S73="Dragon",$S73="Electric",$S73="Grass"),1,0))))</f>
        <v>-1</v>
      </c>
      <c r="AG73" s="507" t="n">
        <f aca="false">SUM(IF(OR($R73="Dark",$R73="Dragon",$R73="Fighting"),0-1,IF(OR($R73="Steel",$R73="Poison",$R73="Fire"),1,0)),IF(OR($S73="Dark",$S73="Dragon",$S73="Fighting"),0-1,IF(OR($S73="Steel",$S73="Poison",$S73="Fire"),1,0)))</f>
        <v>1</v>
      </c>
      <c r="AH73" s="507" t="n">
        <f aca="false">IF(OR($R73="Ghost",$S73="Ghost"),4,SUM(IF(OR($R73="Dark",$R73="Ice",$R73="Normal",$R73="Rock",$R73="Steel"),0-1,IF(OR($R73="Bug",$R73="Fairy",$R73="Flying",$R73="Poison",$R73="Psychic"),1,0)),IF(OR($S73="Dark",$S73="Ice",$S73="Normal",$S73="Rock",$S73="Steel"),0-1,IF(OR($S73="Bug",$S73="Fairy",$S73="Flying",$S73="Poison",$S73="Psychic"),1,0))))</f>
        <v>1</v>
      </c>
      <c r="AI73" s="507" t="n">
        <f aca="false">SUM(IF(OR($R73="Bug",$R73="Grass",$R73="Ice",$R73="Steel"),0-1,IF(OR($R73="Dragon",$R73="Fire",$R73="Rock",$R73="Water"),1,0)),IF(OR($S73="Bug",$S73="Grass",$S73="Ice",$S73="Steel"),0-1,IF(OR($S73="Dragon",$S73="Fire",$S73="Rock",$S73="Water"),1,0)))</f>
        <v>1</v>
      </c>
      <c r="AJ73" s="507" t="n">
        <f aca="false">SUM(IF(OR($R73="Bug",$R73="Grass",$R73="Fighting"),0-1,IF(OR($R73="Electric",$R73="Rock",$R73="Steel"),1,0)),IF(OR($S73="Bug",$S73="Grass",$S73="Fighting"),0-1,IF(OR($S73="Electric",$S73="Rock",$S73="Steel"),1,0)))</f>
        <v>0</v>
      </c>
      <c r="AK73" s="507" t="n">
        <f aca="false">IF(OR($R73="Normal",$S73="Normal"),4,SUM(IF(OR($R73="Ghost",$R73="Psychic"),0-1,IF($R73="Dark",1,0)),IF(OR($S73="Ghost",$S73="Psychic"),0-1,IF($S73="Dark",1,0))))</f>
        <v>0</v>
      </c>
      <c r="AL73" s="507" t="n">
        <f aca="false">SUM(IF(OR($R73="Ground",$R73="Rock",$R73="Water"),0-1,IF(OR($R73="Bug",$R73="Flying",$R73="Fire",$R73="Dragon",$R73="Poison",$R73="Steel",$R73="Grass"),1,0)),IF(OR($S73="Ground",$S73="Rock",$S73="Water"),0-1,IF(OR($S73="Bug",$S73="Flying",$S73="Fire",$S73="Dragon",$S73="Poison",$S73="Steel",$S73="Grass"),1,0)))</f>
        <v>2</v>
      </c>
      <c r="AM73" s="507" t="n">
        <f aca="false">IF(OR($R73="Flying",$S73="Flying"),4,SUM(IF(OR($R73="Electric",$R73="Fire",$R73="Rock",$R73="Steel",$R73="Poison"),0-1,IF(OR($R73="Bug",$R73="Grass"),1,0)),IF(OR($S73="Electric",$S73="Fire",$S73="Rock",$S73="Steel",$S73="Poison"),0-1,IF(OR($S73="Bug",$S73="Grass"),1,0))))</f>
        <v>4</v>
      </c>
      <c r="AN73" s="507" t="n">
        <f aca="false">SUM(IF(OR($R73="Flying",$R73="Dragon",$R73="Grass",$R73="Ground"),0-1,IF(OR($R73="Steel",$R73="Ice",$R73="Fire",$R73="Water"),1,0)),IF(OR($S73="Flying",$S73="Dragon",$S73="Grass",$S73="Ground"),0-1,IF(OR($S73="Steel",$S73="Ice",$S73="Fire",$S73="Water"),1,0)))</f>
        <v>0</v>
      </c>
      <c r="AO73" s="507" t="n">
        <f aca="false">IF(OR($R73="Ghost",$S73="Ghost"),4,SUM(IF(OR($R73="Steel",$R73="Rock"),1,0),IF(OR($S73="Steel",$S73="Rock"),1,0)))</f>
        <v>0</v>
      </c>
      <c r="AP73" s="507" t="n">
        <f aca="false">IF(OR($R73="Steel",$S73="Steel"),4,SUM(IF(OR($R73="Fairy",$R73="Grass"),0-1,IF(OR($R73="Ghost",$R73="Rock",$R73="Ground",$R73="Poison"),1,0)),IF(OR($S73="Fairy",$S73="Grass"),0-1,IF(OR($S73="Ghost",$S73="Rock",$S73="Ground",$S73="Poison"),1,0))))</f>
        <v>0</v>
      </c>
      <c r="AQ73" s="507" t="n">
        <f aca="false">IF(OR($R73="Dark",$S73="Dark"),4,SUM(IF(OR($R73="Fighting",$R73="Poison"),0-1,IF(OR($R73="Psychic",$R73="Steel"),1,0)),IF(OR($S73="Fighting",$S73="Poison"),0-1,IF(OR($S73="Psychic",$S73="Steel"),1,0))))</f>
        <v>0</v>
      </c>
      <c r="AR73" s="507" t="n">
        <f aca="false">SUM(IF(OR($R73="Bug",$R73="Fire",$R73="Flying",$R73="Ice"),0-1,IF(OR($R73="Steel",$R73="Fighting",$R73="Ground"),1,0)),IF(OR($S73="Bug",$S73="Fire",$S73="Flying",$S73="Ice"),0-1,IF(OR($S73="Steel",$S73="Fighting",$S73="Ground"),1,0)))</f>
        <v>-2</v>
      </c>
      <c r="AS73" s="507" t="n">
        <f aca="false">SUM(IF(OR($R73="Fairy",$R73="Ice",$R73="Rock"),0-1,IF(OR($R73="Steel",$R73="Electric",$R73="Fire",$R73="Water"),1,0)),IF(OR($S73="Fairy",$S73="Ice",$S73="Rock"),0-1,IF(OR($S73="Steel",$S73="Electric",$S73="Fire",$S73="Water"),1,0)))</f>
        <v>1</v>
      </c>
      <c r="AT73" s="508" t="n">
        <f aca="false">SUM(IF(OR($R73="Fire",$R73="Ground",$R73="Rock"),0-1,IF(OR($R73="Dragon",$R73="Grass",$R73="Water"),1,0)),IF(OR($S73="Fire",$S73="Ground",$S73="Rock"),0-1,IF(OR($S73="Dragon",$S73="Grass",$S73="Water"),1,0)))</f>
        <v>-1</v>
      </c>
      <c r="AU73" s="518"/>
    </row>
    <row r="74" customFormat="false" ht="15.75" hidden="false" customHeight="false" outlineLevel="0" collapsed="false">
      <c r="A74" s="510" t="str">
        <f aca="false" t="array" ref="A74:A74">IF(ISNA(INDEX(Source!$U$7:$U$95,MATCH(B74,Source!$V$7:$V$95,0))),"FREE",INDEX(Source!$U$7:$U$95,MATCH(B74,Source!$V$7:$V$95,0)))</f>
        <v>FREE</v>
      </c>
      <c r="B74" s="511" t="s">
        <v>452</v>
      </c>
      <c r="C74" s="511"/>
      <c r="D74" s="511"/>
      <c r="E74" s="499" t="str">
        <f aca="false">IF(SUM($W74:$X74)&gt;0,SUM($W74:$X74),IF($H74&gt;0,0,IF($H74&gt;0,0,"-")))</f>
        <v>-</v>
      </c>
      <c r="F74" s="499" t="str">
        <f aca="false">IF(SUM($Y74:$Z74)&gt;0,SUM($Y74:$Z74),IF($H74&gt;0,0,"-"))</f>
        <v>-</v>
      </c>
      <c r="G74" s="499" t="str">
        <f aca="false">IF($H74&gt;0,minus(E74,F74),"-")</f>
        <v>-</v>
      </c>
      <c r="H74" s="500" t="n">
        <f aca="false">SUM(COUNTIF(MatchSource!$A:$A,$B74),COUNTIF(MatchSource!$H:$H,$B74))</f>
        <v>0</v>
      </c>
      <c r="I74" s="501" t="n">
        <f aca="false">SUM($AA74:$AB74)</f>
        <v>0</v>
      </c>
      <c r="J74" s="501" t="s">
        <v>702</v>
      </c>
      <c r="K74" s="512" t="str">
        <f aca="false" t="array" ref="K74:K74">IF(ISNA(INDEX(DraftRosters!$AA$3:$AA$199,MATCH($B74,DraftRosters!$AB$3:$AB$199,0))),"FA",IF(INDEX(DraftRosters!$AA$3:$AA$199,MATCH($B74,DraftRosters!$AB$3:$AB$199,0))="Franchise","Franch",INDEX(DraftRosters!$AA$3:$AA$199,MATCH($B74,DraftRosters!$AB$3:$AB$199,0))))</f>
        <v>FA</v>
      </c>
      <c r="L74" s="499" t="n">
        <v>76</v>
      </c>
      <c r="M74" s="499" t="n">
        <v>65</v>
      </c>
      <c r="N74" s="499" t="n">
        <v>45</v>
      </c>
      <c r="O74" s="499" t="n">
        <v>92</v>
      </c>
      <c r="P74" s="499" t="n">
        <v>42</v>
      </c>
      <c r="Q74" s="501" t="n">
        <v>91</v>
      </c>
      <c r="R74" s="499" t="s">
        <v>801</v>
      </c>
      <c r="S74" s="501" t="s">
        <v>839</v>
      </c>
      <c r="T74" s="504" t="s">
        <v>917</v>
      </c>
      <c r="U74" s="505" t="s">
        <v>918</v>
      </c>
      <c r="V74" s="506" t="s">
        <v>897</v>
      </c>
      <c r="W74" s="500" t="str">
        <f aca="false">IFERROR(__xludf.dummyfunction("if(isna(SUM(FILTER(MatchSource!$A:$D,MatchSource!$A:$A=$B74))),0,SUM(FILTER(MatchSource!$A:$D,MatchSource!$A:$A=$B74)))"),"0")</f>
        <v>0</v>
      </c>
      <c r="X74" s="499" t="str">
        <f aca="false">IFERROR(__xludf.dummyfunction("if(isna(SUM(FILTER(MatchSource!$H:$K,MatchSource!$H:$H=$B74))),0,SUM(FILTER(MatchSource!$H:$K,MatchSource!$H:$H=$B74)))"),"0")</f>
        <v>0</v>
      </c>
      <c r="Y74" s="499" t="str">
        <f aca="false">IFERROR(__xludf.dummyfunction("if(isna(ABS(MINUS(SUM(FILTER(MatchSource!$A:$E,MatchSource!$A:$A=$B74)),SUM($W74)))),0,ABS(MINUS(SUM(FILTER(MatchSource!$A:$E,MatchSource!$A:$A=$B74)),SUM($W74))))"),"0")</f>
        <v>0</v>
      </c>
      <c r="Z74" s="499" t="str">
        <f aca="false">IFERROR(__xludf.dummyfunction("if(isna(ABS(MINUS(SUM(FILTER(MatchSource!$H:$L,MatchSource!$H:$H=$B74)),SUM($X74)))),0,ABS(MINUS(SUM(FILTER(MatchSource!$H:$L,MatchSource!$H:$H=$B74)),SUM($X74))))"),"0")</f>
        <v>0</v>
      </c>
      <c r="AA74" s="499" t="str">
        <f aca="false">IFERROR(__xludf.dummyfunction("if(isna(ABS(MINUS(SUM(FILTER(MatchSource!$A:$F,MatchSource!$A:$A=$B74)),SUM($W74,$Y74)))),0,ABS(MINUS(SUM(FILTER(MatchSource!$A:$F,MatchSource!$A:$A=$B74)),SUM($W74, $Y74,))))"),"0")</f>
        <v>0</v>
      </c>
      <c r="AB74" s="501" t="str">
        <f aca="false">IFERROR(__xludf.dummyfunction("if(isna(ABS(MINUS(SUM(FILTER(MatchSource!$H:$M,MatchSource!$H:$H=$B74)),SUM($X74,$Z74)))),0,ABS(MINUS(SUM(FILTER(MatchSource!$H:$M,MatchSource!$H:$H=$B74)),SUM($X74,$Z74))))"),"0")</f>
        <v>0</v>
      </c>
      <c r="AC74" s="507" t="n">
        <f aca="false">SUM(IF(OR($R74="Grass",$R74="Psychic",$R74="Dark"),0-1,IF(OR($R74="Fighting",$R74="Flying",$R74="Fire",$R74="Ghost",$R74="Poison",$R74="Steel",$R74="Fairy"),1,0)),IF(OR($S74="Grass",$S74="Psychic",$S74="Dark"),0-1,IF(OR($S74="Fighting",$S74="Flying",$S74="Fire",$S74="Ghost",$S74="Poison",$S74="Steel",$S74="Fairy"),1,0)))</f>
        <v>1</v>
      </c>
      <c r="AD74" s="507" t="n">
        <f aca="false">SUM(IF(OR($R74="Ghost",$R74="Psychic"),0-1,IF(OR($R74="Fighting",$R74="Dark",$R74="Fairy"),1,0)),IF(OR($S74="Ghost",$S74="Psychic"),0-1,IF(OR($S74="Fighting",$S74="Dark",$S74="Fairy"),1,0)))</f>
        <v>0</v>
      </c>
      <c r="AE74" s="507" t="n">
        <f aca="false">IF(OR($R74="Fairy",$S74="Fairy"),4,SUM(IF($R74="Dragon",0-1,IF($R74="Steel",1,0)),IF($S74="Dragon",0-1,IF($S74="Steel",1,0))))</f>
        <v>0</v>
      </c>
      <c r="AF74" s="507" t="n">
        <f aca="false">IF(OR($R74="Ground",$S74="Ground"),4,SUM(IF(OR($R74="Flying",$R74="Water"),0-1,IF(OR($R74="Dragon",$R74="Electric",$R74="Grass"),1,0)),IF(OR($S74="Flying",$S74="Water"),0-1,IF(OR($S74="Dragon",$S74="Electric",$S74="Grass"),1,0))))</f>
        <v>-1</v>
      </c>
      <c r="AG74" s="507" t="n">
        <f aca="false">SUM(IF(OR($R74="Dark",$R74="Dragon",$R74="Fighting"),0-1,IF(OR($R74="Steel",$R74="Poison",$R74="Fire"),1,0)),IF(OR($S74="Dark",$S74="Dragon",$S74="Fighting"),0-1,IF(OR($S74="Steel",$S74="Poison",$S74="Fire"),1,0)))</f>
        <v>0</v>
      </c>
      <c r="AH74" s="507" t="n">
        <f aca="false">IF(OR($R74="Ghost",$S74="Ghost"),4,SUM(IF(OR($R74="Dark",$R74="Ice",$R74="Normal",$R74="Rock",$R74="Steel"),0-1,IF(OR($R74="Bug",$R74="Fairy",$R74="Flying",$R74="Poison",$R74="Psychic"),1,0)),IF(OR($S74="Dark",$S74="Ice",$S74="Normal",$S74="Rock",$S74="Steel"),0-1,IF(OR($S74="Bug",$S74="Fairy",$S74="Flying",$S74="Poison",$S74="Psychic"),1,0))))</f>
        <v>0</v>
      </c>
      <c r="AI74" s="507" t="n">
        <f aca="false">SUM(IF(OR($R74="Bug",$R74="Grass",$R74="Ice",$R74="Steel"),0-1,IF(OR($R74="Dragon",$R74="Fire",$R74="Rock",$R74="Water"),1,0)),IF(OR($S74="Bug",$S74="Grass",$S74="Ice",$S74="Steel"),0-1,IF(OR($S74="Dragon",$S74="Fire",$S74="Rock",$S74="Water"),1,0)))</f>
        <v>0</v>
      </c>
      <c r="AJ74" s="507" t="n">
        <f aca="false">SUM(IF(OR($R74="Bug",$R74="Grass",$R74="Fighting"),0-1,IF(OR($R74="Electric",$R74="Rock",$R74="Steel"),1,0)),IF(OR($S74="Bug",$S74="Grass",$S74="Fighting"),0-1,IF(OR($S74="Electric",$S74="Rock",$S74="Steel"),1,0)))</f>
        <v>0</v>
      </c>
      <c r="AK74" s="507" t="n">
        <f aca="false">IF(OR($R74="Normal",$S74="Normal"),4,SUM(IF(OR($R74="Ghost",$R74="Psychic"),0-1,IF($R74="Dark",1,0)),IF(OR($S74="Ghost",$S74="Psychic"),0-1,IF($S74="Dark",1,0))))</f>
        <v>4</v>
      </c>
      <c r="AL74" s="507" t="n">
        <f aca="false">SUM(IF(OR($R74="Ground",$R74="Rock",$R74="Water"),0-1,IF(OR($R74="Bug",$R74="Flying",$R74="Fire",$R74="Dragon",$R74="Poison",$R74="Steel",$R74="Grass"),1,0)),IF(OR($S74="Ground",$S74="Rock",$S74="Water"),0-1,IF(OR($S74="Bug",$S74="Flying",$S74="Fire",$S74="Dragon",$S74="Poison",$S74="Steel",$S74="Grass"),1,0)))</f>
        <v>1</v>
      </c>
      <c r="AM74" s="507" t="n">
        <f aca="false">IF(OR($R74="Flying",$S74="Flying"),4,SUM(IF(OR($R74="Electric",$R74="Fire",$R74="Rock",$R74="Steel",$R74="Poison"),0-1,IF(OR($R74="Bug",$R74="Grass"),1,0)),IF(OR($S74="Electric",$S74="Fire",$S74="Rock",$S74="Steel",$S74="Poison"),0-1,IF(OR($S74="Bug",$S74="Grass"),1,0))))</f>
        <v>4</v>
      </c>
      <c r="AN74" s="507" t="n">
        <f aca="false">SUM(IF(OR($R74="Flying",$R74="Dragon",$R74="Grass",$R74="Ground"),0-1,IF(OR($R74="Steel",$R74="Ice",$R74="Fire",$R74="Water"),1,0)),IF(OR($S74="Flying",$S74="Dragon",$S74="Grass",$S74="Ground"),0-1,IF(OR($S74="Steel",$S74="Ice",$S74="Fire",$S74="Water"),1,0)))</f>
        <v>-1</v>
      </c>
      <c r="AO74" s="507" t="n">
        <f aca="false">IF(OR($R74="Ghost",$S74="Ghost"),4,SUM(IF(OR($R74="Steel",$R74="Rock"),1,0),IF(OR($S74="Steel",$S74="Rock"),1,0)))</f>
        <v>0</v>
      </c>
      <c r="AP74" s="507" t="n">
        <f aca="false">IF(OR($R74="Steel",$S74="Steel"),4,SUM(IF(OR($R74="Fairy",$R74="Grass"),0-1,IF(OR($R74="Ghost",$R74="Rock",$R74="Ground",$R74="Poison"),1,0)),IF(OR($S74="Fairy",$S74="Grass"),0-1,IF(OR($S74="Ghost",$S74="Rock",$S74="Ground",$S74="Poison"),1,0))))</f>
        <v>0</v>
      </c>
      <c r="AQ74" s="507" t="n">
        <f aca="false">IF(OR($R74="Dark",$S74="Dark"),4,SUM(IF(OR($R74="Fighting",$R74="Poison"),0-1,IF(OR($R74="Psychic",$R74="Steel"),1,0)),IF(OR($S74="Fighting",$S74="Poison"),0-1,IF(OR($S74="Psychic",$S74="Steel"),1,0))))</f>
        <v>0</v>
      </c>
      <c r="AR74" s="507" t="n">
        <f aca="false">SUM(IF(OR($R74="Bug",$R74="Fire",$R74="Flying",$R74="Ice"),0-1,IF(OR($R74="Steel",$R74="Fighting",$R74="Ground"),1,0)),IF(OR($S74="Bug",$S74="Fire",$S74="Flying",$S74="Ice"),0-1,IF(OR($S74="Steel",$S74="Fighting",$S74="Ground"),1,0)))</f>
        <v>-1</v>
      </c>
      <c r="AS74" s="507" t="n">
        <f aca="false">SUM(IF(OR($R74="Fairy",$R74="Ice",$R74="Rock"),0-1,IF(OR($R74="Steel",$R74="Electric",$R74="Fire",$R74="Water"),1,0)),IF(OR($S74="Fairy",$S74="Ice",$S74="Rock"),0-1,IF(OR($S74="Steel",$S74="Electric",$S74="Fire",$S74="Water"),1,0)))</f>
        <v>0</v>
      </c>
      <c r="AT74" s="508" t="n">
        <f aca="false">SUM(IF(OR($R74="Fire",$R74="Ground",$R74="Rock"),0-1,IF(OR($R74="Dragon",$R74="Grass",$R74="Water"),1,0)),IF(OR($S74="Fire",$S74="Ground",$S74="Rock"),0-1,IF(OR($S74="Dragon",$S74="Grass",$S74="Water"),1,0)))</f>
        <v>0</v>
      </c>
      <c r="AU74" s="518"/>
    </row>
    <row r="75" customFormat="false" ht="15.75" hidden="false" customHeight="false" outlineLevel="0" collapsed="false">
      <c r="A75" s="510" t="str">
        <f aca="false" t="array" ref="A75:A75">IF(ISNA(INDEX(Source!$U$7:$U$95,MATCH(B75,Source!$V$7:$V$95,0))),"FREE",INDEX(Source!$U$7:$U$95,MATCH(B75,Source!$V$7:$V$95,0)))</f>
        <v>FREE</v>
      </c>
      <c r="B75" s="511" t="s">
        <v>457</v>
      </c>
      <c r="C75" s="511"/>
      <c r="D75" s="511"/>
      <c r="E75" s="499" t="str">
        <f aca="false">IF(SUM($W75:$X75)&gt;0,SUM($W75:$X75),IF($H75&gt;0,0,IF($H75&gt;0,0,"-")))</f>
        <v>-</v>
      </c>
      <c r="F75" s="499" t="str">
        <f aca="false">IF(SUM($Y75:$Z75)&gt;0,SUM($Y75:$Z75),IF($H75&gt;0,0,"-"))</f>
        <v>-</v>
      </c>
      <c r="G75" s="499" t="str">
        <f aca="false">IF($H75&gt;0,minus(E75,F75),"-")</f>
        <v>-</v>
      </c>
      <c r="H75" s="500" t="n">
        <f aca="false">SUM(COUNTIF(MatchSource!$A:$A,$B75),COUNTIF(MatchSource!$H:$H,$B75))</f>
        <v>0</v>
      </c>
      <c r="I75" s="501" t="n">
        <f aca="false">SUM($AA75:$AB75)</f>
        <v>0</v>
      </c>
      <c r="J75" s="501" t="s">
        <v>702</v>
      </c>
      <c r="K75" s="512" t="str">
        <f aca="false" t="array" ref="K75:K75">IF(ISNA(INDEX(DraftRosters!$AA$3:$AA$199,MATCH($B75,DraftRosters!$AB$3:$AB$199,0))),"FA",IF(INDEX(DraftRosters!$AA$3:$AA$199,MATCH($B75,DraftRosters!$AB$3:$AB$199,0))="Franchise","Franch",INDEX(DraftRosters!$AA$3:$AA$199,MATCH($B75,DraftRosters!$AB$3:$AB$199,0))))</f>
        <v>FA</v>
      </c>
      <c r="L75" s="499" t="n">
        <v>70</v>
      </c>
      <c r="M75" s="499" t="n">
        <v>60</v>
      </c>
      <c r="N75" s="499" t="n">
        <v>70</v>
      </c>
      <c r="O75" s="499" t="n">
        <v>87</v>
      </c>
      <c r="P75" s="499" t="n">
        <v>78</v>
      </c>
      <c r="Q75" s="501" t="n">
        <v>85</v>
      </c>
      <c r="R75" s="499" t="s">
        <v>803</v>
      </c>
      <c r="S75" s="501"/>
      <c r="T75" s="504" t="s">
        <v>919</v>
      </c>
      <c r="U75" s="505"/>
      <c r="V75" s="506"/>
      <c r="W75" s="500" t="str">
        <f aca="false">IFERROR(__xludf.dummyfunction("if(isna(SUM(FILTER(MatchSource!$A:$D,MatchSource!$A:$A=$B75))),0,SUM(FILTER(MatchSource!$A:$D,MatchSource!$A:$A=$B75)))"),"0")</f>
        <v>0</v>
      </c>
      <c r="X75" s="499" t="str">
        <f aca="false">IFERROR(__xludf.dummyfunction("if(isna(SUM(FILTER(MatchSource!$H:$K,MatchSource!$H:$H=$B75))),0,SUM(FILTER(MatchSource!$H:$K,MatchSource!$H:$H=$B75)))"),"0")</f>
        <v>0</v>
      </c>
      <c r="Y75" s="499" t="str">
        <f aca="false">IFERROR(__xludf.dummyfunction("if(isna(ABS(MINUS(SUM(FILTER(MatchSource!$A:$E,MatchSource!$A:$A=$B75)),SUM($W75)))),0,ABS(MINUS(SUM(FILTER(MatchSource!$A:$E,MatchSource!$A:$A=$B75)),SUM($W75))))"),"0")</f>
        <v>0</v>
      </c>
      <c r="Z75" s="499" t="str">
        <f aca="false">IFERROR(__xludf.dummyfunction("if(isna(ABS(MINUS(SUM(FILTER(MatchSource!$H:$L,MatchSource!$H:$H=$B75)),SUM($X75)))),0,ABS(MINUS(SUM(FILTER(MatchSource!$H:$L,MatchSource!$H:$H=$B75)),SUM($X75))))"),"0")</f>
        <v>0</v>
      </c>
      <c r="AA75" s="499" t="str">
        <f aca="false">IFERROR(__xludf.dummyfunction("if(isna(ABS(MINUS(SUM(FILTER(MatchSource!$A:$F,MatchSource!$A:$A=$B75)),SUM($W75,$Y75)))),0,ABS(MINUS(SUM(FILTER(MatchSource!$A:$F,MatchSource!$A:$A=$B75)),SUM($W75, $Y75,))))"),"0")</f>
        <v>0</v>
      </c>
      <c r="AB75" s="501" t="str">
        <f aca="false">IFERROR(__xludf.dummyfunction("if(isna(ABS(MINUS(SUM(FILTER(MatchSource!$H:$M,MatchSource!$H:$H=$B75)),SUM($X75,$Z75)))),0,ABS(MINUS(SUM(FILTER(MatchSource!$H:$M,MatchSource!$H:$H=$B75)),SUM($X75,$Z75))))"),"0")</f>
        <v>0</v>
      </c>
      <c r="AC75" s="507" t="n">
        <f aca="false">SUM(IF(OR($R75="Grass",$R75="Psychic",$R75="Dark"),0-1,IF(OR($R75="Fighting",$R75="Flying",$R75="Fire",$R75="Ghost",$R75="Poison",$R75="Steel",$R75="Fairy"),1,0)),IF(OR($S75="Grass",$S75="Psychic",$S75="Dark"),0-1,IF(OR($S75="Fighting",$S75="Flying",$S75="Fire",$S75="Ghost",$S75="Poison",$S75="Steel",$S75="Fairy"),1,0)))</f>
        <v>-1</v>
      </c>
      <c r="AD75" s="507" t="n">
        <f aca="false">SUM(IF(OR($R75="Ghost",$R75="Psychic"),0-1,IF(OR($R75="Fighting",$R75="Dark",$R75="Fairy"),1,0)),IF(OR($S75="Ghost",$S75="Psychic"),0-1,IF(OR($S75="Fighting",$S75="Dark",$S75="Fairy"),1,0)))</f>
        <v>0</v>
      </c>
      <c r="AE75" s="507" t="n">
        <f aca="false">IF(OR($R75="Fairy",$S75="Fairy"),4,SUM(IF($R75="Dragon",0-1,IF($R75="Steel",1,0)),IF($S75="Dragon",0-1,IF($S75="Steel",1,0))))</f>
        <v>0</v>
      </c>
      <c r="AF75" s="507" t="n">
        <f aca="false">IF(OR($R75="Ground",$S75="Ground"),4,SUM(IF(OR($R75="Flying",$R75="Water"),0-1,IF(OR($R75="Dragon",$R75="Electric",$R75="Grass"),1,0)),IF(OR($S75="Flying",$S75="Water"),0-1,IF(OR($S75="Dragon",$S75="Electric",$S75="Grass"),1,0))))</f>
        <v>1</v>
      </c>
      <c r="AG75" s="507" t="n">
        <f aca="false">SUM(IF(OR($R75="Dark",$R75="Dragon",$R75="Fighting"),0-1,IF(OR($R75="Steel",$R75="Poison",$R75="Fire"),1,0)),IF(OR($S75="Dark",$S75="Dragon",$S75="Fighting"),0-1,IF(OR($S75="Steel",$S75="Poison",$S75="Fire"),1,0)))</f>
        <v>0</v>
      </c>
      <c r="AH75" s="507" t="n">
        <f aca="false">IF(OR($R75="Ghost",$S75="Ghost"),4,SUM(IF(OR($R75="Dark",$R75="Ice",$R75="Normal",$R75="Rock",$R75="Steel"),0-1,IF(OR($R75="Bug",$R75="Fairy",$R75="Flying",$R75="Poison",$R75="Psychic"),1,0)),IF(OR($S75="Dark",$S75="Ice",$S75="Normal",$S75="Rock",$S75="Steel"),0-1,IF(OR($S75="Bug",$S75="Fairy",$S75="Flying",$S75="Poison",$S75="Psychic"),1,0))))</f>
        <v>0</v>
      </c>
      <c r="AI75" s="507" t="n">
        <f aca="false">SUM(IF(OR($R75="Bug",$R75="Grass",$R75="Ice",$R75="Steel"),0-1,IF(OR($R75="Dragon",$R75="Fire",$R75="Rock",$R75="Water"),1,0)),IF(OR($S75="Bug",$S75="Grass",$S75="Ice",$S75="Steel"),0-1,IF(OR($S75="Dragon",$S75="Fire",$S75="Rock",$S75="Water"),1,0)))</f>
        <v>-1</v>
      </c>
      <c r="AJ75" s="507" t="n">
        <f aca="false">SUM(IF(OR($R75="Bug",$R75="Grass",$R75="Fighting"),0-1,IF(OR($R75="Electric",$R75="Rock",$R75="Steel"),1,0)),IF(OR($S75="Bug",$S75="Grass",$S75="Fighting"),0-1,IF(OR($S75="Electric",$S75="Rock",$S75="Steel"),1,0)))</f>
        <v>-1</v>
      </c>
      <c r="AK75" s="507" t="n">
        <f aca="false">IF(OR($R75="Normal",$S75="Normal"),4,SUM(IF(OR($R75="Ghost",$R75="Psychic"),0-1,IF($R75="Dark",1,0)),IF(OR($S75="Ghost",$S75="Psychic"),0-1,IF($S75="Dark",1,0))))</f>
        <v>0</v>
      </c>
      <c r="AL75" s="507" t="n">
        <f aca="false">SUM(IF(OR($R75="Ground",$R75="Rock",$R75="Water"),0-1,IF(OR($R75="Bug",$R75="Flying",$R75="Fire",$R75="Dragon",$R75="Poison",$R75="Steel",$R75="Grass"),1,0)),IF(OR($S75="Ground",$S75="Rock",$S75="Water"),0-1,IF(OR($S75="Bug",$S75="Flying",$S75="Fire",$S75="Dragon",$S75="Poison",$S75="Steel",$S75="Grass"),1,0)))</f>
        <v>1</v>
      </c>
      <c r="AM75" s="507" t="n">
        <f aca="false">IF(OR($R75="Flying",$S75="Flying"),4,SUM(IF(OR($R75="Electric",$R75="Fire",$R75="Rock",$R75="Steel",$R75="Poison"),0-1,IF(OR($R75="Bug",$R75="Grass"),1,0)),IF(OR($S75="Electric",$S75="Fire",$S75="Rock",$S75="Steel",$S75="Poison"),0-1,IF(OR($S75="Bug",$S75="Grass"),1,0))))</f>
        <v>1</v>
      </c>
      <c r="AN75" s="507" t="n">
        <f aca="false">SUM(IF(OR($R75="Flying",$R75="Dragon",$R75="Grass",$R75="Ground"),0-1,IF(OR($R75="Steel",$R75="Ice",$R75="Fire",$R75="Water"),1,0)),IF(OR($S75="Flying",$S75="Dragon",$S75="Grass",$S75="Ground"),0-1,IF(OR($S75="Steel",$S75="Ice",$S75="Fire",$S75="Water"),1,0)))</f>
        <v>-1</v>
      </c>
      <c r="AO75" s="507" t="n">
        <f aca="false">IF(OR($R75="Ghost",$S75="Ghost"),4,SUM(IF(OR($R75="Steel",$R75="Rock"),1,0),IF(OR($S75="Steel",$S75="Rock"),1,0)))</f>
        <v>0</v>
      </c>
      <c r="AP75" s="507" t="n">
        <f aca="false">IF(OR($R75="Steel",$S75="Steel"),4,SUM(IF(OR($R75="Fairy",$R75="Grass"),0-1,IF(OR($R75="Ghost",$R75="Rock",$R75="Ground",$R75="Poison"),1,0)),IF(OR($S75="Fairy",$S75="Grass"),0-1,IF(OR($S75="Ghost",$S75="Rock",$S75="Ground",$S75="Poison"),1,0))))</f>
        <v>-1</v>
      </c>
      <c r="AQ75" s="507" t="n">
        <f aca="false">IF(OR($R75="Dark",$S75="Dark"),4,SUM(IF(OR($R75="Fighting",$R75="Poison"),0-1,IF(OR($R75="Psychic",$R75="Steel"),1,0)),IF(OR($S75="Fighting",$S75="Poison"),0-1,IF(OR($S75="Psychic",$S75="Steel"),1,0))))</f>
        <v>0</v>
      </c>
      <c r="AR75" s="507" t="n">
        <f aca="false">SUM(IF(OR($R75="Bug",$R75="Fire",$R75="Flying",$R75="Ice"),0-1,IF(OR($R75="Steel",$R75="Fighting",$R75="Ground"),1,0)),IF(OR($S75="Bug",$S75="Fire",$S75="Flying",$S75="Ice"),0-1,IF(OR($S75="Steel",$S75="Fighting",$S75="Ground"),1,0)))</f>
        <v>0</v>
      </c>
      <c r="AS75" s="507" t="n">
        <f aca="false">SUM(IF(OR($R75="Fairy",$R75="Ice",$R75="Rock"),0-1,IF(OR($R75="Steel",$R75="Electric",$R75="Fire",$R75="Water"),1,0)),IF(OR($S75="Fairy",$S75="Ice",$S75="Rock"),0-1,IF(OR($S75="Steel",$S75="Electric",$S75="Fire",$S75="Water"),1,0)))</f>
        <v>0</v>
      </c>
      <c r="AT75" s="508" t="n">
        <f aca="false">SUM(IF(OR($R75="Fire",$R75="Ground",$R75="Rock"),0-1,IF(OR($R75="Dragon",$R75="Grass",$R75="Water"),1,0)),IF(OR($S75="Fire",$S75="Ground",$S75="Rock"),0-1,IF(OR($S75="Dragon",$S75="Grass",$S75="Water"),1,0)))</f>
        <v>1</v>
      </c>
      <c r="AU75" s="518"/>
    </row>
    <row r="76" customFormat="false" ht="15.75" hidden="false" customHeight="false" outlineLevel="0" collapsed="false">
      <c r="A76" s="510" t="str">
        <f aca="false" t="array" ref="A76:A76">IF(ISNA(INDEX(Source!$U$7:$U$95,MATCH(B76,Source!$V$7:$V$95,0))),"FREE",INDEX(Source!$U$7:$U$95,MATCH(B76,Source!$V$7:$V$95,0)))</f>
        <v>FREE</v>
      </c>
      <c r="B76" s="511" t="s">
        <v>335</v>
      </c>
      <c r="C76" s="511"/>
      <c r="D76" s="511"/>
      <c r="E76" s="499" t="str">
        <f aca="false">IF(SUM($W76:$X76)&gt;0,SUM($W76:$X76),IF($H76&gt;0,0,IF($H76&gt;0,0,"-")))</f>
        <v>-</v>
      </c>
      <c r="F76" s="499" t="str">
        <f aca="false">IF(SUM($Y76:$Z76)&gt;0,SUM($Y76:$Z76),IF($H76&gt;0,0,"-"))</f>
        <v>-</v>
      </c>
      <c r="G76" s="499" t="str">
        <f aca="false">IF($H76&gt;0,minus(E76,F76),"-")</f>
        <v>-</v>
      </c>
      <c r="H76" s="500" t="n">
        <f aca="false">SUM(COUNTIF(MatchSource!$A:$A,$B76),COUNTIF(MatchSource!$H:$H,$B76))</f>
        <v>0</v>
      </c>
      <c r="I76" s="501" t="n">
        <f aca="false">SUM($AA76:$AB76)</f>
        <v>0</v>
      </c>
      <c r="J76" s="501" t="s">
        <v>700</v>
      </c>
      <c r="K76" s="512" t="str">
        <f aca="false" t="array" ref="K76:K76">IF(ISNA(INDEX(DraftRosters!$AA$3:$AA$199,MATCH($B76,DraftRosters!$AB$3:$AB$199,0))),"FA",IF(INDEX(DraftRosters!$AA$3:$AA$199,MATCH($B76,DraftRosters!$AB$3:$AB$199,0))="Franchise","Franch",INDEX(DraftRosters!$AA$3:$AA$199,MATCH($B76,DraftRosters!$AB$3:$AB$199,0))))</f>
        <v>FA</v>
      </c>
      <c r="L76" s="499" t="n">
        <v>88</v>
      </c>
      <c r="M76" s="499" t="n">
        <v>107</v>
      </c>
      <c r="N76" s="499" t="n">
        <v>122</v>
      </c>
      <c r="O76" s="499" t="n">
        <v>74</v>
      </c>
      <c r="P76" s="499" t="n">
        <v>75</v>
      </c>
      <c r="Q76" s="501" t="n">
        <v>64</v>
      </c>
      <c r="R76" s="499" t="s">
        <v>881</v>
      </c>
      <c r="S76" s="501" t="s">
        <v>803</v>
      </c>
      <c r="T76" s="504" t="s">
        <v>920</v>
      </c>
      <c r="U76" s="505" t="s">
        <v>921</v>
      </c>
      <c r="V76" s="506"/>
      <c r="W76" s="500" t="str">
        <f aca="false">IFERROR(__xludf.dummyfunction("if(isna(SUM(FILTER(MatchSource!$A:$D,MatchSource!$A:$A=$B76))),0,SUM(FILTER(MatchSource!$A:$D,MatchSource!$A:$A=$B76)))"),"0")</f>
        <v>0</v>
      </c>
      <c r="X76" s="499" t="str">
        <f aca="false">IFERROR(__xludf.dummyfunction("if(isna(SUM(FILTER(MatchSource!$H:$K,MatchSource!$H:$H=$B76))),0,SUM(FILTER(MatchSource!$H:$K,MatchSource!$H:$H=$B76)))"),"0")</f>
        <v>0</v>
      </c>
      <c r="Y76" s="499" t="str">
        <f aca="false">IFERROR(__xludf.dummyfunction("if(isna(ABS(MINUS(SUM(FILTER(MatchSource!$A:$E,MatchSource!$A:$A=$B76)),SUM($W76)))),0,ABS(MINUS(SUM(FILTER(MatchSource!$A:$E,MatchSource!$A:$A=$B76)),SUM($W76))))"),"0")</f>
        <v>0</v>
      </c>
      <c r="Z76" s="499" t="str">
        <f aca="false">IFERROR(__xludf.dummyfunction("if(isna(ABS(MINUS(SUM(FILTER(MatchSource!$H:$L,MatchSource!$H:$H=$B76)),SUM($X76)))),0,ABS(MINUS(SUM(FILTER(MatchSource!$H:$L,MatchSource!$H:$H=$B76)),SUM($X76))))"),"0")</f>
        <v>0</v>
      </c>
      <c r="AA76" s="499" t="str">
        <f aca="false">IFERROR(__xludf.dummyfunction("if(isna(ABS(MINUS(SUM(FILTER(MatchSource!$A:$F,MatchSource!$A:$A=$B76)),SUM($W76,$Y76)))),0,ABS(MINUS(SUM(FILTER(MatchSource!$A:$F,MatchSource!$A:$A=$B76)),SUM($W76, $Y76,))))"),"0")</f>
        <v>0</v>
      </c>
      <c r="AB76" s="501" t="str">
        <f aca="false">IFERROR(__xludf.dummyfunction("if(isna(ABS(MINUS(SUM(FILTER(MatchSource!$H:$M,MatchSource!$H:$H=$B76)),SUM($X76,$Z76)))),0,ABS(MINUS(SUM(FILTER(MatchSource!$H:$M,MatchSource!$H:$H=$B76)),SUM($X76,$Z76))))"),"0")</f>
        <v>0</v>
      </c>
      <c r="AC76" s="507" t="n">
        <f aca="false">SUM(IF(OR($R76="Grass",$R76="Psychic",$R76="Dark"),0-1,IF(OR($R76="Fighting",$R76="Flying",$R76="Fire",$R76="Ghost",$R76="Poison",$R76="Steel",$R76="Fairy"),1,0)),IF(OR($S76="Grass",$S76="Psychic",$S76="Dark"),0-1,IF(OR($S76="Fighting",$S76="Flying",$S76="Fire",$S76="Ghost",$S76="Poison",$S76="Steel",$S76="Fairy"),1,0)))</f>
        <v>0</v>
      </c>
      <c r="AD76" s="507" t="n">
        <f aca="false">SUM(IF(OR($R76="Ghost",$R76="Psychic"),0-1,IF(OR($R76="Fighting",$R76="Dark",$R76="Fairy"),1,0)),IF(OR($S76="Ghost",$S76="Psychic"),0-1,IF(OR($S76="Fighting",$S76="Dark",$S76="Fairy"),1,0)))</f>
        <v>1</v>
      </c>
      <c r="AE76" s="507" t="n">
        <f aca="false">IF(OR($R76="Fairy",$S76="Fairy"),4,SUM(IF($R76="Dragon",0-1,IF($R76="Steel",1,0)),IF($S76="Dragon",0-1,IF($S76="Steel",1,0))))</f>
        <v>0</v>
      </c>
      <c r="AF76" s="507" t="n">
        <f aca="false">IF(OR($R76="Ground",$S76="Ground"),4,SUM(IF(OR($R76="Flying",$R76="Water"),0-1,IF(OR($R76="Dragon",$R76="Electric",$R76="Grass"),1,0)),IF(OR($S76="Flying",$S76="Water"),0-1,IF(OR($S76="Dragon",$S76="Electric",$S76="Grass"),1,0))))</f>
        <v>1</v>
      </c>
      <c r="AG76" s="507" t="n">
        <f aca="false">SUM(IF(OR($R76="Dark",$R76="Dragon",$R76="Fighting"),0-1,IF(OR($R76="Steel",$R76="Poison",$R76="Fire"),1,0)),IF(OR($S76="Dark",$S76="Dragon",$S76="Fighting"),0-1,IF(OR($S76="Steel",$S76="Poison",$S76="Fire"),1,0)))</f>
        <v>-1</v>
      </c>
      <c r="AH76" s="507" t="n">
        <f aca="false">IF(OR($R76="Ghost",$S76="Ghost"),4,SUM(IF(OR($R76="Dark",$R76="Ice",$R76="Normal",$R76="Rock",$R76="Steel"),0-1,IF(OR($R76="Bug",$R76="Fairy",$R76="Flying",$R76="Poison",$R76="Psychic"),1,0)),IF(OR($S76="Dark",$S76="Ice",$S76="Normal",$S76="Rock",$S76="Steel"),0-1,IF(OR($S76="Bug",$S76="Fairy",$S76="Flying",$S76="Poison",$S76="Psychic"),1,0))))</f>
        <v>0</v>
      </c>
      <c r="AI76" s="507" t="n">
        <f aca="false">SUM(IF(OR($R76="Bug",$R76="Grass",$R76="Ice",$R76="Steel"),0-1,IF(OR($R76="Dragon",$R76="Fire",$R76="Rock",$R76="Water"),1,0)),IF(OR($S76="Bug",$S76="Grass",$S76="Ice",$S76="Steel"),0-1,IF(OR($S76="Dragon",$S76="Fire",$S76="Rock",$S76="Water"),1,0)))</f>
        <v>-1</v>
      </c>
      <c r="AJ76" s="507" t="n">
        <f aca="false">SUM(IF(OR($R76="Bug",$R76="Grass",$R76="Fighting"),0-1,IF(OR($R76="Electric",$R76="Rock",$R76="Steel"),1,0)),IF(OR($S76="Bug",$S76="Grass",$S76="Fighting"),0-1,IF(OR($S76="Electric",$S76="Rock",$S76="Steel"),1,0)))</f>
        <v>-2</v>
      </c>
      <c r="AK76" s="507" t="n">
        <f aca="false">IF(OR($R76="Normal",$S76="Normal"),4,SUM(IF(OR($R76="Ghost",$R76="Psychic"),0-1,IF($R76="Dark",1,0)),IF(OR($S76="Ghost",$S76="Psychic"),0-1,IF($S76="Dark",1,0))))</f>
        <v>0</v>
      </c>
      <c r="AL76" s="507" t="n">
        <f aca="false">SUM(IF(OR($R76="Ground",$R76="Rock",$R76="Water"),0-1,IF(OR($R76="Bug",$R76="Flying",$R76="Fire",$R76="Dragon",$R76="Poison",$R76="Steel",$R76="Grass"),1,0)),IF(OR($S76="Ground",$S76="Rock",$S76="Water"),0-1,IF(OR($S76="Bug",$S76="Flying",$S76="Fire",$S76="Dragon",$S76="Poison",$S76="Steel",$S76="Grass"),1,0)))</f>
        <v>1</v>
      </c>
      <c r="AM76" s="507" t="n">
        <f aca="false">IF(OR($R76="Flying",$S76="Flying"),4,SUM(IF(OR($R76="Electric",$R76="Fire",$R76="Rock",$R76="Steel",$R76="Poison"),0-1,IF(OR($R76="Bug",$R76="Grass"),1,0)),IF(OR($S76="Electric",$S76="Fire",$S76="Rock",$S76="Steel",$S76="Poison"),0-1,IF(OR($S76="Bug",$S76="Grass"),1,0))))</f>
        <v>1</v>
      </c>
      <c r="AN76" s="507" t="n">
        <f aca="false">SUM(IF(OR($R76="Flying",$R76="Dragon",$R76="Grass",$R76="Ground"),0-1,IF(OR($R76="Steel",$R76="Ice",$R76="Fire",$R76="Water"),1,0)),IF(OR($S76="Flying",$S76="Dragon",$S76="Grass",$S76="Ground"),0-1,IF(OR($S76="Steel",$S76="Ice",$S76="Fire",$S76="Water"),1,0)))</f>
        <v>-1</v>
      </c>
      <c r="AO76" s="507" t="n">
        <f aca="false">IF(OR($R76="Ghost",$S76="Ghost"),4,SUM(IF(OR($R76="Steel",$R76="Rock"),1,0),IF(OR($S76="Steel",$S76="Rock"),1,0)))</f>
        <v>0</v>
      </c>
      <c r="AP76" s="507" t="n">
        <f aca="false">IF(OR($R76="Steel",$S76="Steel"),4,SUM(IF(OR($R76="Fairy",$R76="Grass"),0-1,IF(OR($R76="Ghost",$R76="Rock",$R76="Ground",$R76="Poison"),1,0)),IF(OR($S76="Fairy",$S76="Grass"),0-1,IF(OR($S76="Ghost",$S76="Rock",$S76="Ground",$S76="Poison"),1,0))))</f>
        <v>-1</v>
      </c>
      <c r="AQ76" s="507" t="n">
        <f aca="false">IF(OR($R76="Dark",$S76="Dark"),4,SUM(IF(OR($R76="Fighting",$R76="Poison"),0-1,IF(OR($R76="Psychic",$R76="Steel"),1,0)),IF(OR($S76="Fighting",$S76="Poison"),0-1,IF(OR($S76="Psychic",$S76="Steel"),1,0))))</f>
        <v>-1</v>
      </c>
      <c r="AR76" s="507" t="n">
        <f aca="false">SUM(IF(OR($R76="Bug",$R76="Fire",$R76="Flying",$R76="Ice"),0-1,IF(OR($R76="Steel",$R76="Fighting",$R76="Ground"),1,0)),IF(OR($S76="Bug",$S76="Fire",$S76="Flying",$S76="Ice"),0-1,IF(OR($S76="Steel",$S76="Fighting",$S76="Ground"),1,0)))</f>
        <v>1</v>
      </c>
      <c r="AS76" s="507" t="n">
        <f aca="false">SUM(IF(OR($R76="Fairy",$R76="Ice",$R76="Rock"),0-1,IF(OR($R76="Steel",$R76="Electric",$R76="Fire",$R76="Water"),1,0)),IF(OR($S76="Fairy",$S76="Ice",$S76="Rock"),0-1,IF(OR($S76="Steel",$S76="Electric",$S76="Fire",$S76="Water"),1,0)))</f>
        <v>0</v>
      </c>
      <c r="AT76" s="508" t="n">
        <f aca="false">SUM(IF(OR($R76="Fire",$R76="Ground",$R76="Rock"),0-1,IF(OR($R76="Dragon",$R76="Grass",$R76="Water"),1,0)),IF(OR($S76="Fire",$S76="Ground",$S76="Rock"),0-1,IF(OR($S76="Dragon",$S76="Grass",$S76="Water"),1,0)))</f>
        <v>1</v>
      </c>
      <c r="AU76" s="518"/>
    </row>
    <row r="77" customFormat="false" ht="15.75" hidden="false" customHeight="false" outlineLevel="0" collapsed="false">
      <c r="A77" s="510" t="str">
        <f aca="false" t="array" ref="A77:A77">IF(ISNA(INDEX(Source!$U$7:$U$95,MATCH(B77,Source!$V$7:$V$95,0))),"FREE",INDEX(Source!$U$7:$U$95,MATCH(B77,Source!$V$7:$V$95,0)))</f>
        <v>FREE</v>
      </c>
      <c r="B77" s="511" t="s">
        <v>462</v>
      </c>
      <c r="C77" s="511"/>
      <c r="D77" s="511"/>
      <c r="E77" s="499" t="str">
        <f aca="false">IF(SUM($W77:$X77)&gt;0,SUM($W77:$X77),IF($H77&gt;0,0,IF($H77&gt;0,0,"-")))</f>
        <v>-</v>
      </c>
      <c r="F77" s="499" t="str">
        <f aca="false">IF(SUM($Y77:$Z77)&gt;0,SUM($Y77:$Z77),IF($H77&gt;0,0,"-"))</f>
        <v>-</v>
      </c>
      <c r="G77" s="499" t="str">
        <f aca="false">IF($H77&gt;0,minus(E77,F77),"-")</f>
        <v>-</v>
      </c>
      <c r="H77" s="500" t="n">
        <f aca="false">SUM(COUNTIF(MatchSource!$A:$A,$B77),COUNTIF(MatchSource!$H:$H,$B77))</f>
        <v>0</v>
      </c>
      <c r="I77" s="501" t="n">
        <f aca="false">SUM($AA77:$AB77)</f>
        <v>0</v>
      </c>
      <c r="J77" s="501" t="s">
        <v>702</v>
      </c>
      <c r="K77" s="512" t="str">
        <f aca="false" t="array" ref="K77:K77">IF(ISNA(INDEX(DraftRosters!$AA$3:$AA$199,MATCH($B77,DraftRosters!$AB$3:$AB$199,0))),"FA",IF(INDEX(DraftRosters!$AA$3:$AA$199,MATCH($B77,DraftRosters!$AB$3:$AB$199,0))="Franchise","Franch",INDEX(DraftRosters!$AA$3:$AA$199,MATCH($B77,DraftRosters!$AB$3:$AB$199,0))))</f>
        <v>FA</v>
      </c>
      <c r="L77" s="499" t="n">
        <v>75</v>
      </c>
      <c r="M77" s="499" t="n">
        <v>50</v>
      </c>
      <c r="N77" s="499" t="n">
        <v>80</v>
      </c>
      <c r="O77" s="499" t="n">
        <v>95</v>
      </c>
      <c r="P77" s="499" t="n">
        <v>90</v>
      </c>
      <c r="Q77" s="501" t="n">
        <v>65</v>
      </c>
      <c r="R77" s="499" t="s">
        <v>828</v>
      </c>
      <c r="S77" s="501"/>
      <c r="T77" s="504" t="s">
        <v>866</v>
      </c>
      <c r="U77" s="505"/>
      <c r="V77" s="506"/>
      <c r="W77" s="500" t="str">
        <f aca="false">IFERROR(__xludf.dummyfunction("if(isna(SUM(FILTER(MatchSource!$A:$D,MatchSource!$A:$A=$B77))),0,SUM(FILTER(MatchSource!$A:$D,MatchSource!$A:$A=$B77)))"),"0")</f>
        <v>0</v>
      </c>
      <c r="X77" s="499" t="str">
        <f aca="false">IFERROR(__xludf.dummyfunction("if(isna(SUM(FILTER(MatchSource!$H:$K,MatchSource!$H:$H=$B77))),0,SUM(FILTER(MatchSource!$H:$K,MatchSource!$H:$H=$B77)))"),"0")</f>
        <v>0</v>
      </c>
      <c r="Y77" s="499" t="str">
        <f aca="false">IFERROR(__xludf.dummyfunction("if(isna(ABS(MINUS(SUM(FILTER(MatchSource!$A:$E,MatchSource!$A:$A=$B77)),SUM($W77)))),0,ABS(MINUS(SUM(FILTER(MatchSource!$A:$E,MatchSource!$A:$A=$B77)),SUM($W77))))"),"0")</f>
        <v>0</v>
      </c>
      <c r="Z77" s="499" t="str">
        <f aca="false">IFERROR(__xludf.dummyfunction("if(isna(ABS(MINUS(SUM(FILTER(MatchSource!$H:$L,MatchSource!$H:$H=$B77)),SUM($X77)))),0,ABS(MINUS(SUM(FILTER(MatchSource!$H:$L,MatchSource!$H:$H=$B77)),SUM($X77))))"),"0")</f>
        <v>0</v>
      </c>
      <c r="AA77" s="499" t="str">
        <f aca="false">IFERROR(__xludf.dummyfunction("if(isna(ABS(MINUS(SUM(FILTER(MatchSource!$A:$F,MatchSource!$A:$A=$B77)),SUM($W77,$Y77)))),0,ABS(MINUS(SUM(FILTER(MatchSource!$A:$F,MatchSource!$A:$A=$B77)),SUM($W77, $Y77,))))"),"0")</f>
        <v>0</v>
      </c>
      <c r="AB77" s="501" t="str">
        <f aca="false">IFERROR(__xludf.dummyfunction("if(isna(ABS(MINUS(SUM(FILTER(MatchSource!$H:$M,MatchSource!$H:$H=$B77)),SUM($X77,$Z77)))),0,ABS(MINUS(SUM(FILTER(MatchSource!$H:$M,MatchSource!$H:$H=$B77)),SUM($X77,$Z77))))"),"0")</f>
        <v>0</v>
      </c>
      <c r="AC77" s="507" t="n">
        <f aca="false">SUM(IF(OR($R77="Grass",$R77="Psychic",$R77="Dark"),0-1,IF(OR($R77="Fighting",$R77="Flying",$R77="Fire",$R77="Ghost",$R77="Poison",$R77="Steel",$R77="Fairy"),1,0)),IF(OR($S77="Grass",$S77="Psychic",$S77="Dark"),0-1,IF(OR($S77="Fighting",$S77="Flying",$S77="Fire",$S77="Ghost",$S77="Poison",$S77="Steel",$S77="Fairy"),1,0)))</f>
        <v>-1</v>
      </c>
      <c r="AD77" s="507" t="n">
        <f aca="false">SUM(IF(OR($R77="Ghost",$R77="Psychic"),0-1,IF(OR($R77="Fighting",$R77="Dark",$R77="Fairy"),1,0)),IF(OR($S77="Ghost",$S77="Psychic"),0-1,IF(OR($S77="Fighting",$S77="Dark",$S77="Fairy"),1,0)))</f>
        <v>-1</v>
      </c>
      <c r="AE77" s="507" t="n">
        <f aca="false">IF(OR($R77="Fairy",$S77="Fairy"),4,SUM(IF($R77="Dragon",0-1,IF($R77="Steel",1,0)),IF($S77="Dragon",0-1,IF($S77="Steel",1,0))))</f>
        <v>0</v>
      </c>
      <c r="AF77" s="507" t="n">
        <f aca="false">IF(OR($R77="Ground",$S77="Ground"),4,SUM(IF(OR($R77="Flying",$R77="Water"),0-1,IF(OR($R77="Dragon",$R77="Electric",$R77="Grass"),1,0)),IF(OR($S77="Flying",$S77="Water"),0-1,IF(OR($S77="Dragon",$S77="Electric",$S77="Grass"),1,0))))</f>
        <v>0</v>
      </c>
      <c r="AG77" s="507" t="n">
        <f aca="false">SUM(IF(OR($R77="Dark",$R77="Dragon",$R77="Fighting"),0-1,IF(OR($R77="Steel",$R77="Poison",$R77="Fire"),1,0)),IF(OR($S77="Dark",$S77="Dragon",$S77="Fighting"),0-1,IF(OR($S77="Steel",$S77="Poison",$S77="Fire"),1,0)))</f>
        <v>0</v>
      </c>
      <c r="AH77" s="507" t="n">
        <f aca="false">IF(OR($R77="Ghost",$S77="Ghost"),4,SUM(IF(OR($R77="Dark",$R77="Ice",$R77="Normal",$R77="Rock",$R77="Steel"),0-1,IF(OR($R77="Bug",$R77="Fairy",$R77="Flying",$R77="Poison",$R77="Psychic"),1,0)),IF(OR($S77="Dark",$S77="Ice",$S77="Normal",$S77="Rock",$S77="Steel"),0-1,IF(OR($S77="Bug",$S77="Fairy",$S77="Flying",$S77="Poison",$S77="Psychic"),1,0))))</f>
        <v>1</v>
      </c>
      <c r="AI77" s="507" t="n">
        <f aca="false">SUM(IF(OR($R77="Bug",$R77="Grass",$R77="Ice",$R77="Steel"),0-1,IF(OR($R77="Dragon",$R77="Fire",$R77="Rock",$R77="Water"),1,0)),IF(OR($S77="Bug",$S77="Grass",$S77="Ice",$S77="Steel"),0-1,IF(OR($S77="Dragon",$S77="Fire",$S77="Rock",$S77="Water"),1,0)))</f>
        <v>0</v>
      </c>
      <c r="AJ77" s="507" t="n">
        <f aca="false">SUM(IF(OR($R77="Bug",$R77="Grass",$R77="Fighting"),0-1,IF(OR($R77="Electric",$R77="Rock",$R77="Steel"),1,0)),IF(OR($S77="Bug",$S77="Grass",$S77="Fighting"),0-1,IF(OR($S77="Electric",$S77="Rock",$S77="Steel"),1,0)))</f>
        <v>0</v>
      </c>
      <c r="AK77" s="507" t="n">
        <f aca="false">IF(OR($R77="Normal",$S77="Normal"),4,SUM(IF(OR($R77="Ghost",$R77="Psychic"),0-1,IF($R77="Dark",1,0)),IF(OR($S77="Ghost",$S77="Psychic"),0-1,IF($S77="Dark",1,0))))</f>
        <v>-1</v>
      </c>
      <c r="AL77" s="507" t="n">
        <f aca="false">SUM(IF(OR($R77="Ground",$R77="Rock",$R77="Water"),0-1,IF(OR($R77="Bug",$R77="Flying",$R77="Fire",$R77="Dragon",$R77="Poison",$R77="Steel",$R77="Grass"),1,0)),IF(OR($S77="Ground",$S77="Rock",$S77="Water"),0-1,IF(OR($S77="Bug",$S77="Flying",$S77="Fire",$S77="Dragon",$S77="Poison",$S77="Steel",$S77="Grass"),1,0)))</f>
        <v>0</v>
      </c>
      <c r="AM77" s="507" t="n">
        <f aca="false">IF(OR($R77="Flying",$S77="Flying"),4,SUM(IF(OR($R77="Electric",$R77="Fire",$R77="Rock",$R77="Steel",$R77="Poison"),0-1,IF(OR($R77="Bug",$R77="Grass"),1,0)),IF(OR($S77="Electric",$S77="Fire",$S77="Rock",$S77="Steel",$S77="Poison"),0-1,IF(OR($S77="Bug",$S77="Grass"),1,0))))</f>
        <v>0</v>
      </c>
      <c r="AN77" s="507" t="n">
        <f aca="false">SUM(IF(OR($R77="Flying",$R77="Dragon",$R77="Grass",$R77="Ground"),0-1,IF(OR($R77="Steel",$R77="Ice",$R77="Fire",$R77="Water"),1,0)),IF(OR($S77="Flying",$S77="Dragon",$S77="Grass",$S77="Ground"),0-1,IF(OR($S77="Steel",$S77="Ice",$S77="Fire",$S77="Water"),1,0)))</f>
        <v>0</v>
      </c>
      <c r="AO77" s="507" t="n">
        <f aca="false">IF(OR($R77="Ghost",$S77="Ghost"),4,SUM(IF(OR($R77="Steel",$R77="Rock"),1,0),IF(OR($S77="Steel",$S77="Rock"),1,0)))</f>
        <v>0</v>
      </c>
      <c r="AP77" s="507" t="n">
        <f aca="false">IF(OR($R77="Steel",$S77="Steel"),4,SUM(IF(OR($R77="Fairy",$R77="Grass"),0-1,IF(OR($R77="Ghost",$R77="Rock",$R77="Ground",$R77="Poison"),1,0)),IF(OR($S77="Fairy",$S77="Grass"),0-1,IF(OR($S77="Ghost",$S77="Rock",$S77="Ground",$S77="Poison"),1,0))))</f>
        <v>0</v>
      </c>
      <c r="AQ77" s="507" t="n">
        <f aca="false">IF(OR($R77="Dark",$S77="Dark"),4,SUM(IF(OR($R77="Fighting",$R77="Poison"),0-1,IF(OR($R77="Psychic",$R77="Steel"),1,0)),IF(OR($S77="Fighting",$S77="Poison"),0-1,IF(OR($S77="Psychic",$S77="Steel"),1,0))))</f>
        <v>1</v>
      </c>
      <c r="AR77" s="507" t="n">
        <f aca="false">SUM(IF(OR($R77="Bug",$R77="Fire",$R77="Flying",$R77="Ice"),0-1,IF(OR($R77="Steel",$R77="Fighting",$R77="Ground"),1,0)),IF(OR($S77="Bug",$S77="Fire",$S77="Flying",$S77="Ice"),0-1,IF(OR($S77="Steel",$S77="Fighting",$S77="Ground"),1,0)))</f>
        <v>0</v>
      </c>
      <c r="AS77" s="507" t="n">
        <f aca="false">SUM(IF(OR($R77="Fairy",$R77="Ice",$R77="Rock"),0-1,IF(OR($R77="Steel",$R77="Electric",$R77="Fire",$R77="Water"),1,0)),IF(OR($S77="Fairy",$S77="Ice",$S77="Rock"),0-1,IF(OR($S77="Steel",$S77="Electric",$S77="Fire",$S77="Water"),1,0)))</f>
        <v>0</v>
      </c>
      <c r="AT77" s="508" t="n">
        <f aca="false">SUM(IF(OR($R77="Fire",$R77="Ground",$R77="Rock"),0-1,IF(OR($R77="Dragon",$R77="Grass",$R77="Water"),1,0)),IF(OR($S77="Fire",$S77="Ground",$S77="Rock"),0-1,IF(OR($S77="Dragon",$S77="Grass",$S77="Water"),1,0)))</f>
        <v>0</v>
      </c>
      <c r="AU77" s="518"/>
    </row>
    <row r="78" customFormat="false" ht="15.75" hidden="false" customHeight="false" outlineLevel="0" collapsed="false">
      <c r="A78" s="510" t="str">
        <f aca="false" t="array" ref="A78:A78">IF(ISNA(INDEX(Source!$U$7:$U$95,MATCH(B78,Source!$V$7:$V$95,0))),"FREE",INDEX(Source!$U$7:$U$95,MATCH(B78,Source!$V$7:$V$95,0)))</f>
        <v>BBG</v>
      </c>
      <c r="B78" s="511" t="s">
        <v>99</v>
      </c>
      <c r="C78" s="511"/>
      <c r="D78" s="511"/>
      <c r="E78" s="499" t="n">
        <f aca="false">IF(SUM($W78:$X78)&gt;0,SUM($W78:$X78),IF($H78&gt;0,0,IF($H78&gt;0,0,"-")))</f>
        <v>0</v>
      </c>
      <c r="F78" s="499" t="n">
        <f aca="false">IF(SUM($Y78:$Z78)&gt;0,SUM($Y78:$Z78),IF($H78&gt;0,0,"-"))</f>
        <v>0</v>
      </c>
      <c r="G78" s="499" t="e">
        <f aca="false">IF($H78&gt;0,minus(E78,F78),"-")</f>
        <v>#NAME?</v>
      </c>
      <c r="H78" s="500" t="n">
        <f aca="false">SUM(COUNTIF(MatchSource!$A:$A,$B78),COUNTIF(MatchSource!$H:$H,$B78))</f>
        <v>4</v>
      </c>
      <c r="I78" s="501" t="n">
        <f aca="false">SUM($AA78:$AB78)</f>
        <v>0</v>
      </c>
      <c r="J78" s="501" t="s">
        <v>701</v>
      </c>
      <c r="K78" s="512" t="str">
        <f aca="false" t="array" ref="K78:K78">IF(ISNA(INDEX(DraftRosters!$AA$3:$AA$199,MATCH($B78,DraftRosters!$AB$3:$AB$199,0))),"FA",IF(INDEX(DraftRosters!$AA$3:$AA$199,MATCH($B78,DraftRosters!$AB$3:$AB$199,0))="Franchise","Franch",INDEX(DraftRosters!$AA$3:$AA$199,MATCH($B78,DraftRosters!$AB$3:$AB$199,0))))</f>
        <v>FA</v>
      </c>
      <c r="L78" s="499" t="n">
        <v>75</v>
      </c>
      <c r="M78" s="499" t="n">
        <v>95</v>
      </c>
      <c r="N78" s="499" t="n">
        <v>60</v>
      </c>
      <c r="O78" s="499" t="n">
        <v>65</v>
      </c>
      <c r="P78" s="499" t="n">
        <v>60</v>
      </c>
      <c r="Q78" s="501" t="n">
        <v>115</v>
      </c>
      <c r="R78" s="499" t="s">
        <v>839</v>
      </c>
      <c r="S78" s="501"/>
      <c r="T78" s="504" t="s">
        <v>922</v>
      </c>
      <c r="U78" s="505" t="s">
        <v>842</v>
      </c>
      <c r="V78" s="506" t="s">
        <v>841</v>
      </c>
      <c r="W78" s="500" t="str">
        <f aca="false">IFERROR(__xludf.dummyfunction("if(isna(SUM(FILTER(MatchSource!$A:$D,MatchSource!$A:$A=$B78))),0,SUM(FILTER(MatchSource!$A:$D,MatchSource!$A:$A=$B78)))"),"4")</f>
        <v>4</v>
      </c>
      <c r="X78" s="499" t="str">
        <f aca="false">IFERROR(__xludf.dummyfunction("if(isna(SUM(FILTER(MatchSource!$H:$K,MatchSource!$H:$H=$B78))),0,SUM(FILTER(MatchSource!$H:$K,MatchSource!$H:$H=$B78)))"),"2")</f>
        <v>2</v>
      </c>
      <c r="Y78" s="499" t="str">
        <f aca="false">IFERROR(__xludf.dummyfunction("if(isna(ABS(MINUS(SUM(FILTER(MatchSource!$A:$E,MatchSource!$A:$A=$B78)),SUM($W78)))),0,ABS(MINUS(SUM(FILTER(MatchSource!$A:$E,MatchSource!$A:$A=$B78)),SUM($W78))))"),"1")</f>
        <v>1</v>
      </c>
      <c r="Z78" s="499" t="str">
        <f aca="false">IFERROR(__xludf.dummyfunction("if(isna(ABS(MINUS(SUM(FILTER(MatchSource!$H:$L,MatchSource!$H:$H=$B78)),SUM($X78)))),0,ABS(MINUS(SUM(FILTER(MatchSource!$H:$L,MatchSource!$H:$H=$B78)),SUM($X78))))"),"1")</f>
        <v>1</v>
      </c>
      <c r="AA78" s="499" t="str">
        <f aca="false">IFERROR(__xludf.dummyfunction("if(isna(ABS(MINUS(SUM(FILTER(MatchSource!$A:$F,MatchSource!$A:$A=$B78)),SUM($W78,$Y78)))),0,ABS(MINUS(SUM(FILTER(MatchSource!$A:$F,MatchSource!$A:$A=$B78)),SUM($W78, $Y78,))))"),"1")</f>
        <v>1</v>
      </c>
      <c r="AB78" s="501" t="str">
        <f aca="false">IFERROR(__xludf.dummyfunction("if(isna(ABS(MINUS(SUM(FILTER(MatchSource!$H:$M,MatchSource!$H:$H=$B78)),SUM($X78,$Z78)))),0,ABS(MINUS(SUM(FILTER(MatchSource!$H:$M,MatchSource!$H:$H=$B78)),SUM($X78,$Z78))))"),"1")</f>
        <v>1</v>
      </c>
      <c r="AC78" s="507" t="n">
        <f aca="false">SUM(IF(OR($R78="Grass",$R78="Psychic",$R78="Dark"),0-1,IF(OR($R78="Fighting",$R78="Flying",$R78="Fire",$R78="Ghost",$R78="Poison",$R78="Steel",$R78="Fairy"),1,0)),IF(OR($S78="Grass",$S78="Psychic",$S78="Dark"),0-1,IF(OR($S78="Fighting",$S78="Flying",$S78="Fire",$S78="Ghost",$S78="Poison",$S78="Steel",$S78="Fairy"),1,0)))</f>
        <v>0</v>
      </c>
      <c r="AD78" s="507" t="n">
        <f aca="false">SUM(IF(OR($R78="Ghost",$R78="Psychic"),0-1,IF(OR($R78="Fighting",$R78="Dark",$R78="Fairy"),1,0)),IF(OR($S78="Ghost",$S78="Psychic"),0-1,IF(OR($S78="Fighting",$S78="Dark",$S78="Fairy"),1,0)))</f>
        <v>0</v>
      </c>
      <c r="AE78" s="507" t="n">
        <f aca="false">IF(OR($R78="Fairy",$S78="Fairy"),4,SUM(IF($R78="Dragon",0-1,IF($R78="Steel",1,0)),IF($S78="Dragon",0-1,IF($S78="Steel",1,0))))</f>
        <v>0</v>
      </c>
      <c r="AF78" s="507" t="n">
        <f aca="false">IF(OR($R78="Ground",$S78="Ground"),4,SUM(IF(OR($R78="Flying",$R78="Water"),0-1,IF(OR($R78="Dragon",$R78="Electric",$R78="Grass"),1,0)),IF(OR($S78="Flying",$S78="Water"),0-1,IF(OR($S78="Dragon",$S78="Electric",$S78="Grass"),1,0))))</f>
        <v>0</v>
      </c>
      <c r="AG78" s="507" t="n">
        <f aca="false">SUM(IF(OR($R78="Dark",$R78="Dragon",$R78="Fighting"),0-1,IF(OR($R78="Steel",$R78="Poison",$R78="Fire"),1,0)),IF(OR($S78="Dark",$S78="Dragon",$S78="Fighting"),0-1,IF(OR($S78="Steel",$S78="Poison",$S78="Fire"),1,0)))</f>
        <v>0</v>
      </c>
      <c r="AH78" s="507" t="n">
        <f aca="false">IF(OR($R78="Ghost",$S78="Ghost"),4,SUM(IF(OR($R78="Dark",$R78="Ice",$R78="Normal",$R78="Rock",$R78="Steel"),0-1,IF(OR($R78="Bug",$R78="Fairy",$R78="Flying",$R78="Poison",$R78="Psychic"),1,0)),IF(OR($S78="Dark",$S78="Ice",$S78="Normal",$S78="Rock",$S78="Steel"),0-1,IF(OR($S78="Bug",$S78="Fairy",$S78="Flying",$S78="Poison",$S78="Psychic"),1,0))))</f>
        <v>-1</v>
      </c>
      <c r="AI78" s="507" t="n">
        <f aca="false">SUM(IF(OR($R78="Bug",$R78="Grass",$R78="Ice",$R78="Steel"),0-1,IF(OR($R78="Dragon",$R78="Fire",$R78="Rock",$R78="Water"),1,0)),IF(OR($S78="Bug",$S78="Grass",$S78="Ice",$S78="Steel"),0-1,IF(OR($S78="Dragon",$S78="Fire",$S78="Rock",$S78="Water"),1,0)))</f>
        <v>0</v>
      </c>
      <c r="AJ78" s="507" t="n">
        <f aca="false">SUM(IF(OR($R78="Bug",$R78="Grass",$R78="Fighting"),0-1,IF(OR($R78="Electric",$R78="Rock",$R78="Steel"),1,0)),IF(OR($S78="Bug",$S78="Grass",$S78="Fighting"),0-1,IF(OR($S78="Electric",$S78="Rock",$S78="Steel"),1,0)))</f>
        <v>0</v>
      </c>
      <c r="AK78" s="507" t="n">
        <f aca="false">IF(OR($R78="Normal",$S78="Normal"),4,SUM(IF(OR($R78="Ghost",$R78="Psychic"),0-1,IF($R78="Dark",1,0)),IF(OR($S78="Ghost",$S78="Psychic"),0-1,IF($S78="Dark",1,0))))</f>
        <v>4</v>
      </c>
      <c r="AL78" s="507" t="n">
        <f aca="false">SUM(IF(OR($R78="Ground",$R78="Rock",$R78="Water"),0-1,IF(OR($R78="Bug",$R78="Flying",$R78="Fire",$R78="Dragon",$R78="Poison",$R78="Steel",$R78="Grass"),1,0)),IF(OR($S78="Ground",$S78="Rock",$S78="Water"),0-1,IF(OR($S78="Bug",$S78="Flying",$S78="Fire",$S78="Dragon",$S78="Poison",$S78="Steel",$S78="Grass"),1,0)))</f>
        <v>0</v>
      </c>
      <c r="AM78" s="507" t="n">
        <f aca="false">IF(OR($R78="Flying",$S78="Flying"),4,SUM(IF(OR($R78="Electric",$R78="Fire",$R78="Rock",$R78="Steel",$R78="Poison"),0-1,IF(OR($R78="Bug",$R78="Grass"),1,0)),IF(OR($S78="Electric",$S78="Fire",$S78="Rock",$S78="Steel",$S78="Poison"),0-1,IF(OR($S78="Bug",$S78="Grass"),1,0))))</f>
        <v>0</v>
      </c>
      <c r="AN78" s="507" t="n">
        <f aca="false">SUM(IF(OR($R78="Flying",$R78="Dragon",$R78="Grass",$R78="Ground"),0-1,IF(OR($R78="Steel",$R78="Ice",$R78="Fire",$R78="Water"),1,0)),IF(OR($S78="Flying",$S78="Dragon",$S78="Grass",$S78="Ground"),0-1,IF(OR($S78="Steel",$S78="Ice",$S78="Fire",$S78="Water"),1,0)))</f>
        <v>0</v>
      </c>
      <c r="AO78" s="507" t="n">
        <f aca="false">IF(OR($R78="Ghost",$S78="Ghost"),4,SUM(IF(OR($R78="Steel",$R78="Rock"),1,0),IF(OR($S78="Steel",$S78="Rock"),1,0)))</f>
        <v>0</v>
      </c>
      <c r="AP78" s="507" t="n">
        <f aca="false">IF(OR($R78="Steel",$S78="Steel"),4,SUM(IF(OR($R78="Fairy",$R78="Grass"),0-1,IF(OR($R78="Ghost",$R78="Rock",$R78="Ground",$R78="Poison"),1,0)),IF(OR($S78="Fairy",$S78="Grass"),0-1,IF(OR($S78="Ghost",$S78="Rock",$S78="Ground",$S78="Poison"),1,0))))</f>
        <v>0</v>
      </c>
      <c r="AQ78" s="507" t="n">
        <f aca="false">IF(OR($R78="Dark",$S78="Dark"),4,SUM(IF(OR($R78="Fighting",$R78="Poison"),0-1,IF(OR($R78="Psychic",$R78="Steel"),1,0)),IF(OR($S78="Fighting",$S78="Poison"),0-1,IF(OR($S78="Psychic",$S78="Steel"),1,0))))</f>
        <v>0</v>
      </c>
      <c r="AR78" s="507" t="n">
        <f aca="false">SUM(IF(OR($R78="Bug",$R78="Fire",$R78="Flying",$R78="Ice"),0-1,IF(OR($R78="Steel",$R78="Fighting",$R78="Ground"),1,0)),IF(OR($S78="Bug",$S78="Fire",$S78="Flying",$S78="Ice"),0-1,IF(OR($S78="Steel",$S78="Fighting",$S78="Ground"),1,0)))</f>
        <v>0</v>
      </c>
      <c r="AS78" s="507" t="n">
        <f aca="false">SUM(IF(OR($R78="Fairy",$R78="Ice",$R78="Rock"),0-1,IF(OR($R78="Steel",$R78="Electric",$R78="Fire",$R78="Water"),1,0)),IF(OR($S78="Fairy",$S78="Ice",$S78="Rock"),0-1,IF(OR($S78="Steel",$S78="Electric",$S78="Fire",$S78="Water"),1,0)))</f>
        <v>0</v>
      </c>
      <c r="AT78" s="508" t="n">
        <f aca="false">SUM(IF(OR($R78="Fire",$R78="Ground",$R78="Rock"),0-1,IF(OR($R78="Dragon",$R78="Grass",$R78="Water"),1,0)),IF(OR($S78="Fire",$S78="Ground",$S78="Rock"),0-1,IF(OR($S78="Dragon",$S78="Grass",$S78="Water"),1,0)))</f>
        <v>0</v>
      </c>
      <c r="AU78" s="518"/>
    </row>
    <row r="79" customFormat="false" ht="15.75" hidden="false" customHeight="false" outlineLevel="0" collapsed="false">
      <c r="A79" s="515" t="str">
        <f aca="false" t="array" ref="A79:A79">IF(ISNA(INDEX(Source!$U$7:$U$95,MATCH(B79,Source!$V$7:$V$95,0))),"FREE",INDEX(Source!$U$7:$U$95,MATCH(B79,Source!$V$7:$V$95,0)))</f>
        <v>FREE</v>
      </c>
      <c r="B79" s="511" t="s">
        <v>396</v>
      </c>
      <c r="C79" s="511"/>
      <c r="D79" s="511"/>
      <c r="E79" s="499" t="str">
        <f aca="false">IF(SUM($W79:$X79)&gt;0,SUM($W79:$X79),IF($H79&gt;0,0,IF($H79&gt;0,0,"-")))</f>
        <v>-</v>
      </c>
      <c r="F79" s="499" t="str">
        <f aca="false">IF(SUM($Y79:$Z79)&gt;0,SUM($Y79:$Z79),IF($H79&gt;0,0,"-"))</f>
        <v>-</v>
      </c>
      <c r="G79" s="499" t="str">
        <f aca="false">IF($H79&gt;0,minus(E79,F79),"-")</f>
        <v>-</v>
      </c>
      <c r="H79" s="500" t="n">
        <f aca="false">SUM(COUNTIF(MatchSource!$A:$A,$B79),COUNTIF(MatchSource!$H:$H,$B79))</f>
        <v>0</v>
      </c>
      <c r="I79" s="501" t="n">
        <f aca="false">SUM($AA79:$AB79)</f>
        <v>0</v>
      </c>
      <c r="J79" s="501" t="s">
        <v>701</v>
      </c>
      <c r="K79" s="512" t="str">
        <f aca="false" t="array" ref="K79:K79">IF(ISNA(INDEX(DraftRosters!$AA$3:$AA$199,MATCH($B79,DraftRosters!$AB$3:$AB$199,0))),"FA",IF(INDEX(DraftRosters!$AA$3:$AA$199,MATCH($B79,DraftRosters!$AB$3:$AB$199,0))="Franchise","Franch",INDEX(DraftRosters!$AA$3:$AA$199,MATCH($B79,DraftRosters!$AB$3:$AB$199,0))))</f>
        <v>FA</v>
      </c>
      <c r="L79" s="507" t="n">
        <v>71</v>
      </c>
      <c r="M79" s="507" t="n">
        <v>73</v>
      </c>
      <c r="N79" s="507" t="n">
        <v>88</v>
      </c>
      <c r="O79" s="507" t="n">
        <v>120</v>
      </c>
      <c r="P79" s="507" t="n">
        <v>89</v>
      </c>
      <c r="Q79" s="508" t="n">
        <v>59</v>
      </c>
      <c r="R79" s="499" t="s">
        <v>811</v>
      </c>
      <c r="S79" s="501"/>
      <c r="T79" s="504" t="s">
        <v>892</v>
      </c>
      <c r="U79" s="505"/>
      <c r="V79" s="506"/>
      <c r="W79" s="500" t="str">
        <f aca="false">IFERROR(__xludf.dummyfunction("if(isna(SUM(FILTER(MatchSource!$A:$D,MatchSource!$A:$A=$B79))),0,SUM(FILTER(MatchSource!$A:$D,MatchSource!$A:$A=$B79)))"),"0")</f>
        <v>0</v>
      </c>
      <c r="X79" s="499" t="str">
        <f aca="false">IFERROR(__xludf.dummyfunction("if(isna(SUM(FILTER(MatchSource!$H:$K,MatchSource!$H:$H=$B79))),0,SUM(FILTER(MatchSource!$H:$K,MatchSource!$H:$H=$B79)))"),"0")</f>
        <v>0</v>
      </c>
      <c r="Y79" s="499" t="str">
        <f aca="false">IFERROR(__xludf.dummyfunction("if(isna(ABS(MINUS(SUM(FILTER(MatchSource!$A:$E,MatchSource!$A:$A=$B79)),SUM($W79)))),0,ABS(MINUS(SUM(FILTER(MatchSource!$A:$E,MatchSource!$A:$A=$B79)),SUM($W79))))"),"0")</f>
        <v>0</v>
      </c>
      <c r="Z79" s="499" t="str">
        <f aca="false">IFERROR(__xludf.dummyfunction("if(isna(ABS(MINUS(SUM(FILTER(MatchSource!$H:$L,MatchSource!$H:$H=$B79)),SUM($X79)))),0,ABS(MINUS(SUM(FILTER(MatchSource!$H:$L,MatchSource!$H:$H=$B79)),SUM($X79))))"),"0")</f>
        <v>0</v>
      </c>
      <c r="AA79" s="499" t="str">
        <f aca="false">IFERROR(__xludf.dummyfunction("if(isna(ABS(MINUS(SUM(FILTER(MatchSource!$A:$F,MatchSource!$A:$A=$B79)),SUM($W79,$Y79)))),0,ABS(MINUS(SUM(FILTER(MatchSource!$A:$F,MatchSource!$A:$A=$B79)),SUM($W79, $Y79,))))"),"0")</f>
        <v>0</v>
      </c>
      <c r="AB79" s="501" t="str">
        <f aca="false">IFERROR(__xludf.dummyfunction("if(isna(ABS(MINUS(SUM(FILTER(MatchSource!$H:$M,MatchSource!$H:$H=$B79)),SUM($X79,$Z79)))),0,ABS(MINUS(SUM(FILTER(MatchSource!$H:$M,MatchSource!$H:$H=$B79)),SUM($X79,$Z79))))"),"0")</f>
        <v>0</v>
      </c>
      <c r="AC79" s="507" t="n">
        <f aca="false">SUM(IF(OR($R79="Grass",$R79="Psychic",$R79="Dark"),0-1,IF(OR($R79="Fighting",$R79="Flying",$R79="Fire",$R79="Ghost",$R79="Poison",$R79="Steel",$R79="Fairy"),1,0)),IF(OR($S79="Grass",$S79="Psychic",$S79="Dark"),0-1,IF(OR($S79="Fighting",$S79="Flying",$S79="Fire",$S79="Ghost",$S79="Poison",$S79="Steel",$S79="Fairy"),1,0)))</f>
        <v>0</v>
      </c>
      <c r="AD79" s="507" t="n">
        <f aca="false">SUM(IF(OR($R79="Ghost",$R79="Psychic"),0-1,IF(OR($R79="Fighting",$R79="Dark",$R79="Fairy"),1,0)),IF(OR($S79="Ghost",$S79="Psychic"),0-1,IF(OR($S79="Fighting",$S79="Dark",$S79="Fairy"),1,0)))</f>
        <v>0</v>
      </c>
      <c r="AE79" s="507" t="n">
        <f aca="false">IF(OR($R79="Fairy",$S79="Fairy"),4,SUM(IF($R79="Dragon",0-1,IF($R79="Steel",1,0)),IF($S79="Dragon",0-1,IF($S79="Steel",1,0))))</f>
        <v>0</v>
      </c>
      <c r="AF79" s="507" t="n">
        <f aca="false">IF(OR($R79="Ground",$S79="Ground"),4,SUM(IF(OR($R79="Flying",$R79="Water"),0-1,IF(OR($R79="Dragon",$R79="Electric",$R79="Grass"),1,0)),IF(OR($S79="Flying",$S79="Water"),0-1,IF(OR($S79="Dragon",$S79="Electric",$S79="Grass"),1,0))))</f>
        <v>-1</v>
      </c>
      <c r="AG79" s="507" t="n">
        <f aca="false">SUM(IF(OR($R79="Dark",$R79="Dragon",$R79="Fighting"),0-1,IF(OR($R79="Steel",$R79="Poison",$R79="Fire"),1,0)),IF(OR($S79="Dark",$S79="Dragon",$S79="Fighting"),0-1,IF(OR($S79="Steel",$S79="Poison",$S79="Fire"),1,0)))</f>
        <v>0</v>
      </c>
      <c r="AH79" s="507" t="n">
        <f aca="false">IF(OR($R79="Ghost",$S79="Ghost"),4,SUM(IF(OR($R79="Dark",$R79="Ice",$R79="Normal",$R79="Rock",$R79="Steel"),0-1,IF(OR($R79="Bug",$R79="Fairy",$R79="Flying",$R79="Poison",$R79="Psychic"),1,0)),IF(OR($S79="Dark",$S79="Ice",$S79="Normal",$S79="Rock",$S79="Steel"),0-1,IF(OR($S79="Bug",$S79="Fairy",$S79="Flying",$S79="Poison",$S79="Psychic"),1,0))))</f>
        <v>0</v>
      </c>
      <c r="AI79" s="507" t="n">
        <f aca="false">SUM(IF(OR($R79="Bug",$R79="Grass",$R79="Ice",$R79="Steel"),0-1,IF(OR($R79="Dragon",$R79="Fire",$R79="Rock",$R79="Water"),1,0)),IF(OR($S79="Bug",$S79="Grass",$S79="Ice",$S79="Steel"),0-1,IF(OR($S79="Dragon",$S79="Fire",$S79="Rock",$S79="Water"),1,0)))</f>
        <v>1</v>
      </c>
      <c r="AJ79" s="507" t="n">
        <f aca="false">SUM(IF(OR($R79="Bug",$R79="Grass",$R79="Fighting"),0-1,IF(OR($R79="Electric",$R79="Rock",$R79="Steel"),1,0)),IF(OR($S79="Bug",$S79="Grass",$S79="Fighting"),0-1,IF(OR($S79="Electric",$S79="Rock",$S79="Steel"),1,0)))</f>
        <v>0</v>
      </c>
      <c r="AK79" s="507" t="n">
        <f aca="false">IF(OR($R79="Normal",$S79="Normal"),4,SUM(IF(OR($R79="Ghost",$R79="Psychic"),0-1,IF($R79="Dark",1,0)),IF(OR($S79="Ghost",$S79="Psychic"),0-1,IF($S79="Dark",1,0))))</f>
        <v>0</v>
      </c>
      <c r="AL79" s="507" t="n">
        <f aca="false">SUM(IF(OR($R79="Ground",$R79="Rock",$R79="Water"),0-1,IF(OR($R79="Bug",$R79="Flying",$R79="Fire",$R79="Dragon",$R79="Poison",$R79="Steel",$R79="Grass"),1,0)),IF(OR($S79="Ground",$S79="Rock",$S79="Water"),0-1,IF(OR($S79="Bug",$S79="Flying",$S79="Fire",$S79="Dragon",$S79="Poison",$S79="Steel",$S79="Grass"),1,0)))</f>
        <v>-1</v>
      </c>
      <c r="AM79" s="507" t="n">
        <f aca="false">IF(OR($R79="Flying",$S79="Flying"),4,SUM(IF(OR($R79="Electric",$R79="Fire",$R79="Rock",$R79="Steel",$R79="Poison"),0-1,IF(OR($R79="Bug",$R79="Grass"),1,0)),IF(OR($S79="Electric",$S79="Fire",$S79="Rock",$S79="Steel",$S79="Poison"),0-1,IF(OR($S79="Bug",$S79="Grass"),1,0))))</f>
        <v>0</v>
      </c>
      <c r="AN79" s="507" t="n">
        <f aca="false">SUM(IF(OR($R79="Flying",$R79="Dragon",$R79="Grass",$R79="Ground"),0-1,IF(OR($R79="Steel",$R79="Ice",$R79="Fire",$R79="Water"),1,0)),IF(OR($S79="Flying",$S79="Dragon",$S79="Grass",$S79="Ground"),0-1,IF(OR($S79="Steel",$S79="Ice",$S79="Fire",$S79="Water"),1,0)))</f>
        <v>1</v>
      </c>
      <c r="AO79" s="507" t="n">
        <f aca="false">IF(OR($R79="Ghost",$S79="Ghost"),4,SUM(IF(OR($R79="Steel",$R79="Rock"),1,0),IF(OR($S79="Steel",$S79="Rock"),1,0)))</f>
        <v>0</v>
      </c>
      <c r="AP79" s="507" t="n">
        <f aca="false">IF(OR($R79="Steel",$S79="Steel"),4,SUM(IF(OR($R79="Fairy",$R79="Grass"),0-1,IF(OR($R79="Ghost",$R79="Rock",$R79="Ground",$R79="Poison"),1,0)),IF(OR($S79="Fairy",$S79="Grass"),0-1,IF(OR($S79="Ghost",$S79="Rock",$S79="Ground",$S79="Poison"),1,0))))</f>
        <v>0</v>
      </c>
      <c r="AQ79" s="507" t="n">
        <f aca="false">IF(OR($R79="Dark",$S79="Dark"),4,SUM(IF(OR($R79="Fighting",$R79="Poison"),0-1,IF(OR($R79="Psychic",$R79="Steel"),1,0)),IF(OR($S79="Fighting",$S79="Poison"),0-1,IF(OR($S79="Psychic",$S79="Steel"),1,0))))</f>
        <v>0</v>
      </c>
      <c r="AR79" s="507" t="n">
        <f aca="false">SUM(IF(OR($R79="Bug",$R79="Fire",$R79="Flying",$R79="Ice"),0-1,IF(OR($R79="Steel",$R79="Fighting",$R79="Ground"),1,0)),IF(OR($S79="Bug",$S79="Fire",$S79="Flying",$S79="Ice"),0-1,IF(OR($S79="Steel",$S79="Fighting",$S79="Ground"),1,0)))</f>
        <v>0</v>
      </c>
      <c r="AS79" s="507" t="n">
        <f aca="false">SUM(IF(OR($R79="Fairy",$R79="Ice",$R79="Rock"),0-1,IF(OR($R79="Steel",$R79="Electric",$R79="Fire",$R79="Water"),1,0)),IF(OR($S79="Fairy",$S79="Ice",$S79="Rock"),0-1,IF(OR($S79="Steel",$S79="Electric",$S79="Fire",$S79="Water"),1,0)))</f>
        <v>1</v>
      </c>
      <c r="AT79" s="508" t="n">
        <f aca="false">SUM(IF(OR($R79="Fire",$R79="Ground",$R79="Rock"),0-1,IF(OR($R79="Dragon",$R79="Grass",$R79="Water"),1,0)),IF(OR($S79="Fire",$S79="Ground",$S79="Rock"),0-1,IF(OR($S79="Dragon",$S79="Grass",$S79="Water"),1,0)))</f>
        <v>1</v>
      </c>
      <c r="AU79" s="518"/>
    </row>
    <row r="80" customFormat="false" ht="15.75" hidden="false" customHeight="false" outlineLevel="0" collapsed="false">
      <c r="A80" s="515" t="str">
        <f aca="false" t="array" ref="A80:A80">IF(ISNA(INDEX(Source!$U$7:$U$95,MATCH(B80,Source!$V$7:$V$95,0))),"FREE",INDEX(Source!$U$7:$U$95,MATCH(B80,Source!$V$7:$V$95,0)))</f>
        <v>FREE</v>
      </c>
      <c r="B80" s="511" t="s">
        <v>468</v>
      </c>
      <c r="C80" s="511"/>
      <c r="D80" s="511"/>
      <c r="E80" s="499" t="str">
        <f aca="false">IF(SUM($W80:$X80)&gt;0,SUM($W80:$X80),IF($H80&gt;0,0,IF($H80&gt;0,0,"-")))</f>
        <v>-</v>
      </c>
      <c r="F80" s="499" t="str">
        <f aca="false">IF(SUM($Y80:$Z80)&gt;0,SUM($Y80:$Z80),IF($H80&gt;0,0,"-"))</f>
        <v>-</v>
      </c>
      <c r="G80" s="499" t="str">
        <f aca="false">IF($H80&gt;0,minus(E80,F80),"-")</f>
        <v>-</v>
      </c>
      <c r="H80" s="500" t="n">
        <f aca="false">SUM(COUNTIF(MatchSource!$A:$A,$B80),COUNTIF(MatchSource!$H:$H,$B80))</f>
        <v>0</v>
      </c>
      <c r="I80" s="501" t="n">
        <f aca="false">SUM($AA80:$AB80)</f>
        <v>0</v>
      </c>
      <c r="J80" s="501" t="s">
        <v>702</v>
      </c>
      <c r="K80" s="512" t="str">
        <f aca="false" t="array" ref="K80:K80">IF(ISNA(INDEX(DraftRosters!$AA$3:$AA$199,MATCH($B80,DraftRosters!$AB$3:$AB$199,0))),"FA",IF(INDEX(DraftRosters!$AA$3:$AA$199,MATCH($B80,DraftRosters!$AB$3:$AB$199,0))="Franchise","Franch",INDEX(DraftRosters!$AA$3:$AA$199,MATCH($B80,DraftRosters!$AB$3:$AB$199,0))))</f>
        <v>FA</v>
      </c>
      <c r="L80" s="499" t="n">
        <v>60</v>
      </c>
      <c r="M80" s="499" t="n">
        <v>70</v>
      </c>
      <c r="N80" s="499" t="n">
        <v>105</v>
      </c>
      <c r="O80" s="499" t="n">
        <v>70</v>
      </c>
      <c r="P80" s="499" t="n">
        <v>120</v>
      </c>
      <c r="Q80" s="501" t="n">
        <v>75</v>
      </c>
      <c r="R80" s="499" t="s">
        <v>907</v>
      </c>
      <c r="S80" s="501" t="s">
        <v>828</v>
      </c>
      <c r="T80" s="504" t="s">
        <v>866</v>
      </c>
      <c r="U80" s="505"/>
      <c r="V80" s="506"/>
      <c r="W80" s="500" t="str">
        <f aca="false">IFERROR(__xludf.dummyfunction("if(isna(SUM(FILTER(MatchSource!$A:$D,MatchSource!$A:$A=$B80))),0,SUM(FILTER(MatchSource!$A:$D,MatchSource!$A:$A=$B80)))"),"0")</f>
        <v>0</v>
      </c>
      <c r="X80" s="499" t="str">
        <f aca="false">IFERROR(__xludf.dummyfunction("if(isna(SUM(FILTER(MatchSource!$H:$K,MatchSource!$H:$H=$B80))),0,SUM(FILTER(MatchSource!$H:$K,MatchSource!$H:$H=$B80)))"),"0")</f>
        <v>0</v>
      </c>
      <c r="Y80" s="499" t="str">
        <f aca="false">IFERROR(__xludf.dummyfunction("if(isna(ABS(MINUS(SUM(FILTER(MatchSource!$A:$E,MatchSource!$A:$A=$B80)),SUM($W80)))),0,ABS(MINUS(SUM(FILTER(MatchSource!$A:$E,MatchSource!$A:$A=$B80)),SUM($W80))))"),"0")</f>
        <v>0</v>
      </c>
      <c r="Z80" s="499" t="str">
        <f aca="false">IFERROR(__xludf.dummyfunction("if(isna(ABS(MINUS(SUM(FILTER(MatchSource!$H:$L,MatchSource!$H:$H=$B80)),SUM($X80)))),0,ABS(MINUS(SUM(FILTER(MatchSource!$H:$L,MatchSource!$H:$H=$B80)),SUM($X80))))"),"0")</f>
        <v>0</v>
      </c>
      <c r="AA80" s="499" t="str">
        <f aca="false">IFERROR(__xludf.dummyfunction("if(isna(ABS(MINUS(SUM(FILTER(MatchSource!$A:$F,MatchSource!$A:$A=$B80)),SUM($W80,$Y80)))),0,ABS(MINUS(SUM(FILTER(MatchSource!$A:$F,MatchSource!$A:$A=$B80)),SUM($W80, $Y80,))))"),"0")</f>
        <v>0</v>
      </c>
      <c r="AB80" s="501" t="str">
        <f aca="false">IFERROR(__xludf.dummyfunction("if(isna(ABS(MINUS(SUM(FILTER(MatchSource!$H:$M,MatchSource!$H:$H=$B80)),SUM($X80,$Z80)))),0,ABS(MINUS(SUM(FILTER(MatchSource!$H:$M,MatchSource!$H:$H=$B80)),SUM($X80,$Z80))))"),"0")</f>
        <v>0</v>
      </c>
      <c r="AC80" s="507" t="n">
        <f aca="false">SUM(IF(OR($R80="Grass",$R80="Psychic",$R80="Dark"),0-1,IF(OR($R80="Fighting",$R80="Flying",$R80="Fire",$R80="Ghost",$R80="Poison",$R80="Steel",$R80="Fairy"),1,0)),IF(OR($S80="Grass",$S80="Psychic",$S80="Dark"),0-1,IF(OR($S80="Fighting",$S80="Flying",$S80="Fire",$S80="Ghost",$S80="Poison",$S80="Steel",$S80="Fairy"),1,0)))</f>
        <v>-1</v>
      </c>
      <c r="AD80" s="507" t="n">
        <f aca="false">SUM(IF(OR($R80="Ghost",$R80="Psychic"),0-1,IF(OR($R80="Fighting",$R80="Dark",$R80="Fairy"),1,0)),IF(OR($S80="Ghost",$S80="Psychic"),0-1,IF(OR($S80="Fighting",$S80="Dark",$S80="Fairy"),1,0)))</f>
        <v>-1</v>
      </c>
      <c r="AE80" s="507" t="n">
        <f aca="false">IF(OR($R80="Fairy",$S80="Fairy"),4,SUM(IF($R80="Dragon",0-1,IF($R80="Steel",1,0)),IF($S80="Dragon",0-1,IF($S80="Steel",1,0))))</f>
        <v>0</v>
      </c>
      <c r="AF80" s="507" t="n">
        <f aca="false">IF(OR($R80="Ground",$S80="Ground"),4,SUM(IF(OR($R80="Flying",$R80="Water"),0-1,IF(OR($R80="Dragon",$R80="Electric",$R80="Grass"),1,0)),IF(OR($S80="Flying",$S80="Water"),0-1,IF(OR($S80="Dragon",$S80="Electric",$S80="Grass"),1,0))))</f>
        <v>4</v>
      </c>
      <c r="AG80" s="507" t="n">
        <f aca="false">SUM(IF(OR($R80="Dark",$R80="Dragon",$R80="Fighting"),0-1,IF(OR($R80="Steel",$R80="Poison",$R80="Fire"),1,0)),IF(OR($S80="Dark",$S80="Dragon",$S80="Fighting"),0-1,IF(OR($S80="Steel",$S80="Poison",$S80="Fire"),1,0)))</f>
        <v>0</v>
      </c>
      <c r="AH80" s="507" t="n">
        <f aca="false">IF(OR($R80="Ghost",$S80="Ghost"),4,SUM(IF(OR($R80="Dark",$R80="Ice",$R80="Normal",$R80="Rock",$R80="Steel"),0-1,IF(OR($R80="Bug",$R80="Fairy",$R80="Flying",$R80="Poison",$R80="Psychic"),1,0)),IF(OR($S80="Dark",$S80="Ice",$S80="Normal",$S80="Rock",$S80="Steel"),0-1,IF(OR($S80="Bug",$S80="Fairy",$S80="Flying",$S80="Poison",$S80="Psychic"),1,0))))</f>
        <v>1</v>
      </c>
      <c r="AI80" s="507" t="n">
        <f aca="false">SUM(IF(OR($R80="Bug",$R80="Grass",$R80="Ice",$R80="Steel"),0-1,IF(OR($R80="Dragon",$R80="Fire",$R80="Rock",$R80="Water"),1,0)),IF(OR($S80="Bug",$S80="Grass",$S80="Ice",$S80="Steel"),0-1,IF(OR($S80="Dragon",$S80="Fire",$S80="Rock",$S80="Water"),1,0)))</f>
        <v>0</v>
      </c>
      <c r="AJ80" s="507" t="n">
        <f aca="false">SUM(IF(OR($R80="Bug",$R80="Grass",$R80="Fighting"),0-1,IF(OR($R80="Electric",$R80="Rock",$R80="Steel"),1,0)),IF(OR($S80="Bug",$S80="Grass",$S80="Fighting"),0-1,IF(OR($S80="Electric",$S80="Rock",$S80="Steel"),1,0)))</f>
        <v>0</v>
      </c>
      <c r="AK80" s="507" t="n">
        <f aca="false">IF(OR($R80="Normal",$S80="Normal"),4,SUM(IF(OR($R80="Ghost",$R80="Psychic"),0-1,IF($R80="Dark",1,0)),IF(OR($S80="Ghost",$S80="Psychic"),0-1,IF($S80="Dark",1,0))))</f>
        <v>-1</v>
      </c>
      <c r="AL80" s="507" t="n">
        <f aca="false">SUM(IF(OR($R80="Ground",$R80="Rock",$R80="Water"),0-1,IF(OR($R80="Bug",$R80="Flying",$R80="Fire",$R80="Dragon",$R80="Poison",$R80="Steel",$R80="Grass"),1,0)),IF(OR($S80="Ground",$S80="Rock",$S80="Water"),0-1,IF(OR($S80="Bug",$S80="Flying",$S80="Fire",$S80="Dragon",$S80="Poison",$S80="Steel",$S80="Grass"),1,0)))</f>
        <v>-1</v>
      </c>
      <c r="AM80" s="507" t="n">
        <f aca="false">IF(OR($R80="Flying",$S80="Flying"),4,SUM(IF(OR($R80="Electric",$R80="Fire",$R80="Rock",$R80="Steel",$R80="Poison"),0-1,IF(OR($R80="Bug",$R80="Grass"),1,0)),IF(OR($S80="Electric",$S80="Fire",$S80="Rock",$S80="Steel",$S80="Poison"),0-1,IF(OR($S80="Bug",$S80="Grass"),1,0))))</f>
        <v>0</v>
      </c>
      <c r="AN80" s="507" t="n">
        <f aca="false">SUM(IF(OR($R80="Flying",$R80="Dragon",$R80="Grass",$R80="Ground"),0-1,IF(OR($R80="Steel",$R80="Ice",$R80="Fire",$R80="Water"),1,0)),IF(OR($S80="Flying",$S80="Dragon",$S80="Grass",$S80="Ground"),0-1,IF(OR($S80="Steel",$S80="Ice",$S80="Fire",$S80="Water"),1,0)))</f>
        <v>-1</v>
      </c>
      <c r="AO80" s="507" t="n">
        <f aca="false">IF(OR($R80="Ghost",$S80="Ghost"),4,SUM(IF(OR($R80="Steel",$R80="Rock"),1,0),IF(OR($S80="Steel",$S80="Rock"),1,0)))</f>
        <v>0</v>
      </c>
      <c r="AP80" s="507" t="n">
        <f aca="false">IF(OR($R80="Steel",$S80="Steel"),4,SUM(IF(OR($R80="Fairy",$R80="Grass"),0-1,IF(OR($R80="Ghost",$R80="Rock",$R80="Ground",$R80="Poison"),1,0)),IF(OR($S80="Fairy",$S80="Grass"),0-1,IF(OR($S80="Ghost",$S80="Rock",$S80="Ground",$S80="Poison"),1,0))))</f>
        <v>1</v>
      </c>
      <c r="AQ80" s="507" t="n">
        <f aca="false">IF(OR($R80="Dark",$S80="Dark"),4,SUM(IF(OR($R80="Fighting",$R80="Poison"),0-1,IF(OR($R80="Psychic",$R80="Steel"),1,0)),IF(OR($S80="Fighting",$S80="Poison"),0-1,IF(OR($S80="Psychic",$S80="Steel"),1,0))))</f>
        <v>1</v>
      </c>
      <c r="AR80" s="507" t="n">
        <f aca="false">SUM(IF(OR($R80="Bug",$R80="Fire",$R80="Flying",$R80="Ice"),0-1,IF(OR($R80="Steel",$R80="Fighting",$R80="Ground"),1,0)),IF(OR($S80="Bug",$S80="Fire",$S80="Flying",$S80="Ice"),0-1,IF(OR($S80="Steel",$S80="Fighting",$S80="Ground"),1,0)))</f>
        <v>1</v>
      </c>
      <c r="AS80" s="507" t="n">
        <f aca="false">SUM(IF(OR($R80="Fairy",$R80="Ice",$R80="Rock"),0-1,IF(OR($R80="Steel",$R80="Electric",$R80="Fire",$R80="Water"),1,0)),IF(OR($S80="Fairy",$S80="Ice",$S80="Rock"),0-1,IF(OR($S80="Steel",$S80="Electric",$S80="Fire",$S80="Water"),1,0)))</f>
        <v>0</v>
      </c>
      <c r="AT80" s="508" t="n">
        <f aca="false">SUM(IF(OR($R80="Fire",$R80="Ground",$R80="Rock"),0-1,IF(OR($R80="Dragon",$R80="Grass",$R80="Water"),1,0)),IF(OR($S80="Fire",$S80="Ground",$S80="Rock"),0-1,IF(OR($S80="Dragon",$S80="Grass",$S80="Water"),1,0)))</f>
        <v>-1</v>
      </c>
      <c r="AU80" s="518"/>
    </row>
    <row r="81" customFormat="false" ht="15.75" hidden="false" customHeight="false" outlineLevel="0" collapsed="false">
      <c r="A81" s="515" t="str">
        <f aca="false" t="array" ref="A81:A81">IF(ISNA(INDEX(Source!$U$7:$U$95,MATCH(B81,Source!$V$7:$V$95,0))),"FREE",INDEX(Source!$U$7:$U$95,MATCH(B81,Source!$V$7:$V$95,0)))</f>
        <v>FREE</v>
      </c>
      <c r="B81" s="511" t="s">
        <v>303</v>
      </c>
      <c r="C81" s="511"/>
      <c r="D81" s="511"/>
      <c r="E81" s="499" t="str">
        <f aca="false">IF(SUM($W81:$X81)&gt;0,SUM($W81:$X81),IF($H81&gt;0,0,IF($H81&gt;0,0,"-")))</f>
        <v>-</v>
      </c>
      <c r="F81" s="499" t="str">
        <f aca="false">IF(SUM($Y81:$Z81)&gt;0,SUM($Y81:$Z81),IF($H81&gt;0,0,"-"))</f>
        <v>-</v>
      </c>
      <c r="G81" s="499" t="str">
        <f aca="false">IF($H81&gt;0,minus(E81,F81),"-")</f>
        <v>-</v>
      </c>
      <c r="H81" s="500" t="n">
        <f aca="false">SUM(COUNTIF(MatchSource!$A:$A,$B81),COUNTIF(MatchSource!$H:$H,$B81))</f>
        <v>0</v>
      </c>
      <c r="I81" s="501" t="n">
        <f aca="false">SUM($AA81:$AB81)</f>
        <v>0</v>
      </c>
      <c r="J81" s="501" t="s">
        <v>698</v>
      </c>
      <c r="K81" s="512" t="str">
        <f aca="false" t="array" ref="K81:K81">IF(ISNA(INDEX(DraftRosters!$AA$3:$AA$199,MATCH($B81,DraftRosters!$AB$3:$AB$199,0))),"FA",IF(INDEX(DraftRosters!$AA$3:$AA$199,MATCH($B81,DraftRosters!$AB$3:$AB$199,0))="Franchise","Franch",INDEX(DraftRosters!$AA$3:$AA$199,MATCH($B81,DraftRosters!$AB$3:$AB$199,0))))</f>
        <v>FA</v>
      </c>
      <c r="L81" s="499" t="n">
        <v>95</v>
      </c>
      <c r="M81" s="499" t="n">
        <v>70</v>
      </c>
      <c r="N81" s="499" t="n">
        <v>73</v>
      </c>
      <c r="O81" s="499" t="n">
        <v>95</v>
      </c>
      <c r="P81" s="499" t="n">
        <v>90</v>
      </c>
      <c r="Q81" s="501" t="n">
        <v>60</v>
      </c>
      <c r="R81" s="499" t="s">
        <v>798</v>
      </c>
      <c r="S81" s="501"/>
      <c r="T81" s="504" t="s">
        <v>922</v>
      </c>
      <c r="U81" s="505" t="s">
        <v>830</v>
      </c>
      <c r="V81" s="506" t="s">
        <v>884</v>
      </c>
      <c r="W81" s="500" t="str">
        <f aca="false">IFERROR(__xludf.dummyfunction("if(isna(SUM(FILTER(MatchSource!$A:$D,MatchSource!$A:$A=$B81))),0,SUM(FILTER(MatchSource!$A:$D,MatchSource!$A:$A=$B81)))"),"0")</f>
        <v>0</v>
      </c>
      <c r="X81" s="499" t="str">
        <f aca="false">IFERROR(__xludf.dummyfunction("if(isna(SUM(FILTER(MatchSource!$H:$K,MatchSource!$H:$H=$B81))),0,SUM(FILTER(MatchSource!$H:$K,MatchSource!$H:$H=$B81)))"),"0")</f>
        <v>0</v>
      </c>
      <c r="Y81" s="499" t="str">
        <f aca="false">IFERROR(__xludf.dummyfunction("if(isna(ABS(MINUS(SUM(FILTER(MatchSource!$A:$E,MatchSource!$A:$A=$B81)),SUM($W81)))),0,ABS(MINUS(SUM(FILTER(MatchSource!$A:$E,MatchSource!$A:$A=$B81)),SUM($W81))))"),"0")</f>
        <v>0</v>
      </c>
      <c r="Z81" s="499" t="str">
        <f aca="false">IFERROR(__xludf.dummyfunction("if(isna(ABS(MINUS(SUM(FILTER(MatchSource!$H:$L,MatchSource!$H:$H=$B81)),SUM($X81)))),0,ABS(MINUS(SUM(FILTER(MatchSource!$H:$L,MatchSource!$H:$H=$B81)),SUM($X81))))"),"0")</f>
        <v>0</v>
      </c>
      <c r="AA81" s="499" t="str">
        <f aca="false">IFERROR(__xludf.dummyfunction("if(isna(ABS(MINUS(SUM(FILTER(MatchSource!$A:$F,MatchSource!$A:$A=$B81)),SUM($W81,$Y81)))),0,ABS(MINUS(SUM(FILTER(MatchSource!$A:$F,MatchSource!$A:$A=$B81)),SUM($W81, $Y81,))))"),"0")</f>
        <v>0</v>
      </c>
      <c r="AB81" s="501" t="str">
        <f aca="false">IFERROR(__xludf.dummyfunction("if(isna(ABS(MINUS(SUM(FILTER(MatchSource!$H:$M,MatchSource!$H:$H=$B81)),SUM($X81,$Z81)))),0,ABS(MINUS(SUM(FILTER(MatchSource!$H:$M,MatchSource!$H:$H=$B81)),SUM($X81,$Z81))))"),"0")</f>
        <v>0</v>
      </c>
      <c r="AC81" s="507" t="n">
        <f aca="false">SUM(IF(OR($R81="Grass",$R81="Psychic",$R81="Dark"),0-1,IF(OR($R81="Fighting",$R81="Flying",$R81="Fire",$R81="Ghost",$R81="Poison",$R81="Steel",$R81="Fairy"),1,0)),IF(OR($S81="Grass",$S81="Psychic",$S81="Dark"),0-1,IF(OR($S81="Fighting",$S81="Flying",$S81="Fire",$S81="Ghost",$S81="Poison",$S81="Steel",$S81="Fairy"),1,0)))</f>
        <v>1</v>
      </c>
      <c r="AD81" s="507" t="n">
        <f aca="false">SUM(IF(OR($R81="Ghost",$R81="Psychic"),0-1,IF(OR($R81="Fighting",$R81="Dark",$R81="Fairy"),1,0)),IF(OR($S81="Ghost",$S81="Psychic"),0-1,IF(OR($S81="Fighting",$S81="Dark",$S81="Fairy"),1,0)))</f>
        <v>1</v>
      </c>
      <c r="AE81" s="507" t="n">
        <f aca="false">IF(OR($R81="Fairy",$S81="Fairy"),4,SUM(IF($R81="Dragon",0-1,IF($R81="Steel",1,0)),IF($S81="Dragon",0-1,IF($S81="Steel",1,0))))</f>
        <v>4</v>
      </c>
      <c r="AF81" s="507" t="n">
        <f aca="false">IF(OR($R81="Ground",$S81="Ground"),4,SUM(IF(OR($R81="Flying",$R81="Water"),0-1,IF(OR($R81="Dragon",$R81="Electric",$R81="Grass"),1,0)),IF(OR($S81="Flying",$S81="Water"),0-1,IF(OR($S81="Dragon",$S81="Electric",$S81="Grass"),1,0))))</f>
        <v>0</v>
      </c>
      <c r="AG81" s="507" t="n">
        <f aca="false">SUM(IF(OR($R81="Dark",$R81="Dragon",$R81="Fighting"),0-1,IF(OR($R81="Steel",$R81="Poison",$R81="Fire"),1,0)),IF(OR($S81="Dark",$S81="Dragon",$S81="Fighting"),0-1,IF(OR($S81="Steel",$S81="Poison",$S81="Fire"),1,0)))</f>
        <v>0</v>
      </c>
      <c r="AH81" s="507" t="n">
        <f aca="false">IF(OR($R81="Ghost",$S81="Ghost"),4,SUM(IF(OR($R81="Dark",$R81="Ice",$R81="Normal",$R81="Rock",$R81="Steel"),0-1,IF(OR($R81="Bug",$R81="Fairy",$R81="Flying",$R81="Poison",$R81="Psychic"),1,0)),IF(OR($S81="Dark",$S81="Ice",$S81="Normal",$S81="Rock",$S81="Steel"),0-1,IF(OR($S81="Bug",$S81="Fairy",$S81="Flying",$S81="Poison",$S81="Psychic"),1,0))))</f>
        <v>1</v>
      </c>
      <c r="AI81" s="507" t="n">
        <f aca="false">SUM(IF(OR($R81="Bug",$R81="Grass",$R81="Ice",$R81="Steel"),0-1,IF(OR($R81="Dragon",$R81="Fire",$R81="Rock",$R81="Water"),1,0)),IF(OR($S81="Bug",$S81="Grass",$S81="Ice",$S81="Steel"),0-1,IF(OR($S81="Dragon",$S81="Fire",$S81="Rock",$S81="Water"),1,0)))</f>
        <v>0</v>
      </c>
      <c r="AJ81" s="507" t="n">
        <f aca="false">SUM(IF(OR($R81="Bug",$R81="Grass",$R81="Fighting"),0-1,IF(OR($R81="Electric",$R81="Rock",$R81="Steel"),1,0)),IF(OR($S81="Bug",$S81="Grass",$S81="Fighting"),0-1,IF(OR($S81="Electric",$S81="Rock",$S81="Steel"),1,0)))</f>
        <v>0</v>
      </c>
      <c r="AK81" s="507" t="n">
        <f aca="false">IF(OR($R81="Normal",$S81="Normal"),4,SUM(IF(OR($R81="Ghost",$R81="Psychic"),0-1,IF($R81="Dark",1,0)),IF(OR($S81="Ghost",$S81="Psychic"),0-1,IF($S81="Dark",1,0))))</f>
        <v>0</v>
      </c>
      <c r="AL81" s="507" t="n">
        <f aca="false">SUM(IF(OR($R81="Ground",$R81="Rock",$R81="Water"),0-1,IF(OR($R81="Bug",$R81="Flying",$R81="Fire",$R81="Dragon",$R81="Poison",$R81="Steel",$R81="Grass"),1,0)),IF(OR($S81="Ground",$S81="Rock",$S81="Water"),0-1,IF(OR($S81="Bug",$S81="Flying",$S81="Fire",$S81="Dragon",$S81="Poison",$S81="Steel",$S81="Grass"),1,0)))</f>
        <v>0</v>
      </c>
      <c r="AM81" s="507" t="n">
        <f aca="false">IF(OR($R81="Flying",$S81="Flying"),4,SUM(IF(OR($R81="Electric",$R81="Fire",$R81="Rock",$R81="Steel",$R81="Poison"),0-1,IF(OR($R81="Bug",$R81="Grass"),1,0)),IF(OR($S81="Electric",$S81="Fire",$S81="Rock",$S81="Steel",$S81="Poison"),0-1,IF(OR($S81="Bug",$S81="Grass"),1,0))))</f>
        <v>0</v>
      </c>
      <c r="AN81" s="507" t="n">
        <f aca="false">SUM(IF(OR($R81="Flying",$R81="Dragon",$R81="Grass",$R81="Ground"),0-1,IF(OR($R81="Steel",$R81="Ice",$R81="Fire",$R81="Water"),1,0)),IF(OR($S81="Flying",$S81="Dragon",$S81="Grass",$S81="Ground"),0-1,IF(OR($S81="Steel",$S81="Ice",$S81="Fire",$S81="Water"),1,0)))</f>
        <v>0</v>
      </c>
      <c r="AO81" s="507" t="n">
        <f aca="false">IF(OR($R81="Ghost",$S81="Ghost"),4,SUM(IF(OR($R81="Steel",$R81="Rock"),1,0),IF(OR($S81="Steel",$S81="Rock"),1,0)))</f>
        <v>0</v>
      </c>
      <c r="AP81" s="507" t="n">
        <f aca="false">IF(OR($R81="Steel",$S81="Steel"),4,SUM(IF(OR($R81="Fairy",$R81="Grass"),0-1,IF(OR($R81="Ghost",$R81="Rock",$R81="Ground",$R81="Poison"),1,0)),IF(OR($S81="Fairy",$S81="Grass"),0-1,IF(OR($S81="Ghost",$S81="Rock",$S81="Ground",$S81="Poison"),1,0))))</f>
        <v>-1</v>
      </c>
      <c r="AQ81" s="507" t="n">
        <f aca="false">IF(OR($R81="Dark",$S81="Dark"),4,SUM(IF(OR($R81="Fighting",$R81="Poison"),0-1,IF(OR($R81="Psychic",$R81="Steel"),1,0)),IF(OR($S81="Fighting",$S81="Poison"),0-1,IF(OR($S81="Psychic",$S81="Steel"),1,0))))</f>
        <v>0</v>
      </c>
      <c r="AR81" s="507" t="n">
        <f aca="false">SUM(IF(OR($R81="Bug",$R81="Fire",$R81="Flying",$R81="Ice"),0-1,IF(OR($R81="Steel",$R81="Fighting",$R81="Ground"),1,0)),IF(OR($S81="Bug",$S81="Fire",$S81="Flying",$S81="Ice"),0-1,IF(OR($S81="Steel",$S81="Fighting",$S81="Ground"),1,0)))</f>
        <v>0</v>
      </c>
      <c r="AS81" s="507" t="n">
        <f aca="false">SUM(IF(OR($R81="Fairy",$R81="Ice",$R81="Rock"),0-1,IF(OR($R81="Steel",$R81="Electric",$R81="Fire",$R81="Water"),1,0)),IF(OR($S81="Fairy",$S81="Ice",$S81="Rock"),0-1,IF(OR($S81="Steel",$S81="Electric",$S81="Fire",$S81="Water"),1,0)))</f>
        <v>-1</v>
      </c>
      <c r="AT81" s="508" t="n">
        <f aca="false">SUM(IF(OR($R81="Fire",$R81="Ground",$R81="Rock"),0-1,IF(OR($R81="Dragon",$R81="Grass",$R81="Water"),1,0)),IF(OR($S81="Fire",$S81="Ground",$S81="Rock"),0-1,IF(OR($S81="Dragon",$S81="Grass",$S81="Water"),1,0)))</f>
        <v>0</v>
      </c>
      <c r="AU81" s="518"/>
    </row>
    <row r="82" customFormat="false" ht="15.75" hidden="false" customHeight="false" outlineLevel="0" collapsed="false">
      <c r="A82" s="510" t="str">
        <f aca="false" t="array" ref="A82:A82">IF(ISNA(INDEX(Source!$U$7:$U$95,MATCH(B82,Source!$V$7:$V$95,0))),"FREE",INDEX(Source!$U$7:$U$95,MATCH(B82,Source!$V$7:$V$95,0)))</f>
        <v>FREE</v>
      </c>
      <c r="B82" s="511" t="s">
        <v>744</v>
      </c>
      <c r="C82" s="511"/>
      <c r="D82" s="511"/>
      <c r="E82" s="499" t="str">
        <f aca="false">IF(SUM($W82:$X82)&gt;0,SUM($W82:$X82),IF($H82&gt;0,0,IF($H82&gt;0,0,"-")))</f>
        <v>-</v>
      </c>
      <c r="F82" s="499" t="str">
        <f aca="false">IF(SUM($Y82:$Z82)&gt;0,SUM($Y82:$Z82),IF($H82&gt;0,0,"-"))</f>
        <v>-</v>
      </c>
      <c r="G82" s="499" t="str">
        <f aca="false">IF($H82&gt;0,minus(E82,F82),"-")</f>
        <v>-</v>
      </c>
      <c r="H82" s="500" t="n">
        <f aca="false">SUM(COUNTIF(MatchSource!$A:$A,$B82),COUNTIF(MatchSource!$H:$H,$B82))</f>
        <v>0</v>
      </c>
      <c r="I82" s="501" t="n">
        <f aca="false">SUM($AA82:$AB82)</f>
        <v>0</v>
      </c>
      <c r="J82" s="501" t="s">
        <v>702</v>
      </c>
      <c r="K82" s="512" t="str">
        <f aca="false" t="array" ref="K82:K82">IF(ISNA(INDEX(DraftRosters!$AA$3:$AA$199,MATCH($B82,DraftRosters!$AB$3:$AB$199,0))),"FA",IF(INDEX(DraftRosters!$AA$3:$AA$199,MATCH($B82,DraftRosters!$AB$3:$AB$199,0))="Franchise","Franch",INDEX(DraftRosters!$AA$3:$AA$199,MATCH($B82,DraftRosters!$AB$3:$AB$199,0))))</f>
        <v>FA</v>
      </c>
      <c r="L82" s="499" t="n">
        <v>70</v>
      </c>
      <c r="M82" s="499" t="n">
        <v>45</v>
      </c>
      <c r="N82" s="499" t="n">
        <v>48</v>
      </c>
      <c r="O82" s="499" t="n">
        <v>60</v>
      </c>
      <c r="P82" s="499" t="n">
        <v>65</v>
      </c>
      <c r="Q82" s="501" t="n">
        <v>35</v>
      </c>
      <c r="R82" s="499" t="s">
        <v>798</v>
      </c>
      <c r="S82" s="501"/>
      <c r="T82" s="504" t="s">
        <v>922</v>
      </c>
      <c r="U82" s="505" t="s">
        <v>830</v>
      </c>
      <c r="V82" s="506" t="s">
        <v>923</v>
      </c>
      <c r="W82" s="500" t="str">
        <f aca="false">IFERROR(__xludf.dummyfunction("if(isna(SUM(FILTER(MatchSource!$A:$D,MatchSource!$A:$A=$B82))),0,SUM(FILTER(MatchSource!$A:$D,MatchSource!$A:$A=$B82)))"),"0")</f>
        <v>0</v>
      </c>
      <c r="X82" s="499" t="str">
        <f aca="false">IFERROR(__xludf.dummyfunction("if(isna(SUM(FILTER(MatchSource!$H:$K,MatchSource!$H:$H=$B82))),0,SUM(FILTER(MatchSource!$H:$K,MatchSource!$H:$H=$B82)))"),"0")</f>
        <v>0</v>
      </c>
      <c r="Y82" s="499" t="str">
        <f aca="false">IFERROR(__xludf.dummyfunction("if(isna(ABS(MINUS(SUM(FILTER(MatchSource!$A:$E,MatchSource!$A:$A=$B82)),SUM($W82)))),0,ABS(MINUS(SUM(FILTER(MatchSource!$A:$E,MatchSource!$A:$A=$B82)),SUM($W82))))"),"0")</f>
        <v>0</v>
      </c>
      <c r="Z82" s="499" t="str">
        <f aca="false">IFERROR(__xludf.dummyfunction("if(isna(ABS(MINUS(SUM(FILTER(MatchSource!$H:$L,MatchSource!$H:$H=$B82)),SUM($X82)))),0,ABS(MINUS(SUM(FILTER(MatchSource!$H:$L,MatchSource!$H:$H=$B82)),SUM($X82))))"),"0")</f>
        <v>0</v>
      </c>
      <c r="AA82" s="499" t="str">
        <f aca="false">IFERROR(__xludf.dummyfunction("if(isna(ABS(MINUS(SUM(FILTER(MatchSource!$A:$F,MatchSource!$A:$A=$B82)),SUM($W82,$Y82)))),0,ABS(MINUS(SUM(FILTER(MatchSource!$A:$F,MatchSource!$A:$A=$B82)),SUM($W82, $Y82,))))"),"0")</f>
        <v>0</v>
      </c>
      <c r="AB82" s="501" t="str">
        <f aca="false">IFERROR(__xludf.dummyfunction("if(isna(ABS(MINUS(SUM(FILTER(MatchSource!$H:$M,MatchSource!$H:$H=$B82)),SUM($X82,$Z82)))),0,ABS(MINUS(SUM(FILTER(MatchSource!$H:$M,MatchSource!$H:$H=$B82)),SUM($X82,$Z82))))"),"0")</f>
        <v>0</v>
      </c>
      <c r="AC82" s="507" t="n">
        <f aca="false">SUM(IF(OR($R82="Grass",$R82="Psychic",$R82="Dark"),0-1,IF(OR($R82="Fighting",$R82="Flying",$R82="Fire",$R82="Ghost",$R82="Poison",$R82="Steel",$R82="Fairy"),1,0)),IF(OR($S82="Grass",$S82="Psychic",$S82="Dark"),0-1,IF(OR($S82="Fighting",$S82="Flying",$S82="Fire",$S82="Ghost",$S82="Poison",$S82="Steel",$S82="Fairy"),1,0)))</f>
        <v>1</v>
      </c>
      <c r="AD82" s="507" t="n">
        <f aca="false">SUM(IF(OR($R82="Ghost",$R82="Psychic"),0-1,IF(OR($R82="Fighting",$R82="Dark",$R82="Fairy"),1,0)),IF(OR($S82="Ghost",$S82="Psychic"),0-1,IF(OR($S82="Fighting",$S82="Dark",$S82="Fairy"),1,0)))</f>
        <v>1</v>
      </c>
      <c r="AE82" s="507" t="n">
        <f aca="false">IF(OR($R82="Fairy",$S82="Fairy"),4,SUM(IF($R82="Dragon",0-1,IF($R82="Steel",1,0)),IF($S82="Dragon",0-1,IF($S82="Steel",1,0))))</f>
        <v>4</v>
      </c>
      <c r="AF82" s="507" t="n">
        <f aca="false">IF(OR($R82="Ground",$S82="Ground"),4,SUM(IF(OR($R82="Flying",$R82="Water"),0-1,IF(OR($R82="Dragon",$R82="Electric",$R82="Grass"),1,0)),IF(OR($S82="Flying",$S82="Water"),0-1,IF(OR($S82="Dragon",$S82="Electric",$S82="Grass"),1,0))))</f>
        <v>0</v>
      </c>
      <c r="AG82" s="507" t="n">
        <f aca="false">SUM(IF(OR($R82="Dark",$R82="Dragon",$R82="Fighting"),0-1,IF(OR($R82="Steel",$R82="Poison",$R82="Fire"),1,0)),IF(OR($S82="Dark",$S82="Dragon",$S82="Fighting"),0-1,IF(OR($S82="Steel",$S82="Poison",$S82="Fire"),1,0)))</f>
        <v>0</v>
      </c>
      <c r="AH82" s="507" t="n">
        <f aca="false">IF(OR($R82="Ghost",$S82="Ghost"),4,SUM(IF(OR($R82="Dark",$R82="Ice",$R82="Normal",$R82="Rock",$R82="Steel"),0-1,IF(OR($R82="Bug",$R82="Fairy",$R82="Flying",$R82="Poison",$R82="Psychic"),1,0)),IF(OR($S82="Dark",$S82="Ice",$S82="Normal",$S82="Rock",$S82="Steel"),0-1,IF(OR($S82="Bug",$S82="Fairy",$S82="Flying",$S82="Poison",$S82="Psychic"),1,0))))</f>
        <v>1</v>
      </c>
      <c r="AI82" s="507" t="n">
        <f aca="false">SUM(IF(OR($R82="Bug",$R82="Grass",$R82="Ice",$R82="Steel"),0-1,IF(OR($R82="Dragon",$R82="Fire",$R82="Rock",$R82="Water"),1,0)),IF(OR($S82="Bug",$S82="Grass",$S82="Ice",$S82="Steel"),0-1,IF(OR($S82="Dragon",$S82="Fire",$S82="Rock",$S82="Water"),1,0)))</f>
        <v>0</v>
      </c>
      <c r="AJ82" s="507" t="n">
        <f aca="false">SUM(IF(OR($R82="Bug",$R82="Grass",$R82="Fighting"),0-1,IF(OR($R82="Electric",$R82="Rock",$R82="Steel"),1,0)),IF(OR($S82="Bug",$S82="Grass",$S82="Fighting"),0-1,IF(OR($S82="Electric",$S82="Rock",$S82="Steel"),1,0)))</f>
        <v>0</v>
      </c>
      <c r="AK82" s="507" t="n">
        <f aca="false">IF(OR($R82="Normal",$S82="Normal"),4,SUM(IF(OR($R82="Ghost",$R82="Psychic"),0-1,IF($R82="Dark",1,0)),IF(OR($S82="Ghost",$S82="Psychic"),0-1,IF($S82="Dark",1,0))))</f>
        <v>0</v>
      </c>
      <c r="AL82" s="507" t="n">
        <f aca="false">SUM(IF(OR($R82="Ground",$R82="Rock",$R82="Water"),0-1,IF(OR($R82="Bug",$R82="Flying",$R82="Fire",$R82="Dragon",$R82="Poison",$R82="Steel",$R82="Grass"),1,0)),IF(OR($S82="Ground",$S82="Rock",$S82="Water"),0-1,IF(OR($S82="Bug",$S82="Flying",$S82="Fire",$S82="Dragon",$S82="Poison",$S82="Steel",$S82="Grass"),1,0)))</f>
        <v>0</v>
      </c>
      <c r="AM82" s="507" t="n">
        <f aca="false">IF(OR($R82="Flying",$S82="Flying"),4,SUM(IF(OR($R82="Electric",$R82="Fire",$R82="Rock",$R82="Steel",$R82="Poison"),0-1,IF(OR($R82="Bug",$R82="Grass"),1,0)),IF(OR($S82="Electric",$S82="Fire",$S82="Rock",$S82="Steel",$S82="Poison"),0-1,IF(OR($S82="Bug",$S82="Grass"),1,0))))</f>
        <v>0</v>
      </c>
      <c r="AN82" s="507" t="n">
        <f aca="false">SUM(IF(OR($R82="Flying",$R82="Dragon",$R82="Grass",$R82="Ground"),0-1,IF(OR($R82="Steel",$R82="Ice",$R82="Fire",$R82="Water"),1,0)),IF(OR($S82="Flying",$S82="Dragon",$S82="Grass",$S82="Ground"),0-1,IF(OR($S82="Steel",$S82="Ice",$S82="Fire",$S82="Water"),1,0)))</f>
        <v>0</v>
      </c>
      <c r="AO82" s="507" t="n">
        <f aca="false">IF(OR($R82="Ghost",$S82="Ghost"),4,SUM(IF(OR($R82="Steel",$R82="Rock"),1,0),IF(OR($S82="Steel",$S82="Rock"),1,0)))</f>
        <v>0</v>
      </c>
      <c r="AP82" s="507" t="n">
        <f aca="false">IF(OR($R82="Steel",$S82="Steel"),4,SUM(IF(OR($R82="Fairy",$R82="Grass"),0-1,IF(OR($R82="Ghost",$R82="Rock",$R82="Ground",$R82="Poison"),1,0)),IF(OR($S82="Fairy",$S82="Grass"),0-1,IF(OR($S82="Ghost",$S82="Rock",$S82="Ground",$S82="Poison"),1,0))))</f>
        <v>-1</v>
      </c>
      <c r="AQ82" s="507" t="n">
        <f aca="false">IF(OR($R82="Dark",$S82="Dark"),4,SUM(IF(OR($R82="Fighting",$R82="Poison"),0-1,IF(OR($R82="Psychic",$R82="Steel"),1,0)),IF(OR($S82="Fighting",$S82="Poison"),0-1,IF(OR($S82="Psychic",$S82="Steel"),1,0))))</f>
        <v>0</v>
      </c>
      <c r="AR82" s="507" t="n">
        <f aca="false">SUM(IF(OR($R82="Bug",$R82="Fire",$R82="Flying",$R82="Ice"),0-1,IF(OR($R82="Steel",$R82="Fighting",$R82="Ground"),1,0)),IF(OR($S82="Bug",$S82="Fire",$S82="Flying",$S82="Ice"),0-1,IF(OR($S82="Steel",$S82="Fighting",$S82="Ground"),1,0)))</f>
        <v>0</v>
      </c>
      <c r="AS82" s="507" t="n">
        <f aca="false">SUM(IF(OR($R82="Fairy",$R82="Ice",$R82="Rock"),0-1,IF(OR($R82="Steel",$R82="Electric",$R82="Fire",$R82="Water"),1,0)),IF(OR($S82="Fairy",$S82="Ice",$S82="Rock"),0-1,IF(OR($S82="Steel",$S82="Electric",$S82="Fire",$S82="Water"),1,0)))</f>
        <v>-1</v>
      </c>
      <c r="AT82" s="508" t="n">
        <f aca="false">SUM(IF(OR($R82="Fire",$R82="Ground",$R82="Rock"),0-1,IF(OR($R82="Dragon",$R82="Grass",$R82="Water"),1,0)),IF(OR($S82="Fire",$S82="Ground",$S82="Rock"),0-1,IF(OR($S82="Dragon",$S82="Grass",$S82="Water"),1,0)))</f>
        <v>0</v>
      </c>
      <c r="AU82" s="518"/>
    </row>
    <row r="83" customFormat="false" ht="15.75" hidden="false" customHeight="false" outlineLevel="0" collapsed="false">
      <c r="A83" s="510" t="str">
        <f aca="false" t="array" ref="A83:A83">IF(ISNA(INDEX(Source!$U$7:$U$95,MATCH(B83,Source!$V$7:$V$95,0))),"FREE",INDEX(Source!$U$7:$U$95,MATCH(B83,Source!$V$7:$V$95,0)))</f>
        <v>BTB</v>
      </c>
      <c r="B83" s="511" t="s">
        <v>247</v>
      </c>
      <c r="C83" s="511"/>
      <c r="D83" s="511"/>
      <c r="E83" s="499" t="str">
        <f aca="false">IF(SUM($W83:$X83)&gt;0,SUM($W83:$X83),IF($H83&gt;0,0,IF($H83&gt;0,0,"-")))</f>
        <v>-</v>
      </c>
      <c r="F83" s="499" t="str">
        <f aca="false">IF(SUM($Y83:$Z83)&gt;0,SUM($Y83:$Z83),IF($H83&gt;0,0,"-"))</f>
        <v>-</v>
      </c>
      <c r="G83" s="499" t="str">
        <f aca="false">IF($H83&gt;0,minus(E83,F83),"-")</f>
        <v>-</v>
      </c>
      <c r="H83" s="500" t="n">
        <f aca="false">SUM(COUNTIF(MatchSource!$A:$A,$B83),COUNTIF(MatchSource!$H:$H,$B83))</f>
        <v>0</v>
      </c>
      <c r="I83" s="501" t="n">
        <f aca="false">SUM($AA83:$AB83)</f>
        <v>0</v>
      </c>
      <c r="J83" s="501" t="s">
        <v>700</v>
      </c>
      <c r="K83" s="512" t="n">
        <f aca="false" t="array" ref="K83:K83">IF(ISNA(INDEX(DraftRosters!$AA$3:$AA$199,MATCH($B83,DraftRosters!$AB$3:$AB$199,0))),"FA",IF(INDEX(DraftRosters!$AA$3:$AA$199,MATCH($B83,DraftRosters!$AB$3:$AB$199,0))="Franchise","Franch",INDEX(DraftRosters!$AA$3:$AA$199,MATCH($B83,DraftRosters!$AB$3:$AB$199,0))))</f>
        <v>39</v>
      </c>
      <c r="L83" s="499" t="n">
        <v>50</v>
      </c>
      <c r="M83" s="499" t="n">
        <v>95</v>
      </c>
      <c r="N83" s="499" t="n">
        <v>180</v>
      </c>
      <c r="O83" s="499" t="n">
        <v>85</v>
      </c>
      <c r="P83" s="499" t="n">
        <v>45</v>
      </c>
      <c r="Q83" s="501" t="n">
        <v>70</v>
      </c>
      <c r="R83" s="499" t="s">
        <v>805</v>
      </c>
      <c r="S83" s="501" t="s">
        <v>811</v>
      </c>
      <c r="T83" s="504" t="s">
        <v>924</v>
      </c>
      <c r="U83" s="505" t="s">
        <v>841</v>
      </c>
      <c r="V83" s="506" t="s">
        <v>925</v>
      </c>
      <c r="W83" s="500" t="str">
        <f aca="false">IFERROR(__xludf.dummyfunction("if(isna(SUM(FILTER(MatchSource!$A:$D,MatchSource!$A:$A=$B83))),0,SUM(FILTER(MatchSource!$A:$D,MatchSource!$A:$A=$B83)))"),"0")</f>
        <v>0</v>
      </c>
      <c r="X83" s="499" t="str">
        <f aca="false">IFERROR(__xludf.dummyfunction("if(isna(SUM(FILTER(MatchSource!$H:$K,MatchSource!$H:$H=$B83))),0,SUM(FILTER(MatchSource!$H:$K,MatchSource!$H:$H=$B83)))"),"0")</f>
        <v>0</v>
      </c>
      <c r="Y83" s="499" t="str">
        <f aca="false">IFERROR(__xludf.dummyfunction("if(isna(ABS(MINUS(SUM(FILTER(MatchSource!$A:$E,MatchSource!$A:$A=$B83)),SUM($W83)))),0,ABS(MINUS(SUM(FILTER(MatchSource!$A:$E,MatchSource!$A:$A=$B83)),SUM($W83))))"),"0")</f>
        <v>0</v>
      </c>
      <c r="Z83" s="499" t="str">
        <f aca="false">IFERROR(__xludf.dummyfunction("if(isna(ABS(MINUS(SUM(FILTER(MatchSource!$H:$L,MatchSource!$H:$H=$B83)),SUM($X83)))),0,ABS(MINUS(SUM(FILTER(MatchSource!$H:$L,MatchSource!$H:$H=$B83)),SUM($X83))))"),"0")</f>
        <v>0</v>
      </c>
      <c r="AA83" s="499" t="str">
        <f aca="false">IFERROR(__xludf.dummyfunction("if(isna(ABS(MINUS(SUM(FILTER(MatchSource!$A:$F,MatchSource!$A:$A=$B83)),SUM($W83,$Y83)))),0,ABS(MINUS(SUM(FILTER(MatchSource!$A:$F,MatchSource!$A:$A=$B83)),SUM($W83, $Y83,))))"),"0")</f>
        <v>0</v>
      </c>
      <c r="AB83" s="501" t="str">
        <f aca="false">IFERROR(__xludf.dummyfunction("if(isna(ABS(MINUS(SUM(FILTER(MatchSource!$H:$M,MatchSource!$H:$H=$B83)),SUM($X83,$Z83)))),0,ABS(MINUS(SUM(FILTER(MatchSource!$H:$M,MatchSource!$H:$H=$B83)),SUM($X83,$Z83))))"),"0")</f>
        <v>0</v>
      </c>
      <c r="AC83" s="507" t="n">
        <f aca="false">SUM(IF(OR($R83="Grass",$R83="Psychic",$R83="Dark"),0-1,IF(OR($R83="Fighting",$R83="Flying",$R83="Fire",$R83="Ghost",$R83="Poison",$R83="Steel",$R83="Fairy"),1,0)),IF(OR($S83="Grass",$S83="Psychic",$S83="Dark"),0-1,IF(OR($S83="Fighting",$S83="Flying",$S83="Fire",$S83="Ghost",$S83="Poison",$S83="Steel",$S83="Fairy"),1,0)))</f>
        <v>0</v>
      </c>
      <c r="AD83" s="507" t="n">
        <f aca="false">SUM(IF(OR($R83="Ghost",$R83="Psychic"),0-1,IF(OR($R83="Fighting",$R83="Dark",$R83="Fairy"),1,0)),IF(OR($S83="Ghost",$S83="Psychic"),0-1,IF(OR($S83="Fighting",$S83="Dark",$S83="Fairy"),1,0)))</f>
        <v>0</v>
      </c>
      <c r="AE83" s="507" t="n">
        <f aca="false">IF(OR($R83="Fairy",$S83="Fairy"),4,SUM(IF($R83="Dragon",0-1,IF($R83="Steel",1,0)),IF($S83="Dragon",0-1,IF($S83="Steel",1,0))))</f>
        <v>0</v>
      </c>
      <c r="AF83" s="507" t="n">
        <f aca="false">IF(OR($R83="Ground",$S83="Ground"),4,SUM(IF(OR($R83="Flying",$R83="Water"),0-1,IF(OR($R83="Dragon",$R83="Electric",$R83="Grass"),1,0)),IF(OR($S83="Flying",$S83="Water"),0-1,IF(OR($S83="Dragon",$S83="Electric",$S83="Grass"),1,0))))</f>
        <v>-1</v>
      </c>
      <c r="AG83" s="507" t="n">
        <f aca="false">SUM(IF(OR($R83="Dark",$R83="Dragon",$R83="Fighting"),0-1,IF(OR($R83="Steel",$R83="Poison",$R83="Fire"),1,0)),IF(OR($S83="Dark",$S83="Dragon",$S83="Fighting"),0-1,IF(OR($S83="Steel",$S83="Poison",$S83="Fire"),1,0)))</f>
        <v>0</v>
      </c>
      <c r="AH83" s="507" t="n">
        <f aca="false">IF(OR($R83="Ghost",$S83="Ghost"),4,SUM(IF(OR($R83="Dark",$R83="Ice",$R83="Normal",$R83="Rock",$R83="Steel"),0-1,IF(OR($R83="Bug",$R83="Fairy",$R83="Flying",$R83="Poison",$R83="Psychic"),1,0)),IF(OR($S83="Dark",$S83="Ice",$S83="Normal",$S83="Rock",$S83="Steel"),0-1,IF(OR($S83="Bug",$S83="Fairy",$S83="Flying",$S83="Poison",$S83="Psychic"),1,0))))</f>
        <v>-1</v>
      </c>
      <c r="AI83" s="507" t="n">
        <f aca="false">SUM(IF(OR($R83="Bug",$R83="Grass",$R83="Ice",$R83="Steel"),0-1,IF(OR($R83="Dragon",$R83="Fire",$R83="Rock",$R83="Water"),1,0)),IF(OR($S83="Bug",$S83="Grass",$S83="Ice",$S83="Steel"),0-1,IF(OR($S83="Dragon",$S83="Fire",$S83="Rock",$S83="Water"),1,0)))</f>
        <v>0</v>
      </c>
      <c r="AJ83" s="507" t="n">
        <f aca="false">SUM(IF(OR($R83="Bug",$R83="Grass",$R83="Fighting"),0-1,IF(OR($R83="Electric",$R83="Rock",$R83="Steel"),1,0)),IF(OR($S83="Bug",$S83="Grass",$S83="Fighting"),0-1,IF(OR($S83="Electric",$S83="Rock",$S83="Steel"),1,0)))</f>
        <v>0</v>
      </c>
      <c r="AK83" s="507" t="n">
        <f aca="false">IF(OR($R83="Normal",$S83="Normal"),4,SUM(IF(OR($R83="Ghost",$R83="Psychic"),0-1,IF($R83="Dark",1,0)),IF(OR($S83="Ghost",$S83="Psychic"),0-1,IF($S83="Dark",1,0))))</f>
        <v>0</v>
      </c>
      <c r="AL83" s="507" t="n">
        <f aca="false">SUM(IF(OR($R83="Ground",$R83="Rock",$R83="Water"),0-1,IF(OR($R83="Bug",$R83="Flying",$R83="Fire",$R83="Dragon",$R83="Poison",$R83="Steel",$R83="Grass"),1,0)),IF(OR($S83="Ground",$S83="Rock",$S83="Water"),0-1,IF(OR($S83="Bug",$S83="Flying",$S83="Fire",$S83="Dragon",$S83="Poison",$S83="Steel",$S83="Grass"),1,0)))</f>
        <v>-1</v>
      </c>
      <c r="AM83" s="507" t="n">
        <f aca="false">IF(OR($R83="Flying",$S83="Flying"),4,SUM(IF(OR($R83="Electric",$R83="Fire",$R83="Rock",$R83="Steel",$R83="Poison"),0-1,IF(OR($R83="Bug",$R83="Grass"),1,0)),IF(OR($S83="Electric",$S83="Fire",$S83="Rock",$S83="Steel",$S83="Poison"),0-1,IF(OR($S83="Bug",$S83="Grass"),1,0))))</f>
        <v>0</v>
      </c>
      <c r="AN83" s="507" t="n">
        <f aca="false">SUM(IF(OR($R83="Flying",$R83="Dragon",$R83="Grass",$R83="Ground"),0-1,IF(OR($R83="Steel",$R83="Ice",$R83="Fire",$R83="Water"),1,0)),IF(OR($S83="Flying",$S83="Dragon",$S83="Grass",$S83="Ground"),0-1,IF(OR($S83="Steel",$S83="Ice",$S83="Fire",$S83="Water"),1,0)))</f>
        <v>2</v>
      </c>
      <c r="AO83" s="507" t="n">
        <f aca="false">IF(OR($R83="Ghost",$S83="Ghost"),4,SUM(IF(OR($R83="Steel",$R83="Rock"),1,0),IF(OR($S83="Steel",$S83="Rock"),1,0)))</f>
        <v>0</v>
      </c>
      <c r="AP83" s="507" t="n">
        <f aca="false">IF(OR($R83="Steel",$S83="Steel"),4,SUM(IF(OR($R83="Fairy",$R83="Grass"),0-1,IF(OR($R83="Ghost",$R83="Rock",$R83="Ground",$R83="Poison"),1,0)),IF(OR($S83="Fairy",$S83="Grass"),0-1,IF(OR($S83="Ghost",$S83="Rock",$S83="Ground",$S83="Poison"),1,0))))</f>
        <v>0</v>
      </c>
      <c r="AQ83" s="507" t="n">
        <f aca="false">IF(OR($R83="Dark",$S83="Dark"),4,SUM(IF(OR($R83="Fighting",$R83="Poison"),0-1,IF(OR($R83="Psychic",$R83="Steel"),1,0)),IF(OR($S83="Fighting",$S83="Poison"),0-1,IF(OR($S83="Psychic",$S83="Steel"),1,0))))</f>
        <v>0</v>
      </c>
      <c r="AR83" s="507" t="n">
        <f aca="false">SUM(IF(OR($R83="Bug",$R83="Fire",$R83="Flying",$R83="Ice"),0-1,IF(OR($R83="Steel",$R83="Fighting",$R83="Ground"),1,0)),IF(OR($S83="Bug",$S83="Fire",$S83="Flying",$S83="Ice"),0-1,IF(OR($S83="Steel",$S83="Fighting",$S83="Ground"),1,0)))</f>
        <v>-1</v>
      </c>
      <c r="AS83" s="507" t="n">
        <f aca="false">SUM(IF(OR($R83="Fairy",$R83="Ice",$R83="Rock"),0-1,IF(OR($R83="Steel",$R83="Electric",$R83="Fire",$R83="Water"),1,0)),IF(OR($S83="Fairy",$S83="Ice",$S83="Rock"),0-1,IF(OR($S83="Steel",$S83="Electric",$S83="Fire",$S83="Water"),1,0)))</f>
        <v>0</v>
      </c>
      <c r="AT83" s="508" t="n">
        <f aca="false">SUM(IF(OR($R83="Fire",$R83="Ground",$R83="Rock"),0-1,IF(OR($R83="Dragon",$R83="Grass",$R83="Water"),1,0)),IF(OR($S83="Fire",$S83="Ground",$S83="Rock"),0-1,IF(OR($S83="Dragon",$S83="Grass",$S83="Water"),1,0)))</f>
        <v>1</v>
      </c>
      <c r="AU83" s="518"/>
    </row>
    <row r="84" customFormat="false" ht="15.75" hidden="false" customHeight="false" outlineLevel="0" collapsed="false">
      <c r="A84" s="510" t="str">
        <f aca="false" t="array" ref="A84:A84">IF(ISNA(INDEX(Source!$U$7:$U$95,MATCH(B84,Source!$V$7:$V$95,0))),"FREE",INDEX(Source!$U$7:$U$95,MATCH(B84,Source!$V$7:$V$95,0)))</f>
        <v>FREE</v>
      </c>
      <c r="B84" s="511" t="s">
        <v>351</v>
      </c>
      <c r="C84" s="511"/>
      <c r="D84" s="511"/>
      <c r="E84" s="499" t="str">
        <f aca="false">IF(SUM($W84:$X84)&gt;0,SUM($W84:$X84),IF($H84&gt;0,0,IF($H84&gt;0,0,"-")))</f>
        <v>-</v>
      </c>
      <c r="F84" s="499" t="str">
        <f aca="false">IF(SUM($Y84:$Z84)&gt;0,SUM($Y84:$Z84),IF($H84&gt;0,0,"-"))</f>
        <v>-</v>
      </c>
      <c r="G84" s="499" t="str">
        <f aca="false">IF($H84&gt;0,minus(E84,F84),"-")</f>
        <v>-</v>
      </c>
      <c r="H84" s="500" t="n">
        <f aca="false">SUM(COUNTIF(MatchSource!$A:$A,$B84),COUNTIF(MatchSource!$H:$H,$B84))</f>
        <v>0</v>
      </c>
      <c r="I84" s="501" t="n">
        <f aca="false">SUM($AA84:$AB84)</f>
        <v>0</v>
      </c>
      <c r="J84" s="501" t="s">
        <v>700</v>
      </c>
      <c r="K84" s="512" t="str">
        <f aca="false" t="array" ref="K84:K84">IF(ISNA(INDEX(DraftRosters!$AA$3:$AA$199,MATCH($B84,DraftRosters!$AB$3:$AB$199,0))),"FA",IF(INDEX(DraftRosters!$AA$3:$AA$199,MATCH($B84,DraftRosters!$AB$3:$AB$199,0))="Franchise","Franch",INDEX(DraftRosters!$AA$3:$AA$199,MATCH($B84,DraftRosters!$AB$3:$AB$199,0))))</f>
        <v>FA</v>
      </c>
      <c r="L84" s="507" t="n">
        <v>91</v>
      </c>
      <c r="M84" s="507" t="n">
        <v>90</v>
      </c>
      <c r="N84" s="507" t="n">
        <v>129</v>
      </c>
      <c r="O84" s="507" t="n">
        <v>90</v>
      </c>
      <c r="P84" s="507" t="n">
        <v>72</v>
      </c>
      <c r="Q84" s="508" t="n">
        <v>108</v>
      </c>
      <c r="R84" s="499" t="s">
        <v>881</v>
      </c>
      <c r="S84" s="501" t="s">
        <v>810</v>
      </c>
      <c r="T84" s="504" t="s">
        <v>815</v>
      </c>
      <c r="U84" s="505"/>
      <c r="V84" s="506"/>
      <c r="W84" s="500" t="str">
        <f aca="false">IFERROR(__xludf.dummyfunction("if(isna(SUM(FILTER(MatchSource!$A:$D,MatchSource!$A:$A=$B84))),0,SUM(FILTER(MatchSource!$A:$D,MatchSource!$A:$A=$B84)))"),"0")</f>
        <v>0</v>
      </c>
      <c r="X84" s="499" t="str">
        <f aca="false">IFERROR(__xludf.dummyfunction("if(isna(SUM(FILTER(MatchSource!$H:$K,MatchSource!$H:$H=$B84))),0,SUM(FILTER(MatchSource!$H:$K,MatchSource!$H:$H=$B84)))"),"0")</f>
        <v>0</v>
      </c>
      <c r="Y84" s="499" t="str">
        <f aca="false">IFERROR(__xludf.dummyfunction("if(isna(ABS(MINUS(SUM(FILTER(MatchSource!$A:$E,MatchSource!$A:$A=$B84)),SUM($W84)))),0,ABS(MINUS(SUM(FILTER(MatchSource!$A:$E,MatchSource!$A:$A=$B84)),SUM($W84))))"),"0")</f>
        <v>0</v>
      </c>
      <c r="Z84" s="499" t="str">
        <f aca="false">IFERROR(__xludf.dummyfunction("if(isna(ABS(MINUS(SUM(FILTER(MatchSource!$H:$L,MatchSource!$H:$H=$B84)),SUM($X84)))),0,ABS(MINUS(SUM(FILTER(MatchSource!$H:$L,MatchSource!$H:$H=$B84)),SUM($X84))))"),"0")</f>
        <v>0</v>
      </c>
      <c r="AA84" s="499" t="str">
        <f aca="false">IFERROR(__xludf.dummyfunction("if(isna(ABS(MINUS(SUM(FILTER(MatchSource!$A:$F,MatchSource!$A:$A=$B84)),SUM($W84,$Y84)))),0,ABS(MINUS(SUM(FILTER(MatchSource!$A:$F,MatchSource!$A:$A=$B84)),SUM($W84, $Y84,))))"),"0")</f>
        <v>0</v>
      </c>
      <c r="AB84" s="501" t="str">
        <f aca="false">IFERROR(__xludf.dummyfunction("if(isna(ABS(MINUS(SUM(FILTER(MatchSource!$H:$M,MatchSource!$H:$H=$B84)),SUM($X84,$Z84)))),0,ABS(MINUS(SUM(FILTER(MatchSource!$H:$M,MatchSource!$H:$H=$B84)),SUM($X84,$Z84))))"),"0")</f>
        <v>0</v>
      </c>
      <c r="AC84" s="507" t="n">
        <f aca="false">SUM(IF(OR($R84="Grass",$R84="Psychic",$R84="Dark"),0-1,IF(OR($R84="Fighting",$R84="Flying",$R84="Fire",$R84="Ghost",$R84="Poison",$R84="Steel",$R84="Fairy"),1,0)),IF(OR($S84="Grass",$S84="Psychic",$S84="Dark"),0-1,IF(OR($S84="Fighting",$S84="Flying",$S84="Fire",$S84="Ghost",$S84="Poison",$S84="Steel",$S84="Fairy"),1,0)))</f>
        <v>2</v>
      </c>
      <c r="AD84" s="507" t="n">
        <f aca="false">SUM(IF(OR($R84="Ghost",$R84="Psychic"),0-1,IF(OR($R84="Fighting",$R84="Dark",$R84="Fairy"),1,0)),IF(OR($S84="Ghost",$S84="Psychic"),0-1,IF(OR($S84="Fighting",$S84="Dark",$S84="Fairy"),1,0)))</f>
        <v>1</v>
      </c>
      <c r="AE84" s="507" t="n">
        <f aca="false">IF(OR($R84="Fairy",$S84="Fairy"),4,SUM(IF($R84="Dragon",0-1,IF($R84="Steel",1,0)),IF($S84="Dragon",0-1,IF($S84="Steel",1,0))))</f>
        <v>1</v>
      </c>
      <c r="AF84" s="507" t="n">
        <f aca="false">IF(OR($R84="Ground",$S84="Ground"),4,SUM(IF(OR($R84="Flying",$R84="Water"),0-1,IF(OR($R84="Dragon",$R84="Electric",$R84="Grass"),1,0)),IF(OR($S84="Flying",$S84="Water"),0-1,IF(OR($S84="Dragon",$S84="Electric",$S84="Grass"),1,0))))</f>
        <v>0</v>
      </c>
      <c r="AG84" s="507" t="n">
        <f aca="false">SUM(IF(OR($R84="Dark",$R84="Dragon",$R84="Fighting"),0-1,IF(OR($R84="Steel",$R84="Poison",$R84="Fire"),1,0)),IF(OR($S84="Dark",$S84="Dragon",$S84="Fighting"),0-1,IF(OR($S84="Steel",$S84="Poison",$S84="Fire"),1,0)))</f>
        <v>0</v>
      </c>
      <c r="AH84" s="507" t="n">
        <f aca="false">IF(OR($R84="Ghost",$S84="Ghost"),4,SUM(IF(OR($R84="Dark",$R84="Ice",$R84="Normal",$R84="Rock",$R84="Steel"),0-1,IF(OR($R84="Bug",$R84="Fairy",$R84="Flying",$R84="Poison",$R84="Psychic"),1,0)),IF(OR($S84="Dark",$S84="Ice",$S84="Normal",$S84="Rock",$S84="Steel"),0-1,IF(OR($S84="Bug",$S84="Fairy",$S84="Flying",$S84="Poison",$S84="Psychic"),1,0))))</f>
        <v>-1</v>
      </c>
      <c r="AI84" s="507" t="n">
        <f aca="false">SUM(IF(OR($R84="Bug",$R84="Grass",$R84="Ice",$R84="Steel"),0-1,IF(OR($R84="Dragon",$R84="Fire",$R84="Rock",$R84="Water"),1,0)),IF(OR($S84="Bug",$S84="Grass",$S84="Ice",$S84="Steel"),0-1,IF(OR($S84="Dragon",$S84="Fire",$S84="Rock",$S84="Water"),1,0)))</f>
        <v>-1</v>
      </c>
      <c r="AJ84" s="507" t="n">
        <f aca="false">SUM(IF(OR($R84="Bug",$R84="Grass",$R84="Fighting"),0-1,IF(OR($R84="Electric",$R84="Rock",$R84="Steel"),1,0)),IF(OR($S84="Bug",$S84="Grass",$S84="Fighting"),0-1,IF(OR($S84="Electric",$S84="Rock",$S84="Steel"),1,0)))</f>
        <v>0</v>
      </c>
      <c r="AK84" s="507" t="n">
        <f aca="false">IF(OR($R84="Normal",$S84="Normal"),4,SUM(IF(OR($R84="Ghost",$R84="Psychic"),0-1,IF($R84="Dark",1,0)),IF(OR($S84="Ghost",$S84="Psychic"),0-1,IF($S84="Dark",1,0))))</f>
        <v>0</v>
      </c>
      <c r="AL84" s="507" t="n">
        <f aca="false">SUM(IF(OR($R84="Ground",$R84="Rock",$R84="Water"),0-1,IF(OR($R84="Bug",$R84="Flying",$R84="Fire",$R84="Dragon",$R84="Poison",$R84="Steel",$R84="Grass"),1,0)),IF(OR($S84="Ground",$S84="Rock",$S84="Water"),0-1,IF(OR($S84="Bug",$S84="Flying",$S84="Fire",$S84="Dragon",$S84="Poison",$S84="Steel",$S84="Grass"),1,0)))</f>
        <v>1</v>
      </c>
      <c r="AM84" s="507" t="n">
        <f aca="false">IF(OR($R84="Flying",$S84="Flying"),4,SUM(IF(OR($R84="Electric",$R84="Fire",$R84="Rock",$R84="Steel",$R84="Poison"),0-1,IF(OR($R84="Bug",$R84="Grass"),1,0)),IF(OR($S84="Electric",$S84="Fire",$S84="Rock",$S84="Steel",$S84="Poison"),0-1,IF(OR($S84="Bug",$S84="Grass"),1,0))))</f>
        <v>-1</v>
      </c>
      <c r="AN84" s="507" t="n">
        <f aca="false">SUM(IF(OR($R84="Flying",$R84="Dragon",$R84="Grass",$R84="Ground"),0-1,IF(OR($R84="Steel",$R84="Ice",$R84="Fire",$R84="Water"),1,0)),IF(OR($S84="Flying",$S84="Dragon",$S84="Grass",$S84="Ground"),0-1,IF(OR($S84="Steel",$S84="Ice",$S84="Fire",$S84="Water"),1,0)))</f>
        <v>1</v>
      </c>
      <c r="AO84" s="507" t="n">
        <f aca="false">IF(OR($R84="Ghost",$S84="Ghost"),4,SUM(IF(OR($R84="Steel",$R84="Rock"),1,0),IF(OR($S84="Steel",$S84="Rock"),1,0)))</f>
        <v>1</v>
      </c>
      <c r="AP84" s="507" t="n">
        <f aca="false">IF(OR($R84="Steel",$S84="Steel"),4,SUM(IF(OR($R84="Fairy",$R84="Grass"),0-1,IF(OR($R84="Ghost",$R84="Rock",$R84="Ground",$R84="Poison"),1,0)),IF(OR($S84="Fairy",$S84="Grass"),0-1,IF(OR($S84="Ghost",$S84="Rock",$S84="Ground",$S84="Poison"),1,0))))</f>
        <v>4</v>
      </c>
      <c r="AQ84" s="507" t="n">
        <f aca="false">IF(OR($R84="Dark",$S84="Dark"),4,SUM(IF(OR($R84="Fighting",$R84="Poison"),0-1,IF(OR($R84="Psychic",$R84="Steel"),1,0)),IF(OR($S84="Fighting",$S84="Poison"),0-1,IF(OR($S84="Psychic",$S84="Steel"),1,0))))</f>
        <v>0</v>
      </c>
      <c r="AR84" s="507" t="n">
        <f aca="false">SUM(IF(OR($R84="Bug",$R84="Fire",$R84="Flying",$R84="Ice"),0-1,IF(OR($R84="Steel",$R84="Fighting",$R84="Ground"),1,0)),IF(OR($S84="Bug",$S84="Fire",$S84="Flying",$S84="Ice"),0-1,IF(OR($S84="Steel",$S84="Fighting",$S84="Ground"),1,0)))</f>
        <v>2</v>
      </c>
      <c r="AS84" s="507" t="n">
        <f aca="false">SUM(IF(OR($R84="Fairy",$R84="Ice",$R84="Rock"),0-1,IF(OR($R84="Steel",$R84="Electric",$R84="Fire",$R84="Water"),1,0)),IF(OR($S84="Fairy",$S84="Ice",$S84="Rock"),0-1,IF(OR($S84="Steel",$S84="Electric",$S84="Fire",$S84="Water"),1,0)))</f>
        <v>1</v>
      </c>
      <c r="AT84" s="508" t="n">
        <f aca="false">SUM(IF(OR($R84="Fire",$R84="Ground",$R84="Rock"),0-1,IF(OR($R84="Dragon",$R84="Grass",$R84="Water"),1,0)),IF(OR($S84="Fire",$S84="Ground",$S84="Rock"),0-1,IF(OR($S84="Dragon",$S84="Grass",$S84="Water"),1,0)))</f>
        <v>0</v>
      </c>
      <c r="AU84" s="518"/>
    </row>
    <row r="85" customFormat="false" ht="15.75" hidden="false" customHeight="false" outlineLevel="0" collapsed="false">
      <c r="A85" s="497" t="str">
        <f aca="false" t="array" ref="A85:A85">IF(ISNA(INDEX(Source!$U$7:$U$95,MATCH(B85,Source!$V$7:$V$95,0))),"FREE",INDEX(Source!$U$7:$U$95,MATCH(B85,Source!$V$7:$V$95,0)))</f>
        <v>FREE</v>
      </c>
      <c r="B85" s="511" t="s">
        <v>401</v>
      </c>
      <c r="C85" s="511"/>
      <c r="D85" s="511"/>
      <c r="E85" s="499" t="str">
        <f aca="false">IF(SUM($W85:$X85)&gt;0,SUM($W85:$X85),IF($H85&gt;0,0,IF($H85&gt;0,0,"-")))</f>
        <v>-</v>
      </c>
      <c r="F85" s="499" t="str">
        <f aca="false">IF(SUM($Y85:$Z85)&gt;0,SUM($Y85:$Z85),IF($H85&gt;0,0,"-"))</f>
        <v>-</v>
      </c>
      <c r="G85" s="499" t="str">
        <f aca="false">IF($H85&gt;0,minus(E85,F85),"-")</f>
        <v>-</v>
      </c>
      <c r="H85" s="500" t="n">
        <f aca="false">SUM(COUNTIF(MatchSource!$A:$A,$B85),COUNTIF(MatchSource!$H:$H,$B85))</f>
        <v>0</v>
      </c>
      <c r="I85" s="501" t="n">
        <f aca="false">SUM($AA85:$AB85)</f>
        <v>0</v>
      </c>
      <c r="J85" s="501" t="s">
        <v>701</v>
      </c>
      <c r="K85" s="512" t="str">
        <f aca="false" t="array" ref="K85:K85">IF(ISNA(INDEX(DraftRosters!$AA$3:$AA$199,MATCH($B85,DraftRosters!$AB$3:$AB$199,0))),"FA",IF(INDEX(DraftRosters!$AA$3:$AA$199,MATCH($B85,DraftRosters!$AB$3:$AB$199,0))="Franchise","Franch",INDEX(DraftRosters!$AA$3:$AA$199,MATCH($B85,DraftRosters!$AB$3:$AB$199,0))))</f>
        <v>FA</v>
      </c>
      <c r="L85" s="507" t="n">
        <v>58</v>
      </c>
      <c r="M85" s="507" t="n">
        <v>50</v>
      </c>
      <c r="N85" s="507" t="n">
        <v>145</v>
      </c>
      <c r="O85" s="507" t="n">
        <v>95</v>
      </c>
      <c r="P85" s="507" t="n">
        <v>105</v>
      </c>
      <c r="Q85" s="508" t="n">
        <v>30</v>
      </c>
      <c r="R85" s="499" t="s">
        <v>802</v>
      </c>
      <c r="S85" s="501"/>
      <c r="T85" s="504" t="s">
        <v>926</v>
      </c>
      <c r="U85" s="505"/>
      <c r="V85" s="506"/>
      <c r="W85" s="500" t="str">
        <f aca="false">IFERROR(__xludf.dummyfunction("if(isna(SUM(FILTER(MatchSource!$A:$D,MatchSource!$A:$A=$B85))),0,SUM(FILTER(MatchSource!$A:$D,MatchSource!$A:$A=$B85)))"),"0")</f>
        <v>0</v>
      </c>
      <c r="X85" s="499" t="str">
        <f aca="false">IFERROR(__xludf.dummyfunction("if(isna(SUM(FILTER(MatchSource!$H:$K,MatchSource!$H:$H=$B85))),0,SUM(FILTER(MatchSource!$H:$K,MatchSource!$H:$H=$B85)))"),"0")</f>
        <v>0</v>
      </c>
      <c r="Y85" s="499" t="str">
        <f aca="false">IFERROR(__xludf.dummyfunction("if(isna(ABS(MINUS(SUM(FILTER(MatchSource!$A:$E,MatchSource!$A:$A=$B85)),SUM($W85)))),0,ABS(MINUS(SUM(FILTER(MatchSource!$A:$E,MatchSource!$A:$A=$B85)),SUM($W85))))"),"0")</f>
        <v>0</v>
      </c>
      <c r="Z85" s="499" t="str">
        <f aca="false">IFERROR(__xludf.dummyfunction("if(isna(ABS(MINUS(SUM(FILTER(MatchSource!$H:$L,MatchSource!$H:$H=$B85)),SUM($X85)))),0,ABS(MINUS(SUM(FILTER(MatchSource!$H:$L,MatchSource!$H:$H=$B85)),SUM($X85))))"),"0")</f>
        <v>0</v>
      </c>
      <c r="AA85" s="499" t="str">
        <f aca="false">IFERROR(__xludf.dummyfunction("if(isna(ABS(MINUS(SUM(FILTER(MatchSource!$A:$F,MatchSource!$A:$A=$B85)),SUM($W85,$Y85)))),0,ABS(MINUS(SUM(FILTER(MatchSource!$A:$F,MatchSource!$A:$A=$B85)),SUM($W85, $Y85,))))"),"0")</f>
        <v>0</v>
      </c>
      <c r="AB85" s="501" t="str">
        <f aca="false">IFERROR(__xludf.dummyfunction("if(isna(ABS(MINUS(SUM(FILTER(MatchSource!$H:$M,MatchSource!$H:$H=$B85)),SUM($X85,$Z85)))),0,ABS(MINUS(SUM(FILTER(MatchSource!$H:$M,MatchSource!$H:$H=$B85)),SUM($X85,$Z85))))"),"0")</f>
        <v>0</v>
      </c>
      <c r="AC85" s="507" t="n">
        <f aca="false">SUM(IF(OR($R85="Grass",$R85="Psychic",$R85="Dark"),0-1,IF(OR($R85="Fighting",$R85="Flying",$R85="Fire",$R85="Ghost",$R85="Poison",$R85="Steel",$R85="Fairy"),1,0)),IF(OR($S85="Grass",$S85="Psychic",$S85="Dark"),0-1,IF(OR($S85="Fighting",$S85="Flying",$S85="Fire",$S85="Ghost",$S85="Poison",$S85="Steel",$S85="Fairy"),1,0)))</f>
        <v>1</v>
      </c>
      <c r="AD85" s="507" t="n">
        <f aca="false">SUM(IF(OR($R85="Ghost",$R85="Psychic"),0-1,IF(OR($R85="Fighting",$R85="Dark",$R85="Fairy"),1,0)),IF(OR($S85="Ghost",$S85="Psychic"),0-1,IF(OR($S85="Fighting",$S85="Dark",$S85="Fairy"),1,0)))</f>
        <v>-1</v>
      </c>
      <c r="AE85" s="507" t="n">
        <f aca="false">IF(OR($R85="Fairy",$S85="Fairy"),4,SUM(IF($R85="Dragon",0-1,IF($R85="Steel",1,0)),IF($S85="Dragon",0-1,IF($S85="Steel",1,0))))</f>
        <v>0</v>
      </c>
      <c r="AF85" s="507" t="n">
        <f aca="false">IF(OR($R85="Ground",$S85="Ground"),4,SUM(IF(OR($R85="Flying",$R85="Water"),0-1,IF(OR($R85="Dragon",$R85="Electric",$R85="Grass"),1,0)),IF(OR($S85="Flying",$S85="Water"),0-1,IF(OR($S85="Dragon",$S85="Electric",$S85="Grass"),1,0))))</f>
        <v>0</v>
      </c>
      <c r="AG85" s="507" t="n">
        <f aca="false">SUM(IF(OR($R85="Dark",$R85="Dragon",$R85="Fighting"),0-1,IF(OR($R85="Steel",$R85="Poison",$R85="Fire"),1,0)),IF(OR($S85="Dark",$S85="Dragon",$S85="Fighting"),0-1,IF(OR($S85="Steel",$S85="Poison",$S85="Fire"),1,0)))</f>
        <v>0</v>
      </c>
      <c r="AH85" s="507" t="n">
        <f aca="false">IF(OR($R85="Ghost",$S85="Ghost"),4,SUM(IF(OR($R85="Dark",$R85="Ice",$R85="Normal",$R85="Rock",$R85="Steel"),0-1,IF(OR($R85="Bug",$R85="Fairy",$R85="Flying",$R85="Poison",$R85="Psychic"),1,0)),IF(OR($S85="Dark",$S85="Ice",$S85="Normal",$S85="Rock",$S85="Steel"),0-1,IF(OR($S85="Bug",$S85="Fairy",$S85="Flying",$S85="Poison",$S85="Psychic"),1,0))))</f>
        <v>4</v>
      </c>
      <c r="AI85" s="507" t="n">
        <f aca="false">SUM(IF(OR($R85="Bug",$R85="Grass",$R85="Ice",$R85="Steel"),0-1,IF(OR($R85="Dragon",$R85="Fire",$R85="Rock",$R85="Water"),1,0)),IF(OR($S85="Bug",$S85="Grass",$S85="Ice",$S85="Steel"),0-1,IF(OR($S85="Dragon",$S85="Fire",$S85="Rock",$S85="Water"),1,0)))</f>
        <v>0</v>
      </c>
      <c r="AJ85" s="507" t="n">
        <f aca="false">SUM(IF(OR($R85="Bug",$R85="Grass",$R85="Fighting"),0-1,IF(OR($R85="Electric",$R85="Rock",$R85="Steel"),1,0)),IF(OR($S85="Bug",$S85="Grass",$S85="Fighting"),0-1,IF(OR($S85="Electric",$S85="Rock",$S85="Steel"),1,0)))</f>
        <v>0</v>
      </c>
      <c r="AK85" s="507" t="n">
        <f aca="false">IF(OR($R85="Normal",$S85="Normal"),4,SUM(IF(OR($R85="Ghost",$R85="Psychic"),0-1,IF($R85="Dark",1,0)),IF(OR($S85="Ghost",$S85="Psychic"),0-1,IF($S85="Dark",1,0))))</f>
        <v>-1</v>
      </c>
      <c r="AL85" s="507" t="n">
        <f aca="false">SUM(IF(OR($R85="Ground",$R85="Rock",$R85="Water"),0-1,IF(OR($R85="Bug",$R85="Flying",$R85="Fire",$R85="Dragon",$R85="Poison",$R85="Steel",$R85="Grass"),1,0)),IF(OR($S85="Ground",$S85="Rock",$S85="Water"),0-1,IF(OR($S85="Bug",$S85="Flying",$S85="Fire",$S85="Dragon",$S85="Poison",$S85="Steel",$S85="Grass"),1,0)))</f>
        <v>0</v>
      </c>
      <c r="AM85" s="507" t="n">
        <f aca="false">IF(OR($R85="Flying",$S85="Flying"),4,SUM(IF(OR($R85="Electric",$R85="Fire",$R85="Rock",$R85="Steel",$R85="Poison"),0-1,IF(OR($R85="Bug",$R85="Grass"),1,0)),IF(OR($S85="Electric",$S85="Fire",$S85="Rock",$S85="Steel",$S85="Poison"),0-1,IF(OR($S85="Bug",$S85="Grass"),1,0))))</f>
        <v>0</v>
      </c>
      <c r="AN85" s="507" t="n">
        <f aca="false">SUM(IF(OR($R85="Flying",$R85="Dragon",$R85="Grass",$R85="Ground"),0-1,IF(OR($R85="Steel",$R85="Ice",$R85="Fire",$R85="Water"),1,0)),IF(OR($S85="Flying",$S85="Dragon",$S85="Grass",$S85="Ground"),0-1,IF(OR($S85="Steel",$S85="Ice",$S85="Fire",$S85="Water"),1,0)))</f>
        <v>0</v>
      </c>
      <c r="AO85" s="507" t="n">
        <f aca="false">IF(OR($R85="Ghost",$S85="Ghost"),4,SUM(IF(OR($R85="Steel",$R85="Rock"),1,0),IF(OR($S85="Steel",$S85="Rock"),1,0)))</f>
        <v>4</v>
      </c>
      <c r="AP85" s="507" t="n">
        <f aca="false">IF(OR($R85="Steel",$S85="Steel"),4,SUM(IF(OR($R85="Fairy",$R85="Grass"),0-1,IF(OR($R85="Ghost",$R85="Rock",$R85="Ground",$R85="Poison"),1,0)),IF(OR($S85="Fairy",$S85="Grass"),0-1,IF(OR($S85="Ghost",$S85="Rock",$S85="Ground",$S85="Poison"),1,0))))</f>
        <v>1</v>
      </c>
      <c r="AQ85" s="507" t="n">
        <f aca="false">IF(OR($R85="Dark",$S85="Dark"),4,SUM(IF(OR($R85="Fighting",$R85="Poison"),0-1,IF(OR($R85="Psychic",$R85="Steel"),1,0)),IF(OR($S85="Fighting",$S85="Poison"),0-1,IF(OR($S85="Psychic",$S85="Steel"),1,0))))</f>
        <v>0</v>
      </c>
      <c r="AR85" s="507" t="n">
        <f aca="false">SUM(IF(OR($R85="Bug",$R85="Fire",$R85="Flying",$R85="Ice"),0-1,IF(OR($R85="Steel",$R85="Fighting",$R85="Ground"),1,0)),IF(OR($S85="Bug",$S85="Fire",$S85="Flying",$S85="Ice"),0-1,IF(OR($S85="Steel",$S85="Fighting",$S85="Ground"),1,0)))</f>
        <v>0</v>
      </c>
      <c r="AS85" s="507" t="n">
        <f aca="false">SUM(IF(OR($R85="Fairy",$R85="Ice",$R85="Rock"),0-1,IF(OR($R85="Steel",$R85="Electric",$R85="Fire",$R85="Water"),1,0)),IF(OR($S85="Fairy",$S85="Ice",$S85="Rock"),0-1,IF(OR($S85="Steel",$S85="Electric",$S85="Fire",$S85="Water"),1,0)))</f>
        <v>0</v>
      </c>
      <c r="AT85" s="508" t="n">
        <f aca="false">SUM(IF(OR($R85="Fire",$R85="Ground",$R85="Rock"),0-1,IF(OR($R85="Dragon",$R85="Grass",$R85="Water"),1,0)),IF(OR($S85="Fire",$S85="Ground",$S85="Rock"),0-1,IF(OR($S85="Dragon",$S85="Grass",$S85="Water"),1,0)))</f>
        <v>0</v>
      </c>
      <c r="AU85" s="518"/>
    </row>
    <row r="86" customFormat="false" ht="15.75" hidden="false" customHeight="false" outlineLevel="0" collapsed="false">
      <c r="A86" s="510" t="str">
        <f aca="false" t="array" ref="A86:A86">IF(ISNA(INDEX(Source!$U$7:$U$95,MATCH(B86,Source!$V$7:$V$95,0))),"FREE",INDEX(Source!$U$7:$U$95,MATCH(B86,Source!$V$7:$V$95,0)))</f>
        <v>FREE</v>
      </c>
      <c r="B86" s="511" t="s">
        <v>473</v>
      </c>
      <c r="C86" s="511"/>
      <c r="D86" s="511"/>
      <c r="E86" s="499" t="str">
        <f aca="false">IF(SUM($W86:$X86)&gt;0,SUM($W86:$X86),IF($H86&gt;0,0,IF($H86&gt;0,0,"-")))</f>
        <v>-</v>
      </c>
      <c r="F86" s="499" t="str">
        <f aca="false">IF(SUM($Y86:$Z86)&gt;0,SUM($Y86:$Z86),IF($H86&gt;0,0,"-"))</f>
        <v>-</v>
      </c>
      <c r="G86" s="499" t="str">
        <f aca="false">IF($H86&gt;0,minus(E86,F86),"-")</f>
        <v>-</v>
      </c>
      <c r="H86" s="500" t="n">
        <f aca="false">SUM(COUNTIF(MatchSource!$A:$A,$B86),COUNTIF(MatchSource!$H:$H,$B86))</f>
        <v>0</v>
      </c>
      <c r="I86" s="501" t="n">
        <f aca="false">SUM($AA86:$AB86)</f>
        <v>0</v>
      </c>
      <c r="J86" s="501" t="s">
        <v>702</v>
      </c>
      <c r="K86" s="512" t="str">
        <f aca="false" t="array" ref="K86:K86">IF(ISNA(INDEX(DraftRosters!$AA$3:$AA$199,MATCH($B86,DraftRosters!$AB$3:$AB$199,0))),"FA",IF(INDEX(DraftRosters!$AA$3:$AA$199,MATCH($B86,DraftRosters!$AB$3:$AB$199,0))="Franchise","Franch",INDEX(DraftRosters!$AA$3:$AA$199,MATCH($B86,DraftRosters!$AB$3:$AB$199,0))))</f>
        <v>FA</v>
      </c>
      <c r="L86" s="499" t="n">
        <v>60</v>
      </c>
      <c r="M86" s="499" t="n">
        <v>85</v>
      </c>
      <c r="N86" s="499" t="n">
        <v>60</v>
      </c>
      <c r="O86" s="499" t="n">
        <v>85</v>
      </c>
      <c r="P86" s="499" t="n">
        <v>60</v>
      </c>
      <c r="Q86" s="501" t="n">
        <v>55</v>
      </c>
      <c r="R86" s="499" t="s">
        <v>881</v>
      </c>
      <c r="S86" s="501" t="s">
        <v>800</v>
      </c>
      <c r="T86" s="504" t="s">
        <v>893</v>
      </c>
      <c r="U86" s="505" t="s">
        <v>927</v>
      </c>
      <c r="V86" s="506"/>
      <c r="W86" s="500" t="str">
        <f aca="false">IFERROR(__xludf.dummyfunction("if(isna(SUM(FILTER(MatchSource!$A:$D,MatchSource!$A:$A=$B86))),0,SUM(FILTER(MatchSource!$A:$D,MatchSource!$A:$A=$B86)))"),"0")</f>
        <v>0</v>
      </c>
      <c r="X86" s="499" t="str">
        <f aca="false">IFERROR(__xludf.dummyfunction("if(isna(SUM(FILTER(MatchSource!$H:$K,MatchSource!$H:$H=$B86))),0,SUM(FILTER(MatchSource!$H:$K,MatchSource!$H:$H=$B86)))"),"0")</f>
        <v>0</v>
      </c>
      <c r="Y86" s="499" t="str">
        <f aca="false">IFERROR(__xludf.dummyfunction("if(isna(ABS(MINUS(SUM(FILTER(MatchSource!$A:$E,MatchSource!$A:$A=$B86)),SUM($W86)))),0,ABS(MINUS(SUM(FILTER(MatchSource!$A:$E,MatchSource!$A:$A=$B86)),SUM($W86))))"),"0")</f>
        <v>0</v>
      </c>
      <c r="Z86" s="499" t="str">
        <f aca="false">IFERROR(__xludf.dummyfunction("if(isna(ABS(MINUS(SUM(FILTER(MatchSource!$H:$L,MatchSource!$H:$H=$B86)),SUM($X86)))),0,ABS(MINUS(SUM(FILTER(MatchSource!$H:$L,MatchSource!$H:$H=$B86)),SUM($X86))))"),"0")</f>
        <v>0</v>
      </c>
      <c r="AA86" s="499" t="str">
        <f aca="false">IFERROR(__xludf.dummyfunction("if(isna(ABS(MINUS(SUM(FILTER(MatchSource!$A:$F,MatchSource!$A:$A=$B86)),SUM($W86,$Y86)))),0,ABS(MINUS(SUM(FILTER(MatchSource!$A:$F,MatchSource!$A:$A=$B86)),SUM($W86, $Y86,))))"),"0")</f>
        <v>0</v>
      </c>
      <c r="AB86" s="501" t="str">
        <f aca="false">IFERROR(__xludf.dummyfunction("if(isna(ABS(MINUS(SUM(FILTER(MatchSource!$H:$M,MatchSource!$H:$H=$B86)),SUM($X86,$Z86)))),0,ABS(MINUS(SUM(FILTER(MatchSource!$H:$M,MatchSource!$H:$H=$B86)),SUM($X86,$Z86))))"),"0")</f>
        <v>0</v>
      </c>
      <c r="AC86" s="507" t="n">
        <f aca="false">SUM(IF(OR($R86="Grass",$R86="Psychic",$R86="Dark"),0-1,IF(OR($R86="Fighting",$R86="Flying",$R86="Fire",$R86="Ghost",$R86="Poison",$R86="Steel",$R86="Fairy"),1,0)),IF(OR($S86="Grass",$S86="Psychic",$S86="Dark"),0-1,IF(OR($S86="Fighting",$S86="Flying",$S86="Fire",$S86="Ghost",$S86="Poison",$S86="Steel",$S86="Fairy"),1,0)))</f>
        <v>2</v>
      </c>
      <c r="AD86" s="507" t="n">
        <f aca="false">SUM(IF(OR($R86="Ghost",$R86="Psychic"),0-1,IF(OR($R86="Fighting",$R86="Dark",$R86="Fairy"),1,0)),IF(OR($S86="Ghost",$S86="Psychic"),0-1,IF(OR($S86="Fighting",$S86="Dark",$S86="Fairy"),1,0)))</f>
        <v>1</v>
      </c>
      <c r="AE86" s="507" t="n">
        <f aca="false">IF(OR($R86="Fairy",$S86="Fairy"),4,SUM(IF($R86="Dragon",0-1,IF($R86="Steel",1,0)),IF($S86="Dragon",0-1,IF($S86="Steel",1,0))))</f>
        <v>0</v>
      </c>
      <c r="AF86" s="507" t="n">
        <f aca="false">IF(OR($R86="Ground",$S86="Ground"),4,SUM(IF(OR($R86="Flying",$R86="Water"),0-1,IF(OR($R86="Dragon",$R86="Electric",$R86="Grass"),1,0)),IF(OR($S86="Flying",$S86="Water"),0-1,IF(OR($S86="Dragon",$S86="Electric",$S86="Grass"),1,0))))</f>
        <v>0</v>
      </c>
      <c r="AG86" s="507" t="n">
        <f aca="false">SUM(IF(OR($R86="Dark",$R86="Dragon",$R86="Fighting"),0-1,IF(OR($R86="Steel",$R86="Poison",$R86="Fire"),1,0)),IF(OR($S86="Dark",$S86="Dragon",$S86="Fighting"),0-1,IF(OR($S86="Steel",$S86="Poison",$S86="Fire"),1,0)))</f>
        <v>0</v>
      </c>
      <c r="AH86" s="507" t="n">
        <f aca="false">IF(OR($R86="Ghost",$S86="Ghost"),4,SUM(IF(OR($R86="Dark",$R86="Ice",$R86="Normal",$R86="Rock",$R86="Steel"),0-1,IF(OR($R86="Bug",$R86="Fairy",$R86="Flying",$R86="Poison",$R86="Psychic"),1,0)),IF(OR($S86="Dark",$S86="Ice",$S86="Normal",$S86="Rock",$S86="Steel"),0-1,IF(OR($S86="Bug",$S86="Fairy",$S86="Flying",$S86="Poison",$S86="Psychic"),1,0))))</f>
        <v>0</v>
      </c>
      <c r="AI86" s="507" t="n">
        <f aca="false">SUM(IF(OR($R86="Bug",$R86="Grass",$R86="Ice",$R86="Steel"),0-1,IF(OR($R86="Dragon",$R86="Fire",$R86="Rock",$R86="Water"),1,0)),IF(OR($S86="Bug",$S86="Grass",$S86="Ice",$S86="Steel"),0-1,IF(OR($S86="Dragon",$S86="Fire",$S86="Rock",$S86="Water"),1,0)))</f>
        <v>1</v>
      </c>
      <c r="AJ86" s="507" t="n">
        <f aca="false">SUM(IF(OR($R86="Bug",$R86="Grass",$R86="Fighting"),0-1,IF(OR($R86="Electric",$R86="Rock",$R86="Steel"),1,0)),IF(OR($S86="Bug",$S86="Grass",$S86="Fighting"),0-1,IF(OR($S86="Electric",$S86="Rock",$S86="Steel"),1,0)))</f>
        <v>-1</v>
      </c>
      <c r="AK86" s="507" t="n">
        <f aca="false">IF(OR($R86="Normal",$S86="Normal"),4,SUM(IF(OR($R86="Ghost",$R86="Psychic"),0-1,IF($R86="Dark",1,0)),IF(OR($S86="Ghost",$S86="Psychic"),0-1,IF($S86="Dark",1,0))))</f>
        <v>0</v>
      </c>
      <c r="AL86" s="507" t="n">
        <f aca="false">SUM(IF(OR($R86="Ground",$R86="Rock",$R86="Water"),0-1,IF(OR($R86="Bug",$R86="Flying",$R86="Fire",$R86="Dragon",$R86="Poison",$R86="Steel",$R86="Grass"),1,0)),IF(OR($S86="Ground",$S86="Rock",$S86="Water"),0-1,IF(OR($S86="Bug",$S86="Flying",$S86="Fire",$S86="Dragon",$S86="Poison",$S86="Steel",$S86="Grass"),1,0)))</f>
        <v>1</v>
      </c>
      <c r="AM86" s="507" t="n">
        <f aca="false">IF(OR($R86="Flying",$S86="Flying"),4,SUM(IF(OR($R86="Electric",$R86="Fire",$R86="Rock",$R86="Steel",$R86="Poison"),0-1,IF(OR($R86="Bug",$R86="Grass"),1,0)),IF(OR($S86="Electric",$S86="Fire",$S86="Rock",$S86="Steel",$S86="Poison"),0-1,IF(OR($S86="Bug",$S86="Grass"),1,0))))</f>
        <v>-1</v>
      </c>
      <c r="AN86" s="507" t="n">
        <f aca="false">SUM(IF(OR($R86="Flying",$R86="Dragon",$R86="Grass",$R86="Ground"),0-1,IF(OR($R86="Steel",$R86="Ice",$R86="Fire",$R86="Water"),1,0)),IF(OR($S86="Flying",$S86="Dragon",$S86="Grass",$S86="Ground"),0-1,IF(OR($S86="Steel",$S86="Ice",$S86="Fire",$S86="Water"),1,0)))</f>
        <v>1</v>
      </c>
      <c r="AO86" s="507" t="n">
        <f aca="false">IF(OR($R86="Ghost",$S86="Ghost"),4,SUM(IF(OR($R86="Steel",$R86="Rock"),1,0),IF(OR($S86="Steel",$S86="Rock"),1,0)))</f>
        <v>0</v>
      </c>
      <c r="AP86" s="507" t="n">
        <f aca="false">IF(OR($R86="Steel",$S86="Steel"),4,SUM(IF(OR($R86="Fairy",$R86="Grass"),0-1,IF(OR($R86="Ghost",$R86="Rock",$R86="Ground",$R86="Poison"),1,0)),IF(OR($S86="Fairy",$S86="Grass"),0-1,IF(OR($S86="Ghost",$S86="Rock",$S86="Ground",$S86="Poison"),1,0))))</f>
        <v>0</v>
      </c>
      <c r="AQ86" s="507" t="n">
        <f aca="false">IF(OR($R86="Dark",$S86="Dark"),4,SUM(IF(OR($R86="Fighting",$R86="Poison"),0-1,IF(OR($R86="Psychic",$R86="Steel"),1,0)),IF(OR($S86="Fighting",$S86="Poison"),0-1,IF(OR($S86="Psychic",$S86="Steel"),1,0))))</f>
        <v>-1</v>
      </c>
      <c r="AR86" s="507" t="n">
        <f aca="false">SUM(IF(OR($R86="Bug",$R86="Fire",$R86="Flying",$R86="Ice"),0-1,IF(OR($R86="Steel",$R86="Fighting",$R86="Ground"),1,0)),IF(OR($S86="Bug",$S86="Fire",$S86="Flying",$S86="Ice"),0-1,IF(OR($S86="Steel",$S86="Fighting",$S86="Ground"),1,0)))</f>
        <v>0</v>
      </c>
      <c r="AS86" s="507" t="n">
        <f aca="false">SUM(IF(OR($R86="Fairy",$R86="Ice",$R86="Rock"),0-1,IF(OR($R86="Steel",$R86="Electric",$R86="Fire",$R86="Water"),1,0)),IF(OR($S86="Fairy",$S86="Ice",$S86="Rock"),0-1,IF(OR($S86="Steel",$S86="Electric",$S86="Fire",$S86="Water"),1,0)))</f>
        <v>1</v>
      </c>
      <c r="AT86" s="508" t="n">
        <f aca="false">SUM(IF(OR($R86="Fire",$R86="Ground",$R86="Rock"),0-1,IF(OR($R86="Dragon",$R86="Grass",$R86="Water"),1,0)),IF(OR($S86="Fire",$S86="Ground",$S86="Rock"),0-1,IF(OR($S86="Dragon",$S86="Grass",$S86="Water"),1,0)))</f>
        <v>-1</v>
      </c>
      <c r="AU86" s="518"/>
    </row>
    <row r="87" customFormat="false" ht="15.75" hidden="false" customHeight="false" outlineLevel="0" collapsed="false">
      <c r="A87" s="521" t="str">
        <f aca="false" t="array" ref="A87:A87">IF(ISNA(INDEX(Source!$U$7:$U$95,MATCH(B87,Source!$V$7:$V$95,0))),"FREE",INDEX(Source!$U$7:$U$95,MATCH(B87,Source!$V$7:$V$95,0)))</f>
        <v>FREE</v>
      </c>
      <c r="B87" s="522" t="s">
        <v>406</v>
      </c>
      <c r="C87" s="522"/>
      <c r="D87" s="522"/>
      <c r="E87" s="499" t="str">
        <f aca="false">IF(SUM($W87:$X87)&gt;0,SUM($W87:$X87),IF($H87&gt;0,0,IF($H87&gt;0,0,"-")))</f>
        <v>-</v>
      </c>
      <c r="F87" s="499" t="str">
        <f aca="false">IF(SUM($Y87:$Z87)&gt;0,SUM($Y87:$Z87),IF($H87&gt;0,0,"-"))</f>
        <v>-</v>
      </c>
      <c r="G87" s="499" t="str">
        <f aca="false">IF($H87&gt;0,minus(E87,F87),"-")</f>
        <v>-</v>
      </c>
      <c r="H87" s="500" t="n">
        <f aca="false">SUM(COUNTIF(MatchSource!$A:$A,$B87),COUNTIF(MatchSource!$H:$H,$B87))</f>
        <v>0</v>
      </c>
      <c r="I87" s="501" t="n">
        <f aca="false">SUM($AA87:$AB87)</f>
        <v>0</v>
      </c>
      <c r="J87" s="523" t="s">
        <v>701</v>
      </c>
      <c r="K87" s="521" t="str">
        <f aca="false" t="array" ref="K87:K87">IF(ISNA(INDEX(DraftRosters!$AA$3:$AA$199,MATCH($B87,DraftRosters!$AB$3:$AB$199,0))),"FA",IF(INDEX(DraftRosters!$AA$3:$AA$199,MATCH($B87,DraftRosters!$AB$3:$AB$199,0))="Franchise","Franch",INDEX(DraftRosters!$AA$3:$AA$199,MATCH($B87,DraftRosters!$AB$3:$AB$199,0))))</f>
        <v>FA</v>
      </c>
      <c r="L87" s="524" t="n">
        <v>51</v>
      </c>
      <c r="M87" s="524" t="n">
        <v>52</v>
      </c>
      <c r="N87" s="524" t="n">
        <v>90</v>
      </c>
      <c r="O87" s="524" t="n">
        <v>82</v>
      </c>
      <c r="P87" s="524" t="n">
        <v>110</v>
      </c>
      <c r="Q87" s="525" t="n">
        <v>100</v>
      </c>
      <c r="R87" s="524" t="s">
        <v>798</v>
      </c>
      <c r="S87" s="525"/>
      <c r="T87" s="526" t="s">
        <v>928</v>
      </c>
      <c r="U87" s="527" t="s">
        <v>929</v>
      </c>
      <c r="V87" s="528" t="s">
        <v>837</v>
      </c>
      <c r="W87" s="500" t="str">
        <f aca="false">IFERROR(__xludf.dummyfunction("if(isna(SUM(FILTER(MatchSource!$A:$D,MatchSource!$A:$A=$B87))),0,SUM(FILTER(MatchSource!$A:$D,MatchSource!$A:$A=$B87)))"),"0")</f>
        <v>0</v>
      </c>
      <c r="X87" s="499" t="str">
        <f aca="false">IFERROR(__xludf.dummyfunction("if(isna(SUM(FILTER(MatchSource!$H:$K,MatchSource!$H:$H=$B87))),0,SUM(FILTER(MatchSource!$H:$K,MatchSource!$H:$H=$B87)))"),"0")</f>
        <v>0</v>
      </c>
      <c r="Y87" s="499" t="str">
        <f aca="false">IFERROR(__xludf.dummyfunction("if(isna(ABS(MINUS(SUM(FILTER(MatchSource!$A:$E,MatchSource!$A:$A=$B87)),SUM($W87)))),0,ABS(MINUS(SUM(FILTER(MatchSource!$A:$E,MatchSource!$A:$A=$B87)),SUM($W87))))"),"0")</f>
        <v>0</v>
      </c>
      <c r="Z87" s="499" t="str">
        <f aca="false">IFERROR(__xludf.dummyfunction("if(isna(ABS(MINUS(SUM(FILTER(MatchSource!$H:$L,MatchSource!$H:$H=$B87)),SUM($X87)))),0,ABS(MINUS(SUM(FILTER(MatchSource!$H:$L,MatchSource!$H:$H=$B87)),SUM($X87))))"),"0")</f>
        <v>0</v>
      </c>
      <c r="AA87" s="499" t="str">
        <f aca="false">IFERROR(__xludf.dummyfunction("if(isna(ABS(MINUS(SUM(FILTER(MatchSource!$A:$F,MatchSource!$A:$A=$B87)),SUM($W87,$Y87)))),0,ABS(MINUS(SUM(FILTER(MatchSource!$A:$F,MatchSource!$A:$A=$B87)),SUM($W87, $Y87,))))"),"0")</f>
        <v>0</v>
      </c>
      <c r="AB87" s="501" t="str">
        <f aca="false">IFERROR(__xludf.dummyfunction("if(isna(ABS(MINUS(SUM(FILTER(MatchSource!$H:$M,MatchSource!$H:$H=$B87)),SUM($X87,$Z87)))),0,ABS(MINUS(SUM(FILTER(MatchSource!$H:$M,MatchSource!$H:$H=$B87)),SUM($X87,$Z87))))"),"0")</f>
        <v>0</v>
      </c>
      <c r="AC87" s="524" t="n">
        <f aca="false">SUM(IF(OR($R87="Grass",$R87="Psychic",$R87="Dark"),0-1,IF(OR($R87="Fighting",$R87="Flying",$R87="Fire",$R87="Ghost",$R87="Poison",$R87="Steel",$R87="Fairy"),1,0)),IF(OR($S87="Grass",$S87="Psychic",$S87="Dark"),0-1,IF(OR($S87="Fighting",$S87="Flying",$S87="Fire",$S87="Ghost",$S87="Poison",$S87="Steel",$S87="Fairy"),1,0)))</f>
        <v>1</v>
      </c>
      <c r="AD87" s="524" t="n">
        <f aca="false">SUM(IF(OR($R87="Ghost",$R87="Psychic"),0-1,IF(OR($R87="Fighting",$R87="Dark",$R87="Fairy"),1,0)),IF(OR($S87="Ghost",$S87="Psychic"),0-1,IF(OR($S87="Fighting",$S87="Dark",$S87="Fairy"),1,0)))</f>
        <v>1</v>
      </c>
      <c r="AE87" s="524" t="n">
        <f aca="false">IF(OR($R87="Fairy",$S87="Fairy"),4,SUM(IF($R87="Dragon",0-1,IF($R87="Steel",1,0)),IF($S87="Dragon",0-1,IF($S87="Steel",1,0))))</f>
        <v>4</v>
      </c>
      <c r="AF87" s="524" t="n">
        <f aca="false">IF(OR($R87="Ground",$S87="Ground"),4,SUM(IF(OR($R87="Flying",$R87="Water"),0-1,IF(OR($R87="Dragon",$R87="Electric",$R87="Grass"),1,0)),IF(OR($S87="Flying",$S87="Water"),0-1,IF(OR($S87="Dragon",$S87="Electric",$S87="Grass"),1,0))))</f>
        <v>0</v>
      </c>
      <c r="AG87" s="524" t="n">
        <f aca="false">SUM(IF(OR($R87="Dark",$R87="Dragon",$R87="Fighting"),0-1,IF(OR($R87="Steel",$R87="Poison",$R87="Fire"),1,0)),IF(OR($S87="Dark",$S87="Dragon",$S87="Fighting"),0-1,IF(OR($S87="Steel",$S87="Poison",$S87="Fire"),1,0)))</f>
        <v>0</v>
      </c>
      <c r="AH87" s="524" t="n">
        <f aca="false">IF(OR($R87="Ghost",$S87="Ghost"),4,SUM(IF(OR($R87="Dark",$R87="Ice",$R87="Normal",$R87="Rock",$R87="Steel"),0-1,IF(OR($R87="Bug",$R87="Fairy",$R87="Flying",$R87="Poison",$R87="Psychic"),1,0)),IF(OR($S87="Dark",$S87="Ice",$S87="Normal",$S87="Rock",$S87="Steel"),0-1,IF(OR($S87="Bug",$S87="Fairy",$S87="Flying",$S87="Poison",$S87="Psychic"),1,0))))</f>
        <v>1</v>
      </c>
      <c r="AI87" s="524" t="n">
        <f aca="false">SUM(IF(OR($R87="Bug",$R87="Grass",$R87="Ice",$R87="Steel"),0-1,IF(OR($R87="Dragon",$R87="Fire",$R87="Rock",$R87="Water"),1,0)),IF(OR($S87="Bug",$S87="Grass",$S87="Ice",$S87="Steel"),0-1,IF(OR($S87="Dragon",$S87="Fire",$S87="Rock",$S87="Water"),1,0)))</f>
        <v>0</v>
      </c>
      <c r="AJ87" s="524" t="n">
        <f aca="false">SUM(IF(OR($R87="Bug",$R87="Grass",$R87="Fighting"),0-1,IF(OR($R87="Electric",$R87="Rock",$R87="Steel"),1,0)),IF(OR($S87="Bug",$S87="Grass",$S87="Fighting"),0-1,IF(OR($S87="Electric",$S87="Rock",$S87="Steel"),1,0)))</f>
        <v>0</v>
      </c>
      <c r="AK87" s="524" t="n">
        <f aca="false">IF(OR($R87="Normal",$S87="Normal"),4,SUM(IF(OR($R87="Ghost",$R87="Psychic"),0-1,IF($R87="Dark",1,0)),IF(OR($S87="Ghost",$S87="Psychic"),0-1,IF($S87="Dark",1,0))))</f>
        <v>0</v>
      </c>
      <c r="AL87" s="524" t="n">
        <f aca="false">SUM(IF(OR($R87="Ground",$R87="Rock",$R87="Water"),0-1,IF(OR($R87="Bug",$R87="Flying",$R87="Fire",$R87="Dragon",$R87="Poison",$R87="Steel",$R87="Grass"),1,0)),IF(OR($S87="Ground",$S87="Rock",$S87="Water"),0-1,IF(OR($S87="Bug",$S87="Flying",$S87="Fire",$S87="Dragon",$S87="Poison",$S87="Steel",$S87="Grass"),1,0)))</f>
        <v>0</v>
      </c>
      <c r="AM87" s="524" t="n">
        <f aca="false">IF(OR($R87="Flying",$S87="Flying"),4,SUM(IF(OR($R87="Electric",$R87="Fire",$R87="Rock",$R87="Steel",$R87="Poison"),0-1,IF(OR($R87="Bug",$R87="Grass"),1,0)),IF(OR($S87="Electric",$S87="Fire",$S87="Rock",$S87="Steel",$S87="Poison"),0-1,IF(OR($S87="Bug",$S87="Grass"),1,0))))</f>
        <v>0</v>
      </c>
      <c r="AN87" s="524" t="n">
        <f aca="false">SUM(IF(OR($R87="Flying",$R87="Dragon",$R87="Grass",$R87="Ground"),0-1,IF(OR($R87="Steel",$R87="Ice",$R87="Fire",$R87="Water"),1,0)),IF(OR($S87="Flying",$S87="Dragon",$S87="Grass",$S87="Ground"),0-1,IF(OR($S87="Steel",$S87="Ice",$S87="Fire",$S87="Water"),1,0)))</f>
        <v>0</v>
      </c>
      <c r="AO87" s="524" t="n">
        <f aca="false">IF(OR($R87="Ghost",$S87="Ghost"),4,SUM(IF(OR($R87="Steel",$R87="Rock"),1,0),IF(OR($S87="Steel",$S87="Rock"),1,0)))</f>
        <v>0</v>
      </c>
      <c r="AP87" s="524" t="n">
        <f aca="false">IF(OR($R87="Steel",$S87="Steel"),4,SUM(IF(OR($R87="Fairy",$R87="Grass"),0-1,IF(OR($R87="Ghost",$R87="Rock",$R87="Ground",$R87="Poison"),1,0)),IF(OR($S87="Fairy",$S87="Grass"),0-1,IF(OR($S87="Ghost",$S87="Rock",$S87="Ground",$S87="Poison"),1,0))))</f>
        <v>-1</v>
      </c>
      <c r="AQ87" s="524" t="n">
        <f aca="false">IF(OR($R87="Dark",$S87="Dark"),4,SUM(IF(OR($R87="Fighting",$R87="Poison"),0-1,IF(OR($R87="Psychic",$R87="Steel"),1,0)),IF(OR($S87="Fighting",$S87="Poison"),0-1,IF(OR($S87="Psychic",$S87="Steel"),1,0))))</f>
        <v>0</v>
      </c>
      <c r="AR87" s="524" t="n">
        <f aca="false">SUM(IF(OR($R87="Bug",$R87="Fire",$R87="Flying",$R87="Ice"),0-1,IF(OR($R87="Steel",$R87="Fighting",$R87="Ground"),1,0)),IF(OR($S87="Bug",$S87="Fire",$S87="Flying",$S87="Ice"),0-1,IF(OR($S87="Steel",$S87="Fighting",$S87="Ground"),1,0)))</f>
        <v>0</v>
      </c>
      <c r="AS87" s="524" t="n">
        <f aca="false">SUM(IF(OR($R87="Fairy",$R87="Ice",$R87="Rock"),0-1,IF(OR($R87="Steel",$R87="Electric",$R87="Fire",$R87="Water"),1,0)),IF(OR($S87="Fairy",$S87="Ice",$S87="Rock"),0-1,IF(OR($S87="Steel",$S87="Electric",$S87="Fire",$S87="Water"),1,0)))</f>
        <v>-1</v>
      </c>
      <c r="AT87" s="525" t="n">
        <f aca="false">SUM(IF(OR($R87="Fire",$R87="Ground",$R87="Rock"),0-1,IF(OR($R87="Dragon",$R87="Grass",$R87="Water"),1,0)),IF(OR($S87="Fire",$S87="Ground",$S87="Rock"),0-1,IF(OR($S87="Dragon",$S87="Grass",$S87="Water"),1,0)))</f>
        <v>0</v>
      </c>
      <c r="AU87" s="518"/>
    </row>
    <row r="88" customFormat="false" ht="15.75" hidden="false" customHeight="false" outlineLevel="0" collapsed="false">
      <c r="A88" s="510" t="str">
        <f aca="false" t="array" ref="A88:A88">IF(ISNA(INDEX(Source!$U$7:$U$95,MATCH(B88,Source!$V$7:$V$95,0))),"FREE",INDEX(Source!$U$7:$U$95,MATCH(B88,Source!$V$7:$V$95,0)))</f>
        <v>FREE</v>
      </c>
      <c r="B88" s="511" t="s">
        <v>312</v>
      </c>
      <c r="C88" s="511"/>
      <c r="D88" s="511"/>
      <c r="E88" s="499" t="str">
        <f aca="false">IF(SUM($W88:$X88)&gt;0,SUM($W88:$X88),IF($H88&gt;0,0,IF($H88&gt;0,0,"-")))</f>
        <v>-</v>
      </c>
      <c r="F88" s="499" t="str">
        <f aca="false">IF(SUM($Y88:$Z88)&gt;0,SUM($Y88:$Z88),IF($H88&gt;0,0,"-"))</f>
        <v>-</v>
      </c>
      <c r="G88" s="499" t="str">
        <f aca="false">IF($H88&gt;0,minus(E88,F88),"-")</f>
        <v>-</v>
      </c>
      <c r="H88" s="500" t="n">
        <f aca="false">SUM(COUNTIF(MatchSource!$A:$A,$B88),COUNTIF(MatchSource!$H:$H,$B88))</f>
        <v>0</v>
      </c>
      <c r="I88" s="501" t="n">
        <f aca="false">SUM($AA88:$AB88)</f>
        <v>0</v>
      </c>
      <c r="J88" s="501" t="s">
        <v>698</v>
      </c>
      <c r="K88" s="512" t="str">
        <f aca="false" t="array" ref="K88:K88">IF(ISNA(INDEX(DraftRosters!$AA$3:$AA$199,MATCH($B88,DraftRosters!$AB$3:$AB$199,0))),"FA",IF(INDEX(DraftRosters!$AA$3:$AA$199,MATCH($B88,DraftRosters!$AB$3:$AB$199,0))="Franchise","Franch",INDEX(DraftRosters!$AA$3:$AA$199,MATCH($B88,DraftRosters!$AB$3:$AB$199,0))))</f>
        <v>FA</v>
      </c>
      <c r="L88" s="499" t="n">
        <v>105</v>
      </c>
      <c r="M88" s="499" t="n">
        <v>140</v>
      </c>
      <c r="N88" s="499" t="n">
        <v>95</v>
      </c>
      <c r="O88" s="499" t="n">
        <v>55</v>
      </c>
      <c r="P88" s="499" t="n">
        <v>65</v>
      </c>
      <c r="Q88" s="501" t="n">
        <v>45</v>
      </c>
      <c r="R88" s="499" t="s">
        <v>881</v>
      </c>
      <c r="S88" s="501"/>
      <c r="T88" s="504" t="s">
        <v>930</v>
      </c>
      <c r="U88" s="505" t="s">
        <v>898</v>
      </c>
      <c r="V88" s="506" t="s">
        <v>931</v>
      </c>
      <c r="W88" s="500" t="str">
        <f aca="false">IFERROR(__xludf.dummyfunction("if(isna(SUM(FILTER(MatchSource!$A:$D,MatchSource!$A:$A=$B88))),0,SUM(FILTER(MatchSource!$A:$D,MatchSource!$A:$A=$B88)))"),"0")</f>
        <v>0</v>
      </c>
      <c r="X88" s="499" t="str">
        <f aca="false">IFERROR(__xludf.dummyfunction("if(isna(SUM(FILTER(MatchSource!$H:$K,MatchSource!$H:$H=$B88))),0,SUM(FILTER(MatchSource!$H:$K,MatchSource!$H:$H=$B88)))"),"0")</f>
        <v>0</v>
      </c>
      <c r="Y88" s="499" t="str">
        <f aca="false">IFERROR(__xludf.dummyfunction("if(isna(ABS(MINUS(SUM(FILTER(MatchSource!$A:$E,MatchSource!$A:$A=$B88)),SUM($W88)))),0,ABS(MINUS(SUM(FILTER(MatchSource!$A:$E,MatchSource!$A:$A=$B88)),SUM($W88))))"),"0")</f>
        <v>0</v>
      </c>
      <c r="Z88" s="499" t="str">
        <f aca="false">IFERROR(__xludf.dummyfunction("if(isna(ABS(MINUS(SUM(FILTER(MatchSource!$H:$L,MatchSource!$H:$H=$B88)),SUM($X88)))),0,ABS(MINUS(SUM(FILTER(MatchSource!$H:$L,MatchSource!$H:$H=$B88)),SUM($X88))))"),"0")</f>
        <v>0</v>
      </c>
      <c r="AA88" s="499" t="str">
        <f aca="false">IFERROR(__xludf.dummyfunction("if(isna(ABS(MINUS(SUM(FILTER(MatchSource!$A:$F,MatchSource!$A:$A=$B88)),SUM($W88,$Y88)))),0,ABS(MINUS(SUM(FILTER(MatchSource!$A:$F,MatchSource!$A:$A=$B88)),SUM($W88, $Y88,))))"),"0")</f>
        <v>0</v>
      </c>
      <c r="AB88" s="501" t="str">
        <f aca="false">IFERROR(__xludf.dummyfunction("if(isna(ABS(MINUS(SUM(FILTER(MatchSource!$H:$M,MatchSource!$H:$H=$B88)),SUM($X88,$Z88)))),0,ABS(MINUS(SUM(FILTER(MatchSource!$H:$M,MatchSource!$H:$H=$B88)),SUM($X88,$Z88))))"),"0")</f>
        <v>0</v>
      </c>
      <c r="AC88" s="507" t="n">
        <f aca="false">SUM(IF(OR($R88="Grass",$R88="Psychic",$R88="Dark"),0-1,IF(OR($R88="Fighting",$R88="Flying",$R88="Fire",$R88="Ghost",$R88="Poison",$R88="Steel",$R88="Fairy"),1,0)),IF(OR($S88="Grass",$S88="Psychic",$S88="Dark"),0-1,IF(OR($S88="Fighting",$S88="Flying",$S88="Fire",$S88="Ghost",$S88="Poison",$S88="Steel",$S88="Fairy"),1,0)))</f>
        <v>1</v>
      </c>
      <c r="AD88" s="507" t="n">
        <f aca="false">SUM(IF(OR($R88="Ghost",$R88="Psychic"),0-1,IF(OR($R88="Fighting",$R88="Dark",$R88="Fairy"),1,0)),IF(OR($S88="Ghost",$S88="Psychic"),0-1,IF(OR($S88="Fighting",$S88="Dark",$S88="Fairy"),1,0)))</f>
        <v>1</v>
      </c>
      <c r="AE88" s="507" t="n">
        <f aca="false">IF(OR($R88="Fairy",$S88="Fairy"),4,SUM(IF($R88="Dragon",0-1,IF($R88="Steel",1,0)),IF($S88="Dragon",0-1,IF($S88="Steel",1,0))))</f>
        <v>0</v>
      </c>
      <c r="AF88" s="507" t="n">
        <f aca="false">IF(OR($R88="Ground",$S88="Ground"),4,SUM(IF(OR($R88="Flying",$R88="Water"),0-1,IF(OR($R88="Dragon",$R88="Electric",$R88="Grass"),1,0)),IF(OR($S88="Flying",$S88="Water"),0-1,IF(OR($S88="Dragon",$S88="Electric",$S88="Grass"),1,0))))</f>
        <v>0</v>
      </c>
      <c r="AG88" s="507" t="n">
        <f aca="false">SUM(IF(OR($R88="Dark",$R88="Dragon",$R88="Fighting"),0-1,IF(OR($R88="Steel",$R88="Poison",$R88="Fire"),1,0)),IF(OR($S88="Dark",$S88="Dragon",$S88="Fighting"),0-1,IF(OR($S88="Steel",$S88="Poison",$S88="Fire"),1,0)))</f>
        <v>-1</v>
      </c>
      <c r="AH88" s="507" t="n">
        <f aca="false">IF(OR($R88="Ghost",$S88="Ghost"),4,SUM(IF(OR($R88="Dark",$R88="Ice",$R88="Normal",$R88="Rock",$R88="Steel"),0-1,IF(OR($R88="Bug",$R88="Fairy",$R88="Flying",$R88="Poison",$R88="Psychic"),1,0)),IF(OR($S88="Dark",$S88="Ice",$S88="Normal",$S88="Rock",$S88="Steel"),0-1,IF(OR($S88="Bug",$S88="Fairy",$S88="Flying",$S88="Poison",$S88="Psychic"),1,0))))</f>
        <v>0</v>
      </c>
      <c r="AI88" s="507" t="n">
        <f aca="false">SUM(IF(OR($R88="Bug",$R88="Grass",$R88="Ice",$R88="Steel"),0-1,IF(OR($R88="Dragon",$R88="Fire",$R88="Rock",$R88="Water"),1,0)),IF(OR($S88="Bug",$S88="Grass",$S88="Ice",$S88="Steel"),0-1,IF(OR($S88="Dragon",$S88="Fire",$S88="Rock",$S88="Water"),1,0)))</f>
        <v>0</v>
      </c>
      <c r="AJ88" s="507" t="n">
        <f aca="false">SUM(IF(OR($R88="Bug",$R88="Grass",$R88="Fighting"),0-1,IF(OR($R88="Electric",$R88="Rock",$R88="Steel"),1,0)),IF(OR($S88="Bug",$S88="Grass",$S88="Fighting"),0-1,IF(OR($S88="Electric",$S88="Rock",$S88="Steel"),1,0)))</f>
        <v>-1</v>
      </c>
      <c r="AK88" s="507" t="n">
        <f aca="false">IF(OR($R88="Normal",$S88="Normal"),4,SUM(IF(OR($R88="Ghost",$R88="Psychic"),0-1,IF($R88="Dark",1,0)),IF(OR($S88="Ghost",$S88="Psychic"),0-1,IF($S88="Dark",1,0))))</f>
        <v>0</v>
      </c>
      <c r="AL88" s="507" t="n">
        <f aca="false">SUM(IF(OR($R88="Ground",$R88="Rock",$R88="Water"),0-1,IF(OR($R88="Bug",$R88="Flying",$R88="Fire",$R88="Dragon",$R88="Poison",$R88="Steel",$R88="Grass"),1,0)),IF(OR($S88="Ground",$S88="Rock",$S88="Water"),0-1,IF(OR($S88="Bug",$S88="Flying",$S88="Fire",$S88="Dragon",$S88="Poison",$S88="Steel",$S88="Grass"),1,0)))</f>
        <v>0</v>
      </c>
      <c r="AM88" s="507" t="n">
        <f aca="false">IF(OR($R88="Flying",$S88="Flying"),4,SUM(IF(OR($R88="Electric",$R88="Fire",$R88="Rock",$R88="Steel",$R88="Poison"),0-1,IF(OR($R88="Bug",$R88="Grass"),1,0)),IF(OR($S88="Electric",$S88="Fire",$S88="Rock",$S88="Steel",$S88="Poison"),0-1,IF(OR($S88="Bug",$S88="Grass"),1,0))))</f>
        <v>0</v>
      </c>
      <c r="AN88" s="507" t="n">
        <f aca="false">SUM(IF(OR($R88="Flying",$R88="Dragon",$R88="Grass",$R88="Ground"),0-1,IF(OR($R88="Steel",$R88="Ice",$R88="Fire",$R88="Water"),1,0)),IF(OR($S88="Flying",$S88="Dragon",$S88="Grass",$S88="Ground"),0-1,IF(OR($S88="Steel",$S88="Ice",$S88="Fire",$S88="Water"),1,0)))</f>
        <v>0</v>
      </c>
      <c r="AO88" s="507" t="n">
        <f aca="false">IF(OR($R88="Ghost",$S88="Ghost"),4,SUM(IF(OR($R88="Steel",$R88="Rock"),1,0),IF(OR($S88="Steel",$S88="Rock"),1,0)))</f>
        <v>0</v>
      </c>
      <c r="AP88" s="507" t="n">
        <f aca="false">IF(OR($R88="Steel",$S88="Steel"),4,SUM(IF(OR($R88="Fairy",$R88="Grass"),0-1,IF(OR($R88="Ghost",$R88="Rock",$R88="Ground",$R88="Poison"),1,0)),IF(OR($S88="Fairy",$S88="Grass"),0-1,IF(OR($S88="Ghost",$S88="Rock",$S88="Ground",$S88="Poison"),1,0))))</f>
        <v>0</v>
      </c>
      <c r="AQ88" s="507" t="n">
        <f aca="false">IF(OR($R88="Dark",$S88="Dark"),4,SUM(IF(OR($R88="Fighting",$R88="Poison"),0-1,IF(OR($R88="Psychic",$R88="Steel"),1,0)),IF(OR($S88="Fighting",$S88="Poison"),0-1,IF(OR($S88="Psychic",$S88="Steel"),1,0))))</f>
        <v>-1</v>
      </c>
      <c r="AR88" s="507" t="n">
        <f aca="false">SUM(IF(OR($R88="Bug",$R88="Fire",$R88="Flying",$R88="Ice"),0-1,IF(OR($R88="Steel",$R88="Fighting",$R88="Ground"),1,0)),IF(OR($S88="Bug",$S88="Fire",$S88="Flying",$S88="Ice"),0-1,IF(OR($S88="Steel",$S88="Fighting",$S88="Ground"),1,0)))</f>
        <v>1</v>
      </c>
      <c r="AS88" s="507" t="n">
        <f aca="false">SUM(IF(OR($R88="Fairy",$R88="Ice",$R88="Rock"),0-1,IF(OR($R88="Steel",$R88="Electric",$R88="Fire",$R88="Water"),1,0)),IF(OR($S88="Fairy",$S88="Ice",$S88="Rock"),0-1,IF(OR($S88="Steel",$S88="Electric",$S88="Fire",$S88="Water"),1,0)))</f>
        <v>0</v>
      </c>
      <c r="AT88" s="508" t="n">
        <f aca="false">SUM(IF(OR($R88="Fire",$R88="Ground",$R88="Rock"),0-1,IF(OR($R88="Dragon",$R88="Grass",$R88="Water"),1,0)),IF(OR($S88="Fire",$S88="Ground",$S88="Rock"),0-1,IF(OR($S88="Dragon",$S88="Grass",$S88="Water"),1,0)))</f>
        <v>0</v>
      </c>
      <c r="AU88" s="518"/>
    </row>
    <row r="89" customFormat="false" ht="15.75" hidden="false" customHeight="false" outlineLevel="0" collapsed="false">
      <c r="A89" s="515" t="str">
        <f aca="false" t="array" ref="A89:A89">IF(ISNA(INDEX(Source!$U$7:$U$95,MATCH(B89,Source!$V$7:$V$95,0))),"FREE",INDEX(Source!$U$7:$U$95,MATCH(B89,Source!$V$7:$V$95,0)))</f>
        <v>FREE</v>
      </c>
      <c r="B89" s="511" t="s">
        <v>478</v>
      </c>
      <c r="C89" s="511"/>
      <c r="D89" s="511"/>
      <c r="E89" s="499" t="str">
        <f aca="false">IF(SUM($W89:$X89)&gt;0,SUM($W89:$X89),IF($H89&gt;0,0,IF($H89&gt;0,0,"-")))</f>
        <v>-</v>
      </c>
      <c r="F89" s="499" t="str">
        <f aca="false">IF(SUM($Y89:$Z89)&gt;0,SUM($Y89:$Z89),IF($H89&gt;0,0,"-"))</f>
        <v>-</v>
      </c>
      <c r="G89" s="499" t="str">
        <f aca="false">IF($H89&gt;0,minus(E89,F89),"-")</f>
        <v>-</v>
      </c>
      <c r="H89" s="500" t="n">
        <f aca="false">SUM(COUNTIF(MatchSource!$A:$A,$B89),COUNTIF(MatchSource!$H:$H,$B89))</f>
        <v>0</v>
      </c>
      <c r="I89" s="501" t="n">
        <f aca="false">SUM($AA89:$AB89)</f>
        <v>0</v>
      </c>
      <c r="J89" s="501" t="s">
        <v>702</v>
      </c>
      <c r="K89" s="512" t="str">
        <f aca="false" t="array" ref="K89:K89">IF(ISNA(INDEX(DraftRosters!$AA$3:$AA$199,MATCH($B89,DraftRosters!$AB$3:$AB$199,0))),"FA",IF(INDEX(DraftRosters!$AA$3:$AA$199,MATCH($B89,DraftRosters!$AB$3:$AB$199,0))="Franchise","Franch",INDEX(DraftRosters!$AA$3:$AA$199,MATCH($B89,DraftRosters!$AB$3:$AB$199,0))))</f>
        <v>FA</v>
      </c>
      <c r="L89" s="499" t="n">
        <v>65</v>
      </c>
      <c r="M89" s="499" t="n">
        <v>55</v>
      </c>
      <c r="N89" s="499" t="n">
        <v>95</v>
      </c>
      <c r="O89" s="499" t="n">
        <v>65</v>
      </c>
      <c r="P89" s="499" t="n">
        <v>95</v>
      </c>
      <c r="Q89" s="501" t="n">
        <v>35</v>
      </c>
      <c r="R89" s="499" t="s">
        <v>809</v>
      </c>
      <c r="S89" s="501" t="s">
        <v>811</v>
      </c>
      <c r="T89" s="504" t="s">
        <v>932</v>
      </c>
      <c r="U89" s="505" t="s">
        <v>834</v>
      </c>
      <c r="V89" s="506" t="s">
        <v>837</v>
      </c>
      <c r="W89" s="500" t="str">
        <f aca="false">IFERROR(__xludf.dummyfunction("if(isna(SUM(FILTER(MatchSource!$A:$D,MatchSource!$A:$A=$B89))),0,SUM(FILTER(MatchSource!$A:$D,MatchSource!$A:$A=$B89)))"),"0")</f>
        <v>0</v>
      </c>
      <c r="X89" s="499" t="str">
        <f aca="false">IFERROR(__xludf.dummyfunction("if(isna(SUM(FILTER(MatchSource!$H:$K,MatchSource!$H:$H=$B89))),0,SUM(FILTER(MatchSource!$H:$K,MatchSource!$H:$H=$B89)))"),"0")</f>
        <v>0</v>
      </c>
      <c r="Y89" s="499" t="str">
        <f aca="false">IFERROR(__xludf.dummyfunction("if(isna(ABS(MINUS(SUM(FILTER(MatchSource!$A:$E,MatchSource!$A:$A=$B89)),SUM($W89)))),0,ABS(MINUS(SUM(FILTER(MatchSource!$A:$E,MatchSource!$A:$A=$B89)),SUM($W89))))"),"0")</f>
        <v>0</v>
      </c>
      <c r="Z89" s="499" t="str">
        <f aca="false">IFERROR(__xludf.dummyfunction("if(isna(ABS(MINUS(SUM(FILTER(MatchSource!$H:$L,MatchSource!$H:$H=$B89)),SUM($X89)))),0,ABS(MINUS(SUM(FILTER(MatchSource!$H:$L,MatchSource!$H:$H=$B89)),SUM($X89))))"),"0")</f>
        <v>0</v>
      </c>
      <c r="AA89" s="499" t="str">
        <f aca="false">IFERROR(__xludf.dummyfunction("if(isna(ABS(MINUS(SUM(FILTER(MatchSource!$A:$F,MatchSource!$A:$A=$B89)),SUM($W89,$Y89)))),0,ABS(MINUS(SUM(FILTER(MatchSource!$A:$F,MatchSource!$A:$A=$B89)),SUM($W89, $Y89,))))"),"0")</f>
        <v>0</v>
      </c>
      <c r="AB89" s="501" t="str">
        <f aca="false">IFERROR(__xludf.dummyfunction("if(isna(ABS(MINUS(SUM(FILTER(MatchSource!$H:$M,MatchSource!$H:$H=$B89)),SUM($X89,$Z89)))),0,ABS(MINUS(SUM(FILTER(MatchSource!$H:$M,MatchSource!$H:$H=$B89)),SUM($X89,$Z89))))"),"0")</f>
        <v>0</v>
      </c>
      <c r="AC89" s="507" t="n">
        <f aca="false">SUM(IF(OR($R89="Grass",$R89="Psychic",$R89="Dark"),0-1,IF(OR($R89="Fighting",$R89="Flying",$R89="Fire",$R89="Ghost",$R89="Poison",$R89="Steel",$R89="Fairy"),1,0)),IF(OR($S89="Grass",$S89="Psychic",$S89="Dark"),0-1,IF(OR($S89="Fighting",$S89="Flying",$S89="Fire",$S89="Ghost",$S89="Poison",$S89="Steel",$S89="Fairy"),1,0)))</f>
        <v>0</v>
      </c>
      <c r="AD89" s="507" t="n">
        <f aca="false">SUM(IF(OR($R89="Ghost",$R89="Psychic"),0-1,IF(OR($R89="Fighting",$R89="Dark",$R89="Fairy"),1,0)),IF(OR($S89="Ghost",$S89="Psychic"),0-1,IF(OR($S89="Fighting",$S89="Dark",$S89="Fairy"),1,0)))</f>
        <v>0</v>
      </c>
      <c r="AE89" s="507" t="n">
        <f aca="false">IF(OR($R89="Fairy",$S89="Fairy"),4,SUM(IF($R89="Dragon",0-1,IF($R89="Steel",1,0)),IF($S89="Dragon",0-1,IF($S89="Steel",1,0))))</f>
        <v>0</v>
      </c>
      <c r="AF89" s="507" t="n">
        <f aca="false">IF(OR($R89="Ground",$S89="Ground"),4,SUM(IF(OR($R89="Flying",$R89="Water"),0-1,IF(OR($R89="Dragon",$R89="Electric",$R89="Grass"),1,0)),IF(OR($S89="Flying",$S89="Water"),0-1,IF(OR($S89="Dragon",$S89="Electric",$S89="Grass"),1,0))))</f>
        <v>-1</v>
      </c>
      <c r="AG89" s="507" t="n">
        <f aca="false">SUM(IF(OR($R89="Dark",$R89="Dragon",$R89="Fighting"),0-1,IF(OR($R89="Steel",$R89="Poison",$R89="Fire"),1,0)),IF(OR($S89="Dark",$S89="Dragon",$S89="Fighting"),0-1,IF(OR($S89="Steel",$S89="Poison",$S89="Fire"),1,0)))</f>
        <v>0</v>
      </c>
      <c r="AH89" s="507" t="n">
        <f aca="false">IF(OR($R89="Ghost",$S89="Ghost"),4,SUM(IF(OR($R89="Dark",$R89="Ice",$R89="Normal",$R89="Rock",$R89="Steel"),0-1,IF(OR($R89="Bug",$R89="Fairy",$R89="Flying",$R89="Poison",$R89="Psychic"),1,0)),IF(OR($S89="Dark",$S89="Ice",$S89="Normal",$S89="Rock",$S89="Steel"),0-1,IF(OR($S89="Bug",$S89="Fairy",$S89="Flying",$S89="Poison",$S89="Psychic"),1,0))))</f>
        <v>-1</v>
      </c>
      <c r="AI89" s="507" t="n">
        <f aca="false">SUM(IF(OR($R89="Bug",$R89="Grass",$R89="Ice",$R89="Steel"),0-1,IF(OR($R89="Dragon",$R89="Fire",$R89="Rock",$R89="Water"),1,0)),IF(OR($S89="Bug",$S89="Grass",$S89="Ice",$S89="Steel"),0-1,IF(OR($S89="Dragon",$S89="Fire",$S89="Rock",$S89="Water"),1,0)))</f>
        <v>2</v>
      </c>
      <c r="AJ89" s="507" t="n">
        <f aca="false">SUM(IF(OR($R89="Bug",$R89="Grass",$R89="Fighting"),0-1,IF(OR($R89="Electric",$R89="Rock",$R89="Steel"),1,0)),IF(OR($S89="Bug",$S89="Grass",$S89="Fighting"),0-1,IF(OR($S89="Electric",$S89="Rock",$S89="Steel"),1,0)))</f>
        <v>1</v>
      </c>
      <c r="AK89" s="507" t="n">
        <f aca="false">IF(OR($R89="Normal",$S89="Normal"),4,SUM(IF(OR($R89="Ghost",$R89="Psychic"),0-1,IF($R89="Dark",1,0)),IF(OR($S89="Ghost",$S89="Psychic"),0-1,IF($S89="Dark",1,0))))</f>
        <v>0</v>
      </c>
      <c r="AL89" s="507" t="n">
        <f aca="false">SUM(IF(OR($R89="Ground",$R89="Rock",$R89="Water"),0-1,IF(OR($R89="Bug",$R89="Flying",$R89="Fire",$R89="Dragon",$R89="Poison",$R89="Steel",$R89="Grass"),1,0)),IF(OR($S89="Ground",$S89="Rock",$S89="Water"),0-1,IF(OR($S89="Bug",$S89="Flying",$S89="Fire",$S89="Dragon",$S89="Poison",$S89="Steel",$S89="Grass"),1,0)))</f>
        <v>-2</v>
      </c>
      <c r="AM89" s="507" t="n">
        <f aca="false">IF(OR($R89="Flying",$S89="Flying"),4,SUM(IF(OR($R89="Electric",$R89="Fire",$R89="Rock",$R89="Steel",$R89="Poison"),0-1,IF(OR($R89="Bug",$R89="Grass"),1,0)),IF(OR($S89="Electric",$S89="Fire",$S89="Rock",$S89="Steel",$S89="Poison"),0-1,IF(OR($S89="Bug",$S89="Grass"),1,0))))</f>
        <v>-1</v>
      </c>
      <c r="AN89" s="507" t="n">
        <f aca="false">SUM(IF(OR($R89="Flying",$R89="Dragon",$R89="Grass",$R89="Ground"),0-1,IF(OR($R89="Steel",$R89="Ice",$R89="Fire",$R89="Water"),1,0)),IF(OR($S89="Flying",$S89="Dragon",$S89="Grass",$S89="Ground"),0-1,IF(OR($S89="Steel",$S89="Ice",$S89="Fire",$S89="Water"),1,0)))</f>
        <v>1</v>
      </c>
      <c r="AO89" s="507" t="n">
        <f aca="false">IF(OR($R89="Ghost",$S89="Ghost"),4,SUM(IF(OR($R89="Steel",$R89="Rock"),1,0),IF(OR($S89="Steel",$S89="Rock"),1,0)))</f>
        <v>1</v>
      </c>
      <c r="AP89" s="507" t="n">
        <f aca="false">IF(OR($R89="Steel",$S89="Steel"),4,SUM(IF(OR($R89="Fairy",$R89="Grass"),0-1,IF(OR($R89="Ghost",$R89="Rock",$R89="Ground",$R89="Poison"),1,0)),IF(OR($S89="Fairy",$S89="Grass"),0-1,IF(OR($S89="Ghost",$S89="Rock",$S89="Ground",$S89="Poison"),1,0))))</f>
        <v>1</v>
      </c>
      <c r="AQ89" s="507" t="n">
        <f aca="false">IF(OR($R89="Dark",$S89="Dark"),4,SUM(IF(OR($R89="Fighting",$R89="Poison"),0-1,IF(OR($R89="Psychic",$R89="Steel"),1,0)),IF(OR($S89="Fighting",$S89="Poison"),0-1,IF(OR($S89="Psychic",$S89="Steel"),1,0))))</f>
        <v>0</v>
      </c>
      <c r="AR89" s="507" t="n">
        <f aca="false">SUM(IF(OR($R89="Bug",$R89="Fire",$R89="Flying",$R89="Ice"),0-1,IF(OR($R89="Steel",$R89="Fighting",$R89="Ground"),1,0)),IF(OR($S89="Bug",$S89="Fire",$S89="Flying",$S89="Ice"),0-1,IF(OR($S89="Steel",$S89="Fighting",$S89="Ground"),1,0)))</f>
        <v>0</v>
      </c>
      <c r="AS89" s="507" t="n">
        <f aca="false">SUM(IF(OR($R89="Fairy",$R89="Ice",$R89="Rock"),0-1,IF(OR($R89="Steel",$R89="Electric",$R89="Fire",$R89="Water"),1,0)),IF(OR($S89="Fairy",$S89="Ice",$S89="Rock"),0-1,IF(OR($S89="Steel",$S89="Electric",$S89="Fire",$S89="Water"),1,0)))</f>
        <v>0</v>
      </c>
      <c r="AT89" s="508" t="n">
        <f aca="false">SUM(IF(OR($R89="Fire",$R89="Ground",$R89="Rock"),0-1,IF(OR($R89="Dragon",$R89="Grass",$R89="Water"),1,0)),IF(OR($S89="Fire",$S89="Ground",$S89="Rock"),0-1,IF(OR($S89="Dragon",$S89="Grass",$S89="Water"),1,0)))</f>
        <v>0</v>
      </c>
      <c r="AU89" s="518"/>
    </row>
    <row r="90" customFormat="false" ht="15.75" hidden="false" customHeight="false" outlineLevel="0" collapsed="false">
      <c r="A90" s="510" t="str">
        <f aca="false" t="array" ref="A90:A90">IF(ISNA(INDEX(Source!$U$7:$U$95,MATCH(B90,Source!$V$7:$V$95,0))),"FREE",INDEX(Source!$U$7:$U$95,MATCH(B90,Source!$V$7:$V$95,0)))</f>
        <v>BBG</v>
      </c>
      <c r="B90" s="511" t="s">
        <v>44</v>
      </c>
      <c r="C90" s="511"/>
      <c r="D90" s="511"/>
      <c r="E90" s="499" t="n">
        <f aca="false">IF(SUM($W90:$X90)&gt;0,SUM($W90:$X90),IF($H90&gt;0,0,IF($H90&gt;0,0,"-")))</f>
        <v>0</v>
      </c>
      <c r="F90" s="499" t="n">
        <f aca="false">IF(SUM($Y90:$Z90)&gt;0,SUM($Y90:$Z90),IF($H90&gt;0,0,"-"))</f>
        <v>0</v>
      </c>
      <c r="G90" s="499" t="e">
        <f aca="false">IF($H90&gt;0,minus(E90,F90),"-")</f>
        <v>#NAME?</v>
      </c>
      <c r="H90" s="500" t="n">
        <f aca="false">SUM(COUNTIF(MatchSource!$A:$A,$B90),COUNTIF(MatchSource!$H:$H,$B90))</f>
        <v>1</v>
      </c>
      <c r="I90" s="501" t="n">
        <f aca="false">SUM($AA90:$AB90)</f>
        <v>0</v>
      </c>
      <c r="J90" s="501" t="s">
        <v>702</v>
      </c>
      <c r="K90" s="512" t="n">
        <f aca="false" t="array" ref="K90:K90">IF(ISNA(INDEX(DraftRosters!$AA$3:$AA$199,MATCH($B90,DraftRosters!$AB$3:$AB$199,0))),"FA",IF(INDEX(DraftRosters!$AA$3:$AA$199,MATCH($B90,DraftRosters!$AB$3:$AB$199,0))="Franchise","Franch",INDEX(DraftRosters!$AA$3:$AA$199,MATCH($B90,DraftRosters!$AB$3:$AB$199,0))))</f>
        <v>68</v>
      </c>
      <c r="L90" s="499" t="n">
        <v>97</v>
      </c>
      <c r="M90" s="499" t="n">
        <v>132</v>
      </c>
      <c r="N90" s="499" t="n">
        <v>77</v>
      </c>
      <c r="O90" s="499" t="n">
        <v>62</v>
      </c>
      <c r="P90" s="499" t="n">
        <v>67</v>
      </c>
      <c r="Q90" s="501" t="n">
        <v>43</v>
      </c>
      <c r="R90" s="499" t="s">
        <v>881</v>
      </c>
      <c r="S90" s="501" t="s">
        <v>805</v>
      </c>
      <c r="T90" s="504" t="s">
        <v>931</v>
      </c>
      <c r="U90" s="505" t="s">
        <v>933</v>
      </c>
      <c r="V90" s="506" t="s">
        <v>908</v>
      </c>
      <c r="W90" s="500" t="str">
        <f aca="false">IFERROR(__xludf.dummyfunction("if(isna(SUM(FILTER(MatchSource!$A:$D,MatchSource!$A:$A=$B90))),0,SUM(FILTER(MatchSource!$A:$D,MatchSource!$A:$A=$B90)))"),"0")</f>
        <v>0</v>
      </c>
      <c r="X90" s="499" t="str">
        <f aca="false">IFERROR(__xludf.dummyfunction("if(isna(SUM(FILTER(MatchSource!$H:$K,MatchSource!$H:$H=$B90))),0,SUM(FILTER(MatchSource!$H:$K,MatchSource!$H:$H=$B90)))"),"0")</f>
        <v>0</v>
      </c>
      <c r="Y90" s="499" t="str">
        <f aca="false">IFERROR(__xludf.dummyfunction("if(isna(ABS(MINUS(SUM(FILTER(MatchSource!$A:$E,MatchSource!$A:$A=$B90)),SUM($W90)))),0,ABS(MINUS(SUM(FILTER(MatchSource!$A:$E,MatchSource!$A:$A=$B90)),SUM($W90))))"),"0")</f>
        <v>0</v>
      </c>
      <c r="Z90" s="499" t="str">
        <f aca="false">IFERROR(__xludf.dummyfunction("if(isna(ABS(MINUS(SUM(FILTER(MatchSource!$H:$L,MatchSource!$H:$H=$B90)),SUM($X90)))),0,ABS(MINUS(SUM(FILTER(MatchSource!$H:$L,MatchSource!$H:$H=$B90)),SUM($X90))))"),"1")</f>
        <v>1</v>
      </c>
      <c r="AA90" s="499" t="str">
        <f aca="false">IFERROR(__xludf.dummyfunction("if(isna(ABS(MINUS(SUM(FILTER(MatchSource!$A:$F,MatchSource!$A:$A=$B90)),SUM($W90,$Y90)))),0,ABS(MINUS(SUM(FILTER(MatchSource!$A:$F,MatchSource!$A:$A=$B90)),SUM($W90, $Y90,))))"),"0")</f>
        <v>0</v>
      </c>
      <c r="AB90" s="501" t="str">
        <f aca="false">IFERROR(__xludf.dummyfunction("if(isna(ABS(MINUS(SUM(FILTER(MatchSource!$H:$M,MatchSource!$H:$H=$B90)),SUM($X90,$Z90)))),0,ABS(MINUS(SUM(FILTER(MatchSource!$H:$M,MatchSource!$H:$H=$B90)),SUM($X90,$Z90))))"),"0")</f>
        <v>0</v>
      </c>
      <c r="AC90" s="507" t="n">
        <f aca="false">SUM(IF(OR($R90="Grass",$R90="Psychic",$R90="Dark"),0-1,IF(OR($R90="Fighting",$R90="Flying",$R90="Fire",$R90="Ghost",$R90="Poison",$R90="Steel",$R90="Fairy"),1,0)),IF(OR($S90="Grass",$S90="Psychic",$S90="Dark"),0-1,IF(OR($S90="Fighting",$S90="Flying",$S90="Fire",$S90="Ghost",$S90="Poison",$S90="Steel",$S90="Fairy"),1,0)))</f>
        <v>1</v>
      </c>
      <c r="AD90" s="507" t="n">
        <f aca="false">SUM(IF(OR($R90="Ghost",$R90="Psychic"),0-1,IF(OR($R90="Fighting",$R90="Dark",$R90="Fairy"),1,0)),IF(OR($S90="Ghost",$S90="Psychic"),0-1,IF(OR($S90="Fighting",$S90="Dark",$S90="Fairy"),1,0)))</f>
        <v>1</v>
      </c>
      <c r="AE90" s="507" t="n">
        <f aca="false">IF(OR($R90="Fairy",$S90="Fairy"),4,SUM(IF($R90="Dragon",0-1,IF($R90="Steel",1,0)),IF($S90="Dragon",0-1,IF($S90="Steel",1,0))))</f>
        <v>0</v>
      </c>
      <c r="AF90" s="507" t="n">
        <f aca="false">IF(OR($R90="Ground",$S90="Ground"),4,SUM(IF(OR($R90="Flying",$R90="Water"),0-1,IF(OR($R90="Dragon",$R90="Electric",$R90="Grass"),1,0)),IF(OR($S90="Flying",$S90="Water"),0-1,IF(OR($S90="Dragon",$S90="Electric",$S90="Grass"),1,0))))</f>
        <v>0</v>
      </c>
      <c r="AG90" s="507" t="n">
        <f aca="false">SUM(IF(OR($R90="Dark",$R90="Dragon",$R90="Fighting"),0-1,IF(OR($R90="Steel",$R90="Poison",$R90="Fire"),1,0)),IF(OR($S90="Dark",$S90="Dragon",$S90="Fighting"),0-1,IF(OR($S90="Steel",$S90="Poison",$S90="Fire"),1,0)))</f>
        <v>-1</v>
      </c>
      <c r="AH90" s="507" t="n">
        <f aca="false">IF(OR($R90="Ghost",$S90="Ghost"),4,SUM(IF(OR($R90="Dark",$R90="Ice",$R90="Normal",$R90="Rock",$R90="Steel"),0-1,IF(OR($R90="Bug",$R90="Fairy",$R90="Flying",$R90="Poison",$R90="Psychic"),1,0)),IF(OR($S90="Dark",$S90="Ice",$S90="Normal",$S90="Rock",$S90="Steel"),0-1,IF(OR($S90="Bug",$S90="Fairy",$S90="Flying",$S90="Poison",$S90="Psychic"),1,0))))</f>
        <v>-1</v>
      </c>
      <c r="AI90" s="507" t="n">
        <f aca="false">SUM(IF(OR($R90="Bug",$R90="Grass",$R90="Ice",$R90="Steel"),0-1,IF(OR($R90="Dragon",$R90="Fire",$R90="Rock",$R90="Water"),1,0)),IF(OR($S90="Bug",$S90="Grass",$S90="Ice",$S90="Steel"),0-1,IF(OR($S90="Dragon",$S90="Fire",$S90="Rock",$S90="Water"),1,0)))</f>
        <v>-1</v>
      </c>
      <c r="AJ90" s="507" t="n">
        <f aca="false">SUM(IF(OR($R90="Bug",$R90="Grass",$R90="Fighting"),0-1,IF(OR($R90="Electric",$R90="Rock",$R90="Steel"),1,0)),IF(OR($S90="Bug",$S90="Grass",$S90="Fighting"),0-1,IF(OR($S90="Electric",$S90="Rock",$S90="Steel"),1,0)))</f>
        <v>-1</v>
      </c>
      <c r="AK90" s="507" t="n">
        <f aca="false">IF(OR($R90="Normal",$S90="Normal"),4,SUM(IF(OR($R90="Ghost",$R90="Psychic"),0-1,IF($R90="Dark",1,0)),IF(OR($S90="Ghost",$S90="Psychic"),0-1,IF($S90="Dark",1,0))))</f>
        <v>0</v>
      </c>
      <c r="AL90" s="507" t="n">
        <f aca="false">SUM(IF(OR($R90="Ground",$R90="Rock",$R90="Water"),0-1,IF(OR($R90="Bug",$R90="Flying",$R90="Fire",$R90="Dragon",$R90="Poison",$R90="Steel",$R90="Grass"),1,0)),IF(OR($S90="Ground",$S90="Rock",$S90="Water"),0-1,IF(OR($S90="Bug",$S90="Flying",$S90="Fire",$S90="Dragon",$S90="Poison",$S90="Steel",$S90="Grass"),1,0)))</f>
        <v>0</v>
      </c>
      <c r="AM90" s="507" t="n">
        <f aca="false">IF(OR($R90="Flying",$S90="Flying"),4,SUM(IF(OR($R90="Electric",$R90="Fire",$R90="Rock",$R90="Steel",$R90="Poison"),0-1,IF(OR($R90="Bug",$R90="Grass"),1,0)),IF(OR($S90="Electric",$S90="Fire",$S90="Rock",$S90="Steel",$S90="Poison"),0-1,IF(OR($S90="Bug",$S90="Grass"),1,0))))</f>
        <v>0</v>
      </c>
      <c r="AN90" s="507" t="n">
        <f aca="false">SUM(IF(OR($R90="Flying",$R90="Dragon",$R90="Grass",$R90="Ground"),0-1,IF(OR($R90="Steel",$R90="Ice",$R90="Fire",$R90="Water"),1,0)),IF(OR($S90="Flying",$S90="Dragon",$S90="Grass",$S90="Ground"),0-1,IF(OR($S90="Steel",$S90="Ice",$S90="Fire",$S90="Water"),1,0)))</f>
        <v>1</v>
      </c>
      <c r="AO90" s="507" t="n">
        <f aca="false">IF(OR($R90="Ghost",$S90="Ghost"),4,SUM(IF(OR($R90="Steel",$R90="Rock"),1,0),IF(OR($S90="Steel",$S90="Rock"),1,0)))</f>
        <v>0</v>
      </c>
      <c r="AP90" s="507" t="n">
        <f aca="false">IF(OR($R90="Steel",$S90="Steel"),4,SUM(IF(OR($R90="Fairy",$R90="Grass"),0-1,IF(OR($R90="Ghost",$R90="Rock",$R90="Ground",$R90="Poison"),1,0)),IF(OR($S90="Fairy",$S90="Grass"),0-1,IF(OR($S90="Ghost",$S90="Rock",$S90="Ground",$S90="Poison"),1,0))))</f>
        <v>0</v>
      </c>
      <c r="AQ90" s="507" t="n">
        <f aca="false">IF(OR($R90="Dark",$S90="Dark"),4,SUM(IF(OR($R90="Fighting",$R90="Poison"),0-1,IF(OR($R90="Psychic",$R90="Steel"),1,0)),IF(OR($S90="Fighting",$S90="Poison"),0-1,IF(OR($S90="Psychic",$S90="Steel"),1,0))))</f>
        <v>-1</v>
      </c>
      <c r="AR90" s="507" t="n">
        <f aca="false">SUM(IF(OR($R90="Bug",$R90="Fire",$R90="Flying",$R90="Ice"),0-1,IF(OR($R90="Steel",$R90="Fighting",$R90="Ground"),1,0)),IF(OR($S90="Bug",$S90="Fire",$S90="Flying",$S90="Ice"),0-1,IF(OR($S90="Steel",$S90="Fighting",$S90="Ground"),1,0)))</f>
        <v>0</v>
      </c>
      <c r="AS90" s="507" t="n">
        <f aca="false">SUM(IF(OR($R90="Fairy",$R90="Ice",$R90="Rock"),0-1,IF(OR($R90="Steel",$R90="Electric",$R90="Fire",$R90="Water"),1,0)),IF(OR($S90="Fairy",$S90="Ice",$S90="Rock"),0-1,IF(OR($S90="Steel",$S90="Electric",$S90="Fire",$S90="Water"),1,0)))</f>
        <v>-1</v>
      </c>
      <c r="AT90" s="508" t="n">
        <f aca="false">SUM(IF(OR($R90="Fire",$R90="Ground",$R90="Rock"),0-1,IF(OR($R90="Dragon",$R90="Grass",$R90="Water"),1,0)),IF(OR($S90="Fire",$S90="Ground",$S90="Rock"),0-1,IF(OR($S90="Dragon",$S90="Grass",$S90="Water"),1,0)))</f>
        <v>0</v>
      </c>
      <c r="AU90" s="518"/>
    </row>
    <row r="91" customFormat="false" ht="15.75" hidden="false" customHeight="false" outlineLevel="0" collapsed="false">
      <c r="A91" s="515" t="str">
        <f aca="false" t="array" ref="A91:A91">IF(ISNA(INDEX(Source!$U$7:$U$95,MATCH(B91,Source!$V$7:$V$95,0))),"FREE",INDEX(Source!$U$7:$U$95,MATCH(B91,Source!$V$7:$V$95,0)))</f>
        <v>FREE</v>
      </c>
      <c r="B91" s="511" t="s">
        <v>486</v>
      </c>
      <c r="C91" s="511"/>
      <c r="D91" s="511"/>
      <c r="E91" s="499" t="str">
        <f aca="false">IF(SUM($W91:$X91)&gt;0,SUM($W91:$X91),IF($H91&gt;0,0,IF($H91&gt;0,0,"-")))</f>
        <v>-</v>
      </c>
      <c r="F91" s="499" t="str">
        <f aca="false">IF(SUM($Y91:$Z91)&gt;0,SUM($Y91:$Z91),IF($H91&gt;0,0,"-"))</f>
        <v>-</v>
      </c>
      <c r="G91" s="499" t="str">
        <f aca="false">IF($H91&gt;0,minus(E91,F91),"-")</f>
        <v>-</v>
      </c>
      <c r="H91" s="500" t="n">
        <f aca="false">SUM(COUNTIF(MatchSource!$A:$A,$B91),COUNTIF(MatchSource!$H:$H,$B91))</f>
        <v>0</v>
      </c>
      <c r="I91" s="501" t="n">
        <f aca="false">SUM($AA91:$AB91)</f>
        <v>0</v>
      </c>
      <c r="J91" s="501" t="s">
        <v>702</v>
      </c>
      <c r="K91" s="512" t="str">
        <f aca="false" t="array" ref="K91:K91">IF(ISNA(INDEX(DraftRosters!$AA$3:$AA$199,MATCH($B91,DraftRosters!$AB$3:$AB$199,0))),"FA",IF(INDEX(DraftRosters!$AA$3:$AA$199,MATCH($B91,DraftRosters!$AB$3:$AB$199,0))="Franchise","Franch",INDEX(DraftRosters!$AA$3:$AA$199,MATCH($B91,DraftRosters!$AB$3:$AB$199,0))))</f>
        <v>FA</v>
      </c>
      <c r="L91" s="499" t="n">
        <v>86</v>
      </c>
      <c r="M91" s="499" t="n">
        <v>81</v>
      </c>
      <c r="N91" s="499" t="n">
        <v>97</v>
      </c>
      <c r="O91" s="499" t="n">
        <v>81</v>
      </c>
      <c r="P91" s="499" t="n">
        <v>107</v>
      </c>
      <c r="Q91" s="501" t="n">
        <v>43</v>
      </c>
      <c r="R91" s="499" t="s">
        <v>803</v>
      </c>
      <c r="S91" s="501" t="s">
        <v>809</v>
      </c>
      <c r="T91" s="504" t="s">
        <v>934</v>
      </c>
      <c r="U91" s="505" t="s">
        <v>935</v>
      </c>
      <c r="V91" s="506"/>
      <c r="W91" s="500" t="str">
        <f aca="false">IFERROR(__xludf.dummyfunction("if(isna(SUM(FILTER(MatchSource!$A:$D,MatchSource!$A:$A=$B91))),0,SUM(FILTER(MatchSource!$A:$D,MatchSource!$A:$A=$B91)))"),"0")</f>
        <v>0</v>
      </c>
      <c r="X91" s="499" t="str">
        <f aca="false">IFERROR(__xludf.dummyfunction("if(isna(SUM(FILTER(MatchSource!$H:$K,MatchSource!$H:$H=$B91))),0,SUM(FILTER(MatchSource!$H:$K,MatchSource!$H:$H=$B91)))"),"0")</f>
        <v>0</v>
      </c>
      <c r="Y91" s="499" t="str">
        <f aca="false">IFERROR(__xludf.dummyfunction("if(isna(ABS(MINUS(SUM(FILTER(MatchSource!$A:$E,MatchSource!$A:$A=$B91)),SUM($W91)))),0,ABS(MINUS(SUM(FILTER(MatchSource!$A:$E,MatchSource!$A:$A=$B91)),SUM($W91))))"),"0")</f>
        <v>0</v>
      </c>
      <c r="Z91" s="499" t="str">
        <f aca="false">IFERROR(__xludf.dummyfunction("if(isna(ABS(MINUS(SUM(FILTER(MatchSource!$H:$L,MatchSource!$H:$H=$B91)),SUM($X91)))),0,ABS(MINUS(SUM(FILTER(MatchSource!$H:$L,MatchSource!$H:$H=$B91)),SUM($X91))))"),"0")</f>
        <v>0</v>
      </c>
      <c r="AA91" s="499" t="str">
        <f aca="false">IFERROR(__xludf.dummyfunction("if(isna(ABS(MINUS(SUM(FILTER(MatchSource!$A:$F,MatchSource!$A:$A=$B91)),SUM($W91,$Y91)))),0,ABS(MINUS(SUM(FILTER(MatchSource!$A:$F,MatchSource!$A:$A=$B91)),SUM($W91, $Y91,))))"),"0")</f>
        <v>0</v>
      </c>
      <c r="AB91" s="501" t="str">
        <f aca="false">IFERROR(__xludf.dummyfunction("if(isna(ABS(MINUS(SUM(FILTER(MatchSource!$H:$M,MatchSource!$H:$H=$B91)),SUM($X91,$Z91)))),0,ABS(MINUS(SUM(FILTER(MatchSource!$H:$M,MatchSource!$H:$H=$B91)),SUM($X91,$Z91))))"),"0")</f>
        <v>0</v>
      </c>
      <c r="AC91" s="507" t="n">
        <f aca="false">SUM(IF(OR($R91="Grass",$R91="Psychic",$R91="Dark"),0-1,IF(OR($R91="Fighting",$R91="Flying",$R91="Fire",$R91="Ghost",$R91="Poison",$R91="Steel",$R91="Fairy"),1,0)),IF(OR($S91="Grass",$S91="Psychic",$S91="Dark"),0-1,IF(OR($S91="Fighting",$S91="Flying",$S91="Fire",$S91="Ghost",$S91="Poison",$S91="Steel",$S91="Fairy"),1,0)))</f>
        <v>-1</v>
      </c>
      <c r="AD91" s="507" t="n">
        <f aca="false">SUM(IF(OR($R91="Ghost",$R91="Psychic"),0-1,IF(OR($R91="Fighting",$R91="Dark",$R91="Fairy"),1,0)),IF(OR($S91="Ghost",$S91="Psychic"),0-1,IF(OR($S91="Fighting",$S91="Dark",$S91="Fairy"),1,0)))</f>
        <v>0</v>
      </c>
      <c r="AE91" s="507" t="n">
        <f aca="false">IF(OR($R91="Fairy",$S91="Fairy"),4,SUM(IF($R91="Dragon",0-1,IF($R91="Steel",1,0)),IF($S91="Dragon",0-1,IF($S91="Steel",1,0))))</f>
        <v>0</v>
      </c>
      <c r="AF91" s="507" t="n">
        <f aca="false">IF(OR($R91="Ground",$S91="Ground"),4,SUM(IF(OR($R91="Flying",$R91="Water"),0-1,IF(OR($R91="Dragon",$R91="Electric",$R91="Grass"),1,0)),IF(OR($S91="Flying",$S91="Water"),0-1,IF(OR($S91="Dragon",$S91="Electric",$S91="Grass"),1,0))))</f>
        <v>1</v>
      </c>
      <c r="AG91" s="507" t="n">
        <f aca="false">SUM(IF(OR($R91="Dark",$R91="Dragon",$R91="Fighting"),0-1,IF(OR($R91="Steel",$R91="Poison",$R91="Fire"),1,0)),IF(OR($S91="Dark",$S91="Dragon",$S91="Fighting"),0-1,IF(OR($S91="Steel",$S91="Poison",$S91="Fire"),1,0)))</f>
        <v>0</v>
      </c>
      <c r="AH91" s="507" t="n">
        <f aca="false">IF(OR($R91="Ghost",$S91="Ghost"),4,SUM(IF(OR($R91="Dark",$R91="Ice",$R91="Normal",$R91="Rock",$R91="Steel"),0-1,IF(OR($R91="Bug",$R91="Fairy",$R91="Flying",$R91="Poison",$R91="Psychic"),1,0)),IF(OR($S91="Dark",$S91="Ice",$S91="Normal",$S91="Rock",$S91="Steel"),0-1,IF(OR($S91="Bug",$S91="Fairy",$S91="Flying",$S91="Poison",$S91="Psychic"),1,0))))</f>
        <v>-1</v>
      </c>
      <c r="AI91" s="507" t="n">
        <f aca="false">SUM(IF(OR($R91="Bug",$R91="Grass",$R91="Ice",$R91="Steel"),0-1,IF(OR($R91="Dragon",$R91="Fire",$R91="Rock",$R91="Water"),1,0)),IF(OR($S91="Bug",$S91="Grass",$S91="Ice",$S91="Steel"),0-1,IF(OR($S91="Dragon",$S91="Fire",$S91="Rock",$S91="Water"),1,0)))</f>
        <v>0</v>
      </c>
      <c r="AJ91" s="507" t="n">
        <f aca="false">SUM(IF(OR($R91="Bug",$R91="Grass",$R91="Fighting"),0-1,IF(OR($R91="Electric",$R91="Rock",$R91="Steel"),1,0)),IF(OR($S91="Bug",$S91="Grass",$S91="Fighting"),0-1,IF(OR($S91="Electric",$S91="Rock",$S91="Steel"),1,0)))</f>
        <v>0</v>
      </c>
      <c r="AK91" s="507" t="n">
        <f aca="false">IF(OR($R91="Normal",$S91="Normal"),4,SUM(IF(OR($R91="Ghost",$R91="Psychic"),0-1,IF($R91="Dark",1,0)),IF(OR($S91="Ghost",$S91="Psychic"),0-1,IF($S91="Dark",1,0))))</f>
        <v>0</v>
      </c>
      <c r="AL91" s="507" t="n">
        <f aca="false">SUM(IF(OR($R91="Ground",$R91="Rock",$R91="Water"),0-1,IF(OR($R91="Bug",$R91="Flying",$R91="Fire",$R91="Dragon",$R91="Poison",$R91="Steel",$R91="Grass"),1,0)),IF(OR($S91="Ground",$S91="Rock",$S91="Water"),0-1,IF(OR($S91="Bug",$S91="Flying",$S91="Fire",$S91="Dragon",$S91="Poison",$S91="Steel",$S91="Grass"),1,0)))</f>
        <v>0</v>
      </c>
      <c r="AM91" s="507" t="n">
        <f aca="false">IF(OR($R91="Flying",$S91="Flying"),4,SUM(IF(OR($R91="Electric",$R91="Fire",$R91="Rock",$R91="Steel",$R91="Poison"),0-1,IF(OR($R91="Bug",$R91="Grass"),1,0)),IF(OR($S91="Electric",$S91="Fire",$S91="Rock",$S91="Steel",$S91="Poison"),0-1,IF(OR($S91="Bug",$S91="Grass"),1,0))))</f>
        <v>0</v>
      </c>
      <c r="AN91" s="507" t="n">
        <f aca="false">SUM(IF(OR($R91="Flying",$R91="Dragon",$R91="Grass",$R91="Ground"),0-1,IF(OR($R91="Steel",$R91="Ice",$R91="Fire",$R91="Water"),1,0)),IF(OR($S91="Flying",$S91="Dragon",$S91="Grass",$S91="Ground"),0-1,IF(OR($S91="Steel",$S91="Ice",$S91="Fire",$S91="Water"),1,0)))</f>
        <v>-1</v>
      </c>
      <c r="AO91" s="507" t="n">
        <f aca="false">IF(OR($R91="Ghost",$S91="Ghost"),4,SUM(IF(OR($R91="Steel",$R91="Rock"),1,0),IF(OR($S91="Steel",$S91="Rock"),1,0)))</f>
        <v>1</v>
      </c>
      <c r="AP91" s="507" t="n">
        <f aca="false">IF(OR($R91="Steel",$S91="Steel"),4,SUM(IF(OR($R91="Fairy",$R91="Grass"),0-1,IF(OR($R91="Ghost",$R91="Rock",$R91="Ground",$R91="Poison"),1,0)),IF(OR($S91="Fairy",$S91="Grass"),0-1,IF(OR($S91="Ghost",$S91="Rock",$S91="Ground",$S91="Poison"),1,0))))</f>
        <v>0</v>
      </c>
      <c r="AQ91" s="507" t="n">
        <f aca="false">IF(OR($R91="Dark",$S91="Dark"),4,SUM(IF(OR($R91="Fighting",$R91="Poison"),0-1,IF(OR($R91="Psychic",$R91="Steel"),1,0)),IF(OR($S91="Fighting",$S91="Poison"),0-1,IF(OR($S91="Psychic",$S91="Steel"),1,0))))</f>
        <v>0</v>
      </c>
      <c r="AR91" s="507" t="n">
        <f aca="false">SUM(IF(OR($R91="Bug",$R91="Fire",$R91="Flying",$R91="Ice"),0-1,IF(OR($R91="Steel",$R91="Fighting",$R91="Ground"),1,0)),IF(OR($S91="Bug",$S91="Fire",$S91="Flying",$S91="Ice"),0-1,IF(OR($S91="Steel",$S91="Fighting",$S91="Ground"),1,0)))</f>
        <v>0</v>
      </c>
      <c r="AS91" s="507" t="n">
        <f aca="false">SUM(IF(OR($R91="Fairy",$R91="Ice",$R91="Rock"),0-1,IF(OR($R91="Steel",$R91="Electric",$R91="Fire",$R91="Water"),1,0)),IF(OR($S91="Fairy",$S91="Ice",$S91="Rock"),0-1,IF(OR($S91="Steel",$S91="Electric",$S91="Fire",$S91="Water"),1,0)))</f>
        <v>-1</v>
      </c>
      <c r="AT91" s="508" t="n">
        <f aca="false">SUM(IF(OR($R91="Fire",$R91="Ground",$R91="Rock"),0-1,IF(OR($R91="Dragon",$R91="Grass",$R91="Water"),1,0)),IF(OR($S91="Fire",$S91="Ground",$S91="Rock"),0-1,IF(OR($S91="Dragon",$S91="Grass",$S91="Water"),1,0)))</f>
        <v>0</v>
      </c>
      <c r="AU91" s="518"/>
    </row>
    <row r="92" customFormat="false" ht="15.75" hidden="false" customHeight="false" outlineLevel="0" collapsed="false">
      <c r="A92" s="515" t="str">
        <f aca="false" t="array" ref="A92:A92">IF(ISNA(INDEX(Source!$U$7:$U$95,MATCH(B92,Source!$V$7:$V$95,0))),"FREE",INDEX(Source!$U$7:$U$95,MATCH(B92,Source!$V$7:$V$95,0)))</f>
        <v>FREE</v>
      </c>
      <c r="B92" s="511" t="s">
        <v>343</v>
      </c>
      <c r="C92" s="511"/>
      <c r="D92" s="511"/>
      <c r="E92" s="499" t="str">
        <f aca="false">IF(SUM($W92:$X92)&gt;0,SUM($W92:$X92),IF($H92&gt;0,0,IF($H92&gt;0,0,"-")))</f>
        <v>-</v>
      </c>
      <c r="F92" s="499" t="str">
        <f aca="false">IF(SUM($Y92:$Z92)&gt;0,SUM($Y92:$Z92),IF($H92&gt;0,0,"-"))</f>
        <v>-</v>
      </c>
      <c r="G92" s="499" t="str">
        <f aca="false">IF($H92&gt;0,minus(E92,F92),"-")</f>
        <v>-</v>
      </c>
      <c r="H92" s="500" t="n">
        <f aca="false">SUM(COUNTIF(MatchSource!$A:$A,$B92),COUNTIF(MatchSource!$H:$H,$B92))</f>
        <v>0</v>
      </c>
      <c r="I92" s="501" t="n">
        <f aca="false">SUM($AA92:$AB92)</f>
        <v>0</v>
      </c>
      <c r="J92" s="501" t="s">
        <v>699</v>
      </c>
      <c r="K92" s="512" t="str">
        <f aca="false" t="array" ref="K92:K92">IF(ISNA(INDEX(DraftRosters!$AA$3:$AA$199,MATCH($B92,DraftRosters!$AB$3:$AB$199,0))),"FA",IF(INDEX(DraftRosters!$AA$3:$AA$199,MATCH($B92,DraftRosters!$AB$3:$AB$199,0))="Franchise","Franch",INDEX(DraftRosters!$AA$3:$AA$199,MATCH($B92,DraftRosters!$AB$3:$AB$199,0))))</f>
        <v>FA</v>
      </c>
      <c r="L92" s="507" t="n">
        <v>63</v>
      </c>
      <c r="M92" s="507" t="n">
        <v>120</v>
      </c>
      <c r="N92" s="507" t="n">
        <v>85</v>
      </c>
      <c r="O92" s="507" t="n">
        <v>90</v>
      </c>
      <c r="P92" s="507" t="n">
        <v>55</v>
      </c>
      <c r="Q92" s="508" t="n">
        <v>55</v>
      </c>
      <c r="R92" s="499" t="s">
        <v>795</v>
      </c>
      <c r="S92" s="501" t="s">
        <v>811</v>
      </c>
      <c r="T92" s="504" t="s">
        <v>936</v>
      </c>
      <c r="U92" s="505" t="s">
        <v>933</v>
      </c>
      <c r="V92" s="506" t="s">
        <v>925</v>
      </c>
      <c r="W92" s="500" t="str">
        <f aca="false">IFERROR(__xludf.dummyfunction("if(isna(SUM(FILTER(MatchSource!$A:$D,MatchSource!$A:$A=$B92))),0,SUM(FILTER(MatchSource!$A:$D,MatchSource!$A:$A=$B92)))"),"0")</f>
        <v>0</v>
      </c>
      <c r="X92" s="499" t="str">
        <f aca="false">IFERROR(__xludf.dummyfunction("if(isna(SUM(FILTER(MatchSource!$H:$K,MatchSource!$H:$H=$B92))),0,SUM(FILTER(MatchSource!$H:$K,MatchSource!$H:$H=$B92)))"),"0")</f>
        <v>0</v>
      </c>
      <c r="Y92" s="499" t="str">
        <f aca="false">IFERROR(__xludf.dummyfunction("if(isna(ABS(MINUS(SUM(FILTER(MatchSource!$A:$E,MatchSource!$A:$A=$B92)),SUM($W92)))),0,ABS(MINUS(SUM(FILTER(MatchSource!$A:$E,MatchSource!$A:$A=$B92)),SUM($W92))))"),"0")</f>
        <v>0</v>
      </c>
      <c r="Z92" s="499" t="str">
        <f aca="false">IFERROR(__xludf.dummyfunction("if(isna(ABS(MINUS(SUM(FILTER(MatchSource!$H:$L,MatchSource!$H:$H=$B92)),SUM($X92)))),0,ABS(MINUS(SUM(FILTER(MatchSource!$H:$L,MatchSource!$H:$H=$B92)),SUM($X92))))"),"0")</f>
        <v>0</v>
      </c>
      <c r="AA92" s="499" t="str">
        <f aca="false">IFERROR(__xludf.dummyfunction("if(isna(ABS(MINUS(SUM(FILTER(MatchSource!$A:$F,MatchSource!$A:$A=$B92)),SUM($W92,$Y92)))),0,ABS(MINUS(SUM(FILTER(MatchSource!$A:$F,MatchSource!$A:$A=$B92)),SUM($W92, $Y92,))))"),"0")</f>
        <v>0</v>
      </c>
      <c r="AB92" s="501" t="str">
        <f aca="false">IFERROR(__xludf.dummyfunction("if(isna(ABS(MINUS(SUM(FILTER(MatchSource!$H:$M,MatchSource!$H:$H=$B92)),SUM($X92,$Z92)))),0,ABS(MINUS(SUM(FILTER(MatchSource!$H:$M,MatchSource!$H:$H=$B92)),SUM($X92,$Z92))))"),"0")</f>
        <v>0</v>
      </c>
      <c r="AC92" s="507" t="n">
        <f aca="false">SUM(IF(OR($R92="Grass",$R92="Psychic",$R92="Dark"),0-1,IF(OR($R92="Fighting",$R92="Flying",$R92="Fire",$R92="Ghost",$R92="Poison",$R92="Steel",$R92="Fairy"),1,0)),IF(OR($S92="Grass",$S92="Psychic",$S92="Dark"),0-1,IF(OR($S92="Fighting",$S92="Flying",$S92="Fire",$S92="Ghost",$S92="Poison",$S92="Steel",$S92="Fairy"),1,0)))</f>
        <v>-1</v>
      </c>
      <c r="AD92" s="507" t="n">
        <f aca="false">SUM(IF(OR($R92="Ghost",$R92="Psychic"),0-1,IF(OR($R92="Fighting",$R92="Dark",$R92="Fairy"),1,0)),IF(OR($S92="Ghost",$S92="Psychic"),0-1,IF(OR($S92="Fighting",$S92="Dark",$S92="Fairy"),1,0)))</f>
        <v>1</v>
      </c>
      <c r="AE92" s="507" t="n">
        <f aca="false">IF(OR($R92="Fairy",$S92="Fairy"),4,SUM(IF($R92="Dragon",0-1,IF($R92="Steel",1,0)),IF($S92="Dragon",0-1,IF($S92="Steel",1,0))))</f>
        <v>0</v>
      </c>
      <c r="AF92" s="507" t="n">
        <f aca="false">IF(OR($R92="Ground",$S92="Ground"),4,SUM(IF(OR($R92="Flying",$R92="Water"),0-1,IF(OR($R92="Dragon",$R92="Electric",$R92="Grass"),1,0)),IF(OR($S92="Flying",$S92="Water"),0-1,IF(OR($S92="Dragon",$S92="Electric",$S92="Grass"),1,0))))</f>
        <v>-1</v>
      </c>
      <c r="AG92" s="507" t="n">
        <f aca="false">SUM(IF(OR($R92="Dark",$R92="Dragon",$R92="Fighting"),0-1,IF(OR($R92="Steel",$R92="Poison",$R92="Fire"),1,0)),IF(OR($S92="Dark",$S92="Dragon",$S92="Fighting"),0-1,IF(OR($S92="Steel",$S92="Poison",$S92="Fire"),1,0)))</f>
        <v>-1</v>
      </c>
      <c r="AH92" s="507" t="n">
        <f aca="false">IF(OR($R92="Ghost",$S92="Ghost"),4,SUM(IF(OR($R92="Dark",$R92="Ice",$R92="Normal",$R92="Rock",$R92="Steel"),0-1,IF(OR($R92="Bug",$R92="Fairy",$R92="Flying",$R92="Poison",$R92="Psychic"),1,0)),IF(OR($S92="Dark",$S92="Ice",$S92="Normal",$S92="Rock",$S92="Steel"),0-1,IF(OR($S92="Bug",$S92="Fairy",$S92="Flying",$S92="Poison",$S92="Psychic"),1,0))))</f>
        <v>-1</v>
      </c>
      <c r="AI92" s="507" t="n">
        <f aca="false">SUM(IF(OR($R92="Bug",$R92="Grass",$R92="Ice",$R92="Steel"),0-1,IF(OR($R92="Dragon",$R92="Fire",$R92="Rock",$R92="Water"),1,0)),IF(OR($S92="Bug",$S92="Grass",$S92="Ice",$S92="Steel"),0-1,IF(OR($S92="Dragon",$S92="Fire",$S92="Rock",$S92="Water"),1,0)))</f>
        <v>1</v>
      </c>
      <c r="AJ92" s="507" t="n">
        <f aca="false">SUM(IF(OR($R92="Bug",$R92="Grass",$R92="Fighting"),0-1,IF(OR($R92="Electric",$R92="Rock",$R92="Steel"),1,0)),IF(OR($S92="Bug",$S92="Grass",$S92="Fighting"),0-1,IF(OR($S92="Electric",$S92="Rock",$S92="Steel"),1,0)))</f>
        <v>0</v>
      </c>
      <c r="AK92" s="507" t="n">
        <f aca="false">IF(OR($R92="Normal",$S92="Normal"),4,SUM(IF(OR($R92="Ghost",$R92="Psychic"),0-1,IF($R92="Dark",1,0)),IF(OR($S92="Ghost",$S92="Psychic"),0-1,IF($S92="Dark",1,0))))</f>
        <v>1</v>
      </c>
      <c r="AL92" s="507" t="n">
        <f aca="false">SUM(IF(OR($R92="Ground",$R92="Rock",$R92="Water"),0-1,IF(OR($R92="Bug",$R92="Flying",$R92="Fire",$R92="Dragon",$R92="Poison",$R92="Steel",$R92="Grass"),1,0)),IF(OR($S92="Ground",$S92="Rock",$S92="Water"),0-1,IF(OR($S92="Bug",$S92="Flying",$S92="Fire",$S92="Dragon",$S92="Poison",$S92="Steel",$S92="Grass"),1,0)))</f>
        <v>-1</v>
      </c>
      <c r="AM92" s="507" t="n">
        <f aca="false">IF(OR($R92="Flying",$S92="Flying"),4,SUM(IF(OR($R92="Electric",$R92="Fire",$R92="Rock",$R92="Steel",$R92="Poison"),0-1,IF(OR($R92="Bug",$R92="Grass"),1,0)),IF(OR($S92="Electric",$S92="Fire",$S92="Rock",$S92="Steel",$S92="Poison"),0-1,IF(OR($S92="Bug",$S92="Grass"),1,0))))</f>
        <v>0</v>
      </c>
      <c r="AN92" s="507" t="n">
        <f aca="false">SUM(IF(OR($R92="Flying",$R92="Dragon",$R92="Grass",$R92="Ground"),0-1,IF(OR($R92="Steel",$R92="Ice",$R92="Fire",$R92="Water"),1,0)),IF(OR($S92="Flying",$S92="Dragon",$S92="Grass",$S92="Ground"),0-1,IF(OR($S92="Steel",$S92="Ice",$S92="Fire",$S92="Water"),1,0)))</f>
        <v>1</v>
      </c>
      <c r="AO92" s="507" t="n">
        <f aca="false">IF(OR($R92="Ghost",$S92="Ghost"),4,SUM(IF(OR($R92="Steel",$R92="Rock"),1,0),IF(OR($S92="Steel",$S92="Rock"),1,0)))</f>
        <v>0</v>
      </c>
      <c r="AP92" s="507" t="n">
        <f aca="false">IF(OR($R92="Steel",$S92="Steel"),4,SUM(IF(OR($R92="Fairy",$R92="Grass"),0-1,IF(OR($R92="Ghost",$R92="Rock",$R92="Ground",$R92="Poison"),1,0)),IF(OR($S92="Fairy",$S92="Grass"),0-1,IF(OR($S92="Ghost",$S92="Rock",$S92="Ground",$S92="Poison"),1,0))))</f>
        <v>0</v>
      </c>
      <c r="AQ92" s="507" t="n">
        <f aca="false">IF(OR($R92="Dark",$S92="Dark"),4,SUM(IF(OR($R92="Fighting",$R92="Poison"),0-1,IF(OR($R92="Psychic",$R92="Steel"),1,0)),IF(OR($S92="Fighting",$S92="Poison"),0-1,IF(OR($S92="Psychic",$S92="Steel"),1,0))))</f>
        <v>4</v>
      </c>
      <c r="AR92" s="507" t="n">
        <f aca="false">SUM(IF(OR($R92="Bug",$R92="Fire",$R92="Flying",$R92="Ice"),0-1,IF(OR($R92="Steel",$R92="Fighting",$R92="Ground"),1,0)),IF(OR($S92="Bug",$S92="Fire",$S92="Flying",$S92="Ice"),0-1,IF(OR($S92="Steel",$S92="Fighting",$S92="Ground"),1,0)))</f>
        <v>0</v>
      </c>
      <c r="AS92" s="507" t="n">
        <f aca="false">SUM(IF(OR($R92="Fairy",$R92="Ice",$R92="Rock"),0-1,IF(OR($R92="Steel",$R92="Electric",$R92="Fire",$R92="Water"),1,0)),IF(OR($S92="Fairy",$S92="Ice",$S92="Rock"),0-1,IF(OR($S92="Steel",$S92="Electric",$S92="Fire",$S92="Water"),1,0)))</f>
        <v>1</v>
      </c>
      <c r="AT92" s="508" t="n">
        <f aca="false">SUM(IF(OR($R92="Fire",$R92="Ground",$R92="Rock"),0-1,IF(OR($R92="Dragon",$R92="Grass",$R92="Water"),1,0)),IF(OR($S92="Fire",$S92="Ground",$S92="Rock"),0-1,IF(OR($S92="Dragon",$S92="Grass",$S92="Water"),1,0)))</f>
        <v>1</v>
      </c>
      <c r="AU92" s="518"/>
    </row>
    <row r="93" customFormat="false" ht="15.75" hidden="false" customHeight="false" outlineLevel="0" collapsed="false">
      <c r="A93" s="497" t="str">
        <f aca="false" t="array" ref="A93:A93">IF(ISNA(INDEX(Source!$U$7:$U$95,MATCH(B93,Source!$V$7:$V$95,0))),"FREE",INDEX(Source!$U$7:$U$95,MATCH(B93,Source!$V$7:$V$95,0)))</f>
        <v>FREE</v>
      </c>
      <c r="B93" s="511" t="s">
        <v>350</v>
      </c>
      <c r="C93" s="511"/>
      <c r="D93" s="511"/>
      <c r="E93" s="499" t="str">
        <f aca="false">IF(SUM($W93:$X93)&gt;0,SUM($W93:$X93),IF($H93&gt;0,0,IF($H93&gt;0,0,"-")))</f>
        <v>-</v>
      </c>
      <c r="F93" s="499" t="str">
        <f aca="false">IF(SUM($Y93:$Z93)&gt;0,SUM($Y93:$Z93),IF($H93&gt;0,0,"-"))</f>
        <v>-</v>
      </c>
      <c r="G93" s="499" t="str">
        <f aca="false">IF($H93&gt;0,minus(E93,F93),"-")</f>
        <v>-</v>
      </c>
      <c r="H93" s="500" t="n">
        <f aca="false">SUM(COUNTIF(MatchSource!$A:$A,$B93),COUNTIF(MatchSource!$H:$H,$B93))</f>
        <v>0</v>
      </c>
      <c r="I93" s="501" t="n">
        <f aca="false">SUM($AA93:$AB93)</f>
        <v>0</v>
      </c>
      <c r="J93" s="501" t="s">
        <v>699</v>
      </c>
      <c r="K93" s="512" t="str">
        <f aca="false" t="array" ref="K93:K93">IF(ISNA(INDEX(DraftRosters!$AA$3:$AA$199,MATCH($B93,DraftRosters!$AB$3:$AB$199,0))),"FA",IF(INDEX(DraftRosters!$AA$3:$AA$199,MATCH($B93,DraftRosters!$AB$3:$AB$199,0))="Franchise","Franch",INDEX(DraftRosters!$AA$3:$AA$199,MATCH($B93,DraftRosters!$AB$3:$AB$199,0))))</f>
        <v>FA</v>
      </c>
      <c r="L93" s="507" t="n">
        <v>120</v>
      </c>
      <c r="M93" s="507" t="n">
        <v>70</v>
      </c>
      <c r="N93" s="507" t="n">
        <v>120</v>
      </c>
      <c r="O93" s="507" t="n">
        <v>75</v>
      </c>
      <c r="P93" s="507" t="n">
        <v>130</v>
      </c>
      <c r="Q93" s="508" t="n">
        <v>85</v>
      </c>
      <c r="R93" s="499" t="s">
        <v>828</v>
      </c>
      <c r="S93" s="501"/>
      <c r="T93" s="504" t="s">
        <v>866</v>
      </c>
      <c r="U93" s="505"/>
      <c r="V93" s="506"/>
      <c r="W93" s="500" t="str">
        <f aca="false">IFERROR(__xludf.dummyfunction("if(isna(SUM(FILTER(MatchSource!$A:$D,MatchSource!$A:$A=$B93))),0,SUM(FILTER(MatchSource!$A:$D,MatchSource!$A:$A=$B93)))"),"0")</f>
        <v>0</v>
      </c>
      <c r="X93" s="499" t="str">
        <f aca="false">IFERROR(__xludf.dummyfunction("if(isna(SUM(FILTER(MatchSource!$H:$K,MatchSource!$H:$H=$B93))),0,SUM(FILTER(MatchSource!$H:$K,MatchSource!$H:$H=$B93)))"),"0")</f>
        <v>0</v>
      </c>
      <c r="Y93" s="499" t="str">
        <f aca="false">IFERROR(__xludf.dummyfunction("if(isna(ABS(MINUS(SUM(FILTER(MatchSource!$A:$E,MatchSource!$A:$A=$B93)),SUM($W93)))),0,ABS(MINUS(SUM(FILTER(MatchSource!$A:$E,MatchSource!$A:$A=$B93)),SUM($W93))))"),"0")</f>
        <v>0</v>
      </c>
      <c r="Z93" s="499" t="str">
        <f aca="false">IFERROR(__xludf.dummyfunction("if(isna(ABS(MINUS(SUM(FILTER(MatchSource!$H:$L,MatchSource!$H:$H=$B93)),SUM($X93)))),0,ABS(MINUS(SUM(FILTER(MatchSource!$H:$L,MatchSource!$H:$H=$B93)),SUM($X93))))"),"0")</f>
        <v>0</v>
      </c>
      <c r="AA93" s="499" t="str">
        <f aca="false">IFERROR(__xludf.dummyfunction("if(isna(ABS(MINUS(SUM(FILTER(MatchSource!$A:$F,MatchSource!$A:$A=$B93)),SUM($W93,$Y93)))),0,ABS(MINUS(SUM(FILTER(MatchSource!$A:$F,MatchSource!$A:$A=$B93)),SUM($W93, $Y93,))))"),"0")</f>
        <v>0</v>
      </c>
      <c r="AB93" s="501" t="str">
        <f aca="false">IFERROR(__xludf.dummyfunction("if(isna(ABS(MINUS(SUM(FILTER(MatchSource!$H:$M,MatchSource!$H:$H=$B93)),SUM($X93,$Z93)))),0,ABS(MINUS(SUM(FILTER(MatchSource!$H:$M,MatchSource!$H:$H=$B93)),SUM($X93,$Z93))))"),"0")</f>
        <v>0</v>
      </c>
      <c r="AC93" s="507" t="n">
        <f aca="false">SUM(IF(OR($R93="Grass",$R93="Psychic",$R93="Dark"),0-1,IF(OR($R93="Fighting",$R93="Flying",$R93="Fire",$R93="Ghost",$R93="Poison",$R93="Steel",$R93="Fairy"),1,0)),IF(OR($S93="Grass",$S93="Psychic",$S93="Dark"),0-1,IF(OR($S93="Fighting",$S93="Flying",$S93="Fire",$S93="Ghost",$S93="Poison",$S93="Steel",$S93="Fairy"),1,0)))</f>
        <v>-1</v>
      </c>
      <c r="AD93" s="507" t="n">
        <f aca="false">SUM(IF(OR($R93="Ghost",$R93="Psychic"),0-1,IF(OR($R93="Fighting",$R93="Dark",$R93="Fairy"),1,0)),IF(OR($S93="Ghost",$S93="Psychic"),0-1,IF(OR($S93="Fighting",$S93="Dark",$S93="Fairy"),1,0)))</f>
        <v>-1</v>
      </c>
      <c r="AE93" s="507" t="n">
        <f aca="false">IF(OR($R93="Fairy",$S93="Fairy"),4,SUM(IF($R93="Dragon",0-1,IF($R93="Steel",1,0)),IF($S93="Dragon",0-1,IF($S93="Steel",1,0))))</f>
        <v>0</v>
      </c>
      <c r="AF93" s="507" t="n">
        <f aca="false">IF(OR($R93="Ground",$S93="Ground"),4,SUM(IF(OR($R93="Flying",$R93="Water"),0-1,IF(OR($R93="Dragon",$R93="Electric",$R93="Grass"),1,0)),IF(OR($S93="Flying",$S93="Water"),0-1,IF(OR($S93="Dragon",$S93="Electric",$S93="Grass"),1,0))))</f>
        <v>0</v>
      </c>
      <c r="AG93" s="507" t="n">
        <f aca="false">SUM(IF(OR($R93="Dark",$R93="Dragon",$R93="Fighting"),0-1,IF(OR($R93="Steel",$R93="Poison",$R93="Fire"),1,0)),IF(OR($S93="Dark",$S93="Dragon",$S93="Fighting"),0-1,IF(OR($S93="Steel",$S93="Poison",$S93="Fire"),1,0)))</f>
        <v>0</v>
      </c>
      <c r="AH93" s="507" t="n">
        <f aca="false">IF(OR($R93="Ghost",$S93="Ghost"),4,SUM(IF(OR($R93="Dark",$R93="Ice",$R93="Normal",$R93="Rock",$R93="Steel"),0-1,IF(OR($R93="Bug",$R93="Fairy",$R93="Flying",$R93="Poison",$R93="Psychic"),1,0)),IF(OR($S93="Dark",$S93="Ice",$S93="Normal",$S93="Rock",$S93="Steel"),0-1,IF(OR($S93="Bug",$S93="Fairy",$S93="Flying",$S93="Poison",$S93="Psychic"),1,0))))</f>
        <v>1</v>
      </c>
      <c r="AI93" s="507" t="n">
        <f aca="false">SUM(IF(OR($R93="Bug",$R93="Grass",$R93="Ice",$R93="Steel"),0-1,IF(OR($R93="Dragon",$R93="Fire",$R93="Rock",$R93="Water"),1,0)),IF(OR($S93="Bug",$S93="Grass",$S93="Ice",$S93="Steel"),0-1,IF(OR($S93="Dragon",$S93="Fire",$S93="Rock",$S93="Water"),1,0)))</f>
        <v>0</v>
      </c>
      <c r="AJ93" s="507" t="n">
        <f aca="false">SUM(IF(OR($R93="Bug",$R93="Grass",$R93="Fighting"),0-1,IF(OR($R93="Electric",$R93="Rock",$R93="Steel"),1,0)),IF(OR($S93="Bug",$S93="Grass",$S93="Fighting"),0-1,IF(OR($S93="Electric",$S93="Rock",$S93="Steel"),1,0)))</f>
        <v>0</v>
      </c>
      <c r="AK93" s="507" t="n">
        <f aca="false">IF(OR($R93="Normal",$S93="Normal"),4,SUM(IF(OR($R93="Ghost",$R93="Psychic"),0-1,IF($R93="Dark",1,0)),IF(OR($S93="Ghost",$S93="Psychic"),0-1,IF($S93="Dark",1,0))))</f>
        <v>-1</v>
      </c>
      <c r="AL93" s="507" t="n">
        <f aca="false">SUM(IF(OR($R93="Ground",$R93="Rock",$R93="Water"),0-1,IF(OR($R93="Bug",$R93="Flying",$R93="Fire",$R93="Dragon",$R93="Poison",$R93="Steel",$R93="Grass"),1,0)),IF(OR($S93="Ground",$S93="Rock",$S93="Water"),0-1,IF(OR($S93="Bug",$S93="Flying",$S93="Fire",$S93="Dragon",$S93="Poison",$S93="Steel",$S93="Grass"),1,0)))</f>
        <v>0</v>
      </c>
      <c r="AM93" s="507" t="n">
        <f aca="false">IF(OR($R93="Flying",$S93="Flying"),4,SUM(IF(OR($R93="Electric",$R93="Fire",$R93="Rock",$R93="Steel",$R93="Poison"),0-1,IF(OR($R93="Bug",$R93="Grass"),1,0)),IF(OR($S93="Electric",$S93="Fire",$S93="Rock",$S93="Steel",$S93="Poison"),0-1,IF(OR($S93="Bug",$S93="Grass"),1,0))))</f>
        <v>0</v>
      </c>
      <c r="AN93" s="507" t="n">
        <f aca="false">SUM(IF(OR($R93="Flying",$R93="Dragon",$R93="Grass",$R93="Ground"),0-1,IF(OR($R93="Steel",$R93="Ice",$R93="Fire",$R93="Water"),1,0)),IF(OR($S93="Flying",$S93="Dragon",$S93="Grass",$S93="Ground"),0-1,IF(OR($S93="Steel",$S93="Ice",$S93="Fire",$S93="Water"),1,0)))</f>
        <v>0</v>
      </c>
      <c r="AO93" s="507" t="n">
        <f aca="false">IF(OR($R93="Ghost",$S93="Ghost"),4,SUM(IF(OR($R93="Steel",$R93="Rock"),1,0),IF(OR($S93="Steel",$S93="Rock"),1,0)))</f>
        <v>0</v>
      </c>
      <c r="AP93" s="507" t="n">
        <f aca="false">IF(OR($R93="Steel",$S93="Steel"),4,SUM(IF(OR($R93="Fairy",$R93="Grass"),0-1,IF(OR($R93="Ghost",$R93="Rock",$R93="Ground",$R93="Poison"),1,0)),IF(OR($S93="Fairy",$S93="Grass"),0-1,IF(OR($S93="Ghost",$S93="Rock",$S93="Ground",$S93="Poison"),1,0))))</f>
        <v>0</v>
      </c>
      <c r="AQ93" s="507" t="n">
        <f aca="false">IF(OR($R93="Dark",$S93="Dark"),4,SUM(IF(OR($R93="Fighting",$R93="Poison"),0-1,IF(OR($R93="Psychic",$R93="Steel"),1,0)),IF(OR($S93="Fighting",$S93="Poison"),0-1,IF(OR($S93="Psychic",$S93="Steel"),1,0))))</f>
        <v>1</v>
      </c>
      <c r="AR93" s="507" t="n">
        <f aca="false">SUM(IF(OR($R93="Bug",$R93="Fire",$R93="Flying",$R93="Ice"),0-1,IF(OR($R93="Steel",$R93="Fighting",$R93="Ground"),1,0)),IF(OR($S93="Bug",$S93="Fire",$S93="Flying",$S93="Ice"),0-1,IF(OR($S93="Steel",$S93="Fighting",$S93="Ground"),1,0)))</f>
        <v>0</v>
      </c>
      <c r="AS93" s="507" t="n">
        <f aca="false">SUM(IF(OR($R93="Fairy",$R93="Ice",$R93="Rock"),0-1,IF(OR($R93="Steel",$R93="Electric",$R93="Fire",$R93="Water"),1,0)),IF(OR($S93="Fairy",$S93="Ice",$S93="Rock"),0-1,IF(OR($S93="Steel",$S93="Electric",$S93="Fire",$S93="Water"),1,0)))</f>
        <v>0</v>
      </c>
      <c r="AT93" s="508" t="n">
        <f aca="false">SUM(IF(OR($R93="Fire",$R93="Ground",$R93="Rock"),0-1,IF(OR($R93="Dragon",$R93="Grass",$R93="Water"),1,0)),IF(OR($S93="Fire",$S93="Ground",$S93="Rock"),0-1,IF(OR($S93="Dragon",$S93="Grass",$S93="Water"),1,0)))</f>
        <v>0</v>
      </c>
      <c r="AU93" s="518"/>
    </row>
    <row r="94" customFormat="false" ht="15.75" hidden="false" customHeight="false" outlineLevel="0" collapsed="false">
      <c r="A94" s="510" t="str">
        <f aca="false" t="array" ref="A94:A94">IF(ISNA(INDEX(Source!$U$7:$U$95,MATCH(B94,Source!$V$7:$V$95,0))),"FREE",INDEX(Source!$U$7:$U$95,MATCH(B94,Source!$V$7:$V$95,0)))</f>
        <v>LVC</v>
      </c>
      <c r="B94" s="511" t="s">
        <v>246</v>
      </c>
      <c r="C94" s="511"/>
      <c r="D94" s="511"/>
      <c r="E94" s="499" t="str">
        <f aca="false">IF(SUM($W94:$X94)&gt;0,SUM($W94:$X94),IF($H94&gt;0,0,IF($H94&gt;0,0,"-")))</f>
        <v>-</v>
      </c>
      <c r="F94" s="499" t="str">
        <f aca="false">IF(SUM($Y94:$Z94)&gt;0,SUM($Y94:$Z94),IF($H94&gt;0,0,"-"))</f>
        <v>-</v>
      </c>
      <c r="G94" s="499" t="str">
        <f aca="false">IF($H94&gt;0,minus(E94,F94),"-")</f>
        <v>-</v>
      </c>
      <c r="H94" s="500" t="n">
        <f aca="false">SUM(COUNTIF(MatchSource!$A:$A,$B94),COUNTIF(MatchSource!$H:$H,$B94))</f>
        <v>0</v>
      </c>
      <c r="I94" s="501" t="n">
        <f aca="false">SUM($AA94:$AB94)</f>
        <v>0</v>
      </c>
      <c r="J94" s="501" t="s">
        <v>700</v>
      </c>
      <c r="K94" s="512" t="n">
        <f aca="false" t="array" ref="K94:K94">IF(ISNA(INDEX(DraftRosters!$AA$3:$AA$199,MATCH($B94,DraftRosters!$AB$3:$AB$199,0))),"FA",IF(INDEX(DraftRosters!$AA$3:$AA$199,MATCH($B94,DraftRosters!$AB$3:$AB$199,0))="Franchise","Franch",INDEX(DraftRosters!$AA$3:$AA$199,MATCH($B94,DraftRosters!$AB$3:$AB$199,0))))</f>
        <v>29</v>
      </c>
      <c r="L94" s="499" t="n">
        <v>85</v>
      </c>
      <c r="M94" s="499" t="n">
        <v>90</v>
      </c>
      <c r="N94" s="499" t="n">
        <v>80</v>
      </c>
      <c r="O94" s="499" t="n">
        <v>70</v>
      </c>
      <c r="P94" s="499" t="n">
        <v>80</v>
      </c>
      <c r="Q94" s="501" t="n">
        <v>130</v>
      </c>
      <c r="R94" s="499" t="s">
        <v>801</v>
      </c>
      <c r="S94" s="501" t="s">
        <v>843</v>
      </c>
      <c r="T94" s="504" t="s">
        <v>914</v>
      </c>
      <c r="U94" s="505" t="s">
        <v>829</v>
      </c>
      <c r="V94" s="506"/>
      <c r="W94" s="500" t="str">
        <f aca="false">IFERROR(__xludf.dummyfunction("if(isna(SUM(FILTER(MatchSource!$A:$D,MatchSource!$A:$A=$B94))),0,SUM(FILTER(MatchSource!$A:$D,MatchSource!$A:$A=$B94)))"),"0")</f>
        <v>0</v>
      </c>
      <c r="X94" s="499" t="str">
        <f aca="false">IFERROR(__xludf.dummyfunction("if(isna(SUM(FILTER(MatchSource!$H:$K,MatchSource!$H:$H=$B94))),0,SUM(FILTER(MatchSource!$H:$K,MatchSource!$H:$H=$B94)))"),"0")</f>
        <v>0</v>
      </c>
      <c r="Y94" s="499" t="str">
        <f aca="false">IFERROR(__xludf.dummyfunction("if(isna(ABS(MINUS(SUM(FILTER(MatchSource!$A:$E,MatchSource!$A:$A=$B94)),SUM($W94)))),0,ABS(MINUS(SUM(FILTER(MatchSource!$A:$E,MatchSource!$A:$A=$B94)),SUM($W94))))"),"0")</f>
        <v>0</v>
      </c>
      <c r="Z94" s="499" t="str">
        <f aca="false">IFERROR(__xludf.dummyfunction("if(isna(ABS(MINUS(SUM(FILTER(MatchSource!$H:$L,MatchSource!$H:$H=$B94)),SUM($X94)))),0,ABS(MINUS(SUM(FILTER(MatchSource!$H:$L,MatchSource!$H:$H=$B94)),SUM($X94))))"),"0")</f>
        <v>0</v>
      </c>
      <c r="AA94" s="499" t="str">
        <f aca="false">IFERROR(__xludf.dummyfunction("if(isna(ABS(MINUS(SUM(FILTER(MatchSource!$A:$F,MatchSource!$A:$A=$B94)),SUM($W94,$Y94)))),0,ABS(MINUS(SUM(FILTER(MatchSource!$A:$F,MatchSource!$A:$A=$B94)),SUM($W94, $Y94,))))"),"0")</f>
        <v>0</v>
      </c>
      <c r="AB94" s="501" t="str">
        <f aca="false">IFERROR(__xludf.dummyfunction("if(isna(ABS(MINUS(SUM(FILTER(MatchSource!$H:$M,MatchSource!$H:$H=$B94)),SUM($X94,$Z94)))),0,ABS(MINUS(SUM(FILTER(MatchSource!$H:$M,MatchSource!$H:$H=$B94)),SUM($X94,$Z94))))"),"0")</f>
        <v>0</v>
      </c>
      <c r="AC94" s="507" t="n">
        <f aca="false">SUM(IF(OR($R94="Grass",$R94="Psychic",$R94="Dark"),0-1,IF(OR($R94="Fighting",$R94="Flying",$R94="Fire",$R94="Ghost",$R94="Poison",$R94="Steel",$R94="Fairy"),1,0)),IF(OR($S94="Grass",$S94="Psychic",$S94="Dark"),0-1,IF(OR($S94="Fighting",$S94="Flying",$S94="Fire",$S94="Ghost",$S94="Poison",$S94="Steel",$S94="Fairy"),1,0)))</f>
        <v>2</v>
      </c>
      <c r="AD94" s="507" t="n">
        <f aca="false">SUM(IF(OR($R94="Ghost",$R94="Psychic"),0-1,IF(OR($R94="Fighting",$R94="Dark",$R94="Fairy"),1,0)),IF(OR($S94="Ghost",$S94="Psychic"),0-1,IF(OR($S94="Fighting",$S94="Dark",$S94="Fairy"),1,0)))</f>
        <v>0</v>
      </c>
      <c r="AE94" s="507" t="n">
        <f aca="false">IF(OR($R94="Fairy",$S94="Fairy"),4,SUM(IF($R94="Dragon",0-1,IF($R94="Steel",1,0)),IF($S94="Dragon",0-1,IF($S94="Steel",1,0))))</f>
        <v>0</v>
      </c>
      <c r="AF94" s="507" t="n">
        <f aca="false">IF(OR($R94="Ground",$S94="Ground"),4,SUM(IF(OR($R94="Flying",$R94="Water"),0-1,IF(OR($R94="Dragon",$R94="Electric",$R94="Grass"),1,0)),IF(OR($S94="Flying",$S94="Water"),0-1,IF(OR($S94="Dragon",$S94="Electric",$S94="Grass"),1,0))))</f>
        <v>-1</v>
      </c>
      <c r="AG94" s="507" t="n">
        <f aca="false">SUM(IF(OR($R94="Dark",$R94="Dragon",$R94="Fighting"),0-1,IF(OR($R94="Steel",$R94="Poison",$R94="Fire"),1,0)),IF(OR($S94="Dark",$S94="Dragon",$S94="Fighting"),0-1,IF(OR($S94="Steel",$S94="Poison",$S94="Fire"),1,0)))</f>
        <v>1</v>
      </c>
      <c r="AH94" s="507" t="n">
        <f aca="false">IF(OR($R94="Ghost",$S94="Ghost"),4,SUM(IF(OR($R94="Dark",$R94="Ice",$R94="Normal",$R94="Rock",$R94="Steel"),0-1,IF(OR($R94="Bug",$R94="Fairy",$R94="Flying",$R94="Poison",$R94="Psychic"),1,0)),IF(OR($S94="Dark",$S94="Ice",$S94="Normal",$S94="Rock",$S94="Steel"),0-1,IF(OR($S94="Bug",$S94="Fairy",$S94="Flying",$S94="Poison",$S94="Psychic"),1,0))))</f>
        <v>2</v>
      </c>
      <c r="AI94" s="507" t="n">
        <f aca="false">SUM(IF(OR($R94="Bug",$R94="Grass",$R94="Ice",$R94="Steel"),0-1,IF(OR($R94="Dragon",$R94="Fire",$R94="Rock",$R94="Water"),1,0)),IF(OR($S94="Bug",$S94="Grass",$S94="Ice",$S94="Steel"),0-1,IF(OR($S94="Dragon",$S94="Fire",$S94="Rock",$S94="Water"),1,0)))</f>
        <v>0</v>
      </c>
      <c r="AJ94" s="507" t="n">
        <f aca="false">SUM(IF(OR($R94="Bug",$R94="Grass",$R94="Fighting"),0-1,IF(OR($R94="Electric",$R94="Rock",$R94="Steel"),1,0)),IF(OR($S94="Bug",$S94="Grass",$S94="Fighting"),0-1,IF(OR($S94="Electric",$S94="Rock",$S94="Steel"),1,0)))</f>
        <v>0</v>
      </c>
      <c r="AK94" s="507" t="n">
        <f aca="false">IF(OR($R94="Normal",$S94="Normal"),4,SUM(IF(OR($R94="Ghost",$R94="Psychic"),0-1,IF($R94="Dark",1,0)),IF(OR($S94="Ghost",$S94="Psychic"),0-1,IF($S94="Dark",1,0))))</f>
        <v>0</v>
      </c>
      <c r="AL94" s="507" t="n">
        <f aca="false">SUM(IF(OR($R94="Ground",$R94="Rock",$R94="Water"),0-1,IF(OR($R94="Bug",$R94="Flying",$R94="Fire",$R94="Dragon",$R94="Poison",$R94="Steel",$R94="Grass"),1,0)),IF(OR($S94="Ground",$S94="Rock",$S94="Water"),0-1,IF(OR($S94="Bug",$S94="Flying",$S94="Fire",$S94="Dragon",$S94="Poison",$S94="Steel",$S94="Grass"),1,0)))</f>
        <v>2</v>
      </c>
      <c r="AM94" s="507" t="n">
        <f aca="false">IF(OR($R94="Flying",$S94="Flying"),4,SUM(IF(OR($R94="Electric",$R94="Fire",$R94="Rock",$R94="Steel",$R94="Poison"),0-1,IF(OR($R94="Bug",$R94="Grass"),1,0)),IF(OR($S94="Electric",$S94="Fire",$S94="Rock",$S94="Steel",$S94="Poison"),0-1,IF(OR($S94="Bug",$S94="Grass"),1,0))))</f>
        <v>4</v>
      </c>
      <c r="AN94" s="507" t="n">
        <f aca="false">SUM(IF(OR($R94="Flying",$R94="Dragon",$R94="Grass",$R94="Ground"),0-1,IF(OR($R94="Steel",$R94="Ice",$R94="Fire",$R94="Water"),1,0)),IF(OR($S94="Flying",$S94="Dragon",$S94="Grass",$S94="Ground"),0-1,IF(OR($S94="Steel",$S94="Ice",$S94="Fire",$S94="Water"),1,0)))</f>
        <v>-1</v>
      </c>
      <c r="AO94" s="507" t="n">
        <f aca="false">IF(OR($R94="Ghost",$S94="Ghost"),4,SUM(IF(OR($R94="Steel",$R94="Rock"),1,0),IF(OR($S94="Steel",$S94="Rock"),1,0)))</f>
        <v>0</v>
      </c>
      <c r="AP94" s="507" t="n">
        <f aca="false">IF(OR($R94="Steel",$S94="Steel"),4,SUM(IF(OR($R94="Fairy",$R94="Grass"),0-1,IF(OR($R94="Ghost",$R94="Rock",$R94="Ground",$R94="Poison"),1,0)),IF(OR($S94="Fairy",$S94="Grass"),0-1,IF(OR($S94="Ghost",$S94="Rock",$S94="Ground",$S94="Poison"),1,0))))</f>
        <v>1</v>
      </c>
      <c r="AQ94" s="507" t="n">
        <f aca="false">IF(OR($R94="Dark",$S94="Dark"),4,SUM(IF(OR($R94="Fighting",$R94="Poison"),0-1,IF(OR($R94="Psychic",$R94="Steel"),1,0)),IF(OR($S94="Fighting",$S94="Poison"),0-1,IF(OR($S94="Psychic",$S94="Steel"),1,0))))</f>
        <v>-1</v>
      </c>
      <c r="AR94" s="507" t="n">
        <f aca="false">SUM(IF(OR($R94="Bug",$R94="Fire",$R94="Flying",$R94="Ice"),0-1,IF(OR($R94="Steel",$R94="Fighting",$R94="Ground"),1,0)),IF(OR($S94="Bug",$S94="Fire",$S94="Flying",$S94="Ice"),0-1,IF(OR($S94="Steel",$S94="Fighting",$S94="Ground"),1,0)))</f>
        <v>-1</v>
      </c>
      <c r="AS94" s="507" t="n">
        <f aca="false">SUM(IF(OR($R94="Fairy",$R94="Ice",$R94="Rock"),0-1,IF(OR($R94="Steel",$R94="Electric",$R94="Fire",$R94="Water"),1,0)),IF(OR($S94="Fairy",$S94="Ice",$S94="Rock"),0-1,IF(OR($S94="Steel",$S94="Electric",$S94="Fire",$S94="Water"),1,0)))</f>
        <v>0</v>
      </c>
      <c r="AT94" s="508" t="n">
        <f aca="false">SUM(IF(OR($R94="Fire",$R94="Ground",$R94="Rock"),0-1,IF(OR($R94="Dragon",$R94="Grass",$R94="Water"),1,0)),IF(OR($S94="Fire",$S94="Ground",$S94="Rock"),0-1,IF(OR($S94="Dragon",$S94="Grass",$S94="Water"),1,0)))</f>
        <v>0</v>
      </c>
      <c r="AU94" s="518"/>
    </row>
    <row r="95" customFormat="false" ht="15.75" hidden="false" customHeight="false" outlineLevel="0" collapsed="false">
      <c r="A95" s="510" t="str">
        <f aca="false" t="array" ref="A95:A95">IF(ISNA(INDEX(Source!$U$7:$U$95,MATCH(B95,Source!$V$7:$V$95,0))),"FREE",INDEX(Source!$U$7:$U$95,MATCH(B95,Source!$V$7:$V$95,0)))</f>
        <v>FREE</v>
      </c>
      <c r="B95" s="511" t="s">
        <v>491</v>
      </c>
      <c r="C95" s="511"/>
      <c r="D95" s="511"/>
      <c r="E95" s="499" t="str">
        <f aca="false">IF(SUM($W95:$X95)&gt;0,SUM($W95:$X95),IF($H95&gt;0,0,IF($H95&gt;0,0,"-")))</f>
        <v>-</v>
      </c>
      <c r="F95" s="499" t="str">
        <f aca="false">IF(SUM($Y95:$Z95)&gt;0,SUM($Y95:$Z95),IF($H95&gt;0,0,"-"))</f>
        <v>-</v>
      </c>
      <c r="G95" s="499" t="str">
        <f aca="false">IF($H95&gt;0,minus(E95,F95),"-")</f>
        <v>-</v>
      </c>
      <c r="H95" s="500" t="n">
        <f aca="false">SUM(COUNTIF(MatchSource!$A:$A,$B95),COUNTIF(MatchSource!$H:$H,$B95))</f>
        <v>0</v>
      </c>
      <c r="I95" s="501" t="n">
        <f aca="false">SUM($AA95:$AB95)</f>
        <v>0</v>
      </c>
      <c r="J95" s="501" t="s">
        <v>702</v>
      </c>
      <c r="K95" s="512" t="str">
        <f aca="false" t="array" ref="K95:K95">IF(ISNA(INDEX(DraftRosters!$AA$3:$AA$199,MATCH($B95,DraftRosters!$AB$3:$AB$199,0))),"FA",IF(INDEX(DraftRosters!$AA$3:$AA$199,MATCH($B95,DraftRosters!$AB$3:$AB$199,0))="Franchise","Franch",INDEX(DraftRosters!$AA$3:$AA$199,MATCH($B95,DraftRosters!$AB$3:$AB$199,0))))</f>
        <v>FA</v>
      </c>
      <c r="L95" s="499" t="n">
        <v>70</v>
      </c>
      <c r="M95" s="499" t="n">
        <v>105</v>
      </c>
      <c r="N95" s="499" t="n">
        <v>125</v>
      </c>
      <c r="O95" s="499" t="n">
        <v>65</v>
      </c>
      <c r="P95" s="499" t="n">
        <v>75</v>
      </c>
      <c r="Q95" s="501" t="n">
        <v>45</v>
      </c>
      <c r="R95" s="499" t="s">
        <v>794</v>
      </c>
      <c r="S95" s="501" t="s">
        <v>809</v>
      </c>
      <c r="T95" s="504" t="s">
        <v>925</v>
      </c>
      <c r="U95" s="505" t="s">
        <v>937</v>
      </c>
      <c r="V95" s="506" t="s">
        <v>826</v>
      </c>
      <c r="W95" s="500" t="str">
        <f aca="false">IFERROR(__xludf.dummyfunction("if(isna(SUM(FILTER(MatchSource!$A:$D,MatchSource!$A:$A=$B95))),0,SUM(FILTER(MatchSource!$A:$D,MatchSource!$A:$A=$B95)))"),"0")</f>
        <v>0</v>
      </c>
      <c r="X95" s="499" t="str">
        <f aca="false">IFERROR(__xludf.dummyfunction("if(isna(SUM(FILTER(MatchSource!$H:$K,MatchSource!$H:$H=$B95))),0,SUM(FILTER(MatchSource!$H:$K,MatchSource!$H:$H=$B95)))"),"0")</f>
        <v>0</v>
      </c>
      <c r="Y95" s="499" t="str">
        <f aca="false">IFERROR(__xludf.dummyfunction("if(isna(ABS(MINUS(SUM(FILTER(MatchSource!$A:$E,MatchSource!$A:$A=$B95)),SUM($W95)))),0,ABS(MINUS(SUM(FILTER(MatchSource!$A:$E,MatchSource!$A:$A=$B95)),SUM($W95))))"),"0")</f>
        <v>0</v>
      </c>
      <c r="Z95" s="499" t="str">
        <f aca="false">IFERROR(__xludf.dummyfunction("if(isna(ABS(MINUS(SUM(FILTER(MatchSource!$H:$L,MatchSource!$H:$H=$B95)),SUM($X95)))),0,ABS(MINUS(SUM(FILTER(MatchSource!$H:$L,MatchSource!$H:$H=$B95)),SUM($X95))))"),"0")</f>
        <v>0</v>
      </c>
      <c r="AA95" s="499" t="str">
        <f aca="false">IFERROR(__xludf.dummyfunction("if(isna(ABS(MINUS(SUM(FILTER(MatchSource!$A:$F,MatchSource!$A:$A=$B95)),SUM($W95,$Y95)))),0,ABS(MINUS(SUM(FILTER(MatchSource!$A:$F,MatchSource!$A:$A=$B95)),SUM($W95, $Y95,))))"),"0")</f>
        <v>0</v>
      </c>
      <c r="AB95" s="501" t="str">
        <f aca="false">IFERROR(__xludf.dummyfunction("if(isna(ABS(MINUS(SUM(FILTER(MatchSource!$H:$M,MatchSource!$H:$H=$B95)),SUM($X95,$Z95)))),0,ABS(MINUS(SUM(FILTER(MatchSource!$H:$M,MatchSource!$H:$H=$B95)),SUM($X95,$Z95))))"),"0")</f>
        <v>0</v>
      </c>
      <c r="AC95" s="507" t="n">
        <f aca="false">SUM(IF(OR($R95="Grass",$R95="Psychic",$R95="Dark"),0-1,IF(OR($R95="Fighting",$R95="Flying",$R95="Fire",$R95="Ghost",$R95="Poison",$R95="Steel",$R95="Fairy"),1,0)),IF(OR($S95="Grass",$S95="Psychic",$S95="Dark"),0-1,IF(OR($S95="Fighting",$S95="Flying",$S95="Fire",$S95="Ghost",$S95="Poison",$S95="Steel",$S95="Fairy"),1,0)))</f>
        <v>0</v>
      </c>
      <c r="AD95" s="507" t="n">
        <f aca="false">SUM(IF(OR($R95="Ghost",$R95="Psychic"),0-1,IF(OR($R95="Fighting",$R95="Dark",$R95="Fairy"),1,0)),IF(OR($S95="Ghost",$S95="Psychic"),0-1,IF(OR($S95="Fighting",$S95="Dark",$S95="Fairy"),1,0)))</f>
        <v>0</v>
      </c>
      <c r="AE95" s="507" t="n">
        <f aca="false">IF(OR($R95="Fairy",$S95="Fairy"),4,SUM(IF($R95="Dragon",0-1,IF($R95="Steel",1,0)),IF($S95="Dragon",0-1,IF($S95="Steel",1,0))))</f>
        <v>0</v>
      </c>
      <c r="AF95" s="507" t="n">
        <f aca="false">IF(OR($R95="Ground",$S95="Ground"),4,SUM(IF(OR($R95="Flying",$R95="Water"),0-1,IF(OR($R95="Dragon",$R95="Electric",$R95="Grass"),1,0)),IF(OR($S95="Flying",$S95="Water"),0-1,IF(OR($S95="Dragon",$S95="Electric",$S95="Grass"),1,0))))</f>
        <v>0</v>
      </c>
      <c r="AG95" s="507" t="n">
        <f aca="false">SUM(IF(OR($R95="Dark",$R95="Dragon",$R95="Fighting"),0-1,IF(OR($R95="Steel",$R95="Poison",$R95="Fire"),1,0)),IF(OR($S95="Dark",$S95="Dragon",$S95="Fighting"),0-1,IF(OR($S95="Steel",$S95="Poison",$S95="Fire"),1,0)))</f>
        <v>0</v>
      </c>
      <c r="AH95" s="507" t="n">
        <f aca="false">IF(OR($R95="Ghost",$S95="Ghost"),4,SUM(IF(OR($R95="Dark",$R95="Ice",$R95="Normal",$R95="Rock",$R95="Steel"),0-1,IF(OR($R95="Bug",$R95="Fairy",$R95="Flying",$R95="Poison",$R95="Psychic"),1,0)),IF(OR($S95="Dark",$S95="Ice",$S95="Normal",$S95="Rock",$S95="Steel"),0-1,IF(OR($S95="Bug",$S95="Fairy",$S95="Flying",$S95="Poison",$S95="Psychic"),1,0))))</f>
        <v>0</v>
      </c>
      <c r="AI95" s="507" t="n">
        <f aca="false">SUM(IF(OR($R95="Bug",$R95="Grass",$R95="Ice",$R95="Steel"),0-1,IF(OR($R95="Dragon",$R95="Fire",$R95="Rock",$R95="Water"),1,0)),IF(OR($S95="Bug",$S95="Grass",$S95="Ice",$S95="Steel"),0-1,IF(OR($S95="Dragon",$S95="Fire",$S95="Rock",$S95="Water"),1,0)))</f>
        <v>0</v>
      </c>
      <c r="AJ95" s="507" t="n">
        <f aca="false">SUM(IF(OR($R95="Bug",$R95="Grass",$R95="Fighting"),0-1,IF(OR($R95="Electric",$R95="Rock",$R95="Steel"),1,0)),IF(OR($S95="Bug",$S95="Grass",$S95="Fighting"),0-1,IF(OR($S95="Electric",$S95="Rock",$S95="Steel"),1,0)))</f>
        <v>0</v>
      </c>
      <c r="AK95" s="507" t="n">
        <f aca="false">IF(OR($R95="Normal",$S95="Normal"),4,SUM(IF(OR($R95="Ghost",$R95="Psychic"),0-1,IF($R95="Dark",1,0)),IF(OR($S95="Ghost",$S95="Psychic"),0-1,IF($S95="Dark",1,0))))</f>
        <v>0</v>
      </c>
      <c r="AL95" s="507" t="n">
        <f aca="false">SUM(IF(OR($R95="Ground",$R95="Rock",$R95="Water"),0-1,IF(OR($R95="Bug",$R95="Flying",$R95="Fire",$R95="Dragon",$R95="Poison",$R95="Steel",$R95="Grass"),1,0)),IF(OR($S95="Ground",$S95="Rock",$S95="Water"),0-1,IF(OR($S95="Bug",$S95="Flying",$S95="Fire",$S95="Dragon",$S95="Poison",$S95="Steel",$S95="Grass"),1,0)))</f>
        <v>0</v>
      </c>
      <c r="AM95" s="507" t="n">
        <f aca="false">IF(OR($R95="Flying",$S95="Flying"),4,SUM(IF(OR($R95="Electric",$R95="Fire",$R95="Rock",$R95="Steel",$R95="Poison"),0-1,IF(OR($R95="Bug",$R95="Grass"),1,0)),IF(OR($S95="Electric",$S95="Fire",$S95="Rock",$S95="Steel",$S95="Poison"),0-1,IF(OR($S95="Bug",$S95="Grass"),1,0))))</f>
        <v>0</v>
      </c>
      <c r="AN95" s="507" t="n">
        <f aca="false">SUM(IF(OR($R95="Flying",$R95="Dragon",$R95="Grass",$R95="Ground"),0-1,IF(OR($R95="Steel",$R95="Ice",$R95="Fire",$R95="Water"),1,0)),IF(OR($S95="Flying",$S95="Dragon",$S95="Grass",$S95="Ground"),0-1,IF(OR($S95="Steel",$S95="Ice",$S95="Fire",$S95="Water"),1,0)))</f>
        <v>0</v>
      </c>
      <c r="AO95" s="507" t="n">
        <f aca="false">IF(OR($R95="Ghost",$S95="Ghost"),4,SUM(IF(OR($R95="Steel",$R95="Rock"),1,0),IF(OR($S95="Steel",$S95="Rock"),1,0)))</f>
        <v>1</v>
      </c>
      <c r="AP95" s="507" t="n">
        <f aca="false">IF(OR($R95="Steel",$S95="Steel"),4,SUM(IF(OR($R95="Fairy",$R95="Grass"),0-1,IF(OR($R95="Ghost",$R95="Rock",$R95="Ground",$R95="Poison"),1,0)),IF(OR($S95="Fairy",$S95="Grass"),0-1,IF(OR($S95="Ghost",$S95="Rock",$S95="Ground",$S95="Poison"),1,0))))</f>
        <v>1</v>
      </c>
      <c r="AQ95" s="507" t="n">
        <f aca="false">IF(OR($R95="Dark",$S95="Dark"),4,SUM(IF(OR($R95="Fighting",$R95="Poison"),0-1,IF(OR($R95="Psychic",$R95="Steel"),1,0)),IF(OR($S95="Fighting",$S95="Poison"),0-1,IF(OR($S95="Psychic",$S95="Steel"),1,0))))</f>
        <v>0</v>
      </c>
      <c r="AR95" s="507" t="n">
        <f aca="false">SUM(IF(OR($R95="Bug",$R95="Fire",$R95="Flying",$R95="Ice"),0-1,IF(OR($R95="Steel",$R95="Fighting",$R95="Ground"),1,0)),IF(OR($S95="Bug",$S95="Fire",$S95="Flying",$S95="Ice"),0-1,IF(OR($S95="Steel",$S95="Fighting",$S95="Ground"),1,0)))</f>
        <v>-1</v>
      </c>
      <c r="AS95" s="507" t="n">
        <f aca="false">SUM(IF(OR($R95="Fairy",$R95="Ice",$R95="Rock"),0-1,IF(OR($R95="Steel",$R95="Electric",$R95="Fire",$R95="Water"),1,0)),IF(OR($S95="Fairy",$S95="Ice",$S95="Rock"),0-1,IF(OR($S95="Steel",$S95="Electric",$S95="Fire",$S95="Water"),1,0)))</f>
        <v>-1</v>
      </c>
      <c r="AT95" s="508" t="n">
        <f aca="false">SUM(IF(OR($R95="Fire",$R95="Ground",$R95="Rock"),0-1,IF(OR($R95="Dragon",$R95="Grass",$R95="Water"),1,0)),IF(OR($S95="Fire",$S95="Ground",$S95="Rock"),0-1,IF(OR($S95="Dragon",$S95="Grass",$S95="Water"),1,0)))</f>
        <v>-1</v>
      </c>
      <c r="AU95" s="518"/>
    </row>
    <row r="96" customFormat="false" ht="15.75" hidden="false" customHeight="false" outlineLevel="0" collapsed="false">
      <c r="A96" s="497" t="str">
        <f aca="false" t="array" ref="A96:A96">IF(ISNA(INDEX(Source!$U$7:$U$95,MATCH(B96,Source!$V$7:$V$95,0))),"FREE",INDEX(Source!$U$7:$U$95,MATCH(B96,Source!$V$7:$V$95,0)))</f>
        <v>FREE</v>
      </c>
      <c r="B96" s="511" t="s">
        <v>496</v>
      </c>
      <c r="C96" s="511"/>
      <c r="D96" s="511"/>
      <c r="E96" s="499" t="str">
        <f aca="false">IF(SUM($W96:$X96)&gt;0,SUM($W96:$X96),IF($H96&gt;0,0,IF($H96&gt;0,0,"-")))</f>
        <v>-</v>
      </c>
      <c r="F96" s="499" t="str">
        <f aca="false">IF(SUM($Y96:$Z96)&gt;0,SUM($Y96:$Z96),IF($H96&gt;0,0,"-"))</f>
        <v>-</v>
      </c>
      <c r="G96" s="499" t="str">
        <f aca="false">IF($H96&gt;0,minus(E96,F96),"-")</f>
        <v>-</v>
      </c>
      <c r="H96" s="500" t="n">
        <f aca="false">SUM(COUNTIF(MatchSource!$A:$A,$B96),COUNTIF(MatchSource!$H:$H,$B96))</f>
        <v>0</v>
      </c>
      <c r="I96" s="501" t="n">
        <f aca="false">SUM($AA96:$AB96)</f>
        <v>0</v>
      </c>
      <c r="J96" s="501" t="s">
        <v>702</v>
      </c>
      <c r="K96" s="512" t="str">
        <f aca="false" t="array" ref="K96:K96">IF(ISNA(INDEX(DraftRosters!$AA$3:$AA$199,MATCH($B96,DraftRosters!$AB$3:$AB$199,0))),"FA",IF(INDEX(DraftRosters!$AA$3:$AA$199,MATCH($B96,DraftRosters!$AB$3:$AB$199,0))="Franchise","Franch",INDEX(DraftRosters!$AA$3:$AA$199,MATCH($B96,DraftRosters!$AB$3:$AB$199,0))))</f>
        <v>FA</v>
      </c>
      <c r="L96" s="499" t="n">
        <v>80</v>
      </c>
      <c r="M96" s="499" t="n">
        <v>50</v>
      </c>
      <c r="N96" s="499" t="n">
        <v>50</v>
      </c>
      <c r="O96" s="499" t="n">
        <v>95</v>
      </c>
      <c r="P96" s="499" t="n">
        <v>135</v>
      </c>
      <c r="Q96" s="501" t="n">
        <v>105</v>
      </c>
      <c r="R96" s="499" t="s">
        <v>805</v>
      </c>
      <c r="S96" s="501"/>
      <c r="T96" s="504" t="s">
        <v>866</v>
      </c>
      <c r="U96" s="505"/>
      <c r="V96" s="506"/>
      <c r="W96" s="500" t="str">
        <f aca="false">IFERROR(__xludf.dummyfunction("if(isna(SUM(FILTER(MatchSource!$A:$D,MatchSource!$A:$A=$B96))),0,SUM(FILTER(MatchSource!$A:$D,MatchSource!$A:$A=$B96)))"),"0")</f>
        <v>0</v>
      </c>
      <c r="X96" s="499" t="str">
        <f aca="false">IFERROR(__xludf.dummyfunction("if(isna(SUM(FILTER(MatchSource!$H:$K,MatchSource!$H:$H=$B96))),0,SUM(FILTER(MatchSource!$H:$K,MatchSource!$H:$H=$B96)))"),"0")</f>
        <v>0</v>
      </c>
      <c r="Y96" s="499" t="str">
        <f aca="false">IFERROR(__xludf.dummyfunction("if(isna(ABS(MINUS(SUM(FILTER(MatchSource!$A:$E,MatchSource!$A:$A=$B96)),SUM($W96)))),0,ABS(MINUS(SUM(FILTER(MatchSource!$A:$E,MatchSource!$A:$A=$B96)),SUM($W96))))"),"0")</f>
        <v>0</v>
      </c>
      <c r="Z96" s="499" t="str">
        <f aca="false">IFERROR(__xludf.dummyfunction("if(isna(ABS(MINUS(SUM(FILTER(MatchSource!$H:$L,MatchSource!$H:$H=$B96)),SUM($X96)))),0,ABS(MINUS(SUM(FILTER(MatchSource!$H:$L,MatchSource!$H:$H=$B96)),SUM($X96))))"),"0")</f>
        <v>0</v>
      </c>
      <c r="AA96" s="499" t="str">
        <f aca="false">IFERROR(__xludf.dummyfunction("if(isna(ABS(MINUS(SUM(FILTER(MatchSource!$A:$F,MatchSource!$A:$A=$B96)),SUM($W96,$Y96)))),0,ABS(MINUS(SUM(FILTER(MatchSource!$A:$F,MatchSource!$A:$A=$B96)),SUM($W96, $Y96,))))"),"0")</f>
        <v>0</v>
      </c>
      <c r="AB96" s="501" t="str">
        <f aca="false">IFERROR(__xludf.dummyfunction("if(isna(ABS(MINUS(SUM(FILTER(MatchSource!$H:$M,MatchSource!$H:$H=$B96)),SUM($X96,$Z96)))),0,ABS(MINUS(SUM(FILTER(MatchSource!$H:$M,MatchSource!$H:$H=$B96)),SUM($X96,$Z96))))"),"0")</f>
        <v>0</v>
      </c>
      <c r="AC96" s="507" t="n">
        <f aca="false">SUM(IF(OR($R96="Grass",$R96="Psychic",$R96="Dark"),0-1,IF(OR($R96="Fighting",$R96="Flying",$R96="Fire",$R96="Ghost",$R96="Poison",$R96="Steel",$R96="Fairy"),1,0)),IF(OR($S96="Grass",$S96="Psychic",$S96="Dark"),0-1,IF(OR($S96="Fighting",$S96="Flying",$S96="Fire",$S96="Ghost",$S96="Poison",$S96="Steel",$S96="Fairy"),1,0)))</f>
        <v>0</v>
      </c>
      <c r="AD96" s="507" t="n">
        <f aca="false">SUM(IF(OR($R96="Ghost",$R96="Psychic"),0-1,IF(OR($R96="Fighting",$R96="Dark",$R96="Fairy"),1,0)),IF(OR($S96="Ghost",$S96="Psychic"),0-1,IF(OR($S96="Fighting",$S96="Dark",$S96="Fairy"),1,0)))</f>
        <v>0</v>
      </c>
      <c r="AE96" s="507" t="n">
        <f aca="false">IF(OR($R96="Fairy",$S96="Fairy"),4,SUM(IF($R96="Dragon",0-1,IF($R96="Steel",1,0)),IF($S96="Dragon",0-1,IF($S96="Steel",1,0))))</f>
        <v>0</v>
      </c>
      <c r="AF96" s="507" t="n">
        <f aca="false">IF(OR($R96="Ground",$S96="Ground"),4,SUM(IF(OR($R96="Flying",$R96="Water"),0-1,IF(OR($R96="Dragon",$R96="Electric",$R96="Grass"),1,0)),IF(OR($S96="Flying",$S96="Water"),0-1,IF(OR($S96="Dragon",$S96="Electric",$S96="Grass"),1,0))))</f>
        <v>0</v>
      </c>
      <c r="AG96" s="507" t="n">
        <f aca="false">SUM(IF(OR($R96="Dark",$R96="Dragon",$R96="Fighting"),0-1,IF(OR($R96="Steel",$R96="Poison",$R96="Fire"),1,0)),IF(OR($S96="Dark",$S96="Dragon",$S96="Fighting"),0-1,IF(OR($S96="Steel",$S96="Poison",$S96="Fire"),1,0)))</f>
        <v>0</v>
      </c>
      <c r="AH96" s="507" t="n">
        <f aca="false">IF(OR($R96="Ghost",$S96="Ghost"),4,SUM(IF(OR($R96="Dark",$R96="Ice",$R96="Normal",$R96="Rock",$R96="Steel"),0-1,IF(OR($R96="Bug",$R96="Fairy",$R96="Flying",$R96="Poison",$R96="Psychic"),1,0)),IF(OR($S96="Dark",$S96="Ice",$S96="Normal",$S96="Rock",$S96="Steel"),0-1,IF(OR($S96="Bug",$S96="Fairy",$S96="Flying",$S96="Poison",$S96="Psychic"),1,0))))</f>
        <v>-1</v>
      </c>
      <c r="AI96" s="507" t="n">
        <f aca="false">SUM(IF(OR($R96="Bug",$R96="Grass",$R96="Ice",$R96="Steel"),0-1,IF(OR($R96="Dragon",$R96="Fire",$R96="Rock",$R96="Water"),1,0)),IF(OR($S96="Bug",$S96="Grass",$S96="Ice",$S96="Steel"),0-1,IF(OR($S96="Dragon",$S96="Fire",$S96="Rock",$S96="Water"),1,0)))</f>
        <v>-1</v>
      </c>
      <c r="AJ96" s="507" t="n">
        <f aca="false">SUM(IF(OR($R96="Bug",$R96="Grass",$R96="Fighting"),0-1,IF(OR($R96="Electric",$R96="Rock",$R96="Steel"),1,0)),IF(OR($S96="Bug",$S96="Grass",$S96="Fighting"),0-1,IF(OR($S96="Electric",$S96="Rock",$S96="Steel"),1,0)))</f>
        <v>0</v>
      </c>
      <c r="AK96" s="507" t="n">
        <f aca="false">IF(OR($R96="Normal",$S96="Normal"),4,SUM(IF(OR($R96="Ghost",$R96="Psychic"),0-1,IF($R96="Dark",1,0)),IF(OR($S96="Ghost",$S96="Psychic"),0-1,IF($S96="Dark",1,0))))</f>
        <v>0</v>
      </c>
      <c r="AL96" s="507" t="n">
        <f aca="false">SUM(IF(OR($R96="Ground",$R96="Rock",$R96="Water"),0-1,IF(OR($R96="Bug",$R96="Flying",$R96="Fire",$R96="Dragon",$R96="Poison",$R96="Steel",$R96="Grass"),1,0)),IF(OR($S96="Ground",$S96="Rock",$S96="Water"),0-1,IF(OR($S96="Bug",$S96="Flying",$S96="Fire",$S96="Dragon",$S96="Poison",$S96="Steel",$S96="Grass"),1,0)))</f>
        <v>0</v>
      </c>
      <c r="AM96" s="507" t="n">
        <f aca="false">IF(OR($R96="Flying",$S96="Flying"),4,SUM(IF(OR($R96="Electric",$R96="Fire",$R96="Rock",$R96="Steel",$R96="Poison"),0-1,IF(OR($R96="Bug",$R96="Grass"),1,0)),IF(OR($S96="Electric",$S96="Fire",$S96="Rock",$S96="Steel",$S96="Poison"),0-1,IF(OR($S96="Bug",$S96="Grass"),1,0))))</f>
        <v>0</v>
      </c>
      <c r="AN96" s="507" t="n">
        <f aca="false">SUM(IF(OR($R96="Flying",$R96="Dragon",$R96="Grass",$R96="Ground"),0-1,IF(OR($R96="Steel",$R96="Ice",$R96="Fire",$R96="Water"),1,0)),IF(OR($S96="Flying",$S96="Dragon",$S96="Grass",$S96="Ground"),0-1,IF(OR($S96="Steel",$S96="Ice",$S96="Fire",$S96="Water"),1,0)))</f>
        <v>1</v>
      </c>
      <c r="AO96" s="507" t="n">
        <f aca="false">IF(OR($R96="Ghost",$S96="Ghost"),4,SUM(IF(OR($R96="Steel",$R96="Rock"),1,0),IF(OR($S96="Steel",$S96="Rock"),1,0)))</f>
        <v>0</v>
      </c>
      <c r="AP96" s="507" t="n">
        <f aca="false">IF(OR($R96="Steel",$S96="Steel"),4,SUM(IF(OR($R96="Fairy",$R96="Grass"),0-1,IF(OR($R96="Ghost",$R96="Rock",$R96="Ground",$R96="Poison"),1,0)),IF(OR($S96="Fairy",$S96="Grass"),0-1,IF(OR($S96="Ghost",$S96="Rock",$S96="Ground",$S96="Poison"),1,0))))</f>
        <v>0</v>
      </c>
      <c r="AQ96" s="507" t="n">
        <f aca="false">IF(OR($R96="Dark",$S96="Dark"),4,SUM(IF(OR($R96="Fighting",$R96="Poison"),0-1,IF(OR($R96="Psychic",$R96="Steel"),1,0)),IF(OR($S96="Fighting",$S96="Poison"),0-1,IF(OR($S96="Psychic",$S96="Steel"),1,0))))</f>
        <v>0</v>
      </c>
      <c r="AR96" s="507" t="n">
        <f aca="false">SUM(IF(OR($R96="Bug",$R96="Fire",$R96="Flying",$R96="Ice"),0-1,IF(OR($R96="Steel",$R96="Fighting",$R96="Ground"),1,0)),IF(OR($S96="Bug",$S96="Fire",$S96="Flying",$S96="Ice"),0-1,IF(OR($S96="Steel",$S96="Fighting",$S96="Ground"),1,0)))</f>
        <v>-1</v>
      </c>
      <c r="AS96" s="507" t="n">
        <f aca="false">SUM(IF(OR($R96="Fairy",$R96="Ice",$R96="Rock"),0-1,IF(OR($R96="Steel",$R96="Electric",$R96="Fire",$R96="Water"),1,0)),IF(OR($S96="Fairy",$S96="Ice",$S96="Rock"),0-1,IF(OR($S96="Steel",$S96="Electric",$S96="Fire",$S96="Water"),1,0)))</f>
        <v>-1</v>
      </c>
      <c r="AT96" s="508" t="n">
        <f aca="false">SUM(IF(OR($R96="Fire",$R96="Ground",$R96="Rock"),0-1,IF(OR($R96="Dragon",$R96="Grass",$R96="Water"),1,0)),IF(OR($S96="Fire",$S96="Ground",$S96="Rock"),0-1,IF(OR($S96="Dragon",$S96="Grass",$S96="Water"),1,0)))</f>
        <v>0</v>
      </c>
      <c r="AU96" s="518"/>
    </row>
    <row r="97" customFormat="false" ht="15.75" hidden="false" customHeight="false" outlineLevel="0" collapsed="false">
      <c r="A97" s="510" t="str">
        <f aca="false" t="array" ref="A97:A97">IF(ISNA(INDEX(Source!$U$7:$U$95,MATCH(B97,Source!$V$7:$V$95,0))),"FREE",INDEX(Source!$U$7:$U$95,MATCH(B97,Source!$V$7:$V$95,0)))</f>
        <v>FREE</v>
      </c>
      <c r="B97" s="511" t="s">
        <v>363</v>
      </c>
      <c r="C97" s="511"/>
      <c r="D97" s="511"/>
      <c r="E97" s="499" t="str">
        <f aca="false">IF(SUM($W97:$X97)&gt;0,SUM($W97:$X97),IF($H97&gt;0,0,IF($H97&gt;0,0,"-")))</f>
        <v>-</v>
      </c>
      <c r="F97" s="499" t="str">
        <f aca="false">IF(SUM($Y97:$Z97)&gt;0,SUM($Y97:$Z97),IF($H97&gt;0,0,"-"))</f>
        <v>-</v>
      </c>
      <c r="G97" s="499" t="str">
        <f aca="false">IF($H97&gt;0,minus(E97,F97),"-")</f>
        <v>-</v>
      </c>
      <c r="H97" s="500" t="n">
        <f aca="false">SUM(COUNTIF(MatchSource!$A:$A,$B97),COUNTIF(MatchSource!$H:$H,$B97))</f>
        <v>0</v>
      </c>
      <c r="I97" s="501" t="n">
        <f aca="false">SUM($AA97:$AB97)</f>
        <v>0</v>
      </c>
      <c r="J97" s="501" t="s">
        <v>700</v>
      </c>
      <c r="K97" s="512" t="str">
        <f aca="false" t="array" ref="K97:K97">IF(ISNA(INDEX(DraftRosters!$AA$3:$AA$199,MATCH($B97,DraftRosters!$AB$3:$AB$199,0))),"FA",IF(INDEX(DraftRosters!$AA$3:$AA$199,MATCH($B97,DraftRosters!$AB$3:$AB$199,0))="Franchise","Franch",INDEX(DraftRosters!$AA$3:$AA$199,MATCH($B97,DraftRosters!$AB$3:$AB$199,0))))</f>
        <v>FA</v>
      </c>
      <c r="L97" s="499" t="n">
        <v>105</v>
      </c>
      <c r="M97" s="499" t="n">
        <v>140</v>
      </c>
      <c r="N97" s="499" t="n">
        <v>55</v>
      </c>
      <c r="O97" s="499" t="n">
        <v>30</v>
      </c>
      <c r="P97" s="499" t="n">
        <v>55</v>
      </c>
      <c r="Q97" s="501" t="n">
        <v>95</v>
      </c>
      <c r="R97" s="499" t="s">
        <v>800</v>
      </c>
      <c r="S97" s="501"/>
      <c r="T97" s="504" t="s">
        <v>898</v>
      </c>
      <c r="U97" s="505" t="s">
        <v>938</v>
      </c>
      <c r="V97" s="506"/>
      <c r="W97" s="500" t="str">
        <f aca="false">IFERROR(__xludf.dummyfunction("if(isna(SUM(FILTER(MatchSource!$A:$D,MatchSource!$A:$A=$B97))),0,SUM(FILTER(MatchSource!$A:$D,MatchSource!$A:$A=$B97)))"),"0")</f>
        <v>0</v>
      </c>
      <c r="X97" s="499" t="str">
        <f aca="false">IFERROR(__xludf.dummyfunction("if(isna(SUM(FILTER(MatchSource!$H:$K,MatchSource!$H:$H=$B97))),0,SUM(FILTER(MatchSource!$H:$K,MatchSource!$H:$H=$B97)))"),"0")</f>
        <v>0</v>
      </c>
      <c r="Y97" s="499" t="str">
        <f aca="false">IFERROR(__xludf.dummyfunction("if(isna(ABS(MINUS(SUM(FILTER(MatchSource!$A:$E,MatchSource!$A:$A=$B97)),SUM($W97)))),0,ABS(MINUS(SUM(FILTER(MatchSource!$A:$E,MatchSource!$A:$A=$B97)),SUM($W97))))"),"0")</f>
        <v>0</v>
      </c>
      <c r="Z97" s="499" t="str">
        <f aca="false">IFERROR(__xludf.dummyfunction("if(isna(ABS(MINUS(SUM(FILTER(MatchSource!$H:$L,MatchSource!$H:$H=$B97)),SUM($X97)))),0,ABS(MINUS(SUM(FILTER(MatchSource!$H:$L,MatchSource!$H:$H=$B97)),SUM($X97))))"),"0")</f>
        <v>0</v>
      </c>
      <c r="AA97" s="499" t="str">
        <f aca="false">IFERROR(__xludf.dummyfunction("if(isna(ABS(MINUS(SUM(FILTER(MatchSource!$A:$F,MatchSource!$A:$A=$B97)),SUM($W97,$Y97)))),0,ABS(MINUS(SUM(FILTER(MatchSource!$A:$F,MatchSource!$A:$A=$B97)),SUM($W97, $Y97,))))"),"0")</f>
        <v>0</v>
      </c>
      <c r="AB97" s="501" t="str">
        <f aca="false">IFERROR(__xludf.dummyfunction("if(isna(ABS(MINUS(SUM(FILTER(MatchSource!$H:$M,MatchSource!$H:$H=$B97)),SUM($X97,$Z97)))),0,ABS(MINUS(SUM(FILTER(MatchSource!$H:$M,MatchSource!$H:$H=$B97)),SUM($X97,$Z97))))"),"0")</f>
        <v>0</v>
      </c>
      <c r="AC97" s="507" t="n">
        <f aca="false">SUM(IF(OR($R97="Grass",$R97="Psychic",$R97="Dark"),0-1,IF(OR($R97="Fighting",$R97="Flying",$R97="Fire",$R97="Ghost",$R97="Poison",$R97="Steel",$R97="Fairy"),1,0)),IF(OR($S97="Grass",$S97="Psychic",$S97="Dark"),0-1,IF(OR($S97="Fighting",$S97="Flying",$S97="Fire",$S97="Ghost",$S97="Poison",$S97="Steel",$S97="Fairy"),1,0)))</f>
        <v>1</v>
      </c>
      <c r="AD97" s="507" t="n">
        <f aca="false">SUM(IF(OR($R97="Ghost",$R97="Psychic"),0-1,IF(OR($R97="Fighting",$R97="Dark",$R97="Fairy"),1,0)),IF(OR($S97="Ghost",$S97="Psychic"),0-1,IF(OR($S97="Fighting",$S97="Dark",$S97="Fairy"),1,0)))</f>
        <v>0</v>
      </c>
      <c r="AE97" s="507" t="n">
        <f aca="false">IF(OR($R97="Fairy",$S97="Fairy"),4,SUM(IF($R97="Dragon",0-1,IF($R97="Steel",1,0)),IF($S97="Dragon",0-1,IF($S97="Steel",1,0))))</f>
        <v>0</v>
      </c>
      <c r="AF97" s="507" t="n">
        <f aca="false">IF(OR($R97="Ground",$S97="Ground"),4,SUM(IF(OR($R97="Flying",$R97="Water"),0-1,IF(OR($R97="Dragon",$R97="Electric",$R97="Grass"),1,0)),IF(OR($S97="Flying",$S97="Water"),0-1,IF(OR($S97="Dragon",$S97="Electric",$S97="Grass"),1,0))))</f>
        <v>0</v>
      </c>
      <c r="AG97" s="507" t="n">
        <f aca="false">SUM(IF(OR($R97="Dark",$R97="Dragon",$R97="Fighting"),0-1,IF(OR($R97="Steel",$R97="Poison",$R97="Fire"),1,0)),IF(OR($S97="Dark",$S97="Dragon",$S97="Fighting"),0-1,IF(OR($S97="Steel",$S97="Poison",$S97="Fire"),1,0)))</f>
        <v>1</v>
      </c>
      <c r="AH97" s="507" t="n">
        <f aca="false">IF(OR($R97="Ghost",$S97="Ghost"),4,SUM(IF(OR($R97="Dark",$R97="Ice",$R97="Normal",$R97="Rock",$R97="Steel"),0-1,IF(OR($R97="Bug",$R97="Fairy",$R97="Flying",$R97="Poison",$R97="Psychic"),1,0)),IF(OR($S97="Dark",$S97="Ice",$S97="Normal",$S97="Rock",$S97="Steel"),0-1,IF(OR($S97="Bug",$S97="Fairy",$S97="Flying",$S97="Poison",$S97="Psychic"),1,0))))</f>
        <v>0</v>
      </c>
      <c r="AI97" s="507" t="n">
        <f aca="false">SUM(IF(OR($R97="Bug",$R97="Grass",$R97="Ice",$R97="Steel"),0-1,IF(OR($R97="Dragon",$R97="Fire",$R97="Rock",$R97="Water"),1,0)),IF(OR($S97="Bug",$S97="Grass",$S97="Ice",$S97="Steel"),0-1,IF(OR($S97="Dragon",$S97="Fire",$S97="Rock",$S97="Water"),1,0)))</f>
        <v>1</v>
      </c>
      <c r="AJ97" s="507" t="n">
        <f aca="false">SUM(IF(OR($R97="Bug",$R97="Grass",$R97="Fighting"),0-1,IF(OR($R97="Electric",$R97="Rock",$R97="Steel"),1,0)),IF(OR($S97="Bug",$S97="Grass",$S97="Fighting"),0-1,IF(OR($S97="Electric",$S97="Rock",$S97="Steel"),1,0)))</f>
        <v>0</v>
      </c>
      <c r="AK97" s="507" t="n">
        <f aca="false">IF(OR($R97="Normal",$S97="Normal"),4,SUM(IF(OR($R97="Ghost",$R97="Psychic"),0-1,IF($R97="Dark",1,0)),IF(OR($S97="Ghost",$S97="Psychic"),0-1,IF($S97="Dark",1,0))))</f>
        <v>0</v>
      </c>
      <c r="AL97" s="507" t="n">
        <f aca="false">SUM(IF(OR($R97="Ground",$R97="Rock",$R97="Water"),0-1,IF(OR($R97="Bug",$R97="Flying",$R97="Fire",$R97="Dragon",$R97="Poison",$R97="Steel",$R97="Grass"),1,0)),IF(OR($S97="Ground",$S97="Rock",$S97="Water"),0-1,IF(OR($S97="Bug",$S97="Flying",$S97="Fire",$S97="Dragon",$S97="Poison",$S97="Steel",$S97="Grass"),1,0)))</f>
        <v>1</v>
      </c>
      <c r="AM97" s="507" t="n">
        <f aca="false">IF(OR($R97="Flying",$S97="Flying"),4,SUM(IF(OR($R97="Electric",$R97="Fire",$R97="Rock",$R97="Steel",$R97="Poison"),0-1,IF(OR($R97="Bug",$R97="Grass"),1,0)),IF(OR($S97="Electric",$S97="Fire",$S97="Rock",$S97="Steel",$S97="Poison"),0-1,IF(OR($S97="Bug",$S97="Grass"),1,0))))</f>
        <v>-1</v>
      </c>
      <c r="AN97" s="507" t="n">
        <f aca="false">SUM(IF(OR($R97="Flying",$R97="Dragon",$R97="Grass",$R97="Ground"),0-1,IF(OR($R97="Steel",$R97="Ice",$R97="Fire",$R97="Water"),1,0)),IF(OR($S97="Flying",$S97="Dragon",$S97="Grass",$S97="Ground"),0-1,IF(OR($S97="Steel",$S97="Ice",$S97="Fire",$S97="Water"),1,0)))</f>
        <v>1</v>
      </c>
      <c r="AO97" s="507" t="n">
        <f aca="false">IF(OR($R97="Ghost",$S97="Ghost"),4,SUM(IF(OR($R97="Steel",$R97="Rock"),1,0),IF(OR($S97="Steel",$S97="Rock"),1,0)))</f>
        <v>0</v>
      </c>
      <c r="AP97" s="507" t="n">
        <f aca="false">IF(OR($R97="Steel",$S97="Steel"),4,SUM(IF(OR($R97="Fairy",$R97="Grass"),0-1,IF(OR($R97="Ghost",$R97="Rock",$R97="Ground",$R97="Poison"),1,0)),IF(OR($S97="Fairy",$S97="Grass"),0-1,IF(OR($S97="Ghost",$S97="Rock",$S97="Ground",$S97="Poison"),1,0))))</f>
        <v>0</v>
      </c>
      <c r="AQ97" s="507" t="n">
        <f aca="false">IF(OR($R97="Dark",$S97="Dark"),4,SUM(IF(OR($R97="Fighting",$R97="Poison"),0-1,IF(OR($R97="Psychic",$R97="Steel"),1,0)),IF(OR($S97="Fighting",$S97="Poison"),0-1,IF(OR($S97="Psychic",$S97="Steel"),1,0))))</f>
        <v>0</v>
      </c>
      <c r="AR97" s="507" t="n">
        <f aca="false">SUM(IF(OR($R97="Bug",$R97="Fire",$R97="Flying",$R97="Ice"),0-1,IF(OR($R97="Steel",$R97="Fighting",$R97="Ground"),1,0)),IF(OR($S97="Bug",$S97="Fire",$S97="Flying",$S97="Ice"),0-1,IF(OR($S97="Steel",$S97="Fighting",$S97="Ground"),1,0)))</f>
        <v>-1</v>
      </c>
      <c r="AS97" s="507" t="n">
        <f aca="false">SUM(IF(OR($R97="Fairy",$R97="Ice",$R97="Rock"),0-1,IF(OR($R97="Steel",$R97="Electric",$R97="Fire",$R97="Water"),1,0)),IF(OR($S97="Fairy",$S97="Ice",$S97="Rock"),0-1,IF(OR($S97="Steel",$S97="Electric",$S97="Fire",$S97="Water"),1,0)))</f>
        <v>1</v>
      </c>
      <c r="AT97" s="508" t="n">
        <f aca="false">SUM(IF(OR($R97="Fire",$R97="Ground",$R97="Rock"),0-1,IF(OR($R97="Dragon",$R97="Grass",$R97="Water"),1,0)),IF(OR($S97="Fire",$S97="Ground",$S97="Rock"),0-1,IF(OR($S97="Dragon",$S97="Grass",$S97="Water"),1,0)))</f>
        <v>-1</v>
      </c>
      <c r="AU97" s="518"/>
    </row>
    <row r="98" customFormat="false" ht="15.75" hidden="false" customHeight="false" outlineLevel="0" collapsed="false">
      <c r="A98" s="510" t="str">
        <f aca="false" t="array" ref="A98:A98">IF(ISNA(INDEX(Source!$U$7:$U$95,MATCH(B98,Source!$V$7:$V$95,0))),"FREE",INDEX(Source!$U$7:$U$95,MATCH(B98,Source!$V$7:$V$95,0)))</f>
        <v>BTB</v>
      </c>
      <c r="B98" s="511" t="s">
        <v>65</v>
      </c>
      <c r="C98" s="511"/>
      <c r="D98" s="511"/>
      <c r="E98" s="499" t="n">
        <f aca="false">IF(SUM($W98:$X98)&gt;0,SUM($W98:$X98),IF($H98&gt;0,0,IF($H98&gt;0,0,"-")))</f>
        <v>0</v>
      </c>
      <c r="F98" s="499" t="n">
        <f aca="false">IF(SUM($Y98:$Z98)&gt;0,SUM($Y98:$Z98),IF($H98&gt;0,0,"-"))</f>
        <v>0</v>
      </c>
      <c r="G98" s="499" t="e">
        <f aca="false">IF($H98&gt;0,minus(E98,F98),"-")</f>
        <v>#NAME?</v>
      </c>
      <c r="H98" s="500" t="n">
        <f aca="false">SUM(COUNTIF(MatchSource!$A:$A,$B98),COUNTIF(MatchSource!$H:$H,$B98))</f>
        <v>7</v>
      </c>
      <c r="I98" s="501" t="n">
        <f aca="false">SUM($AA98:$AB98)</f>
        <v>0</v>
      </c>
      <c r="J98" s="501" t="s">
        <v>700</v>
      </c>
      <c r="K98" s="512" t="n">
        <f aca="false" t="array" ref="K98:K98">IF(ISNA(INDEX(DraftRosters!$AA$3:$AA$199,MATCH($B98,DraftRosters!$AB$3:$AB$199,0))),"FA",IF(INDEX(DraftRosters!$AA$3:$AA$199,MATCH($B98,DraftRosters!$AB$3:$AB$199,0))="Franchise","Franch",INDEX(DraftRosters!$AA$3:$AA$199,MATCH($B98,DraftRosters!$AB$3:$AB$199,0))))</f>
        <v>32</v>
      </c>
      <c r="L98" s="499" t="n">
        <v>78</v>
      </c>
      <c r="M98" s="499" t="n">
        <v>107</v>
      </c>
      <c r="N98" s="499" t="n">
        <v>75</v>
      </c>
      <c r="O98" s="499" t="n">
        <v>100</v>
      </c>
      <c r="P98" s="499" t="n">
        <v>100</v>
      </c>
      <c r="Q98" s="501" t="n">
        <v>70</v>
      </c>
      <c r="R98" s="499" t="s">
        <v>802</v>
      </c>
      <c r="S98" s="501" t="s">
        <v>803</v>
      </c>
      <c r="T98" s="504" t="s">
        <v>921</v>
      </c>
      <c r="U98" s="505" t="s">
        <v>939</v>
      </c>
      <c r="V98" s="506"/>
      <c r="W98" s="500" t="str">
        <f aca="false">IFERROR(__xludf.dummyfunction("if(isna(SUM(FILTER(MatchSource!$A:$D,MatchSource!$A:$A=$B98))),0,SUM(FILTER(MatchSource!$A:$D,MatchSource!$A:$A=$B98)))"),"3")</f>
        <v>3</v>
      </c>
      <c r="X98" s="499" t="str">
        <f aca="false">IFERROR(__xludf.dummyfunction("if(isna(SUM(FILTER(MatchSource!$H:$K,MatchSource!$H:$H=$B98))),0,SUM(FILTER(MatchSource!$H:$K,MatchSource!$H:$H=$B98)))"),"1")</f>
        <v>1</v>
      </c>
      <c r="Y98" s="499" t="str">
        <f aca="false">IFERROR(__xludf.dummyfunction("if(isna(ABS(MINUS(SUM(FILTER(MatchSource!$A:$E,MatchSource!$A:$A=$B98)),SUM($W98)))),0,ABS(MINUS(SUM(FILTER(MatchSource!$A:$E,MatchSource!$A:$A=$B98)),SUM($W98))))"),"1")</f>
        <v>1</v>
      </c>
      <c r="Z98" s="499" t="str">
        <f aca="false">IFERROR(__xludf.dummyfunction("if(isna(ABS(MINUS(SUM(FILTER(MatchSource!$H:$L,MatchSource!$H:$H=$B98)),SUM($X98)))),0,ABS(MINUS(SUM(FILTER(MatchSource!$H:$L,MatchSource!$H:$H=$B98)),SUM($X98))))"),"4")</f>
        <v>4</v>
      </c>
      <c r="AA98" s="499" t="str">
        <f aca="false">IFERROR(__xludf.dummyfunction("if(isna(ABS(MINUS(SUM(FILTER(MatchSource!$A:$F,MatchSource!$A:$A=$B98)),SUM($W98,$Y98)))),0,ABS(MINUS(SUM(FILTER(MatchSource!$A:$F,MatchSource!$A:$A=$B98)),SUM($W98, $Y98,))))"),"2")</f>
        <v>2</v>
      </c>
      <c r="AB98" s="501" t="str">
        <f aca="false">IFERROR(__xludf.dummyfunction("if(isna(ABS(MINUS(SUM(FILTER(MatchSource!$H:$M,MatchSource!$H:$H=$B98)),SUM($X98,$Z98)))),0,ABS(MINUS(SUM(FILTER(MatchSource!$H:$M,MatchSource!$H:$H=$B98)),SUM($X98,$Z98))))"),"2")</f>
        <v>2</v>
      </c>
      <c r="AC98" s="507" t="n">
        <f aca="false">SUM(IF(OR($R98="Grass",$R98="Psychic",$R98="Dark"),0-1,IF(OR($R98="Fighting",$R98="Flying",$R98="Fire",$R98="Ghost",$R98="Poison",$R98="Steel",$R98="Fairy"),1,0)),IF(OR($S98="Grass",$S98="Psychic",$S98="Dark"),0-1,IF(OR($S98="Fighting",$S98="Flying",$S98="Fire",$S98="Ghost",$S98="Poison",$S98="Steel",$S98="Fairy"),1,0)))</f>
        <v>0</v>
      </c>
      <c r="AD98" s="507" t="n">
        <f aca="false">SUM(IF(OR($R98="Ghost",$R98="Psychic"),0-1,IF(OR($R98="Fighting",$R98="Dark",$R98="Fairy"),1,0)),IF(OR($S98="Ghost",$S98="Psychic"),0-1,IF(OR($S98="Fighting",$S98="Dark",$S98="Fairy"),1,0)))</f>
        <v>-1</v>
      </c>
      <c r="AE98" s="507" t="n">
        <f aca="false">IF(OR($R98="Fairy",$S98="Fairy"),4,SUM(IF($R98="Dragon",0-1,IF($R98="Steel",1,0)),IF($S98="Dragon",0-1,IF($S98="Steel",1,0))))</f>
        <v>0</v>
      </c>
      <c r="AF98" s="507" t="n">
        <f aca="false">IF(OR($R98="Ground",$S98="Ground"),4,SUM(IF(OR($R98="Flying",$R98="Water"),0-1,IF(OR($R98="Dragon",$R98="Electric",$R98="Grass"),1,0)),IF(OR($S98="Flying",$S98="Water"),0-1,IF(OR($S98="Dragon",$S98="Electric",$S98="Grass"),1,0))))</f>
        <v>1</v>
      </c>
      <c r="AG98" s="507" t="n">
        <f aca="false">SUM(IF(OR($R98="Dark",$R98="Dragon",$R98="Fighting"),0-1,IF(OR($R98="Steel",$R98="Poison",$R98="Fire"),1,0)),IF(OR($S98="Dark",$S98="Dragon",$S98="Fighting"),0-1,IF(OR($S98="Steel",$S98="Poison",$S98="Fire"),1,0)))</f>
        <v>0</v>
      </c>
      <c r="AH98" s="507" t="n">
        <f aca="false">IF(OR($R98="Ghost",$S98="Ghost"),4,SUM(IF(OR($R98="Dark",$R98="Ice",$R98="Normal",$R98="Rock",$R98="Steel"),0-1,IF(OR($R98="Bug",$R98="Fairy",$R98="Flying",$R98="Poison",$R98="Psychic"),1,0)),IF(OR($S98="Dark",$S98="Ice",$S98="Normal",$S98="Rock",$S98="Steel"),0-1,IF(OR($S98="Bug",$S98="Fairy",$S98="Flying",$S98="Poison",$S98="Psychic"),1,0))))</f>
        <v>4</v>
      </c>
      <c r="AI98" s="507" t="n">
        <f aca="false">SUM(IF(OR($R98="Bug",$R98="Grass",$R98="Ice",$R98="Steel"),0-1,IF(OR($R98="Dragon",$R98="Fire",$R98="Rock",$R98="Water"),1,0)),IF(OR($S98="Bug",$S98="Grass",$S98="Ice",$S98="Steel"),0-1,IF(OR($S98="Dragon",$S98="Fire",$S98="Rock",$S98="Water"),1,0)))</f>
        <v>-1</v>
      </c>
      <c r="AJ98" s="507" t="n">
        <f aca="false">SUM(IF(OR($R98="Bug",$R98="Grass",$R98="Fighting"),0-1,IF(OR($R98="Electric",$R98="Rock",$R98="Steel"),1,0)),IF(OR($S98="Bug",$S98="Grass",$S98="Fighting"),0-1,IF(OR($S98="Electric",$S98="Rock",$S98="Steel"),1,0)))</f>
        <v>-1</v>
      </c>
      <c r="AK98" s="507" t="n">
        <f aca="false">IF(OR($R98="Normal",$S98="Normal"),4,SUM(IF(OR($R98="Ghost",$R98="Psychic"),0-1,IF($R98="Dark",1,0)),IF(OR($S98="Ghost",$S98="Psychic"),0-1,IF($S98="Dark",1,0))))</f>
        <v>-1</v>
      </c>
      <c r="AL98" s="507" t="n">
        <f aca="false">SUM(IF(OR($R98="Ground",$R98="Rock",$R98="Water"),0-1,IF(OR($R98="Bug",$R98="Flying",$R98="Fire",$R98="Dragon",$R98="Poison",$R98="Steel",$R98="Grass"),1,0)),IF(OR($S98="Ground",$S98="Rock",$S98="Water"),0-1,IF(OR($S98="Bug",$S98="Flying",$S98="Fire",$S98="Dragon",$S98="Poison",$S98="Steel",$S98="Grass"),1,0)))</f>
        <v>1</v>
      </c>
      <c r="AM98" s="507" t="n">
        <f aca="false">IF(OR($R98="Flying",$S98="Flying"),4,SUM(IF(OR($R98="Electric",$R98="Fire",$R98="Rock",$R98="Steel",$R98="Poison"),0-1,IF(OR($R98="Bug",$R98="Grass"),1,0)),IF(OR($S98="Electric",$S98="Fire",$S98="Rock",$S98="Steel",$S98="Poison"),0-1,IF(OR($S98="Bug",$S98="Grass"),1,0))))</f>
        <v>1</v>
      </c>
      <c r="AN98" s="507" t="n">
        <f aca="false">SUM(IF(OR($R98="Flying",$R98="Dragon",$R98="Grass",$R98="Ground"),0-1,IF(OR($R98="Steel",$R98="Ice",$R98="Fire",$R98="Water"),1,0)),IF(OR($S98="Flying",$S98="Dragon",$S98="Grass",$S98="Ground"),0-1,IF(OR($S98="Steel",$S98="Ice",$S98="Fire",$S98="Water"),1,0)))</f>
        <v>-1</v>
      </c>
      <c r="AO98" s="507" t="n">
        <f aca="false">IF(OR($R98="Ghost",$S98="Ghost"),4,SUM(IF(OR($R98="Steel",$R98="Rock"),1,0),IF(OR($S98="Steel",$S98="Rock"),1,0)))</f>
        <v>4</v>
      </c>
      <c r="AP98" s="507" t="n">
        <f aca="false">IF(OR($R98="Steel",$S98="Steel"),4,SUM(IF(OR($R98="Fairy",$R98="Grass"),0-1,IF(OR($R98="Ghost",$R98="Rock",$R98="Ground",$R98="Poison"),1,0)),IF(OR($S98="Fairy",$S98="Grass"),0-1,IF(OR($S98="Ghost",$S98="Rock",$S98="Ground",$S98="Poison"),1,0))))</f>
        <v>0</v>
      </c>
      <c r="AQ98" s="507" t="n">
        <f aca="false">IF(OR($R98="Dark",$S98="Dark"),4,SUM(IF(OR($R98="Fighting",$R98="Poison"),0-1,IF(OR($R98="Psychic",$R98="Steel"),1,0)),IF(OR($S98="Fighting",$S98="Poison"),0-1,IF(OR($S98="Psychic",$S98="Steel"),1,0))))</f>
        <v>0</v>
      </c>
      <c r="AR98" s="507" t="n">
        <f aca="false">SUM(IF(OR($R98="Bug",$R98="Fire",$R98="Flying",$R98="Ice"),0-1,IF(OR($R98="Steel",$R98="Fighting",$R98="Ground"),1,0)),IF(OR($S98="Bug",$S98="Fire",$S98="Flying",$S98="Ice"),0-1,IF(OR($S98="Steel",$S98="Fighting",$S98="Ground"),1,0)))</f>
        <v>0</v>
      </c>
      <c r="AS98" s="507" t="n">
        <f aca="false">SUM(IF(OR($R98="Fairy",$R98="Ice",$R98="Rock"),0-1,IF(OR($R98="Steel",$R98="Electric",$R98="Fire",$R98="Water"),1,0)),IF(OR($S98="Fairy",$S98="Ice",$S98="Rock"),0-1,IF(OR($S98="Steel",$S98="Electric",$S98="Fire",$S98="Water"),1,0)))</f>
        <v>0</v>
      </c>
      <c r="AT98" s="508" t="n">
        <f aca="false">SUM(IF(OR($R98="Fire",$R98="Ground",$R98="Rock"),0-1,IF(OR($R98="Dragon",$R98="Grass",$R98="Water"),1,0)),IF(OR($S98="Fire",$S98="Ground",$S98="Rock"),0-1,IF(OR($S98="Dragon",$S98="Grass",$S98="Water"),1,0)))</f>
        <v>1</v>
      </c>
      <c r="AU98" s="518"/>
    </row>
    <row r="99" customFormat="false" ht="15.75" hidden="false" customHeight="false" outlineLevel="0" collapsed="false">
      <c r="A99" s="510" t="str">
        <f aca="false" t="array" ref="A99:A99">IF(ISNA(INDEX(Source!$U$7:$U$95,MATCH(B99,Source!$V$7:$V$95,0))),"FREE",INDEX(Source!$U$7:$U$95,MATCH(B99,Source!$V$7:$V$95,0)))</f>
        <v>FREE</v>
      </c>
      <c r="B99" s="511" t="s">
        <v>500</v>
      </c>
      <c r="C99" s="511"/>
      <c r="D99" s="511"/>
      <c r="E99" s="499" t="str">
        <f aca="false">IF(SUM($W99:$X99)&gt;0,SUM($W99:$X99),IF($H99&gt;0,0,IF($H99&gt;0,0,"-")))</f>
        <v>-</v>
      </c>
      <c r="F99" s="499" t="str">
        <f aca="false">IF(SUM($Y99:$Z99)&gt;0,SUM($Y99:$Z99),IF($H99&gt;0,0,"-"))</f>
        <v>-</v>
      </c>
      <c r="G99" s="499" t="str">
        <f aca="false">IF($H99&gt;0,minus(E99,F99),"-")</f>
        <v>-</v>
      </c>
      <c r="H99" s="500" t="n">
        <f aca="false">SUM(COUNTIF(MatchSource!$A:$A,$B99),COUNTIF(MatchSource!$H:$H,$B99))</f>
        <v>0</v>
      </c>
      <c r="I99" s="501" t="n">
        <f aca="false">SUM($AA99:$AB99)</f>
        <v>0</v>
      </c>
      <c r="J99" s="501" t="s">
        <v>702</v>
      </c>
      <c r="K99" s="512" t="str">
        <f aca="false" t="array" ref="K99:K99">IF(ISNA(INDEX(DraftRosters!$AA$3:$AA$199,MATCH($B99,DraftRosters!$AB$3:$AB$199,0))),"FA",IF(INDEX(DraftRosters!$AA$3:$AA$199,MATCH($B99,DraftRosters!$AB$3:$AB$199,0))="Franchise","Franch",INDEX(DraftRosters!$AA$3:$AA$199,MATCH($B99,DraftRosters!$AB$3:$AB$199,0))))</f>
        <v>FA</v>
      </c>
      <c r="L99" s="499" t="n">
        <v>67</v>
      </c>
      <c r="M99" s="499" t="n">
        <v>58</v>
      </c>
      <c r="N99" s="499" t="n">
        <v>57</v>
      </c>
      <c r="O99" s="499" t="n">
        <v>81</v>
      </c>
      <c r="P99" s="499" t="n">
        <v>67</v>
      </c>
      <c r="Q99" s="501" t="n">
        <v>101</v>
      </c>
      <c r="R99" s="499" t="s">
        <v>845</v>
      </c>
      <c r="S99" s="501" t="s">
        <v>798</v>
      </c>
      <c r="T99" s="504" t="s">
        <v>940</v>
      </c>
      <c r="U99" s="505" t="s">
        <v>846</v>
      </c>
      <c r="V99" s="506" t="s">
        <v>840</v>
      </c>
      <c r="W99" s="500" t="str">
        <f aca="false">IFERROR(__xludf.dummyfunction("if(isna(SUM(FILTER(MatchSource!$A:$D,MatchSource!$A:$A=$B99))),0,SUM(FILTER(MatchSource!$A:$D,MatchSource!$A:$A=$B99)))"),"0")</f>
        <v>0</v>
      </c>
      <c r="X99" s="499" t="str">
        <f aca="false">IFERROR(__xludf.dummyfunction("if(isna(SUM(FILTER(MatchSource!$H:$K,MatchSource!$H:$H=$B99))),0,SUM(FILTER(MatchSource!$H:$K,MatchSource!$H:$H=$B99)))"),"0")</f>
        <v>0</v>
      </c>
      <c r="Y99" s="499" t="str">
        <f aca="false">IFERROR(__xludf.dummyfunction("if(isna(ABS(MINUS(SUM(FILTER(MatchSource!$A:$E,MatchSource!$A:$A=$B99)),SUM($W99)))),0,ABS(MINUS(SUM(FILTER(MatchSource!$A:$E,MatchSource!$A:$A=$B99)),SUM($W99))))"),"0")</f>
        <v>0</v>
      </c>
      <c r="Z99" s="499" t="str">
        <f aca="false">IFERROR(__xludf.dummyfunction("if(isna(ABS(MINUS(SUM(FILTER(MatchSource!$H:$L,MatchSource!$H:$H=$B99)),SUM($X99)))),0,ABS(MINUS(SUM(FILTER(MatchSource!$H:$L,MatchSource!$H:$H=$B99)),SUM($X99))))"),"0")</f>
        <v>0</v>
      </c>
      <c r="AA99" s="499" t="str">
        <f aca="false">IFERROR(__xludf.dummyfunction("if(isna(ABS(MINUS(SUM(FILTER(MatchSource!$A:$F,MatchSource!$A:$A=$B99)),SUM($W99,$Y99)))),0,ABS(MINUS(SUM(FILTER(MatchSource!$A:$F,MatchSource!$A:$A=$B99)),SUM($W99, $Y99,))))"),"0")</f>
        <v>0</v>
      </c>
      <c r="AB99" s="501" t="str">
        <f aca="false">IFERROR(__xludf.dummyfunction("if(isna(ABS(MINUS(SUM(FILTER(MatchSource!$H:$M,MatchSource!$H:$H=$B99)),SUM($X99,$Z99)))),0,ABS(MINUS(SUM(FILTER(MatchSource!$H:$M,MatchSource!$H:$H=$B99)),SUM($X99,$Z99))))"),"0")</f>
        <v>0</v>
      </c>
      <c r="AC99" s="507" t="n">
        <f aca="false">SUM(IF(OR($R99="Grass",$R99="Psychic",$R99="Dark"),0-1,IF(OR($R99="Fighting",$R99="Flying",$R99="Fire",$R99="Ghost",$R99="Poison",$R99="Steel",$R99="Fairy"),1,0)),IF(OR($S99="Grass",$S99="Psychic",$S99="Dark"),0-1,IF(OR($S99="Fighting",$S99="Flying",$S99="Fire",$S99="Ghost",$S99="Poison",$S99="Steel",$S99="Fairy"),1,0)))</f>
        <v>1</v>
      </c>
      <c r="AD99" s="507" t="n">
        <f aca="false">SUM(IF(OR($R99="Ghost",$R99="Psychic"),0-1,IF(OR($R99="Fighting",$R99="Dark",$R99="Fairy"),1,0)),IF(OR($S99="Ghost",$S99="Psychic"),0-1,IF(OR($S99="Fighting",$S99="Dark",$S99="Fairy"),1,0)))</f>
        <v>1</v>
      </c>
      <c r="AE99" s="507" t="n">
        <f aca="false">IF(OR($R99="Fairy",$S99="Fairy"),4,SUM(IF($R99="Dragon",0-1,IF($R99="Steel",1,0)),IF($S99="Dragon",0-1,IF($S99="Steel",1,0))))</f>
        <v>4</v>
      </c>
      <c r="AF99" s="507" t="n">
        <f aca="false">IF(OR($R99="Ground",$S99="Ground"),4,SUM(IF(OR($R99="Flying",$R99="Water"),0-1,IF(OR($R99="Dragon",$R99="Electric",$R99="Grass"),1,0)),IF(OR($S99="Flying",$S99="Water"),0-1,IF(OR($S99="Dragon",$S99="Electric",$S99="Grass"),1,0))))</f>
        <v>1</v>
      </c>
      <c r="AG99" s="507" t="n">
        <f aca="false">SUM(IF(OR($R99="Dark",$R99="Dragon",$R99="Fighting"),0-1,IF(OR($R99="Steel",$R99="Poison",$R99="Fire"),1,0)),IF(OR($S99="Dark",$S99="Dragon",$S99="Fighting"),0-1,IF(OR($S99="Steel",$S99="Poison",$S99="Fire"),1,0)))</f>
        <v>0</v>
      </c>
      <c r="AH99" s="507" t="n">
        <f aca="false">IF(OR($R99="Ghost",$S99="Ghost"),4,SUM(IF(OR($R99="Dark",$R99="Ice",$R99="Normal",$R99="Rock",$R99="Steel"),0-1,IF(OR($R99="Bug",$R99="Fairy",$R99="Flying",$R99="Poison",$R99="Psychic"),1,0)),IF(OR($S99="Dark",$S99="Ice",$S99="Normal",$S99="Rock",$S99="Steel"),0-1,IF(OR($S99="Bug",$S99="Fairy",$S99="Flying",$S99="Poison",$S99="Psychic"),1,0))))</f>
        <v>1</v>
      </c>
      <c r="AI99" s="507" t="n">
        <f aca="false">SUM(IF(OR($R99="Bug",$R99="Grass",$R99="Ice",$R99="Steel"),0-1,IF(OR($R99="Dragon",$R99="Fire",$R99="Rock",$R99="Water"),1,0)),IF(OR($S99="Bug",$S99="Grass",$S99="Ice",$S99="Steel"),0-1,IF(OR($S99="Dragon",$S99="Fire",$S99="Rock",$S99="Water"),1,0)))</f>
        <v>0</v>
      </c>
      <c r="AJ99" s="507" t="n">
        <f aca="false">SUM(IF(OR($R99="Bug",$R99="Grass",$R99="Fighting"),0-1,IF(OR($R99="Electric",$R99="Rock",$R99="Steel"),1,0)),IF(OR($S99="Bug",$S99="Grass",$S99="Fighting"),0-1,IF(OR($S99="Electric",$S99="Rock",$S99="Steel"),1,0)))</f>
        <v>1</v>
      </c>
      <c r="AK99" s="507" t="n">
        <f aca="false">IF(OR($R99="Normal",$S99="Normal"),4,SUM(IF(OR($R99="Ghost",$R99="Psychic"),0-1,IF($R99="Dark",1,0)),IF(OR($S99="Ghost",$S99="Psychic"),0-1,IF($S99="Dark",1,0))))</f>
        <v>0</v>
      </c>
      <c r="AL99" s="507" t="n">
        <f aca="false">SUM(IF(OR($R99="Ground",$R99="Rock",$R99="Water"),0-1,IF(OR($R99="Bug",$R99="Flying",$R99="Fire",$R99="Dragon",$R99="Poison",$R99="Steel",$R99="Grass"),1,0)),IF(OR($S99="Ground",$S99="Rock",$S99="Water"),0-1,IF(OR($S99="Bug",$S99="Flying",$S99="Fire",$S99="Dragon",$S99="Poison",$S99="Steel",$S99="Grass"),1,0)))</f>
        <v>0</v>
      </c>
      <c r="AM99" s="507" t="n">
        <f aca="false">IF(OR($R99="Flying",$S99="Flying"),4,SUM(IF(OR($R99="Electric",$R99="Fire",$R99="Rock",$R99="Steel",$R99="Poison"),0-1,IF(OR($R99="Bug",$R99="Grass"),1,0)),IF(OR($S99="Electric",$S99="Fire",$S99="Rock",$S99="Steel",$S99="Poison"),0-1,IF(OR($S99="Bug",$S99="Grass"),1,0))))</f>
        <v>-1</v>
      </c>
      <c r="AN99" s="507" t="n">
        <f aca="false">SUM(IF(OR($R99="Flying",$R99="Dragon",$R99="Grass",$R99="Ground"),0-1,IF(OR($R99="Steel",$R99="Ice",$R99="Fire",$R99="Water"),1,0)),IF(OR($S99="Flying",$S99="Dragon",$S99="Grass",$S99="Ground"),0-1,IF(OR($S99="Steel",$S99="Ice",$S99="Fire",$S99="Water"),1,0)))</f>
        <v>0</v>
      </c>
      <c r="AO99" s="507" t="n">
        <f aca="false">IF(OR($R99="Ghost",$S99="Ghost"),4,SUM(IF(OR($R99="Steel",$R99="Rock"),1,0),IF(OR($S99="Steel",$S99="Rock"),1,0)))</f>
        <v>0</v>
      </c>
      <c r="AP99" s="507" t="n">
        <f aca="false">IF(OR($R99="Steel",$S99="Steel"),4,SUM(IF(OR($R99="Fairy",$R99="Grass"),0-1,IF(OR($R99="Ghost",$R99="Rock",$R99="Ground",$R99="Poison"),1,0)),IF(OR($S99="Fairy",$S99="Grass"),0-1,IF(OR($S99="Ghost",$S99="Rock",$S99="Ground",$S99="Poison"),1,0))))</f>
        <v>-1</v>
      </c>
      <c r="AQ99" s="507" t="n">
        <f aca="false">IF(OR($R99="Dark",$S99="Dark"),4,SUM(IF(OR($R99="Fighting",$R99="Poison"),0-1,IF(OR($R99="Psychic",$R99="Steel"),1,0)),IF(OR($S99="Fighting",$S99="Poison"),0-1,IF(OR($S99="Psychic",$S99="Steel"),1,0))))</f>
        <v>0</v>
      </c>
      <c r="AR99" s="507" t="n">
        <f aca="false">SUM(IF(OR($R99="Bug",$R99="Fire",$R99="Flying",$R99="Ice"),0-1,IF(OR($R99="Steel",$R99="Fighting",$R99="Ground"),1,0)),IF(OR($S99="Bug",$S99="Fire",$S99="Flying",$S99="Ice"),0-1,IF(OR($S99="Steel",$S99="Fighting",$S99="Ground"),1,0)))</f>
        <v>0</v>
      </c>
      <c r="AS99" s="507" t="n">
        <f aca="false">SUM(IF(OR($R99="Fairy",$R99="Ice",$R99="Rock"),0-1,IF(OR($R99="Steel",$R99="Electric",$R99="Fire",$R99="Water"),1,0)),IF(OR($S99="Fairy",$S99="Ice",$S99="Rock"),0-1,IF(OR($S99="Steel",$S99="Electric",$S99="Fire",$S99="Water"),1,0)))</f>
        <v>0</v>
      </c>
      <c r="AT99" s="508" t="n">
        <f aca="false">SUM(IF(OR($R99="Fire",$R99="Ground",$R99="Rock"),0-1,IF(OR($R99="Dragon",$R99="Grass",$R99="Water"),1,0)),IF(OR($S99="Fire",$S99="Ground",$S99="Rock"),0-1,IF(OR($S99="Dragon",$S99="Grass",$S99="Water"),1,0)))</f>
        <v>0</v>
      </c>
      <c r="AU99" s="518"/>
    </row>
    <row r="100" customFormat="false" ht="15.75" hidden="false" customHeight="false" outlineLevel="0" collapsed="false">
      <c r="A100" s="515" t="str">
        <f aca="false" t="array" ref="A100:A100">IF(ISNA(INDEX(Source!$U$7:$U$95,MATCH(B100,Source!$V$7:$V$95,0))),"FREE",INDEX(Source!$U$7:$U$95,MATCH(B100,Source!$V$7:$V$95,0)))</f>
        <v>FREE</v>
      </c>
      <c r="B100" s="511" t="s">
        <v>505</v>
      </c>
      <c r="C100" s="511"/>
      <c r="D100" s="511"/>
      <c r="E100" s="499" t="str">
        <f aca="false">IF(SUM($W100:$X100)&gt;0,SUM($W100:$X100),IF($H100&gt;0,0,IF($H100&gt;0,0,"-")))</f>
        <v>-</v>
      </c>
      <c r="F100" s="499" t="str">
        <f aca="false">IF(SUM($Y100:$Z100)&gt;0,SUM($Y100:$Z100),IF($H100&gt;0,0,"-"))</f>
        <v>-</v>
      </c>
      <c r="G100" s="499" t="str">
        <f aca="false">IF($H100&gt;0,minus(E100,F100),"-")</f>
        <v>-</v>
      </c>
      <c r="H100" s="500" t="n">
        <f aca="false">SUM(COUNTIF(MatchSource!$A:$A,$B100),COUNTIF(MatchSource!$H:$H,$B100))</f>
        <v>0</v>
      </c>
      <c r="I100" s="501" t="n">
        <f aca="false">SUM($AA100:$AB100)</f>
        <v>0</v>
      </c>
      <c r="J100" s="501" t="s">
        <v>702</v>
      </c>
      <c r="K100" s="512" t="str">
        <f aca="false" t="array" ref="K100:K100">IF(ISNA(INDEX(DraftRosters!$AA$3:$AA$199,MATCH($B100,DraftRosters!$AB$3:$AB$199,0))),"FA",IF(INDEX(DraftRosters!$AA$3:$AA$199,MATCH($B100,DraftRosters!$AB$3:$AB$199,0))="Franchise","Franch",INDEX(DraftRosters!$AA$3:$AA$199,MATCH($B100,DraftRosters!$AB$3:$AB$199,0))))</f>
        <v>FA</v>
      </c>
      <c r="L100" s="499" t="n">
        <v>70</v>
      </c>
      <c r="M100" s="499" t="n">
        <v>65</v>
      </c>
      <c r="N100" s="499" t="n">
        <v>65</v>
      </c>
      <c r="O100" s="499" t="n">
        <v>55</v>
      </c>
      <c r="P100" s="499" t="n">
        <v>55</v>
      </c>
      <c r="Q100" s="501" t="n">
        <v>90</v>
      </c>
      <c r="R100" s="499" t="s">
        <v>839</v>
      </c>
      <c r="S100" s="501"/>
      <c r="T100" s="504" t="s">
        <v>922</v>
      </c>
      <c r="U100" s="505" t="s">
        <v>903</v>
      </c>
      <c r="V100" s="506" t="s">
        <v>941</v>
      </c>
      <c r="W100" s="500" t="str">
        <f aca="false">IFERROR(__xludf.dummyfunction("if(isna(SUM(FILTER(MatchSource!$A:$D,MatchSource!$A:$A=$B100))),0,SUM(FILTER(MatchSource!$A:$D,MatchSource!$A:$A=$B100)))"),"0")</f>
        <v>0</v>
      </c>
      <c r="X100" s="499" t="str">
        <f aca="false">IFERROR(__xludf.dummyfunction("if(isna(SUM(FILTER(MatchSource!$H:$K,MatchSource!$H:$H=$B100))),0,SUM(FILTER(MatchSource!$H:$K,MatchSource!$H:$H=$B100)))"),"0")</f>
        <v>0</v>
      </c>
      <c r="Y100" s="499" t="str">
        <f aca="false">IFERROR(__xludf.dummyfunction("if(isna(ABS(MINUS(SUM(FILTER(MatchSource!$A:$E,MatchSource!$A:$A=$B100)),SUM($W100)))),0,ABS(MINUS(SUM(FILTER(MatchSource!$A:$E,MatchSource!$A:$A=$B100)),SUM($W100))))"),"0")</f>
        <v>0</v>
      </c>
      <c r="Z100" s="499" t="str">
        <f aca="false">IFERROR(__xludf.dummyfunction("if(isna(ABS(MINUS(SUM(FILTER(MatchSource!$H:$L,MatchSource!$H:$H=$B100)),SUM($X100)))),0,ABS(MINUS(SUM(FILTER(MatchSource!$H:$L,MatchSource!$H:$H=$B100)),SUM($X100))))"),"0")</f>
        <v>0</v>
      </c>
      <c r="AA100" s="499" t="str">
        <f aca="false">IFERROR(__xludf.dummyfunction("if(isna(ABS(MINUS(SUM(FILTER(MatchSource!$A:$F,MatchSource!$A:$A=$B100)),SUM($W100,$Y100)))),0,ABS(MINUS(SUM(FILTER(MatchSource!$A:$F,MatchSource!$A:$A=$B100)),SUM($W100, $Y100,))))"),"0")</f>
        <v>0</v>
      </c>
      <c r="AB100" s="501" t="str">
        <f aca="false">IFERROR(__xludf.dummyfunction("if(isna(ABS(MINUS(SUM(FILTER(MatchSource!$H:$M,MatchSource!$H:$H=$B100)),SUM($X100,$Z100)))),0,ABS(MINUS(SUM(FILTER(MatchSource!$H:$M,MatchSource!$H:$H=$B100)),SUM($X100,$Z100))))"),"0")</f>
        <v>0</v>
      </c>
      <c r="AC100" s="507" t="n">
        <f aca="false">SUM(IF(OR($R100="Grass",$R100="Psychic",$R100="Dark"),0-1,IF(OR($R100="Fighting",$R100="Flying",$R100="Fire",$R100="Ghost",$R100="Poison",$R100="Steel",$R100="Fairy"),1,0)),IF(OR($S100="Grass",$S100="Psychic",$S100="Dark"),0-1,IF(OR($S100="Fighting",$S100="Flying",$S100="Fire",$S100="Ghost",$S100="Poison",$S100="Steel",$S100="Fairy"),1,0)))</f>
        <v>0</v>
      </c>
      <c r="AD100" s="507" t="n">
        <f aca="false">SUM(IF(OR($R100="Ghost",$R100="Psychic"),0-1,IF(OR($R100="Fighting",$R100="Dark",$R100="Fairy"),1,0)),IF(OR($S100="Ghost",$S100="Psychic"),0-1,IF(OR($S100="Fighting",$S100="Dark",$S100="Fairy"),1,0)))</f>
        <v>0</v>
      </c>
      <c r="AE100" s="507" t="n">
        <f aca="false">IF(OR($R100="Fairy",$S100="Fairy"),4,SUM(IF($R100="Dragon",0-1,IF($R100="Steel",1,0)),IF($S100="Dragon",0-1,IF($S100="Steel",1,0))))</f>
        <v>0</v>
      </c>
      <c r="AF100" s="507" t="n">
        <f aca="false">IF(OR($R100="Ground",$S100="Ground"),4,SUM(IF(OR($R100="Flying",$R100="Water"),0-1,IF(OR($R100="Dragon",$R100="Electric",$R100="Grass"),1,0)),IF(OR($S100="Flying",$S100="Water"),0-1,IF(OR($S100="Dragon",$S100="Electric",$S100="Grass"),1,0))))</f>
        <v>0</v>
      </c>
      <c r="AG100" s="507" t="n">
        <f aca="false">SUM(IF(OR($R100="Dark",$R100="Dragon",$R100="Fighting"),0-1,IF(OR($R100="Steel",$R100="Poison",$R100="Fire"),1,0)),IF(OR($S100="Dark",$S100="Dragon",$S100="Fighting"),0-1,IF(OR($S100="Steel",$S100="Poison",$S100="Fire"),1,0)))</f>
        <v>0</v>
      </c>
      <c r="AH100" s="507" t="n">
        <f aca="false">IF(OR($R100="Ghost",$S100="Ghost"),4,SUM(IF(OR($R100="Dark",$R100="Ice",$R100="Normal",$R100="Rock",$R100="Steel"),0-1,IF(OR($R100="Bug",$R100="Fairy",$R100="Flying",$R100="Poison",$R100="Psychic"),1,0)),IF(OR($S100="Dark",$S100="Ice",$S100="Normal",$S100="Rock",$S100="Steel"),0-1,IF(OR($S100="Bug",$S100="Fairy",$S100="Flying",$S100="Poison",$S100="Psychic"),1,0))))</f>
        <v>-1</v>
      </c>
      <c r="AI100" s="507" t="n">
        <f aca="false">SUM(IF(OR($R100="Bug",$R100="Grass",$R100="Ice",$R100="Steel"),0-1,IF(OR($R100="Dragon",$R100="Fire",$R100="Rock",$R100="Water"),1,0)),IF(OR($S100="Bug",$S100="Grass",$S100="Ice",$S100="Steel"),0-1,IF(OR($S100="Dragon",$S100="Fire",$S100="Rock",$S100="Water"),1,0)))</f>
        <v>0</v>
      </c>
      <c r="AJ100" s="507" t="n">
        <f aca="false">SUM(IF(OR($R100="Bug",$R100="Grass",$R100="Fighting"),0-1,IF(OR($R100="Electric",$R100="Rock",$R100="Steel"),1,0)),IF(OR($S100="Bug",$S100="Grass",$S100="Fighting"),0-1,IF(OR($S100="Electric",$S100="Rock",$S100="Steel"),1,0)))</f>
        <v>0</v>
      </c>
      <c r="AK100" s="507" t="n">
        <f aca="false">IF(OR($R100="Normal",$S100="Normal"),4,SUM(IF(OR($R100="Ghost",$R100="Psychic"),0-1,IF($R100="Dark",1,0)),IF(OR($S100="Ghost",$S100="Psychic"),0-1,IF($S100="Dark",1,0))))</f>
        <v>4</v>
      </c>
      <c r="AL100" s="507" t="n">
        <f aca="false">SUM(IF(OR($R100="Ground",$R100="Rock",$R100="Water"),0-1,IF(OR($R100="Bug",$R100="Flying",$R100="Fire",$R100="Dragon",$R100="Poison",$R100="Steel",$R100="Grass"),1,0)),IF(OR($S100="Ground",$S100="Rock",$S100="Water"),0-1,IF(OR($S100="Bug",$S100="Flying",$S100="Fire",$S100="Dragon",$S100="Poison",$S100="Steel",$S100="Grass"),1,0)))</f>
        <v>0</v>
      </c>
      <c r="AM100" s="507" t="n">
        <f aca="false">IF(OR($R100="Flying",$S100="Flying"),4,SUM(IF(OR($R100="Electric",$R100="Fire",$R100="Rock",$R100="Steel",$R100="Poison"),0-1,IF(OR($R100="Bug",$R100="Grass"),1,0)),IF(OR($S100="Electric",$S100="Fire",$S100="Rock",$S100="Steel",$S100="Poison"),0-1,IF(OR($S100="Bug",$S100="Grass"),1,0))))</f>
        <v>0</v>
      </c>
      <c r="AN100" s="507" t="n">
        <f aca="false">SUM(IF(OR($R100="Flying",$R100="Dragon",$R100="Grass",$R100="Ground"),0-1,IF(OR($R100="Steel",$R100="Ice",$R100="Fire",$R100="Water"),1,0)),IF(OR($S100="Flying",$S100="Dragon",$S100="Grass",$S100="Ground"),0-1,IF(OR($S100="Steel",$S100="Ice",$S100="Fire",$S100="Water"),1,0)))</f>
        <v>0</v>
      </c>
      <c r="AO100" s="507" t="n">
        <f aca="false">IF(OR($R100="Ghost",$S100="Ghost"),4,SUM(IF(OR($R100="Steel",$R100="Rock"),1,0),IF(OR($S100="Steel",$S100="Rock"),1,0)))</f>
        <v>0</v>
      </c>
      <c r="AP100" s="507" t="n">
        <f aca="false">IF(OR($R100="Steel",$S100="Steel"),4,SUM(IF(OR($R100="Fairy",$R100="Grass"),0-1,IF(OR($R100="Ghost",$R100="Rock",$R100="Ground",$R100="Poison"),1,0)),IF(OR($S100="Fairy",$S100="Grass"),0-1,IF(OR($S100="Ghost",$S100="Rock",$S100="Ground",$S100="Poison"),1,0))))</f>
        <v>0</v>
      </c>
      <c r="AQ100" s="507" t="n">
        <f aca="false">IF(OR($R100="Dark",$S100="Dark"),4,SUM(IF(OR($R100="Fighting",$R100="Poison"),0-1,IF(OR($R100="Psychic",$R100="Steel"),1,0)),IF(OR($S100="Fighting",$S100="Poison"),0-1,IF(OR($S100="Psychic",$S100="Steel"),1,0))))</f>
        <v>0</v>
      </c>
      <c r="AR100" s="507" t="n">
        <f aca="false">SUM(IF(OR($R100="Bug",$R100="Fire",$R100="Flying",$R100="Ice"),0-1,IF(OR($R100="Steel",$R100="Fighting",$R100="Ground"),1,0)),IF(OR($S100="Bug",$S100="Fire",$S100="Flying",$S100="Ice"),0-1,IF(OR($S100="Steel",$S100="Fighting",$S100="Ground"),1,0)))</f>
        <v>0</v>
      </c>
      <c r="AS100" s="507" t="n">
        <f aca="false">SUM(IF(OR($R100="Fairy",$R100="Ice",$R100="Rock"),0-1,IF(OR($R100="Steel",$R100="Electric",$R100="Fire",$R100="Water"),1,0)),IF(OR($S100="Fairy",$S100="Ice",$S100="Rock"),0-1,IF(OR($S100="Steel",$S100="Electric",$S100="Fire",$S100="Water"),1,0)))</f>
        <v>0</v>
      </c>
      <c r="AT100" s="508" t="n">
        <f aca="false">SUM(IF(OR($R100="Fire",$R100="Ground",$R100="Rock"),0-1,IF(OR($R100="Dragon",$R100="Grass",$R100="Water"),1,0)),IF(OR($S100="Fire",$S100="Ground",$S100="Rock"),0-1,IF(OR($S100="Dragon",$S100="Grass",$S100="Water"),1,0)))</f>
        <v>0</v>
      </c>
      <c r="AU100" s="518"/>
    </row>
    <row r="101" customFormat="false" ht="15.75" hidden="false" customHeight="false" outlineLevel="0" collapsed="false">
      <c r="A101" s="515" t="str">
        <f aca="false" t="array" ref="A101:A101">IF(ISNA(INDEX(Source!$U$7:$U$95,MATCH(B101,Source!$V$7:$V$95,0))),"FREE",INDEX(Source!$U$7:$U$95,MATCH(B101,Source!$V$7:$V$95,0)))</f>
        <v>FREE</v>
      </c>
      <c r="B101" s="511" t="s">
        <v>509</v>
      </c>
      <c r="C101" s="511"/>
      <c r="D101" s="511"/>
      <c r="E101" s="499" t="str">
        <f aca="false">IF(SUM($W101:$X101)&gt;0,SUM($W101:$X101),IF($H101&gt;0,0,IF($H101&gt;0,0,"-")))</f>
        <v>-</v>
      </c>
      <c r="F101" s="499" t="str">
        <f aca="false">IF(SUM($Y101:$Z101)&gt;0,SUM($Y101:$Z101),IF($H101&gt;0,0,"-"))</f>
        <v>-</v>
      </c>
      <c r="G101" s="499" t="str">
        <f aca="false">IF($H101&gt;0,minus(E101,F101),"-")</f>
        <v>-</v>
      </c>
      <c r="H101" s="500" t="n">
        <f aca="false">SUM(COUNTIF(MatchSource!$A:$A,$B101),COUNTIF(MatchSource!$H:$H,$B101))</f>
        <v>0</v>
      </c>
      <c r="I101" s="501" t="n">
        <f aca="false">SUM($AA101:$AB101)</f>
        <v>0</v>
      </c>
      <c r="J101" s="501" t="s">
        <v>702</v>
      </c>
      <c r="K101" s="501" t="str">
        <f aca="false" t="array" ref="K101:K101">IF(ISNA(INDEX(DraftRosters!$AA$3:$AA$199,MATCH($B101,DraftRosters!$AB$3:$AB$199,0))),"FA",IF(INDEX(DraftRosters!$AA$3:$AA$199,MATCH($B101,DraftRosters!$AB$3:$AB$199,0))="Franchise","Franch",INDEX(DraftRosters!$AA$3:$AA$199,MATCH($B101,DraftRosters!$AB$3:$AB$199,0))))</f>
        <v>FA</v>
      </c>
      <c r="L101" s="499" t="n">
        <v>45</v>
      </c>
      <c r="M101" s="499" t="n">
        <v>55</v>
      </c>
      <c r="N101" s="499" t="n">
        <v>45</v>
      </c>
      <c r="O101" s="499" t="n">
        <v>65</v>
      </c>
      <c r="P101" s="499" t="n">
        <v>45</v>
      </c>
      <c r="Q101" s="501" t="n">
        <v>75</v>
      </c>
      <c r="R101" s="499" t="s">
        <v>801</v>
      </c>
      <c r="S101" s="501" t="s">
        <v>805</v>
      </c>
      <c r="T101" s="505" t="s">
        <v>932</v>
      </c>
      <c r="U101" s="505" t="s">
        <v>942</v>
      </c>
      <c r="V101" s="506" t="s">
        <v>855</v>
      </c>
      <c r="W101" s="500" t="str">
        <f aca="false">IFERROR(__xludf.dummyfunction("if(isna(SUM(FILTER(MatchSource!$A:$D,MatchSource!$A:$A=$B101))),0,SUM(FILTER(MatchSource!$A:$D,MatchSource!$A:$A=$B101)))"),"0")</f>
        <v>0</v>
      </c>
      <c r="X101" s="499" t="str">
        <f aca="false">IFERROR(__xludf.dummyfunction("if(isna(SUM(FILTER(MatchSource!$H:$K,MatchSource!$H:$H=$B101))),0,SUM(FILTER(MatchSource!$H:$K,MatchSource!$H:$H=$B101)))"),"0")</f>
        <v>0</v>
      </c>
      <c r="Y101" s="499" t="str">
        <f aca="false">IFERROR(__xludf.dummyfunction("if(isna(ABS(MINUS(SUM(FILTER(MatchSource!$A:$E,MatchSource!$A:$A=$B101)),SUM($W101)))),0,ABS(MINUS(SUM(FILTER(MatchSource!$A:$E,MatchSource!$A:$A=$B101)),SUM($W101))))"),"0")</f>
        <v>0</v>
      </c>
      <c r="Z101" s="499" t="str">
        <f aca="false">IFERROR(__xludf.dummyfunction("if(isna(ABS(MINUS(SUM(FILTER(MatchSource!$H:$L,MatchSource!$H:$H=$B101)),SUM($X101)))),0,ABS(MINUS(SUM(FILTER(MatchSource!$H:$L,MatchSource!$H:$H=$B101)),SUM($X101))))"),"0")</f>
        <v>0</v>
      </c>
      <c r="AA101" s="499" t="str">
        <f aca="false">IFERROR(__xludf.dummyfunction("if(isna(ABS(MINUS(SUM(FILTER(MatchSource!$A:$F,MatchSource!$A:$A=$B101)),SUM($W101,$Y101)))),0,ABS(MINUS(SUM(FILTER(MatchSource!$A:$F,MatchSource!$A:$A=$B101)),SUM($W101, $Y101,))))"),"0")</f>
        <v>0</v>
      </c>
      <c r="AB101" s="501" t="str">
        <f aca="false">IFERROR(__xludf.dummyfunction("if(isna(ABS(MINUS(SUM(FILTER(MatchSource!$H:$M,MatchSource!$H:$H=$B101)),SUM($X101,$Z101)))),0,ABS(MINUS(SUM(FILTER(MatchSource!$H:$M,MatchSource!$H:$H=$B101)),SUM($X101,$Z101))))"),"0")</f>
        <v>0</v>
      </c>
      <c r="AC101" s="507" t="n">
        <f aca="false">SUM(IF(OR($R101="Grass",$R101="Psychic",$R101="Dark"),0-1,IF(OR($R101="Fighting",$R101="Flying",$R101="Fire",$R101="Ghost",$R101="Poison",$R101="Steel",$R101="Fairy"),1,0)),IF(OR($S101="Grass",$S101="Psychic",$S101="Dark"),0-1,IF(OR($S101="Fighting",$S101="Flying",$S101="Fire",$S101="Ghost",$S101="Poison",$S101="Steel",$S101="Fairy"),1,0)))</f>
        <v>1</v>
      </c>
      <c r="AD101" s="507" t="n">
        <f aca="false">SUM(IF(OR($R101="Ghost",$R101="Psychic"),0-1,IF(OR($R101="Fighting",$R101="Dark",$R101="Fairy"),1,0)),IF(OR($S101="Ghost",$S101="Psychic"),0-1,IF(OR($S101="Fighting",$S101="Dark",$S101="Fairy"),1,0)))</f>
        <v>0</v>
      </c>
      <c r="AE101" s="507" t="n">
        <f aca="false">IF(OR($R101="Fairy",$S101="Fairy"),4,SUM(IF($R101="Dragon",0-1,IF($R101="Steel",1,0)),IF($S101="Dragon",0-1,IF($S101="Steel",1,0))))</f>
        <v>0</v>
      </c>
      <c r="AF101" s="507" t="n">
        <f aca="false">IF(OR($R101="Ground",$S101="Ground"),4,SUM(IF(OR($R101="Flying",$R101="Water"),0-1,IF(OR($R101="Dragon",$R101="Electric",$R101="Grass"),1,0)),IF(OR($S101="Flying",$S101="Water"),0-1,IF(OR($S101="Dragon",$S101="Electric",$S101="Grass"),1,0))))</f>
        <v>-1</v>
      </c>
      <c r="AG101" s="507" t="n">
        <f aca="false">SUM(IF(OR($R101="Dark",$R101="Dragon",$R101="Fighting"),0-1,IF(OR($R101="Steel",$R101="Poison",$R101="Fire"),1,0)),IF(OR($S101="Dark",$S101="Dragon",$S101="Fighting"),0-1,IF(OR($S101="Steel",$S101="Poison",$S101="Fire"),1,0)))</f>
        <v>0</v>
      </c>
      <c r="AH101" s="507" t="n">
        <f aca="false">IF(OR($R101="Ghost",$S101="Ghost"),4,SUM(IF(OR($R101="Dark",$R101="Ice",$R101="Normal",$R101="Rock",$R101="Steel"),0-1,IF(OR($R101="Bug",$R101="Fairy",$R101="Flying",$R101="Poison",$R101="Psychic"),1,0)),IF(OR($S101="Dark",$S101="Ice",$S101="Normal",$S101="Rock",$S101="Steel"),0-1,IF(OR($S101="Bug",$S101="Fairy",$S101="Flying",$S101="Poison",$S101="Psychic"),1,0))))</f>
        <v>0</v>
      </c>
      <c r="AI101" s="507" t="n">
        <f aca="false">SUM(IF(OR($R101="Bug",$R101="Grass",$R101="Ice",$R101="Steel"),0-1,IF(OR($R101="Dragon",$R101="Fire",$R101="Rock",$R101="Water"),1,0)),IF(OR($S101="Bug",$S101="Grass",$S101="Ice",$S101="Steel"),0-1,IF(OR($S101="Dragon",$S101="Fire",$S101="Rock",$S101="Water"),1,0)))</f>
        <v>-1</v>
      </c>
      <c r="AJ101" s="507" t="n">
        <f aca="false">SUM(IF(OR($R101="Bug",$R101="Grass",$R101="Fighting"),0-1,IF(OR($R101="Electric",$R101="Rock",$R101="Steel"),1,0)),IF(OR($S101="Bug",$S101="Grass",$S101="Fighting"),0-1,IF(OR($S101="Electric",$S101="Rock",$S101="Steel"),1,0)))</f>
        <v>0</v>
      </c>
      <c r="AK101" s="507" t="n">
        <f aca="false">IF(OR($R101="Normal",$S101="Normal"),4,SUM(IF(OR($R101="Ghost",$R101="Psychic"),0-1,IF($R101="Dark",1,0)),IF(OR($S101="Ghost",$S101="Psychic"),0-1,IF($S101="Dark",1,0))))</f>
        <v>0</v>
      </c>
      <c r="AL101" s="507" t="n">
        <f aca="false">SUM(IF(OR($R101="Ground",$R101="Rock",$R101="Water"),0-1,IF(OR($R101="Bug",$R101="Flying",$R101="Fire",$R101="Dragon",$R101="Poison",$R101="Steel",$R101="Grass"),1,0)),IF(OR($S101="Ground",$S101="Rock",$S101="Water"),0-1,IF(OR($S101="Bug",$S101="Flying",$S101="Fire",$S101="Dragon",$S101="Poison",$S101="Steel",$S101="Grass"),1,0)))</f>
        <v>1</v>
      </c>
      <c r="AM101" s="507" t="n">
        <f aca="false">IF(OR($R101="Flying",$S101="Flying"),4,SUM(IF(OR($R101="Electric",$R101="Fire",$R101="Rock",$R101="Steel",$R101="Poison"),0-1,IF(OR($R101="Bug",$R101="Grass"),1,0)),IF(OR($S101="Electric",$S101="Fire",$S101="Rock",$S101="Steel",$S101="Poison"),0-1,IF(OR($S101="Bug",$S101="Grass"),1,0))))</f>
        <v>4</v>
      </c>
      <c r="AN101" s="507" t="n">
        <f aca="false">SUM(IF(OR($R101="Flying",$R101="Dragon",$R101="Grass",$R101="Ground"),0-1,IF(OR($R101="Steel",$R101="Ice",$R101="Fire",$R101="Water"),1,0)),IF(OR($S101="Flying",$S101="Dragon",$S101="Grass",$S101="Ground"),0-1,IF(OR($S101="Steel",$S101="Ice",$S101="Fire",$S101="Water"),1,0)))</f>
        <v>0</v>
      </c>
      <c r="AO101" s="507" t="n">
        <f aca="false">IF(OR($R101="Ghost",$S101="Ghost"),4,SUM(IF(OR($R101="Steel",$R101="Rock"),1,0),IF(OR($S101="Steel",$S101="Rock"),1,0)))</f>
        <v>0</v>
      </c>
      <c r="AP101" s="507" t="n">
        <f aca="false">IF(OR($R101="Steel",$S101="Steel"),4,SUM(IF(OR($R101="Fairy",$R101="Grass"),0-1,IF(OR($R101="Ghost",$R101="Rock",$R101="Ground",$R101="Poison"),1,0)),IF(OR($S101="Fairy",$S101="Grass"),0-1,IF(OR($S101="Ghost",$S101="Rock",$S101="Ground",$S101="Poison"),1,0))))</f>
        <v>0</v>
      </c>
      <c r="AQ101" s="507" t="n">
        <f aca="false">IF(OR($R101="Dark",$S101="Dark"),4,SUM(IF(OR($R101="Fighting",$R101="Poison"),0-1,IF(OR($R101="Psychic",$R101="Steel"),1,0)),IF(OR($S101="Fighting",$S101="Poison"),0-1,IF(OR($S101="Psychic",$S101="Steel"),1,0))))</f>
        <v>0</v>
      </c>
      <c r="AR101" s="507" t="n">
        <f aca="false">SUM(IF(OR($R101="Bug",$R101="Fire",$R101="Flying",$R101="Ice"),0-1,IF(OR($R101="Steel",$R101="Fighting",$R101="Ground"),1,0)),IF(OR($S101="Bug",$S101="Fire",$S101="Flying",$S101="Ice"),0-1,IF(OR($S101="Steel",$S101="Fighting",$S101="Ground"),1,0)))</f>
        <v>-2</v>
      </c>
      <c r="AS101" s="507" t="n">
        <f aca="false">SUM(IF(OR($R101="Fairy",$R101="Ice",$R101="Rock"),0-1,IF(OR($R101="Steel",$R101="Electric",$R101="Fire",$R101="Water"),1,0)),IF(OR($S101="Fairy",$S101="Ice",$S101="Rock"),0-1,IF(OR($S101="Steel",$S101="Electric",$S101="Fire",$S101="Water"),1,0)))</f>
        <v>-1</v>
      </c>
      <c r="AT101" s="508" t="n">
        <f aca="false">SUM(IF(OR($R101="Fire",$R101="Ground",$R101="Rock"),0-1,IF(OR($R101="Dragon",$R101="Grass",$R101="Water"),1,0)),IF(OR($S101="Fire",$S101="Ground",$S101="Rock"),0-1,IF(OR($S101="Dragon",$S101="Grass",$S101="Water"),1,0)))</f>
        <v>0</v>
      </c>
      <c r="AU101" s="518"/>
    </row>
    <row r="102" customFormat="false" ht="15.75" hidden="false" customHeight="false" outlineLevel="0" collapsed="false">
      <c r="A102" s="515" t="str">
        <f aca="false" t="array" ref="A102:A102">IF(ISNA(INDEX(Source!$U$7:$U$95,MATCH(B102,Source!$V$7:$V$95,0))),"FREE",INDEX(Source!$U$7:$U$95,MATCH(B102,Source!$V$7:$V$95,0)))</f>
        <v>FREE</v>
      </c>
      <c r="B102" s="511" t="s">
        <v>412</v>
      </c>
      <c r="C102" s="511"/>
      <c r="D102" s="511"/>
      <c r="E102" s="499" t="str">
        <f aca="false">IF(SUM($W102:$X102)&gt;0,SUM($W102:$X102),IF($H102&gt;0,0,IF($H102&gt;0,0,"-")))</f>
        <v>-</v>
      </c>
      <c r="F102" s="499" t="str">
        <f aca="false">IF(SUM($Y102:$Z102)&gt;0,SUM($Y102:$Z102),IF($H102&gt;0,0,"-"))</f>
        <v>-</v>
      </c>
      <c r="G102" s="499" t="str">
        <f aca="false">IF($H102&gt;0,minus(E102,F102),"-")</f>
        <v>-</v>
      </c>
      <c r="H102" s="500" t="n">
        <f aca="false">SUM(COUNTIF(MatchSource!$A:$A,$B102),COUNTIF(MatchSource!$H:$H,$B102))</f>
        <v>0</v>
      </c>
      <c r="I102" s="501" t="n">
        <f aca="false">SUM($AA102:$AB102)</f>
        <v>0</v>
      </c>
      <c r="J102" s="501" t="s">
        <v>701</v>
      </c>
      <c r="K102" s="512" t="str">
        <f aca="false" t="array" ref="K102:K102">IF(ISNA(INDEX(DraftRosters!$AA$3:$AA$199,MATCH($B102,DraftRosters!$AB$3:$AB$199,0))),"FA",IF(INDEX(DraftRosters!$AA$3:$AA$199,MATCH($B102,DraftRosters!$AB$3:$AB$199,0))="Franchise","Franch",INDEX(DraftRosters!$AA$3:$AA$199,MATCH($B102,DraftRosters!$AB$3:$AB$199,0))))</f>
        <v>FA</v>
      </c>
      <c r="L102" s="499" t="n">
        <v>75</v>
      </c>
      <c r="M102" s="499" t="n">
        <v>69</v>
      </c>
      <c r="N102" s="499" t="n">
        <v>72</v>
      </c>
      <c r="O102" s="499" t="n">
        <v>114</v>
      </c>
      <c r="P102" s="499" t="n">
        <v>100</v>
      </c>
      <c r="Q102" s="501" t="n">
        <v>104</v>
      </c>
      <c r="R102" s="499" t="s">
        <v>800</v>
      </c>
      <c r="S102" s="501" t="s">
        <v>828</v>
      </c>
      <c r="T102" s="504" t="s">
        <v>893</v>
      </c>
      <c r="U102" s="505" t="s">
        <v>943</v>
      </c>
      <c r="V102" s="506"/>
      <c r="W102" s="500" t="str">
        <f aca="false">IFERROR(__xludf.dummyfunction("if(isna(SUM(FILTER(MatchSource!$A:$D,MatchSource!$A:$A=$B102))),0,SUM(FILTER(MatchSource!$A:$D,MatchSource!$A:$A=$B102)))"),"0")</f>
        <v>0</v>
      </c>
      <c r="X102" s="499" t="str">
        <f aca="false">IFERROR(__xludf.dummyfunction("if(isna(SUM(FILTER(MatchSource!$H:$K,MatchSource!$H:$H=$B102))),0,SUM(FILTER(MatchSource!$H:$K,MatchSource!$H:$H=$B102)))"),"0")</f>
        <v>0</v>
      </c>
      <c r="Y102" s="499" t="str">
        <f aca="false">IFERROR(__xludf.dummyfunction("if(isna(ABS(MINUS(SUM(FILTER(MatchSource!$A:$E,MatchSource!$A:$A=$B102)),SUM($W102)))),0,ABS(MINUS(SUM(FILTER(MatchSource!$A:$E,MatchSource!$A:$A=$B102)),SUM($W102))))"),"0")</f>
        <v>0</v>
      </c>
      <c r="Z102" s="499" t="str">
        <f aca="false">IFERROR(__xludf.dummyfunction("if(isna(ABS(MINUS(SUM(FILTER(MatchSource!$H:$L,MatchSource!$H:$H=$B102)),SUM($X102)))),0,ABS(MINUS(SUM(FILTER(MatchSource!$H:$L,MatchSource!$H:$H=$B102)),SUM($X102))))"),"0")</f>
        <v>0</v>
      </c>
      <c r="AA102" s="499" t="str">
        <f aca="false">IFERROR(__xludf.dummyfunction("if(isna(ABS(MINUS(SUM(FILTER(MatchSource!$A:$F,MatchSource!$A:$A=$B102)),SUM($W102,$Y102)))),0,ABS(MINUS(SUM(FILTER(MatchSource!$A:$F,MatchSource!$A:$A=$B102)),SUM($W102, $Y102,))))"),"0")</f>
        <v>0</v>
      </c>
      <c r="AB102" s="501" t="str">
        <f aca="false">IFERROR(__xludf.dummyfunction("if(isna(ABS(MINUS(SUM(FILTER(MatchSource!$H:$M,MatchSource!$H:$H=$B102)),SUM($X102,$Z102)))),0,ABS(MINUS(SUM(FILTER(MatchSource!$H:$M,MatchSource!$H:$H=$B102)),SUM($X102,$Z102))))"),"0")</f>
        <v>0</v>
      </c>
      <c r="AC102" s="507" t="n">
        <f aca="false">SUM(IF(OR($R102="Grass",$R102="Psychic",$R102="Dark"),0-1,IF(OR($R102="Fighting",$R102="Flying",$R102="Fire",$R102="Ghost",$R102="Poison",$R102="Steel",$R102="Fairy"),1,0)),IF(OR($S102="Grass",$S102="Psychic",$S102="Dark"),0-1,IF(OR($S102="Fighting",$S102="Flying",$S102="Fire",$S102="Ghost",$S102="Poison",$S102="Steel",$S102="Fairy"),1,0)))</f>
        <v>0</v>
      </c>
      <c r="AD102" s="507" t="n">
        <f aca="false">SUM(IF(OR($R102="Ghost",$R102="Psychic"),0-1,IF(OR($R102="Fighting",$R102="Dark",$R102="Fairy"),1,0)),IF(OR($S102="Ghost",$S102="Psychic"),0-1,IF(OR($S102="Fighting",$S102="Dark",$S102="Fairy"),1,0)))</f>
        <v>-1</v>
      </c>
      <c r="AE102" s="507" t="n">
        <f aca="false">IF(OR($R102="Fairy",$S102="Fairy"),4,SUM(IF($R102="Dragon",0-1,IF($R102="Steel",1,0)),IF($S102="Dragon",0-1,IF($S102="Steel",1,0))))</f>
        <v>0</v>
      </c>
      <c r="AF102" s="507" t="n">
        <f aca="false">IF(OR($R102="Ground",$S102="Ground"),4,SUM(IF(OR($R102="Flying",$R102="Water"),0-1,IF(OR($R102="Dragon",$R102="Electric",$R102="Grass"),1,0)),IF(OR($S102="Flying",$S102="Water"),0-1,IF(OR($S102="Dragon",$S102="Electric",$S102="Grass"),1,0))))</f>
        <v>0</v>
      </c>
      <c r="AG102" s="507" t="n">
        <f aca="false">SUM(IF(OR($R102="Dark",$R102="Dragon",$R102="Fighting"),0-1,IF(OR($R102="Steel",$R102="Poison",$R102="Fire"),1,0)),IF(OR($S102="Dark",$S102="Dragon",$S102="Fighting"),0-1,IF(OR($S102="Steel",$S102="Poison",$S102="Fire"),1,0)))</f>
        <v>1</v>
      </c>
      <c r="AH102" s="507" t="n">
        <f aca="false">IF(OR($R102="Ghost",$S102="Ghost"),4,SUM(IF(OR($R102="Dark",$R102="Ice",$R102="Normal",$R102="Rock",$R102="Steel"),0-1,IF(OR($R102="Bug",$R102="Fairy",$R102="Flying",$R102="Poison",$R102="Psychic"),1,0)),IF(OR($S102="Dark",$S102="Ice",$S102="Normal",$S102="Rock",$S102="Steel"),0-1,IF(OR($S102="Bug",$S102="Fairy",$S102="Flying",$S102="Poison",$S102="Psychic"),1,0))))</f>
        <v>1</v>
      </c>
      <c r="AI102" s="507" t="n">
        <f aca="false">SUM(IF(OR($R102="Bug",$R102="Grass",$R102="Ice",$R102="Steel"),0-1,IF(OR($R102="Dragon",$R102="Fire",$R102="Rock",$R102="Water"),1,0)),IF(OR($S102="Bug",$S102="Grass",$S102="Ice",$S102="Steel"),0-1,IF(OR($S102="Dragon",$S102="Fire",$S102="Rock",$S102="Water"),1,0)))</f>
        <v>1</v>
      </c>
      <c r="AJ102" s="507" t="n">
        <f aca="false">SUM(IF(OR($R102="Bug",$R102="Grass",$R102="Fighting"),0-1,IF(OR($R102="Electric",$R102="Rock",$R102="Steel"),1,0)),IF(OR($S102="Bug",$S102="Grass",$S102="Fighting"),0-1,IF(OR($S102="Electric",$S102="Rock",$S102="Steel"),1,0)))</f>
        <v>0</v>
      </c>
      <c r="AK102" s="507" t="n">
        <f aca="false">IF(OR($R102="Normal",$S102="Normal"),4,SUM(IF(OR($R102="Ghost",$R102="Psychic"),0-1,IF($R102="Dark",1,0)),IF(OR($S102="Ghost",$S102="Psychic"),0-1,IF($S102="Dark",1,0))))</f>
        <v>-1</v>
      </c>
      <c r="AL102" s="507" t="n">
        <f aca="false">SUM(IF(OR($R102="Ground",$R102="Rock",$R102="Water"),0-1,IF(OR($R102="Bug",$R102="Flying",$R102="Fire",$R102="Dragon",$R102="Poison",$R102="Steel",$R102="Grass"),1,0)),IF(OR($S102="Ground",$S102="Rock",$S102="Water"),0-1,IF(OR($S102="Bug",$S102="Flying",$S102="Fire",$S102="Dragon",$S102="Poison",$S102="Steel",$S102="Grass"),1,0)))</f>
        <v>1</v>
      </c>
      <c r="AM102" s="507" t="n">
        <f aca="false">IF(OR($R102="Flying",$S102="Flying"),4,SUM(IF(OR($R102="Electric",$R102="Fire",$R102="Rock",$R102="Steel",$R102="Poison"),0-1,IF(OR($R102="Bug",$R102="Grass"),1,0)),IF(OR($S102="Electric",$S102="Fire",$S102="Rock",$S102="Steel",$S102="Poison"),0-1,IF(OR($S102="Bug",$S102="Grass"),1,0))))</f>
        <v>-1</v>
      </c>
      <c r="AN102" s="507" t="n">
        <f aca="false">SUM(IF(OR($R102="Flying",$R102="Dragon",$R102="Grass",$R102="Ground"),0-1,IF(OR($R102="Steel",$R102="Ice",$R102="Fire",$R102="Water"),1,0)),IF(OR($S102="Flying",$S102="Dragon",$S102="Grass",$S102="Ground"),0-1,IF(OR($S102="Steel",$S102="Ice",$S102="Fire",$S102="Water"),1,0)))</f>
        <v>1</v>
      </c>
      <c r="AO102" s="507" t="n">
        <f aca="false">IF(OR($R102="Ghost",$S102="Ghost"),4,SUM(IF(OR($R102="Steel",$R102="Rock"),1,0),IF(OR($S102="Steel",$S102="Rock"),1,0)))</f>
        <v>0</v>
      </c>
      <c r="AP102" s="507" t="n">
        <f aca="false">IF(OR($R102="Steel",$S102="Steel"),4,SUM(IF(OR($R102="Fairy",$R102="Grass"),0-1,IF(OR($R102="Ghost",$R102="Rock",$R102="Ground",$R102="Poison"),1,0)),IF(OR($S102="Fairy",$S102="Grass"),0-1,IF(OR($S102="Ghost",$S102="Rock",$S102="Ground",$S102="Poison"),1,0))))</f>
        <v>0</v>
      </c>
      <c r="AQ102" s="507" t="n">
        <f aca="false">IF(OR($R102="Dark",$S102="Dark"),4,SUM(IF(OR($R102="Fighting",$R102="Poison"),0-1,IF(OR($R102="Psychic",$R102="Steel"),1,0)),IF(OR($S102="Fighting",$S102="Poison"),0-1,IF(OR($S102="Psychic",$S102="Steel"),1,0))))</f>
        <v>1</v>
      </c>
      <c r="AR102" s="507" t="n">
        <f aca="false">SUM(IF(OR($R102="Bug",$R102="Fire",$R102="Flying",$R102="Ice"),0-1,IF(OR($R102="Steel",$R102="Fighting",$R102="Ground"),1,0)),IF(OR($S102="Bug",$S102="Fire",$S102="Flying",$S102="Ice"),0-1,IF(OR($S102="Steel",$S102="Fighting",$S102="Ground"),1,0)))</f>
        <v>-1</v>
      </c>
      <c r="AS102" s="507" t="n">
        <f aca="false">SUM(IF(OR($R102="Fairy",$R102="Ice",$R102="Rock"),0-1,IF(OR($R102="Steel",$R102="Electric",$R102="Fire",$R102="Water"),1,0)),IF(OR($S102="Fairy",$S102="Ice",$S102="Rock"),0-1,IF(OR($S102="Steel",$S102="Electric",$S102="Fire",$S102="Water"),1,0)))</f>
        <v>1</v>
      </c>
      <c r="AT102" s="508" t="n">
        <f aca="false">SUM(IF(OR($R102="Fire",$R102="Ground",$R102="Rock"),0-1,IF(OR($R102="Dragon",$R102="Grass",$R102="Water"),1,0)),IF(OR($S102="Fire",$S102="Ground",$S102="Rock"),0-1,IF(OR($S102="Dragon",$S102="Grass",$S102="Water"),1,0)))</f>
        <v>-1</v>
      </c>
      <c r="AU102" s="518"/>
    </row>
    <row r="103" customFormat="false" ht="15.75" hidden="false" customHeight="false" outlineLevel="0" collapsed="false">
      <c r="A103" s="497" t="str">
        <f aca="false" t="array" ref="A103:A103">IF(ISNA(INDEX(Source!$U$7:$U$95,MATCH(B103,Source!$V$7:$V$95,0))),"FREE",INDEX(Source!$U$7:$U$95,MATCH(B103,Source!$V$7:$V$95,0)))</f>
        <v>FREE</v>
      </c>
      <c r="B103" s="511" t="s">
        <v>512</v>
      </c>
      <c r="C103" s="511"/>
      <c r="D103" s="511"/>
      <c r="E103" s="499" t="str">
        <f aca="false">IF(SUM($W103:$X103)&gt;0,SUM($W103:$X103),IF($H103&gt;0,0,IF($H103&gt;0,0,"-")))</f>
        <v>-</v>
      </c>
      <c r="F103" s="499" t="str">
        <f aca="false">IF(SUM($Y103:$Z103)&gt;0,SUM($Y103:$Z103),IF($H103&gt;0,0,"-"))</f>
        <v>-</v>
      </c>
      <c r="G103" s="499" t="str">
        <f aca="false">IF($H103&gt;0,minus(E103,F103),"-")</f>
        <v>-</v>
      </c>
      <c r="H103" s="500" t="n">
        <f aca="false">SUM(COUNTIF(MatchSource!$A:$A,$B103),COUNTIF(MatchSource!$H:$H,$B103))</f>
        <v>0</v>
      </c>
      <c r="I103" s="501" t="n">
        <f aca="false">SUM($AA103:$AB103)</f>
        <v>0</v>
      </c>
      <c r="J103" s="501" t="s">
        <v>702</v>
      </c>
      <c r="K103" s="512" t="str">
        <f aca="false" t="array" ref="K103:K103">IF(ISNA(INDEX(DraftRosters!$AA$3:$AA$199,MATCH($B103,DraftRosters!$AB$3:$AB$199,0))),"FA",IF(INDEX(DraftRosters!$AA$3:$AA$199,MATCH($B103,DraftRosters!$AB$3:$AB$199,0))="Franchise","Franch",INDEX(DraftRosters!$AA$3:$AA$199,MATCH($B103,DraftRosters!$AB$3:$AB$199,0))))</f>
        <v>FA</v>
      </c>
      <c r="L103" s="499" t="n">
        <v>90</v>
      </c>
      <c r="M103" s="499" t="n">
        <v>70</v>
      </c>
      <c r="N103" s="499" t="n">
        <v>80</v>
      </c>
      <c r="O103" s="499" t="n">
        <v>70</v>
      </c>
      <c r="P103" s="499" t="n">
        <v>95</v>
      </c>
      <c r="Q103" s="501" t="n">
        <v>70</v>
      </c>
      <c r="R103" s="499" t="s">
        <v>805</v>
      </c>
      <c r="S103" s="501" t="s">
        <v>811</v>
      </c>
      <c r="T103" s="504" t="s">
        <v>819</v>
      </c>
      <c r="U103" s="505" t="s">
        <v>868</v>
      </c>
      <c r="V103" s="506" t="s">
        <v>864</v>
      </c>
      <c r="W103" s="500" t="str">
        <f aca="false">IFERROR(__xludf.dummyfunction("if(isna(SUM(FILTER(MatchSource!$A:$D,MatchSource!$A:$A=$B103))),0,SUM(FILTER(MatchSource!$A:$D,MatchSource!$A:$A=$B103)))"),"0")</f>
        <v>0</v>
      </c>
      <c r="X103" s="499" t="str">
        <f aca="false">IFERROR(__xludf.dummyfunction("if(isna(SUM(FILTER(MatchSource!$H:$K,MatchSource!$H:$H=$B103))),0,SUM(FILTER(MatchSource!$H:$K,MatchSource!$H:$H=$B103)))"),"0")</f>
        <v>0</v>
      </c>
      <c r="Y103" s="499" t="str">
        <f aca="false">IFERROR(__xludf.dummyfunction("if(isna(ABS(MINUS(SUM(FILTER(MatchSource!$A:$E,MatchSource!$A:$A=$B103)),SUM($W103)))),0,ABS(MINUS(SUM(FILTER(MatchSource!$A:$E,MatchSource!$A:$A=$B103)),SUM($W103))))"),"0")</f>
        <v>0</v>
      </c>
      <c r="Z103" s="499" t="str">
        <f aca="false">IFERROR(__xludf.dummyfunction("if(isna(ABS(MINUS(SUM(FILTER(MatchSource!$H:$L,MatchSource!$H:$H=$B103)),SUM($X103)))),0,ABS(MINUS(SUM(FILTER(MatchSource!$H:$L,MatchSource!$H:$H=$B103)),SUM($X103))))"),"0")</f>
        <v>0</v>
      </c>
      <c r="AA103" s="499" t="str">
        <f aca="false">IFERROR(__xludf.dummyfunction("if(isna(ABS(MINUS(SUM(FILTER(MatchSource!$A:$F,MatchSource!$A:$A=$B103)),SUM($W103,$Y103)))),0,ABS(MINUS(SUM(FILTER(MatchSource!$A:$F,MatchSource!$A:$A=$B103)),SUM($W103, $Y103,))))"),"0")</f>
        <v>0</v>
      </c>
      <c r="AB103" s="501" t="str">
        <f aca="false">IFERROR(__xludf.dummyfunction("if(isna(ABS(MINUS(SUM(FILTER(MatchSource!$H:$M,MatchSource!$H:$H=$B103)),SUM($X103,$Z103)))),0,ABS(MINUS(SUM(FILTER(MatchSource!$H:$M,MatchSource!$H:$H=$B103)),SUM($X103,$Z103))))"),"0")</f>
        <v>0</v>
      </c>
      <c r="AC103" s="507" t="n">
        <f aca="false">SUM(IF(OR($R103="Grass",$R103="Psychic",$R103="Dark"),0-1,IF(OR($R103="Fighting",$R103="Flying",$R103="Fire",$R103="Ghost",$R103="Poison",$R103="Steel",$R103="Fairy"),1,0)),IF(OR($S103="Grass",$S103="Psychic",$S103="Dark"),0-1,IF(OR($S103="Fighting",$S103="Flying",$S103="Fire",$S103="Ghost",$S103="Poison",$S103="Steel",$S103="Fairy"),1,0)))</f>
        <v>0</v>
      </c>
      <c r="AD103" s="507" t="n">
        <f aca="false">SUM(IF(OR($R103="Ghost",$R103="Psychic"),0-1,IF(OR($R103="Fighting",$R103="Dark",$R103="Fairy"),1,0)),IF(OR($S103="Ghost",$S103="Psychic"),0-1,IF(OR($S103="Fighting",$S103="Dark",$S103="Fairy"),1,0)))</f>
        <v>0</v>
      </c>
      <c r="AE103" s="507" t="n">
        <f aca="false">IF(OR($R103="Fairy",$S103="Fairy"),4,SUM(IF($R103="Dragon",0-1,IF($R103="Steel",1,0)),IF($S103="Dragon",0-1,IF($S103="Steel",1,0))))</f>
        <v>0</v>
      </c>
      <c r="AF103" s="507" t="n">
        <f aca="false">IF(OR($R103="Ground",$S103="Ground"),4,SUM(IF(OR($R103="Flying",$R103="Water"),0-1,IF(OR($R103="Dragon",$R103="Electric",$R103="Grass"),1,0)),IF(OR($S103="Flying",$S103="Water"),0-1,IF(OR($S103="Dragon",$S103="Electric",$S103="Grass"),1,0))))</f>
        <v>-1</v>
      </c>
      <c r="AG103" s="507" t="n">
        <f aca="false">SUM(IF(OR($R103="Dark",$R103="Dragon",$R103="Fighting"),0-1,IF(OR($R103="Steel",$R103="Poison",$R103="Fire"),1,0)),IF(OR($S103="Dark",$S103="Dragon",$S103="Fighting"),0-1,IF(OR($S103="Steel",$S103="Poison",$S103="Fire"),1,0)))</f>
        <v>0</v>
      </c>
      <c r="AH103" s="507" t="n">
        <f aca="false">IF(OR($R103="Ghost",$S103="Ghost"),4,SUM(IF(OR($R103="Dark",$R103="Ice",$R103="Normal",$R103="Rock",$R103="Steel"),0-1,IF(OR($R103="Bug",$R103="Fairy",$R103="Flying",$R103="Poison",$R103="Psychic"),1,0)),IF(OR($S103="Dark",$S103="Ice",$S103="Normal",$S103="Rock",$S103="Steel"),0-1,IF(OR($S103="Bug",$S103="Fairy",$S103="Flying",$S103="Poison",$S103="Psychic"),1,0))))</f>
        <v>-1</v>
      </c>
      <c r="AI103" s="507" t="n">
        <f aca="false">SUM(IF(OR($R103="Bug",$R103="Grass",$R103="Ice",$R103="Steel"),0-1,IF(OR($R103="Dragon",$R103="Fire",$R103="Rock",$R103="Water"),1,0)),IF(OR($S103="Bug",$S103="Grass",$S103="Ice",$S103="Steel"),0-1,IF(OR($S103="Dragon",$S103="Fire",$S103="Rock",$S103="Water"),1,0)))</f>
        <v>0</v>
      </c>
      <c r="AJ103" s="507" t="n">
        <f aca="false">SUM(IF(OR($R103="Bug",$R103="Grass",$R103="Fighting"),0-1,IF(OR($R103="Electric",$R103="Rock",$R103="Steel"),1,0)),IF(OR($S103="Bug",$S103="Grass",$S103="Fighting"),0-1,IF(OR($S103="Electric",$S103="Rock",$S103="Steel"),1,0)))</f>
        <v>0</v>
      </c>
      <c r="AK103" s="507" t="n">
        <f aca="false">IF(OR($R103="Normal",$S103="Normal"),4,SUM(IF(OR($R103="Ghost",$R103="Psychic"),0-1,IF($R103="Dark",1,0)),IF(OR($S103="Ghost",$S103="Psychic"),0-1,IF($S103="Dark",1,0))))</f>
        <v>0</v>
      </c>
      <c r="AL103" s="507" t="n">
        <f aca="false">SUM(IF(OR($R103="Ground",$R103="Rock",$R103="Water"),0-1,IF(OR($R103="Bug",$R103="Flying",$R103="Fire",$R103="Dragon",$R103="Poison",$R103="Steel",$R103="Grass"),1,0)),IF(OR($S103="Ground",$S103="Rock",$S103="Water"),0-1,IF(OR($S103="Bug",$S103="Flying",$S103="Fire",$S103="Dragon",$S103="Poison",$S103="Steel",$S103="Grass"),1,0)))</f>
        <v>-1</v>
      </c>
      <c r="AM103" s="507" t="n">
        <f aca="false">IF(OR($R103="Flying",$S103="Flying"),4,SUM(IF(OR($R103="Electric",$R103="Fire",$R103="Rock",$R103="Steel",$R103="Poison"),0-1,IF(OR($R103="Bug",$R103="Grass"),1,0)),IF(OR($S103="Electric",$S103="Fire",$S103="Rock",$S103="Steel",$S103="Poison"),0-1,IF(OR($S103="Bug",$S103="Grass"),1,0))))</f>
        <v>0</v>
      </c>
      <c r="AN103" s="507" t="n">
        <f aca="false">SUM(IF(OR($R103="Flying",$R103="Dragon",$R103="Grass",$R103="Ground"),0-1,IF(OR($R103="Steel",$R103="Ice",$R103="Fire",$R103="Water"),1,0)),IF(OR($S103="Flying",$S103="Dragon",$S103="Grass",$S103="Ground"),0-1,IF(OR($S103="Steel",$S103="Ice",$S103="Fire",$S103="Water"),1,0)))</f>
        <v>2</v>
      </c>
      <c r="AO103" s="507" t="n">
        <f aca="false">IF(OR($R103="Ghost",$S103="Ghost"),4,SUM(IF(OR($R103="Steel",$R103="Rock"),1,0),IF(OR($S103="Steel",$S103="Rock"),1,0)))</f>
        <v>0</v>
      </c>
      <c r="AP103" s="507" t="n">
        <f aca="false">IF(OR($R103="Steel",$S103="Steel"),4,SUM(IF(OR($R103="Fairy",$R103="Grass"),0-1,IF(OR($R103="Ghost",$R103="Rock",$R103="Ground",$R103="Poison"),1,0)),IF(OR($S103="Fairy",$S103="Grass"),0-1,IF(OR($S103="Ghost",$S103="Rock",$S103="Ground",$S103="Poison"),1,0))))</f>
        <v>0</v>
      </c>
      <c r="AQ103" s="507" t="n">
        <f aca="false">IF(OR($R103="Dark",$S103="Dark"),4,SUM(IF(OR($R103="Fighting",$R103="Poison"),0-1,IF(OR($R103="Psychic",$R103="Steel"),1,0)),IF(OR($S103="Fighting",$S103="Poison"),0-1,IF(OR($S103="Psychic",$S103="Steel"),1,0))))</f>
        <v>0</v>
      </c>
      <c r="AR103" s="507" t="n">
        <f aca="false">SUM(IF(OR($R103="Bug",$R103="Fire",$R103="Flying",$R103="Ice"),0-1,IF(OR($R103="Steel",$R103="Fighting",$R103="Ground"),1,0)),IF(OR($S103="Bug",$S103="Fire",$S103="Flying",$S103="Ice"),0-1,IF(OR($S103="Steel",$S103="Fighting",$S103="Ground"),1,0)))</f>
        <v>-1</v>
      </c>
      <c r="AS103" s="507" t="n">
        <f aca="false">SUM(IF(OR($R103="Fairy",$R103="Ice",$R103="Rock"),0-1,IF(OR($R103="Steel",$R103="Electric",$R103="Fire",$R103="Water"),1,0)),IF(OR($S103="Fairy",$S103="Ice",$S103="Rock"),0-1,IF(OR($S103="Steel",$S103="Electric",$S103="Fire",$S103="Water"),1,0)))</f>
        <v>0</v>
      </c>
      <c r="AT103" s="508" t="n">
        <f aca="false">SUM(IF(OR($R103="Fire",$R103="Ground",$R103="Rock"),0-1,IF(OR($R103="Dragon",$R103="Grass",$R103="Water"),1,0)),IF(OR($S103="Fire",$S103="Ground",$S103="Rock"),0-1,IF(OR($S103="Dragon",$S103="Grass",$S103="Water"),1,0)))</f>
        <v>1</v>
      </c>
      <c r="AU103" s="518"/>
    </row>
    <row r="104" customFormat="false" ht="15.75" hidden="false" customHeight="false" outlineLevel="0" collapsed="false">
      <c r="A104" s="510" t="str">
        <f aca="false" t="array" ref="A104:A104">IF(ISNA(INDEX(Source!$U$7:$U$95,MATCH(B104,Source!$V$7:$V$95,0))),"FREE",INDEX(Source!$U$7:$U$95,MATCH(B104,Source!$V$7:$V$95,0)))</f>
        <v>SGP</v>
      </c>
      <c r="B104" s="511" t="s">
        <v>97</v>
      </c>
      <c r="C104" s="511"/>
      <c r="D104" s="511"/>
      <c r="E104" s="499" t="n">
        <f aca="false">IF(SUM($W104:$X104)&gt;0,SUM($W104:$X104),IF($H104&gt;0,0,IF($H104&gt;0,0,"-")))</f>
        <v>0</v>
      </c>
      <c r="F104" s="499" t="n">
        <f aca="false">IF(SUM($Y104:$Z104)&gt;0,SUM($Y104:$Z104),IF($H104&gt;0,0,"-"))</f>
        <v>0</v>
      </c>
      <c r="G104" s="499" t="e">
        <f aca="false">IF($H104&gt;0,minus(E104,F104),"-")</f>
        <v>#NAME?</v>
      </c>
      <c r="H104" s="500" t="n">
        <f aca="false">SUM(COUNTIF(MatchSource!$A:$A,$B104),COUNTIF(MatchSource!$H:$H,$B104))</f>
        <v>7</v>
      </c>
      <c r="I104" s="501" t="n">
        <f aca="false">SUM($AA104:$AB104)</f>
        <v>0</v>
      </c>
      <c r="J104" s="501" t="s">
        <v>700</v>
      </c>
      <c r="K104" s="512" t="n">
        <f aca="false" t="array" ref="K104:K104">IF(ISNA(INDEX(DraftRosters!$AA$3:$AA$199,MATCH($B104,DraftRosters!$AB$3:$AB$199,0))),"FA",IF(INDEX(DraftRosters!$AA$3:$AA$199,MATCH($B104,DraftRosters!$AB$3:$AB$199,0))="Franchise","Franch",INDEX(DraftRosters!$AA$3:$AA$199,MATCH($B104,DraftRosters!$AB$3:$AB$199,0))))</f>
        <v>24</v>
      </c>
      <c r="L104" s="499" t="n">
        <v>70</v>
      </c>
      <c r="M104" s="499" t="n">
        <v>131</v>
      </c>
      <c r="N104" s="499" t="n">
        <v>100</v>
      </c>
      <c r="O104" s="499" t="n">
        <v>86</v>
      </c>
      <c r="P104" s="499" t="n">
        <v>90</v>
      </c>
      <c r="Q104" s="501" t="n">
        <v>40</v>
      </c>
      <c r="R104" s="499" t="s">
        <v>802</v>
      </c>
      <c r="S104" s="501" t="s">
        <v>803</v>
      </c>
      <c r="T104" s="504" t="s">
        <v>944</v>
      </c>
      <c r="U104" s="505"/>
      <c r="V104" s="506"/>
      <c r="W104" s="500" t="str">
        <f aca="false">IFERROR(__xludf.dummyfunction("if(isna(SUM(FILTER(MatchSource!$A:$D,MatchSource!$A:$A=$B104))),0,SUM(FILTER(MatchSource!$A:$D,MatchSource!$A:$A=$B104)))"),"0")</f>
        <v>0</v>
      </c>
      <c r="X104" s="499" t="str">
        <f aca="false">IFERROR(__xludf.dummyfunction("if(isna(SUM(FILTER(MatchSource!$H:$K,MatchSource!$H:$H=$B104))),0,SUM(FILTER(MatchSource!$H:$K,MatchSource!$H:$H=$B104)))"),"1")</f>
        <v>1</v>
      </c>
      <c r="Y104" s="499" t="str">
        <f aca="false">IFERROR(__xludf.dummyfunction("if(isna(ABS(MINUS(SUM(FILTER(MatchSource!$A:$E,MatchSource!$A:$A=$B104)),SUM($W104)))),0,ABS(MINUS(SUM(FILTER(MatchSource!$A:$E,MatchSource!$A:$A=$B104)),SUM($W104))))"),"2")</f>
        <v>2</v>
      </c>
      <c r="Z104" s="499" t="str">
        <f aca="false">IFERROR(__xludf.dummyfunction("if(isna(ABS(MINUS(SUM(FILTER(MatchSource!$H:$L,MatchSource!$H:$H=$B104)),SUM($X104)))),0,ABS(MINUS(SUM(FILTER(MatchSource!$H:$L,MatchSource!$H:$H=$B104)),SUM($X104))))"),"5")</f>
        <v>5</v>
      </c>
      <c r="AA104" s="499" t="str">
        <f aca="false">IFERROR(__xludf.dummyfunction("if(isna(ABS(MINUS(SUM(FILTER(MatchSource!$A:$F,MatchSource!$A:$A=$B104)),SUM($W104,$Y104)))),0,ABS(MINUS(SUM(FILTER(MatchSource!$A:$F,MatchSource!$A:$A=$B104)),SUM($W104, $Y104,))))"),"0")</f>
        <v>0</v>
      </c>
      <c r="AB104" s="501" t="str">
        <f aca="false">IFERROR(__xludf.dummyfunction("if(isna(ABS(MINUS(SUM(FILTER(MatchSource!$H:$M,MatchSource!$H:$H=$B104)),SUM($X104,$Z104)))),0,ABS(MINUS(SUM(FILTER(MatchSource!$H:$M,MatchSource!$H:$H=$B104)),SUM($X104,$Z104))))"),"0")</f>
        <v>0</v>
      </c>
      <c r="AC104" s="507" t="n">
        <f aca="false">SUM(IF(OR($R104="Grass",$R104="Psychic",$R104="Dark"),0-1,IF(OR($R104="Fighting",$R104="Flying",$R104="Fire",$R104="Ghost",$R104="Poison",$R104="Steel",$R104="Fairy"),1,0)),IF(OR($S104="Grass",$S104="Psychic",$S104="Dark"),0-1,IF(OR($S104="Fighting",$S104="Flying",$S104="Fire",$S104="Ghost",$S104="Poison",$S104="Steel",$S104="Fairy"),1,0)))</f>
        <v>0</v>
      </c>
      <c r="AD104" s="507" t="n">
        <f aca="false">SUM(IF(OR($R104="Ghost",$R104="Psychic"),0-1,IF(OR($R104="Fighting",$R104="Dark",$R104="Fairy"),1,0)),IF(OR($S104="Ghost",$S104="Psychic"),0-1,IF(OR($S104="Fighting",$S104="Dark",$S104="Fairy"),1,0)))</f>
        <v>-1</v>
      </c>
      <c r="AE104" s="507" t="n">
        <f aca="false">IF(OR($R104="Fairy",$S104="Fairy"),4,SUM(IF($R104="Dragon",0-1,IF($R104="Steel",1,0)),IF($S104="Dragon",0-1,IF($S104="Steel",1,0))))</f>
        <v>0</v>
      </c>
      <c r="AF104" s="507" t="n">
        <f aca="false">IF(OR($R104="Ground",$S104="Ground"),4,SUM(IF(OR($R104="Flying",$R104="Water"),0-1,IF(OR($R104="Dragon",$R104="Electric",$R104="Grass"),1,0)),IF(OR($S104="Flying",$S104="Water"),0-1,IF(OR($S104="Dragon",$S104="Electric",$S104="Grass"),1,0))))</f>
        <v>1</v>
      </c>
      <c r="AG104" s="507" t="n">
        <f aca="false">SUM(IF(OR($R104="Dark",$R104="Dragon",$R104="Fighting"),0-1,IF(OR($R104="Steel",$R104="Poison",$R104="Fire"),1,0)),IF(OR($S104="Dark",$S104="Dragon",$S104="Fighting"),0-1,IF(OR($S104="Steel",$S104="Poison",$S104="Fire"),1,0)))</f>
        <v>0</v>
      </c>
      <c r="AH104" s="507" t="n">
        <f aca="false">IF(OR($R104="Ghost",$S104="Ghost"),4,SUM(IF(OR($R104="Dark",$R104="Ice",$R104="Normal",$R104="Rock",$R104="Steel"),0-1,IF(OR($R104="Bug",$R104="Fairy",$R104="Flying",$R104="Poison",$R104="Psychic"),1,0)),IF(OR($S104="Dark",$S104="Ice",$S104="Normal",$S104="Rock",$S104="Steel"),0-1,IF(OR($S104="Bug",$S104="Fairy",$S104="Flying",$S104="Poison",$S104="Psychic"),1,0))))</f>
        <v>4</v>
      </c>
      <c r="AI104" s="507" t="n">
        <f aca="false">SUM(IF(OR($R104="Bug",$R104="Grass",$R104="Ice",$R104="Steel"),0-1,IF(OR($R104="Dragon",$R104="Fire",$R104="Rock",$R104="Water"),1,0)),IF(OR($S104="Bug",$S104="Grass",$S104="Ice",$S104="Steel"),0-1,IF(OR($S104="Dragon",$S104="Fire",$S104="Rock",$S104="Water"),1,0)))</f>
        <v>-1</v>
      </c>
      <c r="AJ104" s="507" t="n">
        <f aca="false">SUM(IF(OR($R104="Bug",$R104="Grass",$R104="Fighting"),0-1,IF(OR($R104="Electric",$R104="Rock",$R104="Steel"),1,0)),IF(OR($S104="Bug",$S104="Grass",$S104="Fighting"),0-1,IF(OR($S104="Electric",$S104="Rock",$S104="Steel"),1,0)))</f>
        <v>-1</v>
      </c>
      <c r="AK104" s="507" t="n">
        <f aca="false">IF(OR($R104="Normal",$S104="Normal"),4,SUM(IF(OR($R104="Ghost",$R104="Psychic"),0-1,IF($R104="Dark",1,0)),IF(OR($S104="Ghost",$S104="Psychic"),0-1,IF($S104="Dark",1,0))))</f>
        <v>-1</v>
      </c>
      <c r="AL104" s="507" t="n">
        <f aca="false">SUM(IF(OR($R104="Ground",$R104="Rock",$R104="Water"),0-1,IF(OR($R104="Bug",$R104="Flying",$R104="Fire",$R104="Dragon",$R104="Poison",$R104="Steel",$R104="Grass"),1,0)),IF(OR($S104="Ground",$S104="Rock",$S104="Water"),0-1,IF(OR($S104="Bug",$S104="Flying",$S104="Fire",$S104="Dragon",$S104="Poison",$S104="Steel",$S104="Grass"),1,0)))</f>
        <v>1</v>
      </c>
      <c r="AM104" s="507" t="n">
        <f aca="false">IF(OR($R104="Flying",$S104="Flying"),4,SUM(IF(OR($R104="Electric",$R104="Fire",$R104="Rock",$R104="Steel",$R104="Poison"),0-1,IF(OR($R104="Bug",$R104="Grass"),1,0)),IF(OR($S104="Electric",$S104="Fire",$S104="Rock",$S104="Steel",$S104="Poison"),0-1,IF(OR($S104="Bug",$S104="Grass"),1,0))))</f>
        <v>1</v>
      </c>
      <c r="AN104" s="507" t="n">
        <f aca="false">SUM(IF(OR($R104="Flying",$R104="Dragon",$R104="Grass",$R104="Ground"),0-1,IF(OR($R104="Steel",$R104="Ice",$R104="Fire",$R104="Water"),1,0)),IF(OR($S104="Flying",$S104="Dragon",$S104="Grass",$S104="Ground"),0-1,IF(OR($S104="Steel",$S104="Ice",$S104="Fire",$S104="Water"),1,0)))</f>
        <v>-1</v>
      </c>
      <c r="AO104" s="507" t="n">
        <f aca="false">IF(OR($R104="Ghost",$S104="Ghost"),4,SUM(IF(OR($R104="Steel",$R104="Rock"),1,0),IF(OR($S104="Steel",$S104="Rock"),1,0)))</f>
        <v>4</v>
      </c>
      <c r="AP104" s="507" t="n">
        <f aca="false">IF(OR($R104="Steel",$S104="Steel"),4,SUM(IF(OR($R104="Fairy",$R104="Grass"),0-1,IF(OR($R104="Ghost",$R104="Rock",$R104="Ground",$R104="Poison"),1,0)),IF(OR($S104="Fairy",$S104="Grass"),0-1,IF(OR($S104="Ghost",$S104="Rock",$S104="Ground",$S104="Poison"),1,0))))</f>
        <v>0</v>
      </c>
      <c r="AQ104" s="507" t="n">
        <f aca="false">IF(OR($R104="Dark",$S104="Dark"),4,SUM(IF(OR($R104="Fighting",$R104="Poison"),0-1,IF(OR($R104="Psychic",$R104="Steel"),1,0)),IF(OR($S104="Fighting",$S104="Poison"),0-1,IF(OR($S104="Psychic",$S104="Steel"),1,0))))</f>
        <v>0</v>
      </c>
      <c r="AR104" s="507" t="n">
        <f aca="false">SUM(IF(OR($R104="Bug",$R104="Fire",$R104="Flying",$R104="Ice"),0-1,IF(OR($R104="Steel",$R104="Fighting",$R104="Ground"),1,0)),IF(OR($S104="Bug",$S104="Fire",$S104="Flying",$S104="Ice"),0-1,IF(OR($S104="Steel",$S104="Fighting",$S104="Ground"),1,0)))</f>
        <v>0</v>
      </c>
      <c r="AS104" s="507" t="n">
        <f aca="false">SUM(IF(OR($R104="Fairy",$R104="Ice",$R104="Rock"),0-1,IF(OR($R104="Steel",$R104="Electric",$R104="Fire",$R104="Water"),1,0)),IF(OR($S104="Fairy",$S104="Ice",$S104="Rock"),0-1,IF(OR($S104="Steel",$S104="Electric",$S104="Fire",$S104="Water"),1,0)))</f>
        <v>0</v>
      </c>
      <c r="AT104" s="508" t="n">
        <f aca="false">SUM(IF(OR($R104="Fire",$R104="Ground",$R104="Rock"),0-1,IF(OR($R104="Dragon",$R104="Grass",$R104="Water"),1,0)),IF(OR($S104="Fire",$S104="Ground",$S104="Rock"),0-1,IF(OR($S104="Dragon",$S104="Grass",$S104="Water"),1,0)))</f>
        <v>1</v>
      </c>
      <c r="AU104" s="518"/>
    </row>
    <row r="105" customFormat="false" ht="15.75" hidden="false" customHeight="false" outlineLevel="0" collapsed="false">
      <c r="A105" s="510" t="str">
        <f aca="false" t="array" ref="A105:A105">IF(ISNA(INDEX(Source!$U$7:$U$95,MATCH(B105,Source!$V$7:$V$95,0))),"FREE",INDEX(Source!$U$7:$U$95,MATCH(B105,Source!$V$7:$V$95,0)))</f>
        <v>FREE</v>
      </c>
      <c r="B105" s="511" t="s">
        <v>416</v>
      </c>
      <c r="C105" s="511"/>
      <c r="D105" s="511"/>
      <c r="E105" s="499" t="str">
        <f aca="false">IF(SUM($W105:$X105)&gt;0,SUM($W105:$X105),IF($H105&gt;0,0,IF($H105&gt;0,0,"-")))</f>
        <v>-</v>
      </c>
      <c r="F105" s="499" t="str">
        <f aca="false">IF(SUM($Y105:$Z105)&gt;0,SUM($Y105:$Z105),IF($H105&gt;0,0,"-"))</f>
        <v>-</v>
      </c>
      <c r="G105" s="499" t="str">
        <f aca="false">IF($H105&gt;0,minus(E105,F105),"-")</f>
        <v>-</v>
      </c>
      <c r="H105" s="500" t="n">
        <f aca="false">SUM(COUNTIF(MatchSource!$A:$A,$B105),COUNTIF(MatchSource!$H:$H,$B105))</f>
        <v>0</v>
      </c>
      <c r="I105" s="501" t="n">
        <f aca="false">SUM($AA105:$AB105)</f>
        <v>0</v>
      </c>
      <c r="J105" s="501" t="s">
        <v>701</v>
      </c>
      <c r="K105" s="512" t="str">
        <f aca="false" t="array" ref="K105:K105">IF(ISNA(INDEX(DraftRosters!$AA$3:$AA$199,MATCH($B105,DraftRosters!$AB$3:$AB$199,0))),"FA",IF(INDEX(DraftRosters!$AA$3:$AA$199,MATCH($B105,DraftRosters!$AB$3:$AB$199,0))="Franchise","Franch",INDEX(DraftRosters!$AA$3:$AA$199,MATCH($B105,DraftRosters!$AB$3:$AB$199,0))))</f>
        <v>FA</v>
      </c>
      <c r="L105" s="499" t="n">
        <v>50</v>
      </c>
      <c r="M105" s="499" t="n">
        <v>100</v>
      </c>
      <c r="N105" s="499" t="n">
        <v>150</v>
      </c>
      <c r="O105" s="499" t="n">
        <v>100</v>
      </c>
      <c r="P105" s="499" t="n">
        <v>150</v>
      </c>
      <c r="Q105" s="501" t="n">
        <v>50</v>
      </c>
      <c r="R105" s="499" t="s">
        <v>798</v>
      </c>
      <c r="S105" s="501" t="s">
        <v>809</v>
      </c>
      <c r="T105" s="504" t="s">
        <v>911</v>
      </c>
      <c r="U105" s="505"/>
      <c r="V105" s="506"/>
      <c r="W105" s="500" t="str">
        <f aca="false">IFERROR(__xludf.dummyfunction("if(isna(SUM(FILTER(MatchSource!$A:$D,MatchSource!$A:$A=$B105))),0,SUM(FILTER(MatchSource!$A:$D,MatchSource!$A:$A=$B105)))"),"0")</f>
        <v>0</v>
      </c>
      <c r="X105" s="499" t="str">
        <f aca="false">IFERROR(__xludf.dummyfunction("if(isna(SUM(FILTER(MatchSource!$H:$K,MatchSource!$H:$H=$B105))),0,SUM(FILTER(MatchSource!$H:$K,MatchSource!$H:$H=$B105)))"),"0")</f>
        <v>0</v>
      </c>
      <c r="Y105" s="499" t="str">
        <f aca="false">IFERROR(__xludf.dummyfunction("if(isna(ABS(MINUS(SUM(FILTER(MatchSource!$A:$E,MatchSource!$A:$A=$B105)),SUM($W105)))),0,ABS(MINUS(SUM(FILTER(MatchSource!$A:$E,MatchSource!$A:$A=$B105)),SUM($W105))))"),"0")</f>
        <v>0</v>
      </c>
      <c r="Z105" s="499" t="str">
        <f aca="false">IFERROR(__xludf.dummyfunction("if(isna(ABS(MINUS(SUM(FILTER(MatchSource!$H:$L,MatchSource!$H:$H=$B105)),SUM($X105)))),0,ABS(MINUS(SUM(FILTER(MatchSource!$H:$L,MatchSource!$H:$H=$B105)),SUM($X105))))"),"0")</f>
        <v>0</v>
      </c>
      <c r="AA105" s="499" t="str">
        <f aca="false">IFERROR(__xludf.dummyfunction("if(isna(ABS(MINUS(SUM(FILTER(MatchSource!$A:$F,MatchSource!$A:$A=$B105)),SUM($W105,$Y105)))),0,ABS(MINUS(SUM(FILTER(MatchSource!$A:$F,MatchSource!$A:$A=$B105)),SUM($W105, $Y105,))))"),"0")</f>
        <v>0</v>
      </c>
      <c r="AB105" s="501" t="str">
        <f aca="false">IFERROR(__xludf.dummyfunction("if(isna(ABS(MINUS(SUM(FILTER(MatchSource!$H:$M,MatchSource!$H:$H=$B105)),SUM($X105,$Z105)))),0,ABS(MINUS(SUM(FILTER(MatchSource!$H:$M,MatchSource!$H:$H=$B105)),SUM($X105,$Z105))))"),"0")</f>
        <v>0</v>
      </c>
      <c r="AC105" s="507" t="n">
        <f aca="false">SUM(IF(OR($R105="Grass",$R105="Psychic",$R105="Dark"),0-1,IF(OR($R105="Fighting",$R105="Flying",$R105="Fire",$R105="Ghost",$R105="Poison",$R105="Steel",$R105="Fairy"),1,0)),IF(OR($S105="Grass",$S105="Psychic",$S105="Dark"),0-1,IF(OR($S105="Fighting",$S105="Flying",$S105="Fire",$S105="Ghost",$S105="Poison",$S105="Steel",$S105="Fairy"),1,0)))</f>
        <v>1</v>
      </c>
      <c r="AD105" s="507" t="n">
        <f aca="false">SUM(IF(OR($R105="Ghost",$R105="Psychic"),0-1,IF(OR($R105="Fighting",$R105="Dark",$R105="Fairy"),1,0)),IF(OR($S105="Ghost",$S105="Psychic"),0-1,IF(OR($S105="Fighting",$S105="Dark",$S105="Fairy"),1,0)))</f>
        <v>1</v>
      </c>
      <c r="AE105" s="507" t="n">
        <f aca="false">IF(OR($R105="Fairy",$S105="Fairy"),4,SUM(IF($R105="Dragon",0-1,IF($R105="Steel",1,0)),IF($S105="Dragon",0-1,IF($S105="Steel",1,0))))</f>
        <v>4</v>
      </c>
      <c r="AF105" s="507" t="n">
        <f aca="false">IF(OR($R105="Ground",$S105="Ground"),4,SUM(IF(OR($R105="Flying",$R105="Water"),0-1,IF(OR($R105="Dragon",$R105="Electric",$R105="Grass"),1,0)),IF(OR($S105="Flying",$S105="Water"),0-1,IF(OR($S105="Dragon",$S105="Electric",$S105="Grass"),1,0))))</f>
        <v>0</v>
      </c>
      <c r="AG105" s="507" t="n">
        <f aca="false">SUM(IF(OR($R105="Dark",$R105="Dragon",$R105="Fighting"),0-1,IF(OR($R105="Steel",$R105="Poison",$R105="Fire"),1,0)),IF(OR($S105="Dark",$S105="Dragon",$S105="Fighting"),0-1,IF(OR($S105="Steel",$S105="Poison",$S105="Fire"),1,0)))</f>
        <v>0</v>
      </c>
      <c r="AH105" s="507" t="n">
        <f aca="false">IF(OR($R105="Ghost",$S105="Ghost"),4,SUM(IF(OR($R105="Dark",$R105="Ice",$R105="Normal",$R105="Rock",$R105="Steel"),0-1,IF(OR($R105="Bug",$R105="Fairy",$R105="Flying",$R105="Poison",$R105="Psychic"),1,0)),IF(OR($S105="Dark",$S105="Ice",$S105="Normal",$S105="Rock",$S105="Steel"),0-1,IF(OR($S105="Bug",$S105="Fairy",$S105="Flying",$S105="Poison",$S105="Psychic"),1,0))))</f>
        <v>0</v>
      </c>
      <c r="AI105" s="507" t="n">
        <f aca="false">SUM(IF(OR($R105="Bug",$R105="Grass",$R105="Ice",$R105="Steel"),0-1,IF(OR($R105="Dragon",$R105="Fire",$R105="Rock",$R105="Water"),1,0)),IF(OR($S105="Bug",$S105="Grass",$S105="Ice",$S105="Steel"),0-1,IF(OR($S105="Dragon",$S105="Fire",$S105="Rock",$S105="Water"),1,0)))</f>
        <v>1</v>
      </c>
      <c r="AJ105" s="507" t="n">
        <f aca="false">SUM(IF(OR($R105="Bug",$R105="Grass",$R105="Fighting"),0-1,IF(OR($R105="Electric",$R105="Rock",$R105="Steel"),1,0)),IF(OR($S105="Bug",$S105="Grass",$S105="Fighting"),0-1,IF(OR($S105="Electric",$S105="Rock",$S105="Steel"),1,0)))</f>
        <v>1</v>
      </c>
      <c r="AK105" s="507" t="n">
        <f aca="false">IF(OR($R105="Normal",$S105="Normal"),4,SUM(IF(OR($R105="Ghost",$R105="Psychic"),0-1,IF($R105="Dark",1,0)),IF(OR($S105="Ghost",$S105="Psychic"),0-1,IF($S105="Dark",1,0))))</f>
        <v>0</v>
      </c>
      <c r="AL105" s="507" t="n">
        <f aca="false">SUM(IF(OR($R105="Ground",$R105="Rock",$R105="Water"),0-1,IF(OR($R105="Bug",$R105="Flying",$R105="Fire",$R105="Dragon",$R105="Poison",$R105="Steel",$R105="Grass"),1,0)),IF(OR($S105="Ground",$S105="Rock",$S105="Water"),0-1,IF(OR($S105="Bug",$S105="Flying",$S105="Fire",$S105="Dragon",$S105="Poison",$S105="Steel",$S105="Grass"),1,0)))</f>
        <v>-1</v>
      </c>
      <c r="AM105" s="507" t="n">
        <f aca="false">IF(OR($R105="Flying",$S105="Flying"),4,SUM(IF(OR($R105="Electric",$R105="Fire",$R105="Rock",$R105="Steel",$R105="Poison"),0-1,IF(OR($R105="Bug",$R105="Grass"),1,0)),IF(OR($S105="Electric",$S105="Fire",$S105="Rock",$S105="Steel",$S105="Poison"),0-1,IF(OR($S105="Bug",$S105="Grass"),1,0))))</f>
        <v>-1</v>
      </c>
      <c r="AN105" s="507" t="n">
        <f aca="false">SUM(IF(OR($R105="Flying",$R105="Dragon",$R105="Grass",$R105="Ground"),0-1,IF(OR($R105="Steel",$R105="Ice",$R105="Fire",$R105="Water"),1,0)),IF(OR($S105="Flying",$S105="Dragon",$S105="Grass",$S105="Ground"),0-1,IF(OR($S105="Steel",$S105="Ice",$S105="Fire",$S105="Water"),1,0)))</f>
        <v>0</v>
      </c>
      <c r="AO105" s="507" t="n">
        <f aca="false">IF(OR($R105="Ghost",$S105="Ghost"),4,SUM(IF(OR($R105="Steel",$R105="Rock"),1,0),IF(OR($S105="Steel",$S105="Rock"),1,0)))</f>
        <v>1</v>
      </c>
      <c r="AP105" s="507" t="n">
        <f aca="false">IF(OR($R105="Steel",$S105="Steel"),4,SUM(IF(OR($R105="Fairy",$R105="Grass"),0-1,IF(OR($R105="Ghost",$R105="Rock",$R105="Ground",$R105="Poison"),1,0)),IF(OR($S105="Fairy",$S105="Grass"),0-1,IF(OR($S105="Ghost",$S105="Rock",$S105="Ground",$S105="Poison"),1,0))))</f>
        <v>0</v>
      </c>
      <c r="AQ105" s="507" t="n">
        <f aca="false">IF(OR($R105="Dark",$S105="Dark"),4,SUM(IF(OR($R105="Fighting",$R105="Poison"),0-1,IF(OR($R105="Psychic",$R105="Steel"),1,0)),IF(OR($S105="Fighting",$S105="Poison"),0-1,IF(OR($S105="Psychic",$S105="Steel"),1,0))))</f>
        <v>0</v>
      </c>
      <c r="AR105" s="507" t="n">
        <f aca="false">SUM(IF(OR($R105="Bug",$R105="Fire",$R105="Flying",$R105="Ice"),0-1,IF(OR($R105="Steel",$R105="Fighting",$R105="Ground"),1,0)),IF(OR($S105="Bug",$S105="Fire",$S105="Flying",$S105="Ice"),0-1,IF(OR($S105="Steel",$S105="Fighting",$S105="Ground"),1,0)))</f>
        <v>0</v>
      </c>
      <c r="AS105" s="507" t="n">
        <f aca="false">SUM(IF(OR($R105="Fairy",$R105="Ice",$R105="Rock"),0-1,IF(OR($R105="Steel",$R105="Electric",$R105="Fire",$R105="Water"),1,0)),IF(OR($S105="Fairy",$S105="Ice",$S105="Rock"),0-1,IF(OR($S105="Steel",$S105="Electric",$S105="Fire",$S105="Water"),1,0)))</f>
        <v>-2</v>
      </c>
      <c r="AT105" s="508" t="n">
        <f aca="false">SUM(IF(OR($R105="Fire",$R105="Ground",$R105="Rock"),0-1,IF(OR($R105="Dragon",$R105="Grass",$R105="Water"),1,0)),IF(OR($S105="Fire",$S105="Ground",$S105="Rock"),0-1,IF(OR($S105="Dragon",$S105="Grass",$S105="Water"),1,0)))</f>
        <v>-1</v>
      </c>
      <c r="AU105" s="518"/>
    </row>
    <row r="106" customFormat="false" ht="15.75" hidden="false" customHeight="false" outlineLevel="0" collapsed="false">
      <c r="A106" s="510" t="str">
        <f aca="false" t="array" ref="A106:A106">IF(ISNA(INDEX(Source!$U$7:$U$95,MATCH(B106,Source!$V$7:$V$95,0))),"FREE",INDEX(Source!$U$7:$U$95,MATCH(B106,Source!$V$7:$V$95,0)))</f>
        <v>FREE</v>
      </c>
      <c r="B106" s="511" t="s">
        <v>945</v>
      </c>
      <c r="C106" s="511"/>
      <c r="D106" s="511"/>
      <c r="E106" s="499" t="str">
        <f aca="false">IF(SUM($W106:$X106)&gt;0,SUM($W106:$X106),IF($H106&gt;0,0,IF($H106&gt;0,0,"-")))</f>
        <v>-</v>
      </c>
      <c r="F106" s="499" t="str">
        <f aca="false">IF(SUM($Y106:$Z106)&gt;0,SUM($Y106:$Z106),IF($H106&gt;0,0,"-"))</f>
        <v>-</v>
      </c>
      <c r="G106" s="499" t="str">
        <f aca="false">IF($H106&gt;0,minus(E106,F106),"-")</f>
        <v>-</v>
      </c>
      <c r="H106" s="500" t="n">
        <f aca="false">SUM(COUNTIF(MatchSource!$A:$A,$B106),COUNTIF(MatchSource!$H:$H,$B106))</f>
        <v>0</v>
      </c>
      <c r="I106" s="501" t="n">
        <f aca="false">SUM($AA106:$AB106)</f>
        <v>0</v>
      </c>
      <c r="J106" s="501" t="s">
        <v>888</v>
      </c>
      <c r="K106" s="512" t="str">
        <f aca="false" t="array" ref="K106:K106">IF(ISNA(INDEX(DraftRosters!$AA$3:$AA$199,MATCH($B106,DraftRosters!$AB$3:$AB$199,0))),"FA",IF(INDEX(DraftRosters!$AA$3:$AA$199,MATCH($B106,DraftRosters!$AB$3:$AB$199,0))="Franchise","Franch",INDEX(DraftRosters!$AA$3:$AA$199,MATCH($B106,DraftRosters!$AB$3:$AB$199,0))))</f>
        <v>FA</v>
      </c>
      <c r="L106" s="507" t="n">
        <v>50</v>
      </c>
      <c r="M106" s="507" t="n">
        <v>160</v>
      </c>
      <c r="N106" s="507" t="n">
        <v>110</v>
      </c>
      <c r="O106" s="507" t="n">
        <v>160</v>
      </c>
      <c r="P106" s="507" t="n">
        <v>110</v>
      </c>
      <c r="Q106" s="508" t="n">
        <v>110</v>
      </c>
      <c r="R106" s="499" t="s">
        <v>798</v>
      </c>
      <c r="S106" s="501" t="s">
        <v>809</v>
      </c>
      <c r="T106" s="504" t="s">
        <v>818</v>
      </c>
      <c r="U106" s="513"/>
      <c r="V106" s="514"/>
      <c r="W106" s="500" t="str">
        <f aca="false">IFERROR(__xludf.dummyfunction("if(isna(SUM(FILTER(MatchSource!$A:$D,MatchSource!$A:$A=$B106))),0,SUM(FILTER(MatchSource!$A:$D,MatchSource!$A:$A=$B106)))"),"0")</f>
        <v>0</v>
      </c>
      <c r="X106" s="499" t="str">
        <f aca="false">IFERROR(__xludf.dummyfunction("if(isna(SUM(FILTER(MatchSource!$H:$K,MatchSource!$H:$H=$B106))),0,SUM(FILTER(MatchSource!$H:$K,MatchSource!$H:$H=$B106)))"),"0")</f>
        <v>0</v>
      </c>
      <c r="Y106" s="499" t="str">
        <f aca="false">IFERROR(__xludf.dummyfunction("if(isna(ABS(MINUS(SUM(FILTER(MatchSource!$A:$E,MatchSource!$A:$A=$B106)),SUM($W106)))),0,ABS(MINUS(SUM(FILTER(MatchSource!$A:$E,MatchSource!$A:$A=$B106)),SUM($W106))))"),"0")</f>
        <v>0</v>
      </c>
      <c r="Z106" s="499" t="str">
        <f aca="false">IFERROR(__xludf.dummyfunction("if(isna(ABS(MINUS(SUM(FILTER(MatchSource!$H:$L,MatchSource!$H:$H=$B106)),SUM($X106)))),0,ABS(MINUS(SUM(FILTER(MatchSource!$H:$L,MatchSource!$H:$H=$B106)),SUM($X106))))"),"0")</f>
        <v>0</v>
      </c>
      <c r="AA106" s="499" t="str">
        <f aca="false">IFERROR(__xludf.dummyfunction("if(isna(ABS(MINUS(SUM(FILTER(MatchSource!$A:$F,MatchSource!$A:$A=$B106)),SUM($W106,$Y106)))),0,ABS(MINUS(SUM(FILTER(MatchSource!$A:$F,MatchSource!$A:$A=$B106)),SUM($W106, $Y106,))))"),"0")</f>
        <v>0</v>
      </c>
      <c r="AB106" s="501" t="str">
        <f aca="false">IFERROR(__xludf.dummyfunction("if(isna(ABS(MINUS(SUM(FILTER(MatchSource!$H:$M,MatchSource!$H:$H=$B106)),SUM($X106,$Z106)))),0,ABS(MINUS(SUM(FILTER(MatchSource!$H:$M,MatchSource!$H:$H=$B106)),SUM($X106,$Z106))))"),"0")</f>
        <v>0</v>
      </c>
      <c r="AC106" s="507" t="n">
        <f aca="false">SUM(IF(OR($R106="Grass",$R106="Psychic",$R106="Dark"),0-1,IF(OR($R106="Fighting",$R106="Flying",$R106="Fire",$R106="Ghost",$R106="Poison",$R106="Steel",$R106="Fairy"),1,0)),IF(OR($S106="Grass",$S106="Psychic",$S106="Dark"),0-1,IF(OR($S106="Fighting",$S106="Flying",$S106="Fire",$S106="Ghost",$S106="Poison",$S106="Steel",$S106="Fairy"),1,0)))</f>
        <v>1</v>
      </c>
      <c r="AD106" s="507" t="n">
        <f aca="false">SUM(IF(OR($R106="Ghost",$R106="Psychic"),0-1,IF(OR($R106="Fighting",$R106="Dark",$R106="Fairy"),1,0)),IF(OR($S106="Ghost",$S106="Psychic"),0-1,IF(OR($S106="Fighting",$S106="Dark",$S106="Fairy"),1,0)))</f>
        <v>1</v>
      </c>
      <c r="AE106" s="507" t="n">
        <f aca="false">IF(OR($R106="Fairy",$S106="Fairy"),4,SUM(IF($R106="Dragon",0-1,IF($R106="Steel",1,0)),IF($S106="Dragon",0-1,IF($S106="Steel",1,0))))</f>
        <v>4</v>
      </c>
      <c r="AF106" s="507" t="n">
        <f aca="false">IF(OR($R106="Ground",$S106="Ground"),4,SUM(IF(OR($R106="Flying",$R106="Water"),0-1,IF(OR($R106="Dragon",$R106="Electric",$R106="Grass"),1,0)),IF(OR($S106="Flying",$S106="Water"),0-1,IF(OR($S106="Dragon",$S106="Electric",$S106="Grass"),1,0))))</f>
        <v>0</v>
      </c>
      <c r="AG106" s="507" t="n">
        <f aca="false">SUM(IF(OR($R106="Dark",$R106="Dragon",$R106="Fighting"),0-1,IF(OR($R106="Steel",$R106="Poison",$R106="Fire"),1,0)),IF(OR($S106="Dark",$S106="Dragon",$S106="Fighting"),0-1,IF(OR($S106="Steel",$S106="Poison",$S106="Fire"),1,0)))</f>
        <v>0</v>
      </c>
      <c r="AH106" s="507" t="n">
        <f aca="false">IF(OR($R106="Ghost",$S106="Ghost"),4,SUM(IF(OR($R106="Dark",$R106="Ice",$R106="Normal",$R106="Rock",$R106="Steel"),0-1,IF(OR($R106="Bug",$R106="Fairy",$R106="Flying",$R106="Poison",$R106="Psychic"),1,0)),IF(OR($S106="Dark",$S106="Ice",$S106="Normal",$S106="Rock",$S106="Steel"),0-1,IF(OR($S106="Bug",$S106="Fairy",$S106="Flying",$S106="Poison",$S106="Psychic"),1,0))))</f>
        <v>0</v>
      </c>
      <c r="AI106" s="507" t="n">
        <f aca="false">SUM(IF(OR($R106="Bug",$R106="Grass",$R106="Ice",$R106="Steel"),0-1,IF(OR($R106="Dragon",$R106="Fire",$R106="Rock",$R106="Water"),1,0)),IF(OR($S106="Bug",$S106="Grass",$S106="Ice",$S106="Steel"),0-1,IF(OR($S106="Dragon",$S106="Fire",$S106="Rock",$S106="Water"),1,0)))</f>
        <v>1</v>
      </c>
      <c r="AJ106" s="507" t="n">
        <f aca="false">SUM(IF(OR($R106="Bug",$R106="Grass",$R106="Fighting"),0-1,IF(OR($R106="Electric",$R106="Rock",$R106="Steel"),1,0)),IF(OR($S106="Bug",$S106="Grass",$S106="Fighting"),0-1,IF(OR($S106="Electric",$S106="Rock",$S106="Steel"),1,0)))</f>
        <v>1</v>
      </c>
      <c r="AK106" s="507" t="n">
        <f aca="false">IF(OR($R106="Normal",$S106="Normal"),4,SUM(IF(OR($R106="Ghost",$R106="Psychic"),0-1,IF($R106="Dark",1,0)),IF(OR($S106="Ghost",$S106="Psychic"),0-1,IF($S106="Dark",1,0))))</f>
        <v>0</v>
      </c>
      <c r="AL106" s="507" t="n">
        <f aca="false">SUM(IF(OR($R106="Ground",$R106="Rock",$R106="Water"),0-1,IF(OR($R106="Bug",$R106="Flying",$R106="Fire",$R106="Dragon",$R106="Poison",$R106="Steel",$R106="Grass"),1,0)),IF(OR($S106="Ground",$S106="Rock",$S106="Water"),0-1,IF(OR($S106="Bug",$S106="Flying",$S106="Fire",$S106="Dragon",$S106="Poison",$S106="Steel",$S106="Grass"),1,0)))</f>
        <v>-1</v>
      </c>
      <c r="AM106" s="507" t="n">
        <f aca="false">IF(OR($R106="Flying",$S106="Flying"),4,SUM(IF(OR($R106="Electric",$R106="Fire",$R106="Rock",$R106="Steel",$R106="Poison"),0-1,IF(OR($R106="Bug",$R106="Grass"),1,0)),IF(OR($S106="Electric",$S106="Fire",$S106="Rock",$S106="Steel",$S106="Poison"),0-1,IF(OR($S106="Bug",$S106="Grass"),1,0))))</f>
        <v>-1</v>
      </c>
      <c r="AN106" s="507" t="n">
        <f aca="false">SUM(IF(OR($R106="Flying",$R106="Dragon",$R106="Grass",$R106="Ground"),0-1,IF(OR($R106="Steel",$R106="Ice",$R106="Fire",$R106="Water"),1,0)),IF(OR($S106="Flying",$S106="Dragon",$S106="Grass",$S106="Ground"),0-1,IF(OR($S106="Steel",$S106="Ice",$S106="Fire",$S106="Water"),1,0)))</f>
        <v>0</v>
      </c>
      <c r="AO106" s="507" t="n">
        <f aca="false">IF(OR($R106="Ghost",$S106="Ghost"),4,SUM(IF(OR($R106="Steel",$R106="Rock"),1,0),IF(OR($S106="Steel",$S106="Rock"),1,0)))</f>
        <v>1</v>
      </c>
      <c r="AP106" s="507" t="n">
        <f aca="false">IF(OR($R106="Steel",$S106="Steel"),4,SUM(IF(OR($R106="Fairy",$R106="Grass"),0-1,IF(OR($R106="Ghost",$R106="Rock",$R106="Ground",$R106="Poison"),1,0)),IF(OR($S106="Fairy",$S106="Grass"),0-1,IF(OR($S106="Ghost",$S106="Rock",$S106="Ground",$S106="Poison"),1,0))))</f>
        <v>0</v>
      </c>
      <c r="AQ106" s="507" t="n">
        <f aca="false">IF(OR($R106="Dark",$S106="Dark"),4,SUM(IF(OR($R106="Fighting",$R106="Poison"),0-1,IF(OR($R106="Psychic",$R106="Steel"),1,0)),IF(OR($S106="Fighting",$S106="Poison"),0-1,IF(OR($S106="Psychic",$S106="Steel"),1,0))))</f>
        <v>0</v>
      </c>
      <c r="AR106" s="507" t="n">
        <f aca="false">SUM(IF(OR($R106="Bug",$R106="Fire",$R106="Flying",$R106="Ice"),0-1,IF(OR($R106="Steel",$R106="Fighting",$R106="Ground"),1,0)),IF(OR($S106="Bug",$S106="Fire",$S106="Flying",$S106="Ice"),0-1,IF(OR($S106="Steel",$S106="Fighting",$S106="Ground"),1,0)))</f>
        <v>0</v>
      </c>
      <c r="AS106" s="507" t="n">
        <f aca="false">SUM(IF(OR($R106="Fairy",$R106="Ice",$R106="Rock"),0-1,IF(OR($R106="Steel",$R106="Electric",$R106="Fire",$R106="Water"),1,0)),IF(OR($S106="Fairy",$S106="Ice",$S106="Rock"),0-1,IF(OR($S106="Steel",$S106="Electric",$S106="Fire",$S106="Water"),1,0)))</f>
        <v>-2</v>
      </c>
      <c r="AT106" s="508" t="n">
        <f aca="false">SUM(IF(OR($R106="Fire",$R106="Ground",$R106="Rock"),0-1,IF(OR($R106="Dragon",$R106="Grass",$R106="Water"),1,0)),IF(OR($S106="Fire",$S106="Ground",$S106="Rock"),0-1,IF(OR($S106="Dragon",$S106="Grass",$S106="Water"),1,0)))</f>
        <v>-1</v>
      </c>
      <c r="AU106" s="518"/>
    </row>
    <row r="107" customFormat="false" ht="15.75" hidden="false" customHeight="false" outlineLevel="0" collapsed="false">
      <c r="A107" s="510" t="str">
        <f aca="false" t="array" ref="A107:A107">IF(ISNA(INDEX(Source!$U$7:$U$95,MATCH(B107,Source!$V$7:$V$95,0))),"FREE",INDEX(Source!$U$7:$U$95,MATCH(B107,Source!$V$7:$V$95,0)))</f>
        <v>FREE</v>
      </c>
      <c r="B107" s="511" t="s">
        <v>357</v>
      </c>
      <c r="C107" s="511"/>
      <c r="D107" s="511"/>
      <c r="E107" s="499" t="str">
        <f aca="false">IF(SUM($W107:$X107)&gt;0,SUM($W107:$X107),IF($H107&gt;0,0,IF($H107&gt;0,0,"-")))</f>
        <v>-</v>
      </c>
      <c r="F107" s="499" t="str">
        <f aca="false">IF(SUM($Y107:$Z107)&gt;0,SUM($Y107:$Z107),IF($H107&gt;0,0,"-"))</f>
        <v>-</v>
      </c>
      <c r="G107" s="499" t="str">
        <f aca="false">IF($H107&gt;0,minus(E107,F107),"-")</f>
        <v>-</v>
      </c>
      <c r="H107" s="500" t="n">
        <f aca="false">SUM(COUNTIF(MatchSource!$A:$A,$B107),COUNTIF(MatchSource!$H:$H,$B107))</f>
        <v>0</v>
      </c>
      <c r="I107" s="501" t="n">
        <f aca="false">SUM($AA107:$AB107)</f>
        <v>0</v>
      </c>
      <c r="J107" s="501" t="s">
        <v>699</v>
      </c>
      <c r="K107" s="512" t="str">
        <f aca="false" t="array" ref="K107:K107">IF(ISNA(INDEX(DraftRosters!$AA$3:$AA$199,MATCH($B107,DraftRosters!$AB$3:$AB$199,0))),"FA",IF(INDEX(DraftRosters!$AA$3:$AA$199,MATCH($B107,DraftRosters!$AB$3:$AB$199,0))="Franchise","Franch",INDEX(DraftRosters!$AA$3:$AA$199,MATCH($B107,DraftRosters!$AB$3:$AB$199,0))))</f>
        <v>FA</v>
      </c>
      <c r="L107" s="499" t="n">
        <v>85</v>
      </c>
      <c r="M107" s="499" t="n">
        <v>56</v>
      </c>
      <c r="N107" s="499" t="n">
        <v>77</v>
      </c>
      <c r="O107" s="499" t="n">
        <v>50</v>
      </c>
      <c r="P107" s="499" t="n">
        <v>77</v>
      </c>
      <c r="Q107" s="501" t="n">
        <v>78</v>
      </c>
      <c r="R107" s="499" t="s">
        <v>907</v>
      </c>
      <c r="S107" s="501" t="s">
        <v>839</v>
      </c>
      <c r="T107" s="504" t="s">
        <v>940</v>
      </c>
      <c r="U107" s="505" t="s">
        <v>867</v>
      </c>
      <c r="V107" s="506" t="s">
        <v>840</v>
      </c>
      <c r="W107" s="500" t="str">
        <f aca="false">IFERROR(__xludf.dummyfunction("if(isna(SUM(FILTER(MatchSource!$A:$D,MatchSource!$A:$A=$B107))),0,SUM(FILTER(MatchSource!$A:$D,MatchSource!$A:$A=$B107)))"),"0")</f>
        <v>0</v>
      </c>
      <c r="X107" s="499" t="str">
        <f aca="false">IFERROR(__xludf.dummyfunction("if(isna(SUM(FILTER(MatchSource!$H:$K,MatchSource!$H:$H=$B107))),0,SUM(FILTER(MatchSource!$H:$K,MatchSource!$H:$H=$B107)))"),"0")</f>
        <v>0</v>
      </c>
      <c r="Y107" s="499" t="str">
        <f aca="false">IFERROR(__xludf.dummyfunction("if(isna(ABS(MINUS(SUM(FILTER(MatchSource!$A:$E,MatchSource!$A:$A=$B107)),SUM($W107)))),0,ABS(MINUS(SUM(FILTER(MatchSource!$A:$E,MatchSource!$A:$A=$B107)),SUM($W107))))"),"0")</f>
        <v>0</v>
      </c>
      <c r="Z107" s="499" t="str">
        <f aca="false">IFERROR(__xludf.dummyfunction("if(isna(ABS(MINUS(SUM(FILTER(MatchSource!$H:$L,MatchSource!$H:$H=$B107)),SUM($X107)))),0,ABS(MINUS(SUM(FILTER(MatchSource!$H:$L,MatchSource!$H:$H=$B107)),SUM($X107))))"),"0")</f>
        <v>0</v>
      </c>
      <c r="AA107" s="499" t="str">
        <f aca="false">IFERROR(__xludf.dummyfunction("if(isna(ABS(MINUS(SUM(FILTER(MatchSource!$A:$F,MatchSource!$A:$A=$B107)),SUM($W107,$Y107)))),0,ABS(MINUS(SUM(FILTER(MatchSource!$A:$F,MatchSource!$A:$A=$B107)),SUM($W107, $Y107,))))"),"0")</f>
        <v>0</v>
      </c>
      <c r="AB107" s="501" t="str">
        <f aca="false">IFERROR(__xludf.dummyfunction("if(isna(ABS(MINUS(SUM(FILTER(MatchSource!$H:$M,MatchSource!$H:$H=$B107)),SUM($X107,$Z107)))),0,ABS(MINUS(SUM(FILTER(MatchSource!$H:$M,MatchSource!$H:$H=$B107)),SUM($X107,$Z107))))"),"0")</f>
        <v>0</v>
      </c>
      <c r="AC107" s="507" t="n">
        <f aca="false">SUM(IF(OR($R107="Grass",$R107="Psychic",$R107="Dark"),0-1,IF(OR($R107="Fighting",$R107="Flying",$R107="Fire",$R107="Ghost",$R107="Poison",$R107="Steel",$R107="Fairy"),1,0)),IF(OR($S107="Grass",$S107="Psychic",$S107="Dark"),0-1,IF(OR($S107="Fighting",$S107="Flying",$S107="Fire",$S107="Ghost",$S107="Poison",$S107="Steel",$S107="Fairy"),1,0)))</f>
        <v>0</v>
      </c>
      <c r="AD107" s="507" t="n">
        <f aca="false">SUM(IF(OR($R107="Ghost",$R107="Psychic"),0-1,IF(OR($R107="Fighting",$R107="Dark",$R107="Fairy"),1,0)),IF(OR($S107="Ghost",$S107="Psychic"),0-1,IF(OR($S107="Fighting",$S107="Dark",$S107="Fairy"),1,0)))</f>
        <v>0</v>
      </c>
      <c r="AE107" s="507" t="n">
        <f aca="false">IF(OR($R107="Fairy",$S107="Fairy"),4,SUM(IF($R107="Dragon",0-1,IF($R107="Steel",1,0)),IF($S107="Dragon",0-1,IF($S107="Steel",1,0))))</f>
        <v>0</v>
      </c>
      <c r="AF107" s="507" t="n">
        <f aca="false">IF(OR($R107="Ground",$S107="Ground"),4,SUM(IF(OR($R107="Flying",$R107="Water"),0-1,IF(OR($R107="Dragon",$R107="Electric",$R107="Grass"),1,0)),IF(OR($S107="Flying",$S107="Water"),0-1,IF(OR($S107="Dragon",$S107="Electric",$S107="Grass"),1,0))))</f>
        <v>4</v>
      </c>
      <c r="AG107" s="507" t="n">
        <f aca="false">SUM(IF(OR($R107="Dark",$R107="Dragon",$R107="Fighting"),0-1,IF(OR($R107="Steel",$R107="Poison",$R107="Fire"),1,0)),IF(OR($S107="Dark",$S107="Dragon",$S107="Fighting"),0-1,IF(OR($S107="Steel",$S107="Poison",$S107="Fire"),1,0)))</f>
        <v>0</v>
      </c>
      <c r="AH107" s="507" t="n">
        <f aca="false">IF(OR($R107="Ghost",$S107="Ghost"),4,SUM(IF(OR($R107="Dark",$R107="Ice",$R107="Normal",$R107="Rock",$R107="Steel"),0-1,IF(OR($R107="Bug",$R107="Fairy",$R107="Flying",$R107="Poison",$R107="Psychic"),1,0)),IF(OR($S107="Dark",$S107="Ice",$S107="Normal",$S107="Rock",$S107="Steel"),0-1,IF(OR($S107="Bug",$S107="Fairy",$S107="Flying",$S107="Poison",$S107="Psychic"),1,0))))</f>
        <v>-1</v>
      </c>
      <c r="AI107" s="507" t="n">
        <f aca="false">SUM(IF(OR($R107="Bug",$R107="Grass",$R107="Ice",$R107="Steel"),0-1,IF(OR($R107="Dragon",$R107="Fire",$R107="Rock",$R107="Water"),1,0)),IF(OR($S107="Bug",$S107="Grass",$S107="Ice",$S107="Steel"),0-1,IF(OR($S107="Dragon",$S107="Fire",$S107="Rock",$S107="Water"),1,0)))</f>
        <v>0</v>
      </c>
      <c r="AJ107" s="507" t="n">
        <f aca="false">SUM(IF(OR($R107="Bug",$R107="Grass",$R107="Fighting"),0-1,IF(OR($R107="Electric",$R107="Rock",$R107="Steel"),1,0)),IF(OR($S107="Bug",$S107="Grass",$S107="Fighting"),0-1,IF(OR($S107="Electric",$S107="Rock",$S107="Steel"),1,0)))</f>
        <v>0</v>
      </c>
      <c r="AK107" s="507" t="n">
        <f aca="false">IF(OR($R107="Normal",$S107="Normal"),4,SUM(IF(OR($R107="Ghost",$R107="Psychic"),0-1,IF($R107="Dark",1,0)),IF(OR($S107="Ghost",$S107="Psychic"),0-1,IF($S107="Dark",1,0))))</f>
        <v>4</v>
      </c>
      <c r="AL107" s="507" t="n">
        <f aca="false">SUM(IF(OR($R107="Ground",$R107="Rock",$R107="Water"),0-1,IF(OR($R107="Bug",$R107="Flying",$R107="Fire",$R107="Dragon",$R107="Poison",$R107="Steel",$R107="Grass"),1,0)),IF(OR($S107="Ground",$S107="Rock",$S107="Water"),0-1,IF(OR($S107="Bug",$S107="Flying",$S107="Fire",$S107="Dragon",$S107="Poison",$S107="Steel",$S107="Grass"),1,0)))</f>
        <v>-1</v>
      </c>
      <c r="AM107" s="507" t="n">
        <f aca="false">IF(OR($R107="Flying",$S107="Flying"),4,SUM(IF(OR($R107="Electric",$R107="Fire",$R107="Rock",$R107="Steel",$R107="Poison"),0-1,IF(OR($R107="Bug",$R107="Grass"),1,0)),IF(OR($S107="Electric",$S107="Fire",$S107="Rock",$S107="Steel",$S107="Poison"),0-1,IF(OR($S107="Bug",$S107="Grass"),1,0))))</f>
        <v>0</v>
      </c>
      <c r="AN107" s="507" t="n">
        <f aca="false">SUM(IF(OR($R107="Flying",$R107="Dragon",$R107="Grass",$R107="Ground"),0-1,IF(OR($R107="Steel",$R107="Ice",$R107="Fire",$R107="Water"),1,0)),IF(OR($S107="Flying",$S107="Dragon",$S107="Grass",$S107="Ground"),0-1,IF(OR($S107="Steel",$S107="Ice",$S107="Fire",$S107="Water"),1,0)))</f>
        <v>-1</v>
      </c>
      <c r="AO107" s="507" t="n">
        <f aca="false">IF(OR($R107="Ghost",$S107="Ghost"),4,SUM(IF(OR($R107="Steel",$R107="Rock"),1,0),IF(OR($S107="Steel",$S107="Rock"),1,0)))</f>
        <v>0</v>
      </c>
      <c r="AP107" s="507" t="n">
        <f aca="false">IF(OR($R107="Steel",$S107="Steel"),4,SUM(IF(OR($R107="Fairy",$R107="Grass"),0-1,IF(OR($R107="Ghost",$R107="Rock",$R107="Ground",$R107="Poison"),1,0)),IF(OR($S107="Fairy",$S107="Grass"),0-1,IF(OR($S107="Ghost",$S107="Rock",$S107="Ground",$S107="Poison"),1,0))))</f>
        <v>1</v>
      </c>
      <c r="AQ107" s="507" t="n">
        <f aca="false">IF(OR($R107="Dark",$S107="Dark"),4,SUM(IF(OR($R107="Fighting",$R107="Poison"),0-1,IF(OR($R107="Psychic",$R107="Steel"),1,0)),IF(OR($S107="Fighting",$S107="Poison"),0-1,IF(OR($S107="Psychic",$S107="Steel"),1,0))))</f>
        <v>0</v>
      </c>
      <c r="AR107" s="507" t="n">
        <f aca="false">SUM(IF(OR($R107="Bug",$R107="Fire",$R107="Flying",$R107="Ice"),0-1,IF(OR($R107="Steel",$R107="Fighting",$R107="Ground"),1,0)),IF(OR($S107="Bug",$S107="Fire",$S107="Flying",$S107="Ice"),0-1,IF(OR($S107="Steel",$S107="Fighting",$S107="Ground"),1,0)))</f>
        <v>1</v>
      </c>
      <c r="AS107" s="507" t="n">
        <f aca="false">SUM(IF(OR($R107="Fairy",$R107="Ice",$R107="Rock"),0-1,IF(OR($R107="Steel",$R107="Electric",$R107="Fire",$R107="Water"),1,0)),IF(OR($S107="Fairy",$S107="Ice",$S107="Rock"),0-1,IF(OR($S107="Steel",$S107="Electric",$S107="Fire",$S107="Water"),1,0)))</f>
        <v>0</v>
      </c>
      <c r="AT107" s="508" t="n">
        <f aca="false">SUM(IF(OR($R107="Fire",$R107="Ground",$R107="Rock"),0-1,IF(OR($R107="Dragon",$R107="Grass",$R107="Water"),1,0)),IF(OR($S107="Fire",$S107="Ground",$S107="Rock"),0-1,IF(OR($S107="Dragon",$S107="Grass",$S107="Water"),1,0)))</f>
        <v>-1</v>
      </c>
      <c r="AU107" s="518"/>
    </row>
    <row r="108" customFormat="false" ht="15.75" hidden="false" customHeight="false" outlineLevel="0" collapsed="false">
      <c r="A108" s="497" t="str">
        <f aca="false" t="array" ref="A108:A108">IF(ISNA(INDEX(Source!$U$7:$U$95,MATCH(B108,Source!$V$7:$V$95,0))),"FREE",INDEX(Source!$U$7:$U$95,MATCH(B108,Source!$V$7:$V$95,0)))</f>
        <v>FREE</v>
      </c>
      <c r="B108" s="511" t="s">
        <v>419</v>
      </c>
      <c r="C108" s="511"/>
      <c r="D108" s="511"/>
      <c r="E108" s="499" t="str">
        <f aca="false">IF(SUM($W108:$X108)&gt;0,SUM($W108:$X108),IF($H108&gt;0,0,IF($H108&gt;0,0,"-")))</f>
        <v>-</v>
      </c>
      <c r="F108" s="499" t="str">
        <f aca="false">IF(SUM($Y108:$Z108)&gt;0,SUM($Y108:$Z108),IF($H108&gt;0,0,"-"))</f>
        <v>-</v>
      </c>
      <c r="G108" s="499" t="str">
        <f aca="false">IF($H108&gt;0,minus(E108,F108),"-")</f>
        <v>-</v>
      </c>
      <c r="H108" s="500" t="n">
        <f aca="false">SUM(COUNTIF(MatchSource!$A:$A,$B108),COUNTIF(MatchSource!$H:$H,$B108))</f>
        <v>0</v>
      </c>
      <c r="I108" s="501" t="n">
        <f aca="false">SUM($AA108:$AB108)</f>
        <v>0</v>
      </c>
      <c r="J108" s="501" t="s">
        <v>701</v>
      </c>
      <c r="K108" s="512" t="str">
        <f aca="false" t="array" ref="K108:K108">IF(ISNA(INDEX(DraftRosters!$AA$3:$AA$199,MATCH($B108,DraftRosters!$AB$3:$AB$199,0))),"FA",IF(INDEX(DraftRosters!$AA$3:$AA$199,MATCH($B108,DraftRosters!$AB$3:$AB$199,0))="Franchise","Franch",INDEX(DraftRosters!$AA$3:$AA$199,MATCH($B108,DraftRosters!$AB$3:$AB$199,0))))</f>
        <v>FA</v>
      </c>
      <c r="L108" s="499" t="n">
        <v>48</v>
      </c>
      <c r="M108" s="499" t="n">
        <v>48</v>
      </c>
      <c r="N108" s="499" t="n">
        <v>48</v>
      </c>
      <c r="O108" s="499" t="n">
        <v>48</v>
      </c>
      <c r="P108" s="499" t="n">
        <v>48</v>
      </c>
      <c r="Q108" s="501" t="n">
        <v>48</v>
      </c>
      <c r="R108" s="499" t="s">
        <v>839</v>
      </c>
      <c r="S108" s="501"/>
      <c r="T108" s="504" t="s">
        <v>946</v>
      </c>
      <c r="U108" s="505" t="s">
        <v>947</v>
      </c>
      <c r="V108" s="506"/>
      <c r="W108" s="500" t="str">
        <f aca="false">IFERROR(__xludf.dummyfunction("if(isna(SUM(FILTER(MatchSource!$A:$D,MatchSource!$A:$A=$B108))),0,SUM(FILTER(MatchSource!$A:$D,MatchSource!$A:$A=$B108)))"),"0")</f>
        <v>0</v>
      </c>
      <c r="X108" s="499" t="str">
        <f aca="false">IFERROR(__xludf.dummyfunction("if(isna(SUM(FILTER(MatchSource!$H:$K,MatchSource!$H:$H=$B108))),0,SUM(FILTER(MatchSource!$H:$K,MatchSource!$H:$H=$B108)))"),"0")</f>
        <v>0</v>
      </c>
      <c r="Y108" s="499" t="str">
        <f aca="false">IFERROR(__xludf.dummyfunction("if(isna(ABS(MINUS(SUM(FILTER(MatchSource!$A:$E,MatchSource!$A:$A=$B108)),SUM($W108)))),0,ABS(MINUS(SUM(FILTER(MatchSource!$A:$E,MatchSource!$A:$A=$B108)),SUM($W108))))"),"0")</f>
        <v>0</v>
      </c>
      <c r="Z108" s="499" t="str">
        <f aca="false">IFERROR(__xludf.dummyfunction("if(isna(ABS(MINUS(SUM(FILTER(MatchSource!$H:$L,MatchSource!$H:$H=$B108)),SUM($X108)))),0,ABS(MINUS(SUM(FILTER(MatchSource!$H:$L,MatchSource!$H:$H=$B108)),SUM($X108))))"),"0")</f>
        <v>0</v>
      </c>
      <c r="AA108" s="499" t="str">
        <f aca="false">IFERROR(__xludf.dummyfunction("if(isna(ABS(MINUS(SUM(FILTER(MatchSource!$A:$F,MatchSource!$A:$A=$B108)),SUM($W108,$Y108)))),0,ABS(MINUS(SUM(FILTER(MatchSource!$A:$F,MatchSource!$A:$A=$B108)),SUM($W108, $Y108,))))"),"0")</f>
        <v>0</v>
      </c>
      <c r="AB108" s="501" t="str">
        <f aca="false">IFERROR(__xludf.dummyfunction("if(isna(ABS(MINUS(SUM(FILTER(MatchSource!$H:$M,MatchSource!$H:$H=$B108)),SUM($X108,$Z108)))),0,ABS(MINUS(SUM(FILTER(MatchSource!$H:$M,MatchSource!$H:$H=$B108)),SUM($X108,$Z108))))"),"0")</f>
        <v>0</v>
      </c>
      <c r="AC108" s="507" t="n">
        <f aca="false">SUM(IF(OR($R108="Grass",$R108="Psychic",$R108="Dark"),0-1,IF(OR($R108="Fighting",$R108="Flying",$R108="Fire",$R108="Ghost",$R108="Poison",$R108="Steel",$R108="Fairy"),1,0)),IF(OR($S108="Grass",$S108="Psychic",$S108="Dark"),0-1,IF(OR($S108="Fighting",$S108="Flying",$S108="Fire",$S108="Ghost",$S108="Poison",$S108="Steel",$S108="Fairy"),1,0)))</f>
        <v>0</v>
      </c>
      <c r="AD108" s="507" t="n">
        <f aca="false">SUM(IF(OR($R108="Ghost",$R108="Psychic"),0-1,IF(OR($R108="Fighting",$R108="Dark",$R108="Fairy"),1,0)),IF(OR($S108="Ghost",$S108="Psychic"),0-1,IF(OR($S108="Fighting",$S108="Dark",$S108="Fairy"),1,0)))</f>
        <v>0</v>
      </c>
      <c r="AE108" s="507" t="n">
        <f aca="false">IF(OR($R108="Fairy",$S108="Fairy"),4,SUM(IF($R108="Dragon",0-1,IF($R108="Steel",1,0)),IF($S108="Dragon",0-1,IF($S108="Steel",1,0))))</f>
        <v>0</v>
      </c>
      <c r="AF108" s="507" t="n">
        <f aca="false">IF(OR($R108="Ground",$S108="Ground"),4,SUM(IF(OR($R108="Flying",$R108="Water"),0-1,IF(OR($R108="Dragon",$R108="Electric",$R108="Grass"),1,0)),IF(OR($S108="Flying",$S108="Water"),0-1,IF(OR($S108="Dragon",$S108="Electric",$S108="Grass"),1,0))))</f>
        <v>0</v>
      </c>
      <c r="AG108" s="507" t="n">
        <f aca="false">SUM(IF(OR($R108="Dark",$R108="Dragon",$R108="Fighting"),0-1,IF(OR($R108="Steel",$R108="Poison",$R108="Fire"),1,0)),IF(OR($S108="Dark",$S108="Dragon",$S108="Fighting"),0-1,IF(OR($S108="Steel",$S108="Poison",$S108="Fire"),1,0)))</f>
        <v>0</v>
      </c>
      <c r="AH108" s="507" t="n">
        <f aca="false">IF(OR($R108="Ghost",$S108="Ghost"),4,SUM(IF(OR($R108="Dark",$R108="Ice",$R108="Normal",$R108="Rock",$R108="Steel"),0-1,IF(OR($R108="Bug",$R108="Fairy",$R108="Flying",$R108="Poison",$R108="Psychic"),1,0)),IF(OR($S108="Dark",$S108="Ice",$S108="Normal",$S108="Rock",$S108="Steel"),0-1,IF(OR($S108="Bug",$S108="Fairy",$S108="Flying",$S108="Poison",$S108="Psychic"),1,0))))</f>
        <v>-1</v>
      </c>
      <c r="AI108" s="507" t="n">
        <f aca="false">SUM(IF(OR($R108="Bug",$R108="Grass",$R108="Ice",$R108="Steel"),0-1,IF(OR($R108="Dragon",$R108="Fire",$R108="Rock",$R108="Water"),1,0)),IF(OR($S108="Bug",$S108="Grass",$S108="Ice",$S108="Steel"),0-1,IF(OR($S108="Dragon",$S108="Fire",$S108="Rock",$S108="Water"),1,0)))</f>
        <v>0</v>
      </c>
      <c r="AJ108" s="507" t="n">
        <f aca="false">SUM(IF(OR($R108="Bug",$R108="Grass",$R108="Fighting"),0-1,IF(OR($R108="Electric",$R108="Rock",$R108="Steel"),1,0)),IF(OR($S108="Bug",$S108="Grass",$S108="Fighting"),0-1,IF(OR($S108="Electric",$S108="Rock",$S108="Steel"),1,0)))</f>
        <v>0</v>
      </c>
      <c r="AK108" s="507" t="n">
        <f aca="false">IF(OR($R108="Normal",$S108="Normal"),4,SUM(IF(OR($R108="Ghost",$R108="Psychic"),0-1,IF($R108="Dark",1,0)),IF(OR($S108="Ghost",$S108="Psychic"),0-1,IF($S108="Dark",1,0))))</f>
        <v>4</v>
      </c>
      <c r="AL108" s="507" t="n">
        <f aca="false">SUM(IF(OR($R108="Ground",$R108="Rock",$R108="Water"),0-1,IF(OR($R108="Bug",$R108="Flying",$R108="Fire",$R108="Dragon",$R108="Poison",$R108="Steel",$R108="Grass"),1,0)),IF(OR($S108="Ground",$S108="Rock",$S108="Water"),0-1,IF(OR($S108="Bug",$S108="Flying",$S108="Fire",$S108="Dragon",$S108="Poison",$S108="Steel",$S108="Grass"),1,0)))</f>
        <v>0</v>
      </c>
      <c r="AM108" s="507" t="n">
        <f aca="false">IF(OR($R108="Flying",$S108="Flying"),4,SUM(IF(OR($R108="Electric",$R108="Fire",$R108="Rock",$R108="Steel",$R108="Poison"),0-1,IF(OR($R108="Bug",$R108="Grass"),1,0)),IF(OR($S108="Electric",$S108="Fire",$S108="Rock",$S108="Steel",$S108="Poison"),0-1,IF(OR($S108="Bug",$S108="Grass"),1,0))))</f>
        <v>0</v>
      </c>
      <c r="AN108" s="507" t="n">
        <f aca="false">SUM(IF(OR($R108="Flying",$R108="Dragon",$R108="Grass",$R108="Ground"),0-1,IF(OR($R108="Steel",$R108="Ice",$R108="Fire",$R108="Water"),1,0)),IF(OR($S108="Flying",$S108="Dragon",$S108="Grass",$S108="Ground"),0-1,IF(OR($S108="Steel",$S108="Ice",$S108="Fire",$S108="Water"),1,0)))</f>
        <v>0</v>
      </c>
      <c r="AO108" s="507" t="n">
        <f aca="false">IF(OR($R108="Ghost",$S108="Ghost"),4,SUM(IF(OR($R108="Steel",$R108="Rock"),1,0),IF(OR($S108="Steel",$S108="Rock"),1,0)))</f>
        <v>0</v>
      </c>
      <c r="AP108" s="507" t="n">
        <f aca="false">IF(OR($R108="Steel",$S108="Steel"),4,SUM(IF(OR($R108="Fairy",$R108="Grass"),0-1,IF(OR($R108="Ghost",$R108="Rock",$R108="Ground",$R108="Poison"),1,0)),IF(OR($S108="Fairy",$S108="Grass"),0-1,IF(OR($S108="Ghost",$S108="Rock",$S108="Ground",$S108="Poison"),1,0))))</f>
        <v>0</v>
      </c>
      <c r="AQ108" s="507" t="n">
        <f aca="false">IF(OR($R108="Dark",$S108="Dark"),4,SUM(IF(OR($R108="Fighting",$R108="Poison"),0-1,IF(OR($R108="Psychic",$R108="Steel"),1,0)),IF(OR($S108="Fighting",$S108="Poison"),0-1,IF(OR($S108="Psychic",$S108="Steel"),1,0))))</f>
        <v>0</v>
      </c>
      <c r="AR108" s="507" t="n">
        <f aca="false">SUM(IF(OR($R108="Bug",$R108="Fire",$R108="Flying",$R108="Ice"),0-1,IF(OR($R108="Steel",$R108="Fighting",$R108="Ground"),1,0)),IF(OR($S108="Bug",$S108="Fire",$S108="Flying",$S108="Ice"),0-1,IF(OR($S108="Steel",$S108="Fighting",$S108="Ground"),1,0)))</f>
        <v>0</v>
      </c>
      <c r="AS108" s="507" t="n">
        <f aca="false">SUM(IF(OR($R108="Fairy",$R108="Ice",$R108="Rock"),0-1,IF(OR($R108="Steel",$R108="Electric",$R108="Fire",$R108="Water"),1,0)),IF(OR($S108="Fairy",$S108="Ice",$S108="Rock"),0-1,IF(OR($S108="Steel",$S108="Electric",$S108="Fire",$S108="Water"),1,0)))</f>
        <v>0</v>
      </c>
      <c r="AT108" s="508" t="n">
        <f aca="false">SUM(IF(OR($R108="Fire",$R108="Ground",$R108="Rock"),0-1,IF(OR($R108="Dragon",$R108="Grass",$R108="Water"),1,0)),IF(OR($S108="Fire",$S108="Ground",$S108="Rock"),0-1,IF(OR($S108="Dragon",$S108="Grass",$S108="Water"),1,0)))</f>
        <v>0</v>
      </c>
      <c r="AU108" s="518"/>
    </row>
    <row r="109" customFormat="false" ht="15.75" hidden="false" customHeight="false" outlineLevel="0" collapsed="false">
      <c r="A109" s="510" t="str">
        <f aca="false" t="array" ref="A109:A109">IF(ISNA(INDEX(Source!$U$7:$U$95,MATCH(B109,Source!$V$7:$V$95,0))),"FREE",INDEX(Source!$U$7:$U$95,MATCH(B109,Source!$V$7:$V$95,0)))</f>
        <v>FREE</v>
      </c>
      <c r="B109" s="511" t="s">
        <v>423</v>
      </c>
      <c r="C109" s="511"/>
      <c r="D109" s="511"/>
      <c r="E109" s="499" t="str">
        <f aca="false">IF(SUM($W109:$X109)&gt;0,SUM($W109:$X109),IF($H109&gt;0,0,IF($H109&gt;0,0,"-")))</f>
        <v>-</v>
      </c>
      <c r="F109" s="499" t="str">
        <f aca="false">IF(SUM($Y109:$Z109)&gt;0,SUM($Y109:$Z109),IF($H109&gt;0,0,"-"))</f>
        <v>-</v>
      </c>
      <c r="G109" s="499" t="str">
        <f aca="false">IF($H109&gt;0,minus(E109,F109),"-")</f>
        <v>-</v>
      </c>
      <c r="H109" s="500" t="n">
        <f aca="false">SUM(COUNTIF(MatchSource!$A:$A,$B109),COUNTIF(MatchSource!$H:$H,$B109))</f>
        <v>0</v>
      </c>
      <c r="I109" s="501" t="n">
        <f aca="false">SUM($AA109:$AB109)</f>
        <v>0</v>
      </c>
      <c r="J109" s="501" t="s">
        <v>701</v>
      </c>
      <c r="K109" s="512" t="str">
        <f aca="false" t="array" ref="K109:K109">IF(ISNA(INDEX(DraftRosters!$AA$3:$AA$199,MATCH($B109,DraftRosters!$AB$3:$AB$199,0))),"FA",IF(INDEX(DraftRosters!$AA$3:$AA$199,MATCH($B109,DraftRosters!$AB$3:$AB$199,0))="Franchise","Franch",INDEX(DraftRosters!$AA$3:$AA$199,MATCH($B109,DraftRosters!$AB$3:$AB$199,0))))</f>
        <v>FA</v>
      </c>
      <c r="L109" s="499" t="n">
        <v>60</v>
      </c>
      <c r="M109" s="499" t="n">
        <v>110</v>
      </c>
      <c r="N109" s="499" t="n">
        <v>70</v>
      </c>
      <c r="O109" s="499" t="n">
        <v>60</v>
      </c>
      <c r="P109" s="499" t="n">
        <v>60</v>
      </c>
      <c r="Q109" s="501" t="n">
        <v>110</v>
      </c>
      <c r="R109" s="499" t="s">
        <v>801</v>
      </c>
      <c r="S109" s="501" t="s">
        <v>839</v>
      </c>
      <c r="T109" s="504" t="s">
        <v>948</v>
      </c>
      <c r="U109" s="505" t="s">
        <v>918</v>
      </c>
      <c r="V109" s="506" t="s">
        <v>949</v>
      </c>
      <c r="W109" s="500" t="str">
        <f aca="false">IFERROR(__xludf.dummyfunction("if(isna(SUM(FILTER(MatchSource!$A:$D,MatchSource!$A:$A=$B109))),0,SUM(FILTER(MatchSource!$A:$D,MatchSource!$A:$A=$B109)))"),"0")</f>
        <v>0</v>
      </c>
      <c r="X109" s="499" t="str">
        <f aca="false">IFERROR(__xludf.dummyfunction("if(isna(SUM(FILTER(MatchSource!$H:$K,MatchSource!$H:$H=$B109))),0,SUM(FILTER(MatchSource!$H:$K,MatchSource!$H:$H=$B109)))"),"0")</f>
        <v>0</v>
      </c>
      <c r="Y109" s="499" t="str">
        <f aca="false">IFERROR(__xludf.dummyfunction("if(isna(ABS(MINUS(SUM(FILTER(MatchSource!$A:$E,MatchSource!$A:$A=$B109)),SUM($W109)))),0,ABS(MINUS(SUM(FILTER(MatchSource!$A:$E,MatchSource!$A:$A=$B109)),SUM($W109))))"),"0")</f>
        <v>0</v>
      </c>
      <c r="Z109" s="499" t="str">
        <f aca="false">IFERROR(__xludf.dummyfunction("if(isna(ABS(MINUS(SUM(FILTER(MatchSource!$H:$L,MatchSource!$H:$H=$B109)),SUM($X109)))),0,ABS(MINUS(SUM(FILTER(MatchSource!$H:$L,MatchSource!$H:$H=$B109)),SUM($X109))))"),"0")</f>
        <v>0</v>
      </c>
      <c r="AA109" s="499" t="str">
        <f aca="false">IFERROR(__xludf.dummyfunction("if(isna(ABS(MINUS(SUM(FILTER(MatchSource!$A:$F,MatchSource!$A:$A=$B109)),SUM($W109,$Y109)))),0,ABS(MINUS(SUM(FILTER(MatchSource!$A:$F,MatchSource!$A:$A=$B109)),SUM($W109, $Y109,))))"),"0")</f>
        <v>0</v>
      </c>
      <c r="AB109" s="501" t="str">
        <f aca="false">IFERROR(__xludf.dummyfunction("if(isna(ABS(MINUS(SUM(FILTER(MatchSource!$H:$M,MatchSource!$H:$H=$B109)),SUM($X109,$Z109)))),0,ABS(MINUS(SUM(FILTER(MatchSource!$H:$M,MatchSource!$H:$H=$B109)),SUM($X109,$Z109))))"),"0")</f>
        <v>0</v>
      </c>
      <c r="AC109" s="507" t="n">
        <f aca="false">SUM(IF(OR($R109="Grass",$R109="Psychic",$R109="Dark"),0-1,IF(OR($R109="Fighting",$R109="Flying",$R109="Fire",$R109="Ghost",$R109="Poison",$R109="Steel",$R109="Fairy"),1,0)),IF(OR($S109="Grass",$S109="Psychic",$S109="Dark"),0-1,IF(OR($S109="Fighting",$S109="Flying",$S109="Fire",$S109="Ghost",$S109="Poison",$S109="Steel",$S109="Fairy"),1,0)))</f>
        <v>1</v>
      </c>
      <c r="AD109" s="507" t="n">
        <f aca="false">SUM(IF(OR($R109="Ghost",$R109="Psychic"),0-1,IF(OR($R109="Fighting",$R109="Dark",$R109="Fairy"),1,0)),IF(OR($S109="Ghost",$S109="Psychic"),0-1,IF(OR($S109="Fighting",$S109="Dark",$S109="Fairy"),1,0)))</f>
        <v>0</v>
      </c>
      <c r="AE109" s="507" t="n">
        <f aca="false">IF(OR($R109="Fairy",$S109="Fairy"),4,SUM(IF($R109="Dragon",0-1,IF($R109="Steel",1,0)),IF($S109="Dragon",0-1,IF($S109="Steel",1,0))))</f>
        <v>0</v>
      </c>
      <c r="AF109" s="507" t="n">
        <f aca="false">IF(OR($R109="Ground",$S109="Ground"),4,SUM(IF(OR($R109="Flying",$R109="Water"),0-1,IF(OR($R109="Dragon",$R109="Electric",$R109="Grass"),1,0)),IF(OR($S109="Flying",$S109="Water"),0-1,IF(OR($S109="Dragon",$S109="Electric",$S109="Grass"),1,0))))</f>
        <v>-1</v>
      </c>
      <c r="AG109" s="507" t="n">
        <f aca="false">SUM(IF(OR($R109="Dark",$R109="Dragon",$R109="Fighting"),0-1,IF(OR($R109="Steel",$R109="Poison",$R109="Fire"),1,0)),IF(OR($S109="Dark",$S109="Dragon",$S109="Fighting"),0-1,IF(OR($S109="Steel",$S109="Poison",$S109="Fire"),1,0)))</f>
        <v>0</v>
      </c>
      <c r="AH109" s="507" t="n">
        <f aca="false">IF(OR($R109="Ghost",$S109="Ghost"),4,SUM(IF(OR($R109="Dark",$R109="Ice",$R109="Normal",$R109="Rock",$R109="Steel"),0-1,IF(OR($R109="Bug",$R109="Fairy",$R109="Flying",$R109="Poison",$R109="Psychic"),1,0)),IF(OR($S109="Dark",$S109="Ice",$S109="Normal",$S109="Rock",$S109="Steel"),0-1,IF(OR($S109="Bug",$S109="Fairy",$S109="Flying",$S109="Poison",$S109="Psychic"),1,0))))</f>
        <v>0</v>
      </c>
      <c r="AI109" s="507" t="n">
        <f aca="false">SUM(IF(OR($R109="Bug",$R109="Grass",$R109="Ice",$R109="Steel"),0-1,IF(OR($R109="Dragon",$R109="Fire",$R109="Rock",$R109="Water"),1,0)),IF(OR($S109="Bug",$S109="Grass",$S109="Ice",$S109="Steel"),0-1,IF(OR($S109="Dragon",$S109="Fire",$S109="Rock",$S109="Water"),1,0)))</f>
        <v>0</v>
      </c>
      <c r="AJ109" s="507" t="n">
        <f aca="false">SUM(IF(OR($R109="Bug",$R109="Grass",$R109="Fighting"),0-1,IF(OR($R109="Electric",$R109="Rock",$R109="Steel"),1,0)),IF(OR($S109="Bug",$S109="Grass",$S109="Fighting"),0-1,IF(OR($S109="Electric",$S109="Rock",$S109="Steel"),1,0)))</f>
        <v>0</v>
      </c>
      <c r="AK109" s="507" t="n">
        <f aca="false">IF(OR($R109="Normal",$S109="Normal"),4,SUM(IF(OR($R109="Ghost",$R109="Psychic"),0-1,IF($R109="Dark",1,0)),IF(OR($S109="Ghost",$S109="Psychic"),0-1,IF($S109="Dark",1,0))))</f>
        <v>4</v>
      </c>
      <c r="AL109" s="507" t="n">
        <f aca="false">SUM(IF(OR($R109="Ground",$R109="Rock",$R109="Water"),0-1,IF(OR($R109="Bug",$R109="Flying",$R109="Fire",$R109="Dragon",$R109="Poison",$R109="Steel",$R109="Grass"),1,0)),IF(OR($S109="Ground",$S109="Rock",$S109="Water"),0-1,IF(OR($S109="Bug",$S109="Flying",$S109="Fire",$S109="Dragon",$S109="Poison",$S109="Steel",$S109="Grass"),1,0)))</f>
        <v>1</v>
      </c>
      <c r="AM109" s="507" t="n">
        <f aca="false">IF(OR($R109="Flying",$S109="Flying"),4,SUM(IF(OR($R109="Electric",$R109="Fire",$R109="Rock",$R109="Steel",$R109="Poison"),0-1,IF(OR($R109="Bug",$R109="Grass"),1,0)),IF(OR($S109="Electric",$S109="Fire",$S109="Rock",$S109="Steel",$S109="Poison"),0-1,IF(OR($S109="Bug",$S109="Grass"),1,0))))</f>
        <v>4</v>
      </c>
      <c r="AN109" s="507" t="n">
        <f aca="false">SUM(IF(OR($R109="Flying",$R109="Dragon",$R109="Grass",$R109="Ground"),0-1,IF(OR($R109="Steel",$R109="Ice",$R109="Fire",$R109="Water"),1,0)),IF(OR($S109="Flying",$S109="Dragon",$S109="Grass",$S109="Ground"),0-1,IF(OR($S109="Steel",$S109="Ice",$S109="Fire",$S109="Water"),1,0)))</f>
        <v>-1</v>
      </c>
      <c r="AO109" s="507" t="n">
        <f aca="false">IF(OR($R109="Ghost",$S109="Ghost"),4,SUM(IF(OR($R109="Steel",$R109="Rock"),1,0),IF(OR($S109="Steel",$S109="Rock"),1,0)))</f>
        <v>0</v>
      </c>
      <c r="AP109" s="507" t="n">
        <f aca="false">IF(OR($R109="Steel",$S109="Steel"),4,SUM(IF(OR($R109="Fairy",$R109="Grass"),0-1,IF(OR($R109="Ghost",$R109="Rock",$R109="Ground",$R109="Poison"),1,0)),IF(OR($S109="Fairy",$S109="Grass"),0-1,IF(OR($S109="Ghost",$S109="Rock",$S109="Ground",$S109="Poison"),1,0))))</f>
        <v>0</v>
      </c>
      <c r="AQ109" s="507" t="n">
        <f aca="false">IF(OR($R109="Dark",$S109="Dark"),4,SUM(IF(OR($R109="Fighting",$R109="Poison"),0-1,IF(OR($R109="Psychic",$R109="Steel"),1,0)),IF(OR($S109="Fighting",$S109="Poison"),0-1,IF(OR($S109="Psychic",$S109="Steel"),1,0))))</f>
        <v>0</v>
      </c>
      <c r="AR109" s="507" t="n">
        <f aca="false">SUM(IF(OR($R109="Bug",$R109="Fire",$R109="Flying",$R109="Ice"),0-1,IF(OR($R109="Steel",$R109="Fighting",$R109="Ground"),1,0)),IF(OR($S109="Bug",$S109="Fire",$S109="Flying",$S109="Ice"),0-1,IF(OR($S109="Steel",$S109="Fighting",$S109="Ground"),1,0)))</f>
        <v>-1</v>
      </c>
      <c r="AS109" s="507" t="n">
        <f aca="false">SUM(IF(OR($R109="Fairy",$R109="Ice",$R109="Rock"),0-1,IF(OR($R109="Steel",$R109="Electric",$R109="Fire",$R109="Water"),1,0)),IF(OR($S109="Fairy",$S109="Ice",$S109="Rock"),0-1,IF(OR($S109="Steel",$S109="Electric",$S109="Fire",$S109="Water"),1,0)))</f>
        <v>0</v>
      </c>
      <c r="AT109" s="508" t="n">
        <f aca="false">SUM(IF(OR($R109="Fire",$R109="Ground",$R109="Rock"),0-1,IF(OR($R109="Dragon",$R109="Grass",$R109="Water"),1,0)),IF(OR($S109="Fire",$S109="Ground",$S109="Rock"),0-1,IF(OR($S109="Dragon",$S109="Grass",$S109="Water"),1,0)))</f>
        <v>0</v>
      </c>
      <c r="AU109" s="518"/>
    </row>
    <row r="110" customFormat="false" ht="15.75" hidden="false" customHeight="false" outlineLevel="0" collapsed="false">
      <c r="A110" s="510" t="str">
        <f aca="false" t="array" ref="A110:A110">IF(ISNA(INDEX(Source!$U$7:$U$95,MATCH(B110,Source!$V$7:$V$95,0))),"FREE",INDEX(Source!$U$7:$U$95,MATCH(B110,Source!$V$7:$V$95,0)))</f>
        <v>SEA</v>
      </c>
      <c r="B110" s="511" t="s">
        <v>91</v>
      </c>
      <c r="C110" s="511"/>
      <c r="D110" s="511"/>
      <c r="E110" s="499" t="n">
        <f aca="false">IF(SUM($W110:$X110)&gt;0,SUM($W110:$X110),IF($H110&gt;0,0,IF($H110&gt;0,0,"-")))</f>
        <v>0</v>
      </c>
      <c r="F110" s="499" t="n">
        <f aca="false">IF(SUM($Y110:$Z110)&gt;0,SUM($Y110:$Z110),IF($H110&gt;0,0,"-"))</f>
        <v>0</v>
      </c>
      <c r="G110" s="499" t="e">
        <f aca="false">IF($H110&gt;0,minus(E110,F110),"-")</f>
        <v>#NAME?</v>
      </c>
      <c r="H110" s="500" t="n">
        <f aca="false">SUM(COUNTIF(MatchSource!$A:$A,$B110),COUNTIF(MatchSource!$H:$H,$B110))</f>
        <v>6</v>
      </c>
      <c r="I110" s="501" t="n">
        <f aca="false">SUM($AA110:$AB110)</f>
        <v>0</v>
      </c>
      <c r="J110" s="501" t="s">
        <v>700</v>
      </c>
      <c r="K110" s="512" t="str">
        <f aca="false" t="array" ref="K110:K110">IF(ISNA(INDEX(DraftRosters!$AA$3:$AA$199,MATCH($B110,DraftRosters!$AB$3:$AB$199,0))),"FA",IF(INDEX(DraftRosters!$AA$3:$AA$199,MATCH($B110,DraftRosters!$AB$3:$AB$199,0))="Franchise","Franch",INDEX(DraftRosters!$AA$3:$AA$199,MATCH($B110,DraftRosters!$AB$3:$AB$199,0))))</f>
        <v>FA</v>
      </c>
      <c r="L110" s="507" t="n">
        <v>90</v>
      </c>
      <c r="M110" s="507" t="n">
        <v>120</v>
      </c>
      <c r="N110" s="507" t="n">
        <v>120</v>
      </c>
      <c r="O110" s="507" t="n">
        <v>60</v>
      </c>
      <c r="P110" s="507" t="n">
        <v>60</v>
      </c>
      <c r="Q110" s="508" t="n">
        <v>50</v>
      </c>
      <c r="R110" s="499" t="s">
        <v>907</v>
      </c>
      <c r="S110" s="501"/>
      <c r="T110" s="504" t="s">
        <v>906</v>
      </c>
      <c r="U110" s="505" t="s">
        <v>826</v>
      </c>
      <c r="V110" s="506"/>
      <c r="W110" s="500" t="str">
        <f aca="false">IFERROR(__xludf.dummyfunction("if(isna(SUM(FILTER(MatchSource!$A:$D,MatchSource!$A:$A=$B110))),0,SUM(FILTER(MatchSource!$A:$D,MatchSource!$A:$A=$B110)))"),"2")</f>
        <v>2</v>
      </c>
      <c r="X110" s="499" t="str">
        <f aca="false">IFERROR(__xludf.dummyfunction("if(isna(SUM(FILTER(MatchSource!$H:$K,MatchSource!$H:$H=$B110))),0,SUM(FILTER(MatchSource!$H:$K,MatchSource!$H:$H=$B110)))"),"3")</f>
        <v>3</v>
      </c>
      <c r="Y110" s="499" t="str">
        <f aca="false">IFERROR(__xludf.dummyfunction("if(isna(ABS(MINUS(SUM(FILTER(MatchSource!$A:$E,MatchSource!$A:$A=$B110)),SUM($W110)))),0,ABS(MINUS(SUM(FILTER(MatchSource!$A:$E,MatchSource!$A:$A=$B110)),SUM($W110))))"),"2")</f>
        <v>2</v>
      </c>
      <c r="Z110" s="499" t="str">
        <f aca="false">IFERROR(__xludf.dummyfunction("if(isna(ABS(MINUS(SUM(FILTER(MatchSource!$H:$L,MatchSource!$H:$H=$B110)),SUM($X110)))),0,ABS(MINUS(SUM(FILTER(MatchSource!$H:$L,MatchSource!$H:$H=$B110)),SUM($X110))))"),"1")</f>
        <v>1</v>
      </c>
      <c r="AA110" s="499" t="str">
        <f aca="false">IFERROR(__xludf.dummyfunction("if(isna(ABS(MINUS(SUM(FILTER(MatchSource!$A:$F,MatchSource!$A:$A=$B110)),SUM($W110,$Y110)))),0,ABS(MINUS(SUM(FILTER(MatchSource!$A:$F,MatchSource!$A:$A=$B110)),SUM($W110, $Y110,))))"),"1")</f>
        <v>1</v>
      </c>
      <c r="AB110" s="501" t="str">
        <f aca="false">IFERROR(__xludf.dummyfunction("if(isna(ABS(MINUS(SUM(FILTER(MatchSource!$H:$M,MatchSource!$H:$H=$B110)),SUM($X110,$Z110)))),0,ABS(MINUS(SUM(FILTER(MatchSource!$H:$M,MatchSource!$H:$H=$B110)),SUM($X110,$Z110))))"),"4")</f>
        <v>4</v>
      </c>
      <c r="AC110" s="507" t="n">
        <f aca="false">SUM(IF(OR($R110="Grass",$R110="Psychic",$R110="Dark"),0-1,IF(OR($R110="Fighting",$R110="Flying",$R110="Fire",$R110="Ghost",$R110="Poison",$R110="Steel",$R110="Fairy"),1,0)),IF(OR($S110="Grass",$S110="Psychic",$S110="Dark"),0-1,IF(OR($S110="Fighting",$S110="Flying",$S110="Fire",$S110="Ghost",$S110="Poison",$S110="Steel",$S110="Fairy"),1,0)))</f>
        <v>0</v>
      </c>
      <c r="AD110" s="507" t="n">
        <f aca="false">SUM(IF(OR($R110="Ghost",$R110="Psychic"),0-1,IF(OR($R110="Fighting",$R110="Dark",$R110="Fairy"),1,0)),IF(OR($S110="Ghost",$S110="Psychic"),0-1,IF(OR($S110="Fighting",$S110="Dark",$S110="Fairy"),1,0)))</f>
        <v>0</v>
      </c>
      <c r="AE110" s="507" t="n">
        <f aca="false">IF(OR($R110="Fairy",$S110="Fairy"),4,SUM(IF($R110="Dragon",0-1,IF($R110="Steel",1,0)),IF($S110="Dragon",0-1,IF($S110="Steel",1,0))))</f>
        <v>0</v>
      </c>
      <c r="AF110" s="507" t="n">
        <f aca="false">IF(OR($R110="Ground",$S110="Ground"),4,SUM(IF(OR($R110="Flying",$R110="Water"),0-1,IF(OR($R110="Dragon",$R110="Electric",$R110="Grass"),1,0)),IF(OR($S110="Flying",$S110="Water"),0-1,IF(OR($S110="Dragon",$S110="Electric",$S110="Grass"),1,0))))</f>
        <v>4</v>
      </c>
      <c r="AG110" s="507" t="n">
        <f aca="false">SUM(IF(OR($R110="Dark",$R110="Dragon",$R110="Fighting"),0-1,IF(OR($R110="Steel",$R110="Poison",$R110="Fire"),1,0)),IF(OR($S110="Dark",$S110="Dragon",$S110="Fighting"),0-1,IF(OR($S110="Steel",$S110="Poison",$S110="Fire"),1,0)))</f>
        <v>0</v>
      </c>
      <c r="AH110" s="507" t="n">
        <f aca="false">IF(OR($R110="Ghost",$S110="Ghost"),4,SUM(IF(OR($R110="Dark",$R110="Ice",$R110="Normal",$R110="Rock",$R110="Steel"),0-1,IF(OR($R110="Bug",$R110="Fairy",$R110="Flying",$R110="Poison",$R110="Psychic"),1,0)),IF(OR($S110="Dark",$S110="Ice",$S110="Normal",$S110="Rock",$S110="Steel"),0-1,IF(OR($S110="Bug",$S110="Fairy",$S110="Flying",$S110="Poison",$S110="Psychic"),1,0))))</f>
        <v>0</v>
      </c>
      <c r="AI110" s="507" t="n">
        <f aca="false">SUM(IF(OR($R110="Bug",$R110="Grass",$R110="Ice",$R110="Steel"),0-1,IF(OR($R110="Dragon",$R110="Fire",$R110="Rock",$R110="Water"),1,0)),IF(OR($S110="Bug",$S110="Grass",$S110="Ice",$S110="Steel"),0-1,IF(OR($S110="Dragon",$S110="Fire",$S110="Rock",$S110="Water"),1,0)))</f>
        <v>0</v>
      </c>
      <c r="AJ110" s="507" t="n">
        <f aca="false">SUM(IF(OR($R110="Bug",$R110="Grass",$R110="Fighting"),0-1,IF(OR($R110="Electric",$R110="Rock",$R110="Steel"),1,0)),IF(OR($S110="Bug",$S110="Grass",$S110="Fighting"),0-1,IF(OR($S110="Electric",$S110="Rock",$S110="Steel"),1,0)))</f>
        <v>0</v>
      </c>
      <c r="AK110" s="507" t="n">
        <f aca="false">IF(OR($R110="Normal",$S110="Normal"),4,SUM(IF(OR($R110="Ghost",$R110="Psychic"),0-1,IF($R110="Dark",1,0)),IF(OR($S110="Ghost",$S110="Psychic"),0-1,IF($S110="Dark",1,0))))</f>
        <v>0</v>
      </c>
      <c r="AL110" s="507" t="n">
        <f aca="false">SUM(IF(OR($R110="Ground",$R110="Rock",$R110="Water"),0-1,IF(OR($R110="Bug",$R110="Flying",$R110="Fire",$R110="Dragon",$R110="Poison",$R110="Steel",$R110="Grass"),1,0)),IF(OR($S110="Ground",$S110="Rock",$S110="Water"),0-1,IF(OR($S110="Bug",$S110="Flying",$S110="Fire",$S110="Dragon",$S110="Poison",$S110="Steel",$S110="Grass"),1,0)))</f>
        <v>-1</v>
      </c>
      <c r="AM110" s="507" t="n">
        <f aca="false">IF(OR($R110="Flying",$S110="Flying"),4,SUM(IF(OR($R110="Electric",$R110="Fire",$R110="Rock",$R110="Steel",$R110="Poison"),0-1,IF(OR($R110="Bug",$R110="Grass"),1,0)),IF(OR($S110="Electric",$S110="Fire",$S110="Rock",$S110="Steel",$S110="Poison"),0-1,IF(OR($S110="Bug",$S110="Grass"),1,0))))</f>
        <v>0</v>
      </c>
      <c r="AN110" s="507" t="n">
        <f aca="false">SUM(IF(OR($R110="Flying",$R110="Dragon",$R110="Grass",$R110="Ground"),0-1,IF(OR($R110="Steel",$R110="Ice",$R110="Fire",$R110="Water"),1,0)),IF(OR($S110="Flying",$S110="Dragon",$S110="Grass",$S110="Ground"),0-1,IF(OR($S110="Steel",$S110="Ice",$S110="Fire",$S110="Water"),1,0)))</f>
        <v>-1</v>
      </c>
      <c r="AO110" s="507" t="n">
        <f aca="false">IF(OR($R110="Ghost",$S110="Ghost"),4,SUM(IF(OR($R110="Steel",$R110="Rock"),1,0),IF(OR($S110="Steel",$S110="Rock"),1,0)))</f>
        <v>0</v>
      </c>
      <c r="AP110" s="507" t="n">
        <f aca="false">IF(OR($R110="Steel",$S110="Steel"),4,SUM(IF(OR($R110="Fairy",$R110="Grass"),0-1,IF(OR($R110="Ghost",$R110="Rock",$R110="Ground",$R110="Poison"),1,0)),IF(OR($S110="Fairy",$S110="Grass"),0-1,IF(OR($S110="Ghost",$S110="Rock",$S110="Ground",$S110="Poison"),1,0))))</f>
        <v>1</v>
      </c>
      <c r="AQ110" s="507" t="n">
        <f aca="false">IF(OR($R110="Dark",$S110="Dark"),4,SUM(IF(OR($R110="Fighting",$R110="Poison"),0-1,IF(OR($R110="Psychic",$R110="Steel"),1,0)),IF(OR($S110="Fighting",$S110="Poison"),0-1,IF(OR($S110="Psychic",$S110="Steel"),1,0))))</f>
        <v>0</v>
      </c>
      <c r="AR110" s="507" t="n">
        <f aca="false">SUM(IF(OR($R110="Bug",$R110="Fire",$R110="Flying",$R110="Ice"),0-1,IF(OR($R110="Steel",$R110="Fighting",$R110="Ground"),1,0)),IF(OR($S110="Bug",$S110="Fire",$S110="Flying",$S110="Ice"),0-1,IF(OR($S110="Steel",$S110="Fighting",$S110="Ground"),1,0)))</f>
        <v>1</v>
      </c>
      <c r="AS110" s="507" t="n">
        <f aca="false">SUM(IF(OR($R110="Fairy",$R110="Ice",$R110="Rock"),0-1,IF(OR($R110="Steel",$R110="Electric",$R110="Fire",$R110="Water"),1,0)),IF(OR($S110="Fairy",$S110="Ice",$S110="Rock"),0-1,IF(OR($S110="Steel",$S110="Electric",$S110="Fire",$S110="Water"),1,0)))</f>
        <v>0</v>
      </c>
      <c r="AT110" s="508" t="n">
        <f aca="false">SUM(IF(OR($R110="Fire",$R110="Ground",$R110="Rock"),0-1,IF(OR($R110="Dragon",$R110="Grass",$R110="Water"),1,0)),IF(OR($S110="Fire",$S110="Ground",$S110="Rock"),0-1,IF(OR($S110="Dragon",$S110="Grass",$S110="Water"),1,0)))</f>
        <v>-1</v>
      </c>
      <c r="AU110" s="518"/>
    </row>
    <row r="111" customFormat="false" ht="15.75" hidden="false" customHeight="false" outlineLevel="0" collapsed="false">
      <c r="A111" s="515" t="str">
        <f aca="false" t="array" ref="A111:A111">IF(ISNA(INDEX(Source!$U$7:$U$95,MATCH(B111,Source!$V$7:$V$95,0))),"FREE",INDEX(Source!$U$7:$U$95,MATCH(B111,Source!$V$7:$V$95,0)))</f>
        <v>FREE</v>
      </c>
      <c r="B111" s="511" t="s">
        <v>384</v>
      </c>
      <c r="C111" s="511"/>
      <c r="D111" s="511"/>
      <c r="E111" s="499" t="str">
        <f aca="false">IF(SUM($W111:$X111)&gt;0,SUM($W111:$X111),IF($H111&gt;0,0,IF($H111&gt;0,0,"-")))</f>
        <v>-</v>
      </c>
      <c r="F111" s="499" t="str">
        <f aca="false">IF(SUM($Y111:$Z111)&gt;0,SUM($Y111:$Z111),IF($H111&gt;0,0,"-"))</f>
        <v>-</v>
      </c>
      <c r="G111" s="499" t="str">
        <f aca="false">IF($H111&gt;0,minus(E111,F111),"-")</f>
        <v>-</v>
      </c>
      <c r="H111" s="500" t="n">
        <f aca="false">SUM(COUNTIF(MatchSource!$A:$A,$B111),COUNTIF(MatchSource!$H:$H,$B111))</f>
        <v>0</v>
      </c>
      <c r="I111" s="501" t="n">
        <f aca="false">SUM($AA111:$AB111)</f>
        <v>0</v>
      </c>
      <c r="J111" s="501" t="s">
        <v>700</v>
      </c>
      <c r="K111" s="512" t="str">
        <f aca="false" t="array" ref="K111:K111">IF(ISNA(INDEX(DraftRosters!$AA$3:$AA$199,MATCH($B111,DraftRosters!$AB$3:$AB$199,0))),"FA",IF(INDEX(DraftRosters!$AA$3:$AA$199,MATCH($B111,DraftRosters!$AB$3:$AB$199,0))="Franchise","Franch",INDEX(DraftRosters!$AA$3:$AA$199,MATCH($B111,DraftRosters!$AB$3:$AB$199,0))))</f>
        <v>FA</v>
      </c>
      <c r="L111" s="507" t="n">
        <v>59</v>
      </c>
      <c r="M111" s="507" t="n">
        <v>110</v>
      </c>
      <c r="N111" s="507" t="n">
        <v>150</v>
      </c>
      <c r="O111" s="507" t="n">
        <v>45</v>
      </c>
      <c r="P111" s="507" t="n">
        <v>49</v>
      </c>
      <c r="Q111" s="508" t="n">
        <v>35</v>
      </c>
      <c r="R111" s="499" t="s">
        <v>802</v>
      </c>
      <c r="S111" s="501" t="s">
        <v>810</v>
      </c>
      <c r="T111" s="504" t="s">
        <v>950</v>
      </c>
      <c r="U111" s="505"/>
      <c r="V111" s="506"/>
      <c r="W111" s="500" t="str">
        <f aca="false">IFERROR(__xludf.dummyfunction("if(isna(SUM(FILTER(MatchSource!$A:$D,MatchSource!$A:$A=$B111))),0,SUM(FILTER(MatchSource!$A:$D,MatchSource!$A:$A=$B111)))"),"0")</f>
        <v>0</v>
      </c>
      <c r="X111" s="499" t="str">
        <f aca="false">IFERROR(__xludf.dummyfunction("if(isna(SUM(FILTER(MatchSource!$H:$K,MatchSource!$H:$H=$B111))),0,SUM(FILTER(MatchSource!$H:$K,MatchSource!$H:$H=$B111)))"),"0")</f>
        <v>0</v>
      </c>
      <c r="Y111" s="499" t="str">
        <f aca="false">IFERROR(__xludf.dummyfunction("if(isna(ABS(MINUS(SUM(FILTER(MatchSource!$A:$E,MatchSource!$A:$A=$B111)),SUM($W111)))),0,ABS(MINUS(SUM(FILTER(MatchSource!$A:$E,MatchSource!$A:$A=$B111)),SUM($W111))))"),"0")</f>
        <v>0</v>
      </c>
      <c r="Z111" s="499" t="str">
        <f aca="false">IFERROR(__xludf.dummyfunction("if(isna(ABS(MINUS(SUM(FILTER(MatchSource!$H:$L,MatchSource!$H:$H=$B111)),SUM($X111)))),0,ABS(MINUS(SUM(FILTER(MatchSource!$H:$L,MatchSource!$H:$H=$B111)),SUM($X111))))"),"0")</f>
        <v>0</v>
      </c>
      <c r="AA111" s="499" t="str">
        <f aca="false">IFERROR(__xludf.dummyfunction("if(isna(ABS(MINUS(SUM(FILTER(MatchSource!$A:$F,MatchSource!$A:$A=$B111)),SUM($W111,$Y111)))),0,ABS(MINUS(SUM(FILTER(MatchSource!$A:$F,MatchSource!$A:$A=$B111)),SUM($W111, $Y111,))))"),"0")</f>
        <v>0</v>
      </c>
      <c r="AB111" s="501" t="str">
        <f aca="false">IFERROR(__xludf.dummyfunction("if(isna(ABS(MINUS(SUM(FILTER(MatchSource!$H:$M,MatchSource!$H:$H=$B111)),SUM($X111,$Z111)))),0,ABS(MINUS(SUM(FILTER(MatchSource!$H:$M,MatchSource!$H:$H=$B111)),SUM($X111,$Z111))))"),"0")</f>
        <v>0</v>
      </c>
      <c r="AC111" s="507" t="n">
        <f aca="false">SUM(IF(OR($R111="Grass",$R111="Psychic",$R111="Dark"),0-1,IF(OR($R111="Fighting",$R111="Flying",$R111="Fire",$R111="Ghost",$R111="Poison",$R111="Steel",$R111="Fairy"),1,0)),IF(OR($S111="Grass",$S111="Psychic",$S111="Dark"),0-1,IF(OR($S111="Fighting",$S111="Flying",$S111="Fire",$S111="Ghost",$S111="Poison",$S111="Steel",$S111="Fairy"),1,0)))</f>
        <v>2</v>
      </c>
      <c r="AD111" s="507" t="n">
        <f aca="false">SUM(IF(OR($R111="Ghost",$R111="Psychic"),0-1,IF(OR($R111="Fighting",$R111="Dark",$R111="Fairy"),1,0)),IF(OR($S111="Ghost",$S111="Psychic"),0-1,IF(OR($S111="Fighting",$S111="Dark",$S111="Fairy"),1,0)))</f>
        <v>-1</v>
      </c>
      <c r="AE111" s="507" t="n">
        <f aca="false">IF(OR($R111="Fairy",$S111="Fairy"),4,SUM(IF($R111="Dragon",0-1,IF($R111="Steel",1,0)),IF($S111="Dragon",0-1,IF($S111="Steel",1,0))))</f>
        <v>1</v>
      </c>
      <c r="AF111" s="507" t="n">
        <f aca="false">IF(OR($R111="Ground",$S111="Ground"),4,SUM(IF(OR($R111="Flying",$R111="Water"),0-1,IF(OR($R111="Dragon",$R111="Electric",$R111="Grass"),1,0)),IF(OR($S111="Flying",$S111="Water"),0-1,IF(OR($S111="Dragon",$S111="Electric",$S111="Grass"),1,0))))</f>
        <v>0</v>
      </c>
      <c r="AG111" s="507" t="n">
        <f aca="false">SUM(IF(OR($R111="Dark",$R111="Dragon",$R111="Fighting"),0-1,IF(OR($R111="Steel",$R111="Poison",$R111="Fire"),1,0)),IF(OR($S111="Dark",$S111="Dragon",$S111="Fighting"),0-1,IF(OR($S111="Steel",$S111="Poison",$S111="Fire"),1,0)))</f>
        <v>1</v>
      </c>
      <c r="AH111" s="507" t="n">
        <f aca="false">IF(OR($R111="Ghost",$S111="Ghost"),4,SUM(IF(OR($R111="Dark",$R111="Ice",$R111="Normal",$R111="Rock",$R111="Steel"),0-1,IF(OR($R111="Bug",$R111="Fairy",$R111="Flying",$R111="Poison",$R111="Psychic"),1,0)),IF(OR($S111="Dark",$S111="Ice",$S111="Normal",$S111="Rock",$S111="Steel"),0-1,IF(OR($S111="Bug",$S111="Fairy",$S111="Flying",$S111="Poison",$S111="Psychic"),1,0))))</f>
        <v>4</v>
      </c>
      <c r="AI111" s="507" t="n">
        <f aca="false">SUM(IF(OR($R111="Bug",$R111="Grass",$R111="Ice",$R111="Steel"),0-1,IF(OR($R111="Dragon",$R111="Fire",$R111="Rock",$R111="Water"),1,0)),IF(OR($S111="Bug",$S111="Grass",$S111="Ice",$S111="Steel"),0-1,IF(OR($S111="Dragon",$S111="Fire",$S111="Rock",$S111="Water"),1,0)))</f>
        <v>-1</v>
      </c>
      <c r="AJ111" s="507" t="n">
        <f aca="false">SUM(IF(OR($R111="Bug",$R111="Grass",$R111="Fighting"),0-1,IF(OR($R111="Electric",$R111="Rock",$R111="Steel"),1,0)),IF(OR($S111="Bug",$S111="Grass",$S111="Fighting"),0-1,IF(OR($S111="Electric",$S111="Rock",$S111="Steel"),1,0)))</f>
        <v>1</v>
      </c>
      <c r="AK111" s="507" t="n">
        <f aca="false">IF(OR($R111="Normal",$S111="Normal"),4,SUM(IF(OR($R111="Ghost",$R111="Psychic"),0-1,IF($R111="Dark",1,0)),IF(OR($S111="Ghost",$S111="Psychic"),0-1,IF($S111="Dark",1,0))))</f>
        <v>-1</v>
      </c>
      <c r="AL111" s="507" t="n">
        <f aca="false">SUM(IF(OR($R111="Ground",$R111="Rock",$R111="Water"),0-1,IF(OR($R111="Bug",$R111="Flying",$R111="Fire",$R111="Dragon",$R111="Poison",$R111="Steel",$R111="Grass"),1,0)),IF(OR($S111="Ground",$S111="Rock",$S111="Water"),0-1,IF(OR($S111="Bug",$S111="Flying",$S111="Fire",$S111="Dragon",$S111="Poison",$S111="Steel",$S111="Grass"),1,0)))</f>
        <v>1</v>
      </c>
      <c r="AM111" s="507" t="n">
        <f aca="false">IF(OR($R111="Flying",$S111="Flying"),4,SUM(IF(OR($R111="Electric",$R111="Fire",$R111="Rock",$R111="Steel",$R111="Poison"),0-1,IF(OR($R111="Bug",$R111="Grass"),1,0)),IF(OR($S111="Electric",$S111="Fire",$S111="Rock",$S111="Steel",$S111="Poison"),0-1,IF(OR($S111="Bug",$S111="Grass"),1,0))))</f>
        <v>-1</v>
      </c>
      <c r="AN111" s="507" t="n">
        <f aca="false">SUM(IF(OR($R111="Flying",$R111="Dragon",$R111="Grass",$R111="Ground"),0-1,IF(OR($R111="Steel",$R111="Ice",$R111="Fire",$R111="Water"),1,0)),IF(OR($S111="Flying",$S111="Dragon",$S111="Grass",$S111="Ground"),0-1,IF(OR($S111="Steel",$S111="Ice",$S111="Fire",$S111="Water"),1,0)))</f>
        <v>1</v>
      </c>
      <c r="AO111" s="507" t="n">
        <f aca="false">IF(OR($R111="Ghost",$S111="Ghost"),4,SUM(IF(OR($R111="Steel",$R111="Rock"),1,0),IF(OR($S111="Steel",$S111="Rock"),1,0)))</f>
        <v>4</v>
      </c>
      <c r="AP111" s="507" t="n">
        <f aca="false">IF(OR($R111="Steel",$S111="Steel"),4,SUM(IF(OR($R111="Fairy",$R111="Grass"),0-1,IF(OR($R111="Ghost",$R111="Rock",$R111="Ground",$R111="Poison"),1,0)),IF(OR($S111="Fairy",$S111="Grass"),0-1,IF(OR($S111="Ghost",$S111="Rock",$S111="Ground",$S111="Poison"),1,0))))</f>
        <v>4</v>
      </c>
      <c r="AQ111" s="507" t="n">
        <f aca="false">IF(OR($R111="Dark",$S111="Dark"),4,SUM(IF(OR($R111="Fighting",$R111="Poison"),0-1,IF(OR($R111="Psychic",$R111="Steel"),1,0)),IF(OR($S111="Fighting",$S111="Poison"),0-1,IF(OR($S111="Psychic",$S111="Steel"),1,0))))</f>
        <v>1</v>
      </c>
      <c r="AR111" s="507" t="n">
        <f aca="false">SUM(IF(OR($R111="Bug",$R111="Fire",$R111="Flying",$R111="Ice"),0-1,IF(OR($R111="Steel",$R111="Fighting",$R111="Ground"),1,0)),IF(OR($S111="Bug",$S111="Fire",$S111="Flying",$S111="Ice"),0-1,IF(OR($S111="Steel",$S111="Fighting",$S111="Ground"),1,0)))</f>
        <v>1</v>
      </c>
      <c r="AS111" s="507" t="n">
        <f aca="false">SUM(IF(OR($R111="Fairy",$R111="Ice",$R111="Rock"),0-1,IF(OR($R111="Steel",$R111="Electric",$R111="Fire",$R111="Water"),1,0)),IF(OR($S111="Fairy",$S111="Ice",$S111="Rock"),0-1,IF(OR($S111="Steel",$S111="Electric",$S111="Fire",$S111="Water"),1,0)))</f>
        <v>1</v>
      </c>
      <c r="AT111" s="508" t="n">
        <f aca="false">SUM(IF(OR($R111="Fire",$R111="Ground",$R111="Rock"),0-1,IF(OR($R111="Dragon",$R111="Grass",$R111="Water"),1,0)),IF(OR($S111="Fire",$S111="Ground",$S111="Rock"),0-1,IF(OR($S111="Dragon",$S111="Grass",$S111="Water"),1,0)))</f>
        <v>0</v>
      </c>
      <c r="AU111" s="518"/>
    </row>
    <row r="112" customFormat="false" ht="15.75" hidden="false" customHeight="false" outlineLevel="0" collapsed="false">
      <c r="A112" s="515" t="str">
        <f aca="false" t="array" ref="A112:A112">IF(ISNA(INDEX(Source!$U$7:$U$95,MATCH(B112,Source!$V$7:$V$95,0))),"FREE",INDEX(Source!$U$7:$U$95,MATCH(B112,Source!$V$7:$V$95,0)))</f>
        <v>FREE</v>
      </c>
      <c r="B112" s="511" t="s">
        <v>389</v>
      </c>
      <c r="C112" s="511"/>
      <c r="D112" s="511"/>
      <c r="E112" s="499" t="str">
        <f aca="false">IF(SUM($W112:$X112)&gt;0,SUM($W112:$X112),IF($H112&gt;0,0,IF($H112&gt;0,0,"-")))</f>
        <v>-</v>
      </c>
      <c r="F112" s="499" t="str">
        <f aca="false">IF(SUM($Y112:$Z112)&gt;0,SUM($Y112:$Z112),IF($H112&gt;0,0,"-"))</f>
        <v>-</v>
      </c>
      <c r="G112" s="499" t="str">
        <f aca="false">IF($H112&gt;0,minus(E112,F112),"-")</f>
        <v>-</v>
      </c>
      <c r="H112" s="500" t="n">
        <f aca="false">SUM(COUNTIF(MatchSource!$A:$A,$B112),COUNTIF(MatchSource!$H:$H,$B112))</f>
        <v>0</v>
      </c>
      <c r="I112" s="501" t="n">
        <f aca="false">SUM($AA112:$AB112)</f>
        <v>0</v>
      </c>
      <c r="J112" s="501" t="s">
        <v>700</v>
      </c>
      <c r="K112" s="512" t="str">
        <f aca="false" t="array" ref="K112:K112">IF(ISNA(INDEX(DraftRosters!$AA$3:$AA$199,MATCH($B112,DraftRosters!$AB$3:$AB$199,0))),"FA",IF(INDEX(DraftRosters!$AA$3:$AA$199,MATCH($B112,DraftRosters!$AB$3:$AB$199,0))="Franchise","Franch",INDEX(DraftRosters!$AA$3:$AA$199,MATCH($B112,DraftRosters!$AB$3:$AB$199,0))))</f>
        <v>FA</v>
      </c>
      <c r="L112" s="507" t="n">
        <v>65</v>
      </c>
      <c r="M112" s="507" t="n">
        <v>75</v>
      </c>
      <c r="N112" s="507" t="n">
        <v>90</v>
      </c>
      <c r="O112" s="507" t="n">
        <v>97</v>
      </c>
      <c r="P112" s="507" t="n">
        <v>123</v>
      </c>
      <c r="Q112" s="508" t="n">
        <v>44</v>
      </c>
      <c r="R112" s="499" t="s">
        <v>835</v>
      </c>
      <c r="S112" s="501" t="s">
        <v>843</v>
      </c>
      <c r="T112" s="504" t="s">
        <v>874</v>
      </c>
      <c r="U112" s="505" t="s">
        <v>951</v>
      </c>
      <c r="V112" s="506" t="s">
        <v>952</v>
      </c>
      <c r="W112" s="500" t="str">
        <f aca="false">IFERROR(__xludf.dummyfunction("if(isna(SUM(FILTER(MatchSource!$A:$D,MatchSource!$A:$A=$B112))),0,SUM(FILTER(MatchSource!$A:$D,MatchSource!$A:$A=$B112)))"),"0")</f>
        <v>0</v>
      </c>
      <c r="X112" s="499" t="str">
        <f aca="false">IFERROR(__xludf.dummyfunction("if(isna(SUM(FILTER(MatchSource!$H:$K,MatchSource!$H:$H=$B112))),0,SUM(FILTER(MatchSource!$H:$K,MatchSource!$H:$H=$B112)))"),"0")</f>
        <v>0</v>
      </c>
      <c r="Y112" s="499" t="str">
        <f aca="false">IFERROR(__xludf.dummyfunction("if(isna(ABS(MINUS(SUM(FILTER(MatchSource!$A:$E,MatchSource!$A:$A=$B112)),SUM($W112)))),0,ABS(MINUS(SUM(FILTER(MatchSource!$A:$E,MatchSource!$A:$A=$B112)),SUM($W112))))"),"0")</f>
        <v>0</v>
      </c>
      <c r="Z112" s="499" t="str">
        <f aca="false">IFERROR(__xludf.dummyfunction("if(isna(ABS(MINUS(SUM(FILTER(MatchSource!$H:$L,MatchSource!$H:$H=$B112)),SUM($X112)))),0,ABS(MINUS(SUM(FILTER(MatchSource!$H:$L,MatchSource!$H:$H=$B112)),SUM($X112))))"),"0")</f>
        <v>0</v>
      </c>
      <c r="AA112" s="499" t="str">
        <f aca="false">IFERROR(__xludf.dummyfunction("if(isna(ABS(MINUS(SUM(FILTER(MatchSource!$A:$F,MatchSource!$A:$A=$B112)),SUM($W112,$Y112)))),0,ABS(MINUS(SUM(FILTER(MatchSource!$A:$F,MatchSource!$A:$A=$B112)),SUM($W112, $Y112,))))"),"0")</f>
        <v>0</v>
      </c>
      <c r="AB112" s="501" t="str">
        <f aca="false">IFERROR(__xludf.dummyfunction("if(isna(ABS(MINUS(SUM(FILTER(MatchSource!$H:$M,MatchSource!$H:$H=$B112)),SUM($X112,$Z112)))),0,ABS(MINUS(SUM(FILTER(MatchSource!$H:$M,MatchSource!$H:$H=$B112)),SUM($X112,$Z112))))"),"0")</f>
        <v>0</v>
      </c>
      <c r="AC112" s="507" t="n">
        <f aca="false">SUM(IF(OR($R112="Grass",$R112="Psychic",$R112="Dark"),0-1,IF(OR($R112="Fighting",$R112="Flying",$R112="Fire",$R112="Ghost",$R112="Poison",$R112="Steel",$R112="Fairy"),1,0)),IF(OR($S112="Grass",$S112="Psychic",$S112="Dark"),0-1,IF(OR($S112="Fighting",$S112="Flying",$S112="Fire",$S112="Ghost",$S112="Poison",$S112="Steel",$S112="Fairy"),1,0)))</f>
        <v>1</v>
      </c>
      <c r="AD112" s="507" t="n">
        <f aca="false">SUM(IF(OR($R112="Ghost",$R112="Psychic"),0-1,IF(OR($R112="Fighting",$R112="Dark",$R112="Fairy"),1,0)),IF(OR($S112="Ghost",$S112="Psychic"),0-1,IF(OR($S112="Fighting",$S112="Dark",$S112="Fairy"),1,0)))</f>
        <v>0</v>
      </c>
      <c r="AE112" s="507" t="n">
        <f aca="false">IF(OR($R112="Fairy",$S112="Fairy"),4,SUM(IF($R112="Dragon",0-1,IF($R112="Steel",1,0)),IF($S112="Dragon",0-1,IF($S112="Steel",1,0))))</f>
        <v>-1</v>
      </c>
      <c r="AF112" s="507" t="n">
        <f aca="false">IF(OR($R112="Ground",$S112="Ground"),4,SUM(IF(OR($R112="Flying",$R112="Water"),0-1,IF(OR($R112="Dragon",$R112="Electric",$R112="Grass"),1,0)),IF(OR($S112="Flying",$S112="Water"),0-1,IF(OR($S112="Dragon",$S112="Electric",$S112="Grass"),1,0))))</f>
        <v>1</v>
      </c>
      <c r="AG112" s="507" t="n">
        <f aca="false">SUM(IF(OR($R112="Dark",$R112="Dragon",$R112="Fighting"),0-1,IF(OR($R112="Steel",$R112="Poison",$R112="Fire"),1,0)),IF(OR($S112="Dark",$S112="Dragon",$S112="Fighting"),0-1,IF(OR($S112="Steel",$S112="Poison",$S112="Fire"),1,0)))</f>
        <v>0</v>
      </c>
      <c r="AH112" s="507" t="n">
        <f aca="false">IF(OR($R112="Ghost",$S112="Ghost"),4,SUM(IF(OR($R112="Dark",$R112="Ice",$R112="Normal",$R112="Rock",$R112="Steel"),0-1,IF(OR($R112="Bug",$R112="Fairy",$R112="Flying",$R112="Poison",$R112="Psychic"),1,0)),IF(OR($S112="Dark",$S112="Ice",$S112="Normal",$S112="Rock",$S112="Steel"),0-1,IF(OR($S112="Bug",$S112="Fairy",$S112="Flying",$S112="Poison",$S112="Psychic"),1,0))))</f>
        <v>1</v>
      </c>
      <c r="AI112" s="507" t="n">
        <f aca="false">SUM(IF(OR($R112="Bug",$R112="Grass",$R112="Ice",$R112="Steel"),0-1,IF(OR($R112="Dragon",$R112="Fire",$R112="Rock",$R112="Water"),1,0)),IF(OR($S112="Bug",$S112="Grass",$S112="Ice",$S112="Steel"),0-1,IF(OR($S112="Dragon",$S112="Fire",$S112="Rock",$S112="Water"),1,0)))</f>
        <v>1</v>
      </c>
      <c r="AJ112" s="507" t="n">
        <f aca="false">SUM(IF(OR($R112="Bug",$R112="Grass",$R112="Fighting"),0-1,IF(OR($R112="Electric",$R112="Rock",$R112="Steel"),1,0)),IF(OR($S112="Bug",$S112="Grass",$S112="Fighting"),0-1,IF(OR($S112="Electric",$S112="Rock",$S112="Steel"),1,0)))</f>
        <v>0</v>
      </c>
      <c r="AK112" s="507" t="n">
        <f aca="false">IF(OR($R112="Normal",$S112="Normal"),4,SUM(IF(OR($R112="Ghost",$R112="Psychic"),0-1,IF($R112="Dark",1,0)),IF(OR($S112="Ghost",$S112="Psychic"),0-1,IF($S112="Dark",1,0))))</f>
        <v>0</v>
      </c>
      <c r="AL112" s="507" t="n">
        <f aca="false">SUM(IF(OR($R112="Ground",$R112="Rock",$R112="Water"),0-1,IF(OR($R112="Bug",$R112="Flying",$R112="Fire",$R112="Dragon",$R112="Poison",$R112="Steel",$R112="Grass"),1,0)),IF(OR($S112="Ground",$S112="Rock",$S112="Water"),0-1,IF(OR($S112="Bug",$S112="Flying",$S112="Fire",$S112="Dragon",$S112="Poison",$S112="Steel",$S112="Grass"),1,0)))</f>
        <v>2</v>
      </c>
      <c r="AM112" s="507" t="n">
        <f aca="false">IF(OR($R112="Flying",$S112="Flying"),4,SUM(IF(OR($R112="Electric",$R112="Fire",$R112="Rock",$R112="Steel",$R112="Poison"),0-1,IF(OR($R112="Bug",$R112="Grass"),1,0)),IF(OR($S112="Electric",$S112="Fire",$S112="Rock",$S112="Steel",$S112="Poison"),0-1,IF(OR($S112="Bug",$S112="Grass"),1,0))))</f>
        <v>-1</v>
      </c>
      <c r="AN112" s="507" t="n">
        <f aca="false">SUM(IF(OR($R112="Flying",$R112="Dragon",$R112="Grass",$R112="Ground"),0-1,IF(OR($R112="Steel",$R112="Ice",$R112="Fire",$R112="Water"),1,0)),IF(OR($S112="Flying",$S112="Dragon",$S112="Grass",$S112="Ground"),0-1,IF(OR($S112="Steel",$S112="Ice",$S112="Fire",$S112="Water"),1,0)))</f>
        <v>-1</v>
      </c>
      <c r="AO112" s="507" t="n">
        <f aca="false">IF(OR($R112="Ghost",$S112="Ghost"),4,SUM(IF(OR($R112="Steel",$R112="Rock"),1,0),IF(OR($S112="Steel",$S112="Rock"),1,0)))</f>
        <v>0</v>
      </c>
      <c r="AP112" s="507" t="n">
        <f aca="false">IF(OR($R112="Steel",$S112="Steel"),4,SUM(IF(OR($R112="Fairy",$R112="Grass"),0-1,IF(OR($R112="Ghost",$R112="Rock",$R112="Ground",$R112="Poison"),1,0)),IF(OR($S112="Fairy",$S112="Grass"),0-1,IF(OR($S112="Ghost",$S112="Rock",$S112="Ground",$S112="Poison"),1,0))))</f>
        <v>1</v>
      </c>
      <c r="AQ112" s="507" t="n">
        <f aca="false">IF(OR($R112="Dark",$S112="Dark"),4,SUM(IF(OR($R112="Fighting",$R112="Poison"),0-1,IF(OR($R112="Psychic",$R112="Steel"),1,0)),IF(OR($S112="Fighting",$S112="Poison"),0-1,IF(OR($S112="Psychic",$S112="Steel"),1,0))))</f>
        <v>-1</v>
      </c>
      <c r="AR112" s="507" t="n">
        <f aca="false">SUM(IF(OR($R112="Bug",$R112="Fire",$R112="Flying",$R112="Ice"),0-1,IF(OR($R112="Steel",$R112="Fighting",$R112="Ground"),1,0)),IF(OR($S112="Bug",$S112="Fire",$S112="Flying",$S112="Ice"),0-1,IF(OR($S112="Steel",$S112="Fighting",$S112="Ground"),1,0)))</f>
        <v>0</v>
      </c>
      <c r="AS112" s="507" t="n">
        <f aca="false">SUM(IF(OR($R112="Fairy",$R112="Ice",$R112="Rock"),0-1,IF(OR($R112="Steel",$R112="Electric",$R112="Fire",$R112="Water"),1,0)),IF(OR($S112="Fairy",$S112="Ice",$S112="Rock"),0-1,IF(OR($S112="Steel",$S112="Electric",$S112="Fire",$S112="Water"),1,0)))</f>
        <v>0</v>
      </c>
      <c r="AT112" s="508" t="n">
        <f aca="false">SUM(IF(OR($R112="Fire",$R112="Ground",$R112="Rock"),0-1,IF(OR($R112="Dragon",$R112="Grass",$R112="Water"),1,0)),IF(OR($S112="Fire",$S112="Ground",$S112="Rock"),0-1,IF(OR($S112="Dragon",$S112="Grass",$S112="Water"),1,0)))</f>
        <v>1</v>
      </c>
      <c r="AU112" s="518"/>
    </row>
    <row r="113" customFormat="false" ht="15.75" hidden="false" customHeight="false" outlineLevel="0" collapsed="false">
      <c r="A113" s="515" t="str">
        <f aca="false" t="array" ref="A113:A113">IF(ISNA(INDEX(Source!$U$7:$U$95,MATCH(B113,Source!$V$7:$V$95,0))),"FREE",INDEX(Source!$U$7:$U$95,MATCH(B113,Source!$V$7:$V$95,0)))</f>
        <v>FREE</v>
      </c>
      <c r="B113" s="511" t="s">
        <v>320</v>
      </c>
      <c r="C113" s="511"/>
      <c r="D113" s="511"/>
      <c r="E113" s="499" t="str">
        <f aca="false">IF(SUM($W113:$X113)&gt;0,SUM($W113:$X113),IF($H113&gt;0,0,IF($H113&gt;0,0,"-")))</f>
        <v>-</v>
      </c>
      <c r="F113" s="499" t="str">
        <f aca="false">IF(SUM($Y113:$Z113)&gt;0,SUM($Y113:$Z113),IF($H113&gt;0,0,"-"))</f>
        <v>-</v>
      </c>
      <c r="G113" s="499" t="str">
        <f aca="false">IF($H113&gt;0,minus(E113,F113),"-")</f>
        <v>-</v>
      </c>
      <c r="H113" s="500" t="n">
        <f aca="false">SUM(COUNTIF(MatchSource!$A:$A,$B113),COUNTIF(MatchSource!$H:$H,$B113))</f>
        <v>0</v>
      </c>
      <c r="I113" s="501" t="n">
        <f aca="false">SUM($AA113:$AB113)</f>
        <v>0</v>
      </c>
      <c r="J113" s="501" t="s">
        <v>698</v>
      </c>
      <c r="K113" s="512" t="str">
        <f aca="false" t="array" ref="K113:K113">IF(ISNA(INDEX(DraftRosters!$AA$3:$AA$199,MATCH($B113,DraftRosters!$AB$3:$AB$199,0))),"FA",IF(INDEX(DraftRosters!$AA$3:$AA$199,MATCH($B113,DraftRosters!$AB$3:$AB$199,0))="Franchise","Franch",INDEX(DraftRosters!$AA$3:$AA$199,MATCH($B113,DraftRosters!$AB$3:$AB$199,0))))</f>
        <v>FA</v>
      </c>
      <c r="L113" s="499" t="n">
        <v>91</v>
      </c>
      <c r="M113" s="499" t="n">
        <v>135</v>
      </c>
      <c r="N113" s="499" t="n">
        <v>95</v>
      </c>
      <c r="O113" s="499" t="n">
        <v>100</v>
      </c>
      <c r="P113" s="499" t="n">
        <v>100</v>
      </c>
      <c r="Q113" s="501" t="n">
        <v>80</v>
      </c>
      <c r="R113" s="499" t="s">
        <v>835</v>
      </c>
      <c r="S113" s="501" t="s">
        <v>801</v>
      </c>
      <c r="T113" s="504" t="s">
        <v>829</v>
      </c>
      <c r="U113" s="505" t="s">
        <v>953</v>
      </c>
      <c r="V113" s="506"/>
      <c r="W113" s="500" t="str">
        <f aca="false">IFERROR(__xludf.dummyfunction("if(isna(SUM(FILTER(MatchSource!$A:$D,MatchSource!$A:$A=$B113))),0,SUM(FILTER(MatchSource!$A:$D,MatchSource!$A:$A=$B113)))"),"0")</f>
        <v>0</v>
      </c>
      <c r="X113" s="499" t="str">
        <f aca="false">IFERROR(__xludf.dummyfunction("if(isna(SUM(FILTER(MatchSource!$H:$K,MatchSource!$H:$H=$B113))),0,SUM(FILTER(MatchSource!$H:$K,MatchSource!$H:$H=$B113)))"),"0")</f>
        <v>0</v>
      </c>
      <c r="Y113" s="499" t="str">
        <f aca="false">IFERROR(__xludf.dummyfunction("if(isna(ABS(MINUS(SUM(FILTER(MatchSource!$A:$E,MatchSource!$A:$A=$B113)),SUM($W113)))),0,ABS(MINUS(SUM(FILTER(MatchSource!$A:$E,MatchSource!$A:$A=$B113)),SUM($W113))))"),"0")</f>
        <v>0</v>
      </c>
      <c r="Z113" s="499" t="str">
        <f aca="false">IFERROR(__xludf.dummyfunction("if(isna(ABS(MINUS(SUM(FILTER(MatchSource!$H:$L,MatchSource!$H:$H=$B113)),SUM($X113)))),0,ABS(MINUS(SUM(FILTER(MatchSource!$H:$L,MatchSource!$H:$H=$B113)),SUM($X113))))"),"0")</f>
        <v>0</v>
      </c>
      <c r="AA113" s="499" t="str">
        <f aca="false">IFERROR(__xludf.dummyfunction("if(isna(ABS(MINUS(SUM(FILTER(MatchSource!$A:$F,MatchSource!$A:$A=$B113)),SUM($W113,$Y113)))),0,ABS(MINUS(SUM(FILTER(MatchSource!$A:$F,MatchSource!$A:$A=$B113)),SUM($W113, $Y113,))))"),"0")</f>
        <v>0</v>
      </c>
      <c r="AB113" s="501" t="str">
        <f aca="false">IFERROR(__xludf.dummyfunction("if(isna(ABS(MINUS(SUM(FILTER(MatchSource!$H:$M,MatchSource!$H:$H=$B113)),SUM($X113,$Z113)))),0,ABS(MINUS(SUM(FILTER(MatchSource!$H:$M,MatchSource!$H:$H=$B113)),SUM($X113,$Z113))))"),"0")</f>
        <v>0</v>
      </c>
      <c r="AC113" s="507" t="n">
        <f aca="false">SUM(IF(OR($R113="Grass",$R113="Psychic",$R113="Dark"),0-1,IF(OR($R113="Fighting",$R113="Flying",$R113="Fire",$R113="Ghost",$R113="Poison",$R113="Steel",$R113="Fairy"),1,0)),IF(OR($S113="Grass",$S113="Psychic",$S113="Dark"),0-1,IF(OR($S113="Fighting",$S113="Flying",$S113="Fire",$S113="Ghost",$S113="Poison",$S113="Steel",$S113="Fairy"),1,0)))</f>
        <v>1</v>
      </c>
      <c r="AD113" s="507" t="n">
        <f aca="false">SUM(IF(OR($R113="Ghost",$R113="Psychic"),0-1,IF(OR($R113="Fighting",$R113="Dark",$R113="Fairy"),1,0)),IF(OR($S113="Ghost",$S113="Psychic"),0-1,IF(OR($S113="Fighting",$S113="Dark",$S113="Fairy"),1,0)))</f>
        <v>0</v>
      </c>
      <c r="AE113" s="507" t="n">
        <f aca="false">IF(OR($R113="Fairy",$S113="Fairy"),4,SUM(IF($R113="Dragon",0-1,IF($R113="Steel",1,0)),IF($S113="Dragon",0-1,IF($S113="Steel",1,0))))</f>
        <v>-1</v>
      </c>
      <c r="AF113" s="507" t="n">
        <f aca="false">IF(OR($R113="Ground",$S113="Ground"),4,SUM(IF(OR($R113="Flying",$R113="Water"),0-1,IF(OR($R113="Dragon",$R113="Electric",$R113="Grass"),1,0)),IF(OR($S113="Flying",$S113="Water"),0-1,IF(OR($S113="Dragon",$S113="Electric",$S113="Grass"),1,0))))</f>
        <v>0</v>
      </c>
      <c r="AG113" s="507" t="n">
        <f aca="false">SUM(IF(OR($R113="Dark",$R113="Dragon",$R113="Fighting"),0-1,IF(OR($R113="Steel",$R113="Poison",$R113="Fire"),1,0)),IF(OR($S113="Dark",$S113="Dragon",$S113="Fighting"),0-1,IF(OR($S113="Steel",$S113="Poison",$S113="Fire"),1,0)))</f>
        <v>-1</v>
      </c>
      <c r="AH113" s="507" t="n">
        <f aca="false">IF(OR($R113="Ghost",$S113="Ghost"),4,SUM(IF(OR($R113="Dark",$R113="Ice",$R113="Normal",$R113="Rock",$R113="Steel"),0-1,IF(OR($R113="Bug",$R113="Fairy",$R113="Flying",$R113="Poison",$R113="Psychic"),1,0)),IF(OR($S113="Dark",$S113="Ice",$S113="Normal",$S113="Rock",$S113="Steel"),0-1,IF(OR($S113="Bug",$S113="Fairy",$S113="Flying",$S113="Poison",$S113="Psychic"),1,0))))</f>
        <v>1</v>
      </c>
      <c r="AI113" s="507" t="n">
        <f aca="false">SUM(IF(OR($R113="Bug",$R113="Grass",$R113="Ice",$R113="Steel"),0-1,IF(OR($R113="Dragon",$R113="Fire",$R113="Rock",$R113="Water"),1,0)),IF(OR($S113="Bug",$S113="Grass",$S113="Ice",$S113="Steel"),0-1,IF(OR($S113="Dragon",$S113="Fire",$S113="Rock",$S113="Water"),1,0)))</f>
        <v>1</v>
      </c>
      <c r="AJ113" s="507" t="n">
        <f aca="false">SUM(IF(OR($R113="Bug",$R113="Grass",$R113="Fighting"),0-1,IF(OR($R113="Electric",$R113="Rock",$R113="Steel"),1,0)),IF(OR($S113="Bug",$S113="Grass",$S113="Fighting"),0-1,IF(OR($S113="Electric",$S113="Rock",$S113="Steel"),1,0)))</f>
        <v>0</v>
      </c>
      <c r="AK113" s="507" t="n">
        <f aca="false">IF(OR($R113="Normal",$S113="Normal"),4,SUM(IF(OR($R113="Ghost",$R113="Psychic"),0-1,IF($R113="Dark",1,0)),IF(OR($S113="Ghost",$S113="Psychic"),0-1,IF($S113="Dark",1,0))))</f>
        <v>0</v>
      </c>
      <c r="AL113" s="507" t="n">
        <f aca="false">SUM(IF(OR($R113="Ground",$R113="Rock",$R113="Water"),0-1,IF(OR($R113="Bug",$R113="Flying",$R113="Fire",$R113="Dragon",$R113="Poison",$R113="Steel",$R113="Grass"),1,0)),IF(OR($S113="Ground",$S113="Rock",$S113="Water"),0-1,IF(OR($S113="Bug",$S113="Flying",$S113="Fire",$S113="Dragon",$S113="Poison",$S113="Steel",$S113="Grass"),1,0)))</f>
        <v>2</v>
      </c>
      <c r="AM113" s="507" t="n">
        <f aca="false">IF(OR($R113="Flying",$S113="Flying"),4,SUM(IF(OR($R113="Electric",$R113="Fire",$R113="Rock",$R113="Steel",$R113="Poison"),0-1,IF(OR($R113="Bug",$R113="Grass"),1,0)),IF(OR($S113="Electric",$S113="Fire",$S113="Rock",$S113="Steel",$S113="Poison"),0-1,IF(OR($S113="Bug",$S113="Grass"),1,0))))</f>
        <v>4</v>
      </c>
      <c r="AN113" s="507" t="n">
        <f aca="false">SUM(IF(OR($R113="Flying",$R113="Dragon",$R113="Grass",$R113="Ground"),0-1,IF(OR($R113="Steel",$R113="Ice",$R113="Fire",$R113="Water"),1,0)),IF(OR($S113="Flying",$S113="Dragon",$S113="Grass",$S113="Ground"),0-1,IF(OR($S113="Steel",$S113="Ice",$S113="Fire",$S113="Water"),1,0)))</f>
        <v>-2</v>
      </c>
      <c r="AO113" s="507" t="n">
        <f aca="false">IF(OR($R113="Ghost",$S113="Ghost"),4,SUM(IF(OR($R113="Steel",$R113="Rock"),1,0),IF(OR($S113="Steel",$S113="Rock"),1,0)))</f>
        <v>0</v>
      </c>
      <c r="AP113" s="507" t="n">
        <f aca="false">IF(OR($R113="Steel",$S113="Steel"),4,SUM(IF(OR($R113="Fairy",$R113="Grass"),0-1,IF(OR($R113="Ghost",$R113="Rock",$R113="Ground",$R113="Poison"),1,0)),IF(OR($S113="Fairy",$S113="Grass"),0-1,IF(OR($S113="Ghost",$S113="Rock",$S113="Ground",$S113="Poison"),1,0))))</f>
        <v>0</v>
      </c>
      <c r="AQ113" s="507" t="n">
        <f aca="false">IF(OR($R113="Dark",$S113="Dark"),4,SUM(IF(OR($R113="Fighting",$R113="Poison"),0-1,IF(OR($R113="Psychic",$R113="Steel"),1,0)),IF(OR($S113="Fighting",$S113="Poison"),0-1,IF(OR($S113="Psychic",$S113="Steel"),1,0))))</f>
        <v>0</v>
      </c>
      <c r="AR113" s="507" t="n">
        <f aca="false">SUM(IF(OR($R113="Bug",$R113="Fire",$R113="Flying",$R113="Ice"),0-1,IF(OR($R113="Steel",$R113="Fighting",$R113="Ground"),1,0)),IF(OR($S113="Bug",$S113="Fire",$S113="Flying",$S113="Ice"),0-1,IF(OR($S113="Steel",$S113="Fighting",$S113="Ground"),1,0)))</f>
        <v>-1</v>
      </c>
      <c r="AS113" s="507" t="n">
        <f aca="false">SUM(IF(OR($R113="Fairy",$R113="Ice",$R113="Rock"),0-1,IF(OR($R113="Steel",$R113="Electric",$R113="Fire",$R113="Water"),1,0)),IF(OR($S113="Fairy",$S113="Ice",$S113="Rock"),0-1,IF(OR($S113="Steel",$S113="Electric",$S113="Fire",$S113="Water"),1,0)))</f>
        <v>0</v>
      </c>
      <c r="AT113" s="508" t="n">
        <f aca="false">SUM(IF(OR($R113="Fire",$R113="Ground",$R113="Rock"),0-1,IF(OR($R113="Dragon",$R113="Grass",$R113="Water"),1,0)),IF(OR($S113="Fire",$S113="Ground",$S113="Rock"),0-1,IF(OR($S113="Dragon",$S113="Grass",$S113="Water"),1,0)))</f>
        <v>1</v>
      </c>
      <c r="AU113" s="518"/>
    </row>
    <row r="114" customFormat="false" ht="15.75" hidden="false" customHeight="false" outlineLevel="0" collapsed="false">
      <c r="A114" s="510" t="str">
        <f aca="false" t="array" ref="A114:A114">IF(ISNA(INDEX(Source!$U$7:$U$95,MATCH(B114,Source!$V$7:$V$95,0))),"FREE",INDEX(Source!$U$7:$U$95,MATCH(B114,Source!$V$7:$V$95,0)))</f>
        <v>FREE</v>
      </c>
      <c r="B114" s="511" t="s">
        <v>428</v>
      </c>
      <c r="C114" s="511"/>
      <c r="D114" s="511"/>
      <c r="E114" s="499" t="str">
        <f aca="false">IF(SUM($W114:$X114)&gt;0,SUM($W114:$X114),IF($H114&gt;0,0,IF($H114&gt;0,0,"-")))</f>
        <v>-</v>
      </c>
      <c r="F114" s="499" t="str">
        <f aca="false">IF(SUM($Y114:$Z114)&gt;0,SUM($Y114:$Z114),IF($H114&gt;0,0,"-"))</f>
        <v>-</v>
      </c>
      <c r="G114" s="499" t="str">
        <f aca="false">IF($H114&gt;0,minus(E114,F114),"-")</f>
        <v>-</v>
      </c>
      <c r="H114" s="500" t="n">
        <f aca="false">SUM(COUNTIF(MatchSource!$A:$A,$B114),COUNTIF(MatchSource!$H:$H,$B114))</f>
        <v>0</v>
      </c>
      <c r="I114" s="501" t="n">
        <f aca="false">SUM($AA114:$AB114)</f>
        <v>0</v>
      </c>
      <c r="J114" s="501" t="s">
        <v>701</v>
      </c>
      <c r="K114" s="512" t="str">
        <f aca="false" t="array" ref="K114:K114">IF(ISNA(INDEX(DraftRosters!$AA$3:$AA$199,MATCH($B114,DraftRosters!$AB$3:$AB$199,0))),"FA",IF(INDEX(DraftRosters!$AA$3:$AA$199,MATCH($B114,DraftRosters!$AB$3:$AB$199,0))="Franchise","Franch",INDEX(DraftRosters!$AA$3:$AA$199,MATCH($B114,DraftRosters!$AB$3:$AB$199,0))))</f>
        <v>FA</v>
      </c>
      <c r="L114" s="499" t="n">
        <v>78</v>
      </c>
      <c r="M114" s="499" t="n">
        <v>60</v>
      </c>
      <c r="N114" s="499" t="n">
        <v>85</v>
      </c>
      <c r="O114" s="499" t="n">
        <v>135</v>
      </c>
      <c r="P114" s="499" t="n">
        <v>91</v>
      </c>
      <c r="Q114" s="501" t="n">
        <v>36</v>
      </c>
      <c r="R114" s="499" t="s">
        <v>835</v>
      </c>
      <c r="S114" s="501" t="s">
        <v>839</v>
      </c>
      <c r="T114" s="504" t="s">
        <v>954</v>
      </c>
      <c r="U114" s="505" t="s">
        <v>869</v>
      </c>
      <c r="V114" s="506" t="s">
        <v>836</v>
      </c>
      <c r="W114" s="500" t="str">
        <f aca="false">IFERROR(__xludf.dummyfunction("if(isna(SUM(FILTER(MatchSource!$A:$D,MatchSource!$A:$A=$B114))),0,SUM(FILTER(MatchSource!$A:$D,MatchSource!$A:$A=$B114)))"),"0")</f>
        <v>0</v>
      </c>
      <c r="X114" s="499" t="str">
        <f aca="false">IFERROR(__xludf.dummyfunction("if(isna(SUM(FILTER(MatchSource!$H:$K,MatchSource!$H:$H=$B114))),0,SUM(FILTER(MatchSource!$H:$K,MatchSource!$H:$H=$B114)))"),"0")</f>
        <v>0</v>
      </c>
      <c r="Y114" s="499" t="str">
        <f aca="false">IFERROR(__xludf.dummyfunction("if(isna(ABS(MINUS(SUM(FILTER(MatchSource!$A:$E,MatchSource!$A:$A=$B114)),SUM($W114)))),0,ABS(MINUS(SUM(FILTER(MatchSource!$A:$E,MatchSource!$A:$A=$B114)),SUM($W114))))"),"0")</f>
        <v>0</v>
      </c>
      <c r="Z114" s="499" t="str">
        <f aca="false">IFERROR(__xludf.dummyfunction("if(isna(ABS(MINUS(SUM(FILTER(MatchSource!$H:$L,MatchSource!$H:$H=$B114)),SUM($X114)))),0,ABS(MINUS(SUM(FILTER(MatchSource!$H:$L,MatchSource!$H:$H=$B114)),SUM($X114))))"),"0")</f>
        <v>0</v>
      </c>
      <c r="AA114" s="499" t="str">
        <f aca="false">IFERROR(__xludf.dummyfunction("if(isna(ABS(MINUS(SUM(FILTER(MatchSource!$A:$F,MatchSource!$A:$A=$B114)),SUM($W114,$Y114)))),0,ABS(MINUS(SUM(FILTER(MatchSource!$A:$F,MatchSource!$A:$A=$B114)),SUM($W114, $Y114,))))"),"0")</f>
        <v>0</v>
      </c>
      <c r="AB114" s="501" t="str">
        <f aca="false">IFERROR(__xludf.dummyfunction("if(isna(ABS(MINUS(SUM(FILTER(MatchSource!$H:$M,MatchSource!$H:$H=$B114)),SUM($X114,$Z114)))),0,ABS(MINUS(SUM(FILTER(MatchSource!$H:$M,MatchSource!$H:$H=$B114)),SUM($X114,$Z114))))"),"0")</f>
        <v>0</v>
      </c>
      <c r="AC114" s="507" t="n">
        <f aca="false">SUM(IF(OR($R114="Grass",$R114="Psychic",$R114="Dark"),0-1,IF(OR($R114="Fighting",$R114="Flying",$R114="Fire",$R114="Ghost",$R114="Poison",$R114="Steel",$R114="Fairy"),1,0)),IF(OR($S114="Grass",$S114="Psychic",$S114="Dark"),0-1,IF(OR($S114="Fighting",$S114="Flying",$S114="Fire",$S114="Ghost",$S114="Poison",$S114="Steel",$S114="Fairy"),1,0)))</f>
        <v>0</v>
      </c>
      <c r="AD114" s="507" t="n">
        <f aca="false">SUM(IF(OR($R114="Ghost",$R114="Psychic"),0-1,IF(OR($R114="Fighting",$R114="Dark",$R114="Fairy"),1,0)),IF(OR($S114="Ghost",$S114="Psychic"),0-1,IF(OR($S114="Fighting",$S114="Dark",$S114="Fairy"),1,0)))</f>
        <v>0</v>
      </c>
      <c r="AE114" s="507" t="n">
        <f aca="false">IF(OR($R114="Fairy",$S114="Fairy"),4,SUM(IF($R114="Dragon",0-1,IF($R114="Steel",1,0)),IF($S114="Dragon",0-1,IF($S114="Steel",1,0))))</f>
        <v>-1</v>
      </c>
      <c r="AF114" s="507" t="n">
        <f aca="false">IF(OR($R114="Ground",$S114="Ground"),4,SUM(IF(OR($R114="Flying",$R114="Water"),0-1,IF(OR($R114="Dragon",$R114="Electric",$R114="Grass"),1,0)),IF(OR($S114="Flying",$S114="Water"),0-1,IF(OR($S114="Dragon",$S114="Electric",$S114="Grass"),1,0))))</f>
        <v>1</v>
      </c>
      <c r="AG114" s="507" t="n">
        <f aca="false">SUM(IF(OR($R114="Dark",$R114="Dragon",$R114="Fighting"),0-1,IF(OR($R114="Steel",$R114="Poison",$R114="Fire"),1,0)),IF(OR($S114="Dark",$S114="Dragon",$S114="Fighting"),0-1,IF(OR($S114="Steel",$S114="Poison",$S114="Fire"),1,0)))</f>
        <v>-1</v>
      </c>
      <c r="AH114" s="507" t="n">
        <f aca="false">IF(OR($R114="Ghost",$S114="Ghost"),4,SUM(IF(OR($R114="Dark",$R114="Ice",$R114="Normal",$R114="Rock",$R114="Steel"),0-1,IF(OR($R114="Bug",$R114="Fairy",$R114="Flying",$R114="Poison",$R114="Psychic"),1,0)),IF(OR($S114="Dark",$S114="Ice",$S114="Normal",$S114="Rock",$S114="Steel"),0-1,IF(OR($S114="Bug",$S114="Fairy",$S114="Flying",$S114="Poison",$S114="Psychic"),1,0))))</f>
        <v>-1</v>
      </c>
      <c r="AI114" s="507" t="n">
        <f aca="false">SUM(IF(OR($R114="Bug",$R114="Grass",$R114="Ice",$R114="Steel"),0-1,IF(OR($R114="Dragon",$R114="Fire",$R114="Rock",$R114="Water"),1,0)),IF(OR($S114="Bug",$S114="Grass",$S114="Ice",$S114="Steel"),0-1,IF(OR($S114="Dragon",$S114="Fire",$S114="Rock",$S114="Water"),1,0)))</f>
        <v>1</v>
      </c>
      <c r="AJ114" s="507" t="n">
        <f aca="false">SUM(IF(OR($R114="Bug",$R114="Grass",$R114="Fighting"),0-1,IF(OR($R114="Electric",$R114="Rock",$R114="Steel"),1,0)),IF(OR($S114="Bug",$S114="Grass",$S114="Fighting"),0-1,IF(OR($S114="Electric",$S114="Rock",$S114="Steel"),1,0)))</f>
        <v>0</v>
      </c>
      <c r="AK114" s="507" t="n">
        <f aca="false">IF(OR($R114="Normal",$S114="Normal"),4,SUM(IF(OR($R114="Ghost",$R114="Psychic"),0-1,IF($R114="Dark",1,0)),IF(OR($S114="Ghost",$S114="Psychic"),0-1,IF($S114="Dark",1,0))))</f>
        <v>4</v>
      </c>
      <c r="AL114" s="507" t="n">
        <f aca="false">SUM(IF(OR($R114="Ground",$R114="Rock",$R114="Water"),0-1,IF(OR($R114="Bug",$R114="Flying",$R114="Fire",$R114="Dragon",$R114="Poison",$R114="Steel",$R114="Grass"),1,0)),IF(OR($S114="Ground",$S114="Rock",$S114="Water"),0-1,IF(OR($S114="Bug",$S114="Flying",$S114="Fire",$S114="Dragon",$S114="Poison",$S114="Steel",$S114="Grass"),1,0)))</f>
        <v>1</v>
      </c>
      <c r="AM114" s="507" t="n">
        <f aca="false">IF(OR($R114="Flying",$S114="Flying"),4,SUM(IF(OR($R114="Electric",$R114="Fire",$R114="Rock",$R114="Steel",$R114="Poison"),0-1,IF(OR($R114="Bug",$R114="Grass"),1,0)),IF(OR($S114="Electric",$S114="Fire",$S114="Rock",$S114="Steel",$S114="Poison"),0-1,IF(OR($S114="Bug",$S114="Grass"),1,0))))</f>
        <v>0</v>
      </c>
      <c r="AN114" s="507" t="n">
        <f aca="false">SUM(IF(OR($R114="Flying",$R114="Dragon",$R114="Grass",$R114="Ground"),0-1,IF(OR($R114="Steel",$R114="Ice",$R114="Fire",$R114="Water"),1,0)),IF(OR($S114="Flying",$S114="Dragon",$S114="Grass",$S114="Ground"),0-1,IF(OR($S114="Steel",$S114="Ice",$S114="Fire",$S114="Water"),1,0)))</f>
        <v>-1</v>
      </c>
      <c r="AO114" s="507" t="n">
        <f aca="false">IF(OR($R114="Ghost",$S114="Ghost"),4,SUM(IF(OR($R114="Steel",$R114="Rock"),1,0),IF(OR($S114="Steel",$S114="Rock"),1,0)))</f>
        <v>0</v>
      </c>
      <c r="AP114" s="507" t="n">
        <f aca="false">IF(OR($R114="Steel",$S114="Steel"),4,SUM(IF(OR($R114="Fairy",$R114="Grass"),0-1,IF(OR($R114="Ghost",$R114="Rock",$R114="Ground",$R114="Poison"),1,0)),IF(OR($S114="Fairy",$S114="Grass"),0-1,IF(OR($S114="Ghost",$S114="Rock",$S114="Ground",$S114="Poison"),1,0))))</f>
        <v>0</v>
      </c>
      <c r="AQ114" s="507" t="n">
        <f aca="false">IF(OR($R114="Dark",$S114="Dark"),4,SUM(IF(OR($R114="Fighting",$R114="Poison"),0-1,IF(OR($R114="Psychic",$R114="Steel"),1,0)),IF(OR($S114="Fighting",$S114="Poison"),0-1,IF(OR($S114="Psychic",$S114="Steel"),1,0))))</f>
        <v>0</v>
      </c>
      <c r="AR114" s="507" t="n">
        <f aca="false">SUM(IF(OR($R114="Bug",$R114="Fire",$R114="Flying",$R114="Ice"),0-1,IF(OR($R114="Steel",$R114="Fighting",$R114="Ground"),1,0)),IF(OR($S114="Bug",$S114="Fire",$S114="Flying",$S114="Ice"),0-1,IF(OR($S114="Steel",$S114="Fighting",$S114="Ground"),1,0)))</f>
        <v>0</v>
      </c>
      <c r="AS114" s="507" t="n">
        <f aca="false">SUM(IF(OR($R114="Fairy",$R114="Ice",$R114="Rock"),0-1,IF(OR($R114="Steel",$R114="Electric",$R114="Fire",$R114="Water"),1,0)),IF(OR($S114="Fairy",$S114="Ice",$S114="Rock"),0-1,IF(OR($S114="Steel",$S114="Electric",$S114="Fire",$S114="Water"),1,0)))</f>
        <v>0</v>
      </c>
      <c r="AT114" s="508" t="n">
        <f aca="false">SUM(IF(OR($R114="Fire",$R114="Ground",$R114="Rock"),0-1,IF(OR($R114="Dragon",$R114="Grass",$R114="Water"),1,0)),IF(OR($S114="Fire",$S114="Ground",$S114="Rock"),0-1,IF(OR($S114="Dragon",$S114="Grass",$S114="Water"),1,0)))</f>
        <v>1</v>
      </c>
      <c r="AU114" s="518"/>
    </row>
    <row r="115" customFormat="false" ht="15.75" hidden="false" customHeight="false" outlineLevel="0" collapsed="false">
      <c r="A115" s="497" t="str">
        <f aca="false" t="array" ref="A115:A115">IF(ISNA(INDEX(Source!$U$7:$U$95,MATCH(B115,Source!$V$7:$V$95,0))),"FREE",INDEX(Source!$U$7:$U$95,MATCH(B115,Source!$V$7:$V$95,0)))</f>
        <v>SEA</v>
      </c>
      <c r="B115" s="511" t="s">
        <v>89</v>
      </c>
      <c r="C115" s="511"/>
      <c r="D115" s="511"/>
      <c r="E115" s="499" t="n">
        <f aca="false">IF(SUM($W115:$X115)&gt;0,SUM($W115:$X115),IF($H115&gt;0,0,IF($H115&gt;0,0,"-")))</f>
        <v>0</v>
      </c>
      <c r="F115" s="499" t="n">
        <f aca="false">IF(SUM($Y115:$Z115)&gt;0,SUM($Y115:$Z115),IF($H115&gt;0,0,"-"))</f>
        <v>0</v>
      </c>
      <c r="G115" s="499" t="e">
        <f aca="false">IF($H115&gt;0,minus(E115,F115),"-")</f>
        <v>#NAME?</v>
      </c>
      <c r="H115" s="500" t="n">
        <f aca="false">SUM(COUNTIF(MatchSource!$A:$A,$B115),COUNTIF(MatchSource!$H:$H,$B115))</f>
        <v>6</v>
      </c>
      <c r="I115" s="501" t="n">
        <f aca="false">SUM($AA115:$AB115)</f>
        <v>0</v>
      </c>
      <c r="J115" s="501" t="s">
        <v>700</v>
      </c>
      <c r="K115" s="512" t="n">
        <f aca="false" t="array" ref="K115:K115">IF(ISNA(INDEX(DraftRosters!$AA$3:$AA$199,MATCH($B115,DraftRosters!$AB$3:$AB$199,0))),"FA",IF(INDEX(DraftRosters!$AA$3:$AA$199,MATCH($B115,DraftRosters!$AB$3:$AB$199,0))="Franchise","Franch",INDEX(DraftRosters!$AA$3:$AA$199,MATCH($B115,DraftRosters!$AB$3:$AB$199,0))))</f>
        <v>49</v>
      </c>
      <c r="L115" s="499" t="n">
        <v>70</v>
      </c>
      <c r="M115" s="499" t="n">
        <v>90</v>
      </c>
      <c r="N115" s="499" t="n">
        <v>110</v>
      </c>
      <c r="O115" s="499" t="n">
        <v>60</v>
      </c>
      <c r="P115" s="499" t="n">
        <v>75</v>
      </c>
      <c r="Q115" s="501" t="n">
        <v>95</v>
      </c>
      <c r="R115" s="499" t="s">
        <v>795</v>
      </c>
      <c r="S115" s="501" t="s">
        <v>843</v>
      </c>
      <c r="T115" s="504" t="s">
        <v>858</v>
      </c>
      <c r="U115" s="505" t="s">
        <v>897</v>
      </c>
      <c r="V115" s="506" t="s">
        <v>856</v>
      </c>
      <c r="W115" s="500" t="str">
        <f aca="false">IFERROR(__xludf.dummyfunction("if(isna(SUM(FILTER(MatchSource!$A:$D,MatchSource!$A:$A=$B115))),0,SUM(FILTER(MatchSource!$A:$D,MatchSource!$A:$A=$B115)))"),"3")</f>
        <v>3</v>
      </c>
      <c r="X115" s="499" t="str">
        <f aca="false">IFERROR(__xludf.dummyfunction("if(isna(SUM(FILTER(MatchSource!$H:$K,MatchSource!$H:$H=$B115))),0,SUM(FILTER(MatchSource!$H:$K,MatchSource!$H:$H=$B115)))"),"7")</f>
        <v>7</v>
      </c>
      <c r="Y115" s="499" t="str">
        <f aca="false">IFERROR(__xludf.dummyfunction("if(isna(ABS(MINUS(SUM(FILTER(MatchSource!$A:$E,MatchSource!$A:$A=$B115)),SUM($W115)))),0,ABS(MINUS(SUM(FILTER(MatchSource!$A:$E,MatchSource!$A:$A=$B115)),SUM($W115))))"),"1")</f>
        <v>1</v>
      </c>
      <c r="Z115" s="499" t="str">
        <f aca="false">IFERROR(__xludf.dummyfunction("if(isna(ABS(MINUS(SUM(FILTER(MatchSource!$H:$L,MatchSource!$H:$H=$B115)),SUM($X115)))),0,ABS(MINUS(SUM(FILTER(MatchSource!$H:$L,MatchSource!$H:$H=$B115)),SUM($X115))))"),"1")</f>
        <v>1</v>
      </c>
      <c r="AA115" s="499" t="str">
        <f aca="false">IFERROR(__xludf.dummyfunction("if(isna(ABS(MINUS(SUM(FILTER(MatchSource!$A:$F,MatchSource!$A:$A=$B115)),SUM($W115,$Y115)))),0,ABS(MINUS(SUM(FILTER(MatchSource!$A:$F,MatchSource!$A:$A=$B115)),SUM($W115, $Y115,))))"),"2")</f>
        <v>2</v>
      </c>
      <c r="AB115" s="501" t="str">
        <f aca="false">IFERROR(__xludf.dummyfunction("if(isna(ABS(MINUS(SUM(FILTER(MatchSource!$H:$M,MatchSource!$H:$H=$B115)),SUM($X115,$Z115)))),0,ABS(MINUS(SUM(FILTER(MatchSource!$H:$M,MatchSource!$H:$H=$B115)),SUM($X115,$Z115))))"),"2")</f>
        <v>2</v>
      </c>
      <c r="AC115" s="507" t="n">
        <f aca="false">SUM(IF(OR($R115="Grass",$R115="Psychic",$R115="Dark"),0-1,IF(OR($R115="Fighting",$R115="Flying",$R115="Fire",$R115="Ghost",$R115="Poison",$R115="Steel",$R115="Fairy"),1,0)),IF(OR($S115="Grass",$S115="Psychic",$S115="Dark"),0-1,IF(OR($S115="Fighting",$S115="Flying",$S115="Fire",$S115="Ghost",$S115="Poison",$S115="Steel",$S115="Fairy"),1,0)))</f>
        <v>0</v>
      </c>
      <c r="AD115" s="507" t="n">
        <f aca="false">SUM(IF(OR($R115="Ghost",$R115="Psychic"),0-1,IF(OR($R115="Fighting",$R115="Dark",$R115="Fairy"),1,0)),IF(OR($S115="Ghost",$S115="Psychic"),0-1,IF(OR($S115="Fighting",$S115="Dark",$S115="Fairy"),1,0)))</f>
        <v>1</v>
      </c>
      <c r="AE115" s="507" t="n">
        <f aca="false">IF(OR($R115="Fairy",$S115="Fairy"),4,SUM(IF($R115="Dragon",0-1,IF($R115="Steel",1,0)),IF($S115="Dragon",0-1,IF($S115="Steel",1,0))))</f>
        <v>0</v>
      </c>
      <c r="AF115" s="507" t="n">
        <f aca="false">IF(OR($R115="Ground",$S115="Ground"),4,SUM(IF(OR($R115="Flying",$R115="Water"),0-1,IF(OR($R115="Dragon",$R115="Electric",$R115="Grass"),1,0)),IF(OR($S115="Flying",$S115="Water"),0-1,IF(OR($S115="Dragon",$S115="Electric",$S115="Grass"),1,0))))</f>
        <v>0</v>
      </c>
      <c r="AG115" s="507" t="n">
        <f aca="false">SUM(IF(OR($R115="Dark",$R115="Dragon",$R115="Fighting"),0-1,IF(OR($R115="Steel",$R115="Poison",$R115="Fire"),1,0)),IF(OR($S115="Dark",$S115="Dragon",$S115="Fighting"),0-1,IF(OR($S115="Steel",$S115="Poison",$S115="Fire"),1,0)))</f>
        <v>0</v>
      </c>
      <c r="AH115" s="507" t="n">
        <f aca="false">IF(OR($R115="Ghost",$S115="Ghost"),4,SUM(IF(OR($R115="Dark",$R115="Ice",$R115="Normal",$R115="Rock",$R115="Steel"),0-1,IF(OR($R115="Bug",$R115="Fairy",$R115="Flying",$R115="Poison",$R115="Psychic"),1,0)),IF(OR($S115="Dark",$S115="Ice",$S115="Normal",$S115="Rock",$S115="Steel"),0-1,IF(OR($S115="Bug",$S115="Fairy",$S115="Flying",$S115="Poison",$S115="Psychic"),1,0))))</f>
        <v>0</v>
      </c>
      <c r="AI115" s="507" t="n">
        <f aca="false">SUM(IF(OR($R115="Bug",$R115="Grass",$R115="Ice",$R115="Steel"),0-1,IF(OR($R115="Dragon",$R115="Fire",$R115="Rock",$R115="Water"),1,0)),IF(OR($S115="Bug",$S115="Grass",$S115="Ice",$S115="Steel"),0-1,IF(OR($S115="Dragon",$S115="Fire",$S115="Rock",$S115="Water"),1,0)))</f>
        <v>0</v>
      </c>
      <c r="AJ115" s="507" t="n">
        <f aca="false">SUM(IF(OR($R115="Bug",$R115="Grass",$R115="Fighting"),0-1,IF(OR($R115="Electric",$R115="Rock",$R115="Steel"),1,0)),IF(OR($S115="Bug",$S115="Grass",$S115="Fighting"),0-1,IF(OR($S115="Electric",$S115="Rock",$S115="Steel"),1,0)))</f>
        <v>0</v>
      </c>
      <c r="AK115" s="507" t="n">
        <f aca="false">IF(OR($R115="Normal",$S115="Normal"),4,SUM(IF(OR($R115="Ghost",$R115="Psychic"),0-1,IF($R115="Dark",1,0)),IF(OR($S115="Ghost",$S115="Psychic"),0-1,IF($S115="Dark",1,0))))</f>
        <v>1</v>
      </c>
      <c r="AL115" s="507" t="n">
        <f aca="false">SUM(IF(OR($R115="Ground",$R115="Rock",$R115="Water"),0-1,IF(OR($R115="Bug",$R115="Flying",$R115="Fire",$R115="Dragon",$R115="Poison",$R115="Steel",$R115="Grass"),1,0)),IF(OR($S115="Ground",$S115="Rock",$S115="Water"),0-1,IF(OR($S115="Bug",$S115="Flying",$S115="Fire",$S115="Dragon",$S115="Poison",$S115="Steel",$S115="Grass"),1,0)))</f>
        <v>1</v>
      </c>
      <c r="AM115" s="507" t="n">
        <f aca="false">IF(OR($R115="Flying",$S115="Flying"),4,SUM(IF(OR($R115="Electric",$R115="Fire",$R115="Rock",$R115="Steel",$R115="Poison"),0-1,IF(OR($R115="Bug",$R115="Grass"),1,0)),IF(OR($S115="Electric",$S115="Fire",$S115="Rock",$S115="Steel",$S115="Poison"),0-1,IF(OR($S115="Bug",$S115="Grass"),1,0))))</f>
        <v>-1</v>
      </c>
      <c r="AN115" s="507" t="n">
        <f aca="false">SUM(IF(OR($R115="Flying",$R115="Dragon",$R115="Grass",$R115="Ground"),0-1,IF(OR($R115="Steel",$R115="Ice",$R115="Fire",$R115="Water"),1,0)),IF(OR($S115="Flying",$S115="Dragon",$S115="Grass",$S115="Ground"),0-1,IF(OR($S115="Steel",$S115="Ice",$S115="Fire",$S115="Water"),1,0)))</f>
        <v>0</v>
      </c>
      <c r="AO115" s="507" t="n">
        <f aca="false">IF(OR($R115="Ghost",$S115="Ghost"),4,SUM(IF(OR($R115="Steel",$R115="Rock"),1,0),IF(OR($S115="Steel",$S115="Rock"),1,0)))</f>
        <v>0</v>
      </c>
      <c r="AP115" s="507" t="n">
        <f aca="false">IF(OR($R115="Steel",$S115="Steel"),4,SUM(IF(OR($R115="Fairy",$R115="Grass"),0-1,IF(OR($R115="Ghost",$R115="Rock",$R115="Ground",$R115="Poison"),1,0)),IF(OR($S115="Fairy",$S115="Grass"),0-1,IF(OR($S115="Ghost",$S115="Rock",$S115="Ground",$S115="Poison"),1,0))))</f>
        <v>1</v>
      </c>
      <c r="AQ115" s="507" t="n">
        <f aca="false">IF(OR($R115="Dark",$S115="Dark"),4,SUM(IF(OR($R115="Fighting",$R115="Poison"),0-1,IF(OR($R115="Psychic",$R115="Steel"),1,0)),IF(OR($S115="Fighting",$S115="Poison"),0-1,IF(OR($S115="Psychic",$S115="Steel"),1,0))))</f>
        <v>4</v>
      </c>
      <c r="AR115" s="507" t="n">
        <f aca="false">SUM(IF(OR($R115="Bug",$R115="Fire",$R115="Flying",$R115="Ice"),0-1,IF(OR($R115="Steel",$R115="Fighting",$R115="Ground"),1,0)),IF(OR($S115="Bug",$S115="Fire",$S115="Flying",$S115="Ice"),0-1,IF(OR($S115="Steel",$S115="Fighting",$S115="Ground"),1,0)))</f>
        <v>0</v>
      </c>
      <c r="AS115" s="507" t="n">
        <f aca="false">SUM(IF(OR($R115="Fairy",$R115="Ice",$R115="Rock"),0-1,IF(OR($R115="Steel",$R115="Electric",$R115="Fire",$R115="Water"),1,0)),IF(OR($S115="Fairy",$S115="Ice",$S115="Rock"),0-1,IF(OR($S115="Steel",$S115="Electric",$S115="Fire",$S115="Water"),1,0)))</f>
        <v>0</v>
      </c>
      <c r="AT115" s="508" t="n">
        <f aca="false">SUM(IF(OR($R115="Fire",$R115="Ground",$R115="Rock"),0-1,IF(OR($R115="Dragon",$R115="Grass",$R115="Water"),1,0)),IF(OR($S115="Fire",$S115="Ground",$S115="Rock"),0-1,IF(OR($S115="Dragon",$S115="Grass",$S115="Water"),1,0)))</f>
        <v>0</v>
      </c>
      <c r="AU115" s="518"/>
    </row>
    <row r="116" customFormat="false" ht="15.75" hidden="false" customHeight="false" outlineLevel="0" collapsed="false">
      <c r="A116" s="510" t="str">
        <f aca="false" t="array" ref="A116:A116">IF(ISNA(INDEX(Source!$U$7:$U$95,MATCH(B116,Source!$V$7:$V$95,0))),"FREE",INDEX(Source!$U$7:$U$95,MATCH(B116,Source!$V$7:$V$95,0)))</f>
        <v>BTB</v>
      </c>
      <c r="B116" s="511" t="s">
        <v>259</v>
      </c>
      <c r="C116" s="511"/>
      <c r="D116" s="511"/>
      <c r="E116" s="499" t="str">
        <f aca="false">IF(SUM($W116:$X116)&gt;0,SUM($W116:$X116),IF($H116&gt;0,0,IF($H116&gt;0,0,"-")))</f>
        <v>-</v>
      </c>
      <c r="F116" s="499" t="str">
        <f aca="false">IF(SUM($Y116:$Z116)&gt;0,SUM($Y116:$Z116),IF($H116&gt;0,0,"-"))</f>
        <v>-</v>
      </c>
      <c r="G116" s="499" t="str">
        <f aca="false">IF($H116&gt;0,minus(E116,F116),"-")</f>
        <v>-</v>
      </c>
      <c r="H116" s="500" t="n">
        <f aca="false">SUM(COUNTIF(MatchSource!$A:$A,$B116),COUNTIF(MatchSource!$H:$H,$B116))</f>
        <v>0</v>
      </c>
      <c r="I116" s="501" t="n">
        <f aca="false">SUM($AA116:$AB116)</f>
        <v>0</v>
      </c>
      <c r="J116" s="501" t="s">
        <v>702</v>
      </c>
      <c r="K116" s="512" t="n">
        <f aca="false" t="array" ref="K116:K116">IF(ISNA(INDEX(DraftRosters!$AA$3:$AA$199,MATCH($B116,DraftRosters!$AB$3:$AB$199,0))),"FA",IF(INDEX(DraftRosters!$AA$3:$AA$199,MATCH($B116,DraftRosters!$AB$3:$AB$199,0))="Franchise","Franch",INDEX(DraftRosters!$AA$3:$AA$199,MATCH($B116,DraftRosters!$AB$3:$AB$199,0))))</f>
        <v>67</v>
      </c>
      <c r="L116" s="507" t="n">
        <v>150</v>
      </c>
      <c r="M116" s="507" t="n">
        <v>80</v>
      </c>
      <c r="N116" s="507" t="n">
        <v>44</v>
      </c>
      <c r="O116" s="507" t="n">
        <v>90</v>
      </c>
      <c r="P116" s="507" t="n">
        <v>54</v>
      </c>
      <c r="Q116" s="508" t="n">
        <v>80</v>
      </c>
      <c r="R116" s="499" t="s">
        <v>802</v>
      </c>
      <c r="S116" s="501" t="s">
        <v>801</v>
      </c>
      <c r="T116" s="504" t="s">
        <v>955</v>
      </c>
      <c r="U116" s="505" t="s">
        <v>956</v>
      </c>
      <c r="V116" s="506" t="s">
        <v>821</v>
      </c>
      <c r="W116" s="500" t="str">
        <f aca="false">IFERROR(__xludf.dummyfunction("if(isna(SUM(FILTER(MatchSource!$A:$D,MatchSource!$A:$A=$B116))),0,SUM(FILTER(MatchSource!$A:$D,MatchSource!$A:$A=$B116)))"),"0")</f>
        <v>0</v>
      </c>
      <c r="X116" s="499" t="str">
        <f aca="false">IFERROR(__xludf.dummyfunction("if(isna(SUM(FILTER(MatchSource!$H:$K,MatchSource!$H:$H=$B116))),0,SUM(FILTER(MatchSource!$H:$K,MatchSource!$H:$H=$B116)))"),"0")</f>
        <v>0</v>
      </c>
      <c r="Y116" s="499" t="str">
        <f aca="false">IFERROR(__xludf.dummyfunction("if(isna(ABS(MINUS(SUM(FILTER(MatchSource!$A:$E,MatchSource!$A:$A=$B116)),SUM($W116)))),0,ABS(MINUS(SUM(FILTER(MatchSource!$A:$E,MatchSource!$A:$A=$B116)),SUM($W116))))"),"0")</f>
        <v>0</v>
      </c>
      <c r="Z116" s="499" t="str">
        <f aca="false">IFERROR(__xludf.dummyfunction("if(isna(ABS(MINUS(SUM(FILTER(MatchSource!$H:$L,MatchSource!$H:$H=$B116)),SUM($X116)))),0,ABS(MINUS(SUM(FILTER(MatchSource!$H:$L,MatchSource!$H:$H=$B116)),SUM($X116))))"),"0")</f>
        <v>0</v>
      </c>
      <c r="AA116" s="499" t="str">
        <f aca="false">IFERROR(__xludf.dummyfunction("if(isna(ABS(MINUS(SUM(FILTER(MatchSource!$A:$F,MatchSource!$A:$A=$B116)),SUM($W116,$Y116)))),0,ABS(MINUS(SUM(FILTER(MatchSource!$A:$F,MatchSource!$A:$A=$B116)),SUM($W116, $Y116,))))"),"0")</f>
        <v>0</v>
      </c>
      <c r="AB116" s="501" t="str">
        <f aca="false">IFERROR(__xludf.dummyfunction("if(isna(ABS(MINUS(SUM(FILTER(MatchSource!$H:$M,MatchSource!$H:$H=$B116)),SUM($X116,$Z116)))),0,ABS(MINUS(SUM(FILTER(MatchSource!$H:$M,MatchSource!$H:$H=$B116)),SUM($X116,$Z116))))"),"0")</f>
        <v>0</v>
      </c>
      <c r="AC116" s="507" t="n">
        <f aca="false">SUM(IF(OR($R116="Grass",$R116="Psychic",$R116="Dark"),0-1,IF(OR($R116="Fighting",$R116="Flying",$R116="Fire",$R116="Ghost",$R116="Poison",$R116="Steel",$R116="Fairy"),1,0)),IF(OR($S116="Grass",$S116="Psychic",$S116="Dark"),0-1,IF(OR($S116="Fighting",$S116="Flying",$S116="Fire",$S116="Ghost",$S116="Poison",$S116="Steel",$S116="Fairy"),1,0)))</f>
        <v>2</v>
      </c>
      <c r="AD116" s="507" t="n">
        <f aca="false">SUM(IF(OR($R116="Ghost",$R116="Psychic"),0-1,IF(OR($R116="Fighting",$R116="Dark",$R116="Fairy"),1,0)),IF(OR($S116="Ghost",$S116="Psychic"),0-1,IF(OR($S116="Fighting",$S116="Dark",$S116="Fairy"),1,0)))</f>
        <v>-1</v>
      </c>
      <c r="AE116" s="507" t="n">
        <f aca="false">IF(OR($R116="Fairy",$S116="Fairy"),4,SUM(IF($R116="Dragon",0-1,IF($R116="Steel",1,0)),IF($S116="Dragon",0-1,IF($S116="Steel",1,0))))</f>
        <v>0</v>
      </c>
      <c r="AF116" s="507" t="n">
        <f aca="false">IF(OR($R116="Ground",$S116="Ground"),4,SUM(IF(OR($R116="Flying",$R116="Water"),0-1,IF(OR($R116="Dragon",$R116="Electric",$R116="Grass"),1,0)),IF(OR($S116="Flying",$S116="Water"),0-1,IF(OR($S116="Dragon",$S116="Electric",$S116="Grass"),1,0))))</f>
        <v>-1</v>
      </c>
      <c r="AG116" s="507" t="n">
        <f aca="false">SUM(IF(OR($R116="Dark",$R116="Dragon",$R116="Fighting"),0-1,IF(OR($R116="Steel",$R116="Poison",$R116="Fire"),1,0)),IF(OR($S116="Dark",$S116="Dragon",$S116="Fighting"),0-1,IF(OR($S116="Steel",$S116="Poison",$S116="Fire"),1,0)))</f>
        <v>0</v>
      </c>
      <c r="AH116" s="507" t="n">
        <f aca="false">IF(OR($R116="Ghost",$S116="Ghost"),4,SUM(IF(OR($R116="Dark",$R116="Ice",$R116="Normal",$R116="Rock",$R116="Steel"),0-1,IF(OR($R116="Bug",$R116="Fairy",$R116="Flying",$R116="Poison",$R116="Psychic"),1,0)),IF(OR($S116="Dark",$S116="Ice",$S116="Normal",$S116="Rock",$S116="Steel"),0-1,IF(OR($S116="Bug",$S116="Fairy",$S116="Flying",$S116="Poison",$S116="Psychic"),1,0))))</f>
        <v>4</v>
      </c>
      <c r="AI116" s="507" t="n">
        <f aca="false">SUM(IF(OR($R116="Bug",$R116="Grass",$R116="Ice",$R116="Steel"),0-1,IF(OR($R116="Dragon",$R116="Fire",$R116="Rock",$R116="Water"),1,0)),IF(OR($S116="Bug",$S116="Grass",$S116="Ice",$S116="Steel"),0-1,IF(OR($S116="Dragon",$S116="Fire",$S116="Rock",$S116="Water"),1,0)))</f>
        <v>0</v>
      </c>
      <c r="AJ116" s="507" t="n">
        <f aca="false">SUM(IF(OR($R116="Bug",$R116="Grass",$R116="Fighting"),0-1,IF(OR($R116="Electric",$R116="Rock",$R116="Steel"),1,0)),IF(OR($S116="Bug",$S116="Grass",$S116="Fighting"),0-1,IF(OR($S116="Electric",$S116="Rock",$S116="Steel"),1,0)))</f>
        <v>0</v>
      </c>
      <c r="AK116" s="507" t="n">
        <f aca="false">IF(OR($R116="Normal",$S116="Normal"),4,SUM(IF(OR($R116="Ghost",$R116="Psychic"),0-1,IF($R116="Dark",1,0)),IF(OR($S116="Ghost",$S116="Psychic"),0-1,IF($S116="Dark",1,0))))</f>
        <v>-1</v>
      </c>
      <c r="AL116" s="507" t="n">
        <f aca="false">SUM(IF(OR($R116="Ground",$R116="Rock",$R116="Water"),0-1,IF(OR($R116="Bug",$R116="Flying",$R116="Fire",$R116="Dragon",$R116="Poison",$R116="Steel",$R116="Grass"),1,0)),IF(OR($S116="Ground",$S116="Rock",$S116="Water"),0-1,IF(OR($S116="Bug",$S116="Flying",$S116="Fire",$S116="Dragon",$S116="Poison",$S116="Steel",$S116="Grass"),1,0)))</f>
        <v>1</v>
      </c>
      <c r="AM116" s="507" t="n">
        <f aca="false">IF(OR($R116="Flying",$S116="Flying"),4,SUM(IF(OR($R116="Electric",$R116="Fire",$R116="Rock",$R116="Steel",$R116="Poison"),0-1,IF(OR($R116="Bug",$R116="Grass"),1,0)),IF(OR($S116="Electric",$S116="Fire",$S116="Rock",$S116="Steel",$S116="Poison"),0-1,IF(OR($S116="Bug",$S116="Grass"),1,0))))</f>
        <v>4</v>
      </c>
      <c r="AN116" s="507" t="n">
        <f aca="false">SUM(IF(OR($R116="Flying",$R116="Dragon",$R116="Grass",$R116="Ground"),0-1,IF(OR($R116="Steel",$R116="Ice",$R116="Fire",$R116="Water"),1,0)),IF(OR($S116="Flying",$S116="Dragon",$S116="Grass",$S116="Ground"),0-1,IF(OR($S116="Steel",$S116="Ice",$S116="Fire",$S116="Water"),1,0)))</f>
        <v>-1</v>
      </c>
      <c r="AO116" s="507" t="n">
        <f aca="false">IF(OR($R116="Ghost",$S116="Ghost"),4,SUM(IF(OR($R116="Steel",$R116="Rock"),1,0),IF(OR($S116="Steel",$S116="Rock"),1,0)))</f>
        <v>4</v>
      </c>
      <c r="AP116" s="507" t="n">
        <f aca="false">IF(OR($R116="Steel",$S116="Steel"),4,SUM(IF(OR($R116="Fairy",$R116="Grass"),0-1,IF(OR($R116="Ghost",$R116="Rock",$R116="Ground",$R116="Poison"),1,0)),IF(OR($S116="Fairy",$S116="Grass"),0-1,IF(OR($S116="Ghost",$S116="Rock",$S116="Ground",$S116="Poison"),1,0))))</f>
        <v>1</v>
      </c>
      <c r="AQ116" s="507" t="n">
        <f aca="false">IF(OR($R116="Dark",$S116="Dark"),4,SUM(IF(OR($R116="Fighting",$R116="Poison"),0-1,IF(OR($R116="Psychic",$R116="Steel"),1,0)),IF(OR($S116="Fighting",$S116="Poison"),0-1,IF(OR($S116="Psychic",$S116="Steel"),1,0))))</f>
        <v>0</v>
      </c>
      <c r="AR116" s="507" t="n">
        <f aca="false">SUM(IF(OR($R116="Bug",$R116="Fire",$R116="Flying",$R116="Ice"),0-1,IF(OR($R116="Steel",$R116="Fighting",$R116="Ground"),1,0)),IF(OR($S116="Bug",$S116="Fire",$S116="Flying",$S116="Ice"),0-1,IF(OR($S116="Steel",$S116="Fighting",$S116="Ground"),1,0)))</f>
        <v>-1</v>
      </c>
      <c r="AS116" s="507" t="n">
        <f aca="false">SUM(IF(OR($R116="Fairy",$R116="Ice",$R116="Rock"),0-1,IF(OR($R116="Steel",$R116="Electric",$R116="Fire",$R116="Water"),1,0)),IF(OR($S116="Fairy",$S116="Ice",$S116="Rock"),0-1,IF(OR($S116="Steel",$S116="Electric",$S116="Fire",$S116="Water"),1,0)))</f>
        <v>0</v>
      </c>
      <c r="AT116" s="508" t="n">
        <f aca="false">SUM(IF(OR($R116="Fire",$R116="Ground",$R116="Rock"),0-1,IF(OR($R116="Dragon",$R116="Grass",$R116="Water"),1,0)),IF(OR($S116="Fire",$S116="Ground",$S116="Rock"),0-1,IF(OR($S116="Dragon",$S116="Grass",$S116="Water"),1,0)))</f>
        <v>0</v>
      </c>
      <c r="AU116" s="518"/>
    </row>
    <row r="117" customFormat="false" ht="15.75" hidden="false" customHeight="false" outlineLevel="0" collapsed="false">
      <c r="A117" s="510" t="str">
        <f aca="false" t="array" ref="A117:A117">IF(ISNA(INDEX(Source!$U$7:$U$95,MATCH(B117,Source!$V$7:$V$95,0))),"FREE",INDEX(Source!$U$7:$U$95,MATCH(B117,Source!$V$7:$V$95,0)))</f>
        <v>FREE</v>
      </c>
      <c r="B117" s="511" t="s">
        <v>434</v>
      </c>
      <c r="C117" s="511"/>
      <c r="D117" s="511"/>
      <c r="E117" s="499" t="str">
        <f aca="false">IF(SUM($W117:$X117)&gt;0,SUM($W117:$X117),IF($H117&gt;0,0,IF($H117&gt;0,0,"-")))</f>
        <v>-</v>
      </c>
      <c r="F117" s="499" t="str">
        <f aca="false">IF(SUM($Y117:$Z117)&gt;0,SUM($Y117:$Z117),IF($H117&gt;0,0,"-"))</f>
        <v>-</v>
      </c>
      <c r="G117" s="499" t="str">
        <f aca="false">IF($H117&gt;0,minus(E117,F117),"-")</f>
        <v>-</v>
      </c>
      <c r="H117" s="500" t="n">
        <f aca="false">SUM(COUNTIF(MatchSource!$A:$A,$B117),COUNTIF(MatchSource!$H:$H,$B117))</f>
        <v>0</v>
      </c>
      <c r="I117" s="501" t="n">
        <f aca="false">SUM($AA117:$AB117)</f>
        <v>0</v>
      </c>
      <c r="J117" s="501" t="s">
        <v>701</v>
      </c>
      <c r="K117" s="512" t="str">
        <f aca="false" t="array" ref="K117:K117">IF(ISNA(INDEX(DraftRosters!$AA$3:$AA$199,MATCH($B117,DraftRosters!$AB$3:$AB$199,0))),"FA",IF(INDEX(DraftRosters!$AA$3:$AA$199,MATCH($B117,DraftRosters!$AB$3:$AB$199,0))="Franchise","Franch",INDEX(DraftRosters!$AA$3:$AA$199,MATCH($B117,DraftRosters!$AB$3:$AB$199,0))))</f>
        <v>FA</v>
      </c>
      <c r="L117" s="499" t="n">
        <v>77</v>
      </c>
      <c r="M117" s="499" t="n">
        <v>120</v>
      </c>
      <c r="N117" s="499" t="n">
        <v>90</v>
      </c>
      <c r="O117" s="499" t="n">
        <v>60</v>
      </c>
      <c r="P117" s="499" t="n">
        <v>90</v>
      </c>
      <c r="Q117" s="501" t="n">
        <v>48</v>
      </c>
      <c r="R117" s="499" t="s">
        <v>835</v>
      </c>
      <c r="S117" s="501"/>
      <c r="T117" s="504" t="s">
        <v>848</v>
      </c>
      <c r="U117" s="505" t="s">
        <v>957</v>
      </c>
      <c r="V117" s="506" t="s">
        <v>898</v>
      </c>
      <c r="W117" s="500" t="str">
        <f aca="false">IFERROR(__xludf.dummyfunction("if(isna(SUM(FILTER(MatchSource!$A:$D,MatchSource!$A:$A=$B117))),0,SUM(FILTER(MatchSource!$A:$D,MatchSource!$A:$A=$B117)))"),"0")</f>
        <v>0</v>
      </c>
      <c r="X117" s="499" t="str">
        <f aca="false">IFERROR(__xludf.dummyfunction("if(isna(SUM(FILTER(MatchSource!$H:$K,MatchSource!$H:$H=$B117))),0,SUM(FILTER(MatchSource!$H:$K,MatchSource!$H:$H=$B117)))"),"0")</f>
        <v>0</v>
      </c>
      <c r="Y117" s="499" t="str">
        <f aca="false">IFERROR(__xludf.dummyfunction("if(isna(ABS(MINUS(SUM(FILTER(MatchSource!$A:$E,MatchSource!$A:$A=$B117)),SUM($W117)))),0,ABS(MINUS(SUM(FILTER(MatchSource!$A:$E,MatchSource!$A:$A=$B117)),SUM($W117))))"),"0")</f>
        <v>0</v>
      </c>
      <c r="Z117" s="499" t="str">
        <f aca="false">IFERROR(__xludf.dummyfunction("if(isna(ABS(MINUS(SUM(FILTER(MatchSource!$H:$L,MatchSource!$H:$H=$B117)),SUM($X117)))),0,ABS(MINUS(SUM(FILTER(MatchSource!$H:$L,MatchSource!$H:$H=$B117)),SUM($X117))))"),"0")</f>
        <v>0</v>
      </c>
      <c r="AA117" s="499" t="str">
        <f aca="false">IFERROR(__xludf.dummyfunction("if(isna(ABS(MINUS(SUM(FILTER(MatchSource!$A:$F,MatchSource!$A:$A=$B117)),SUM($W117,$Y117)))),0,ABS(MINUS(SUM(FILTER(MatchSource!$A:$F,MatchSource!$A:$A=$B117)),SUM($W117, $Y117,))))"),"0")</f>
        <v>0</v>
      </c>
      <c r="AB117" s="501" t="str">
        <f aca="false">IFERROR(__xludf.dummyfunction("if(isna(ABS(MINUS(SUM(FILTER(MatchSource!$H:$M,MatchSource!$H:$H=$B117)),SUM($X117,$Z117)))),0,ABS(MINUS(SUM(FILTER(MatchSource!$H:$M,MatchSource!$H:$H=$B117)),SUM($X117,$Z117))))"),"0")</f>
        <v>0</v>
      </c>
      <c r="AC117" s="507" t="n">
        <f aca="false">SUM(IF(OR($R117="Grass",$R117="Psychic",$R117="Dark"),0-1,IF(OR($R117="Fighting",$R117="Flying",$R117="Fire",$R117="Ghost",$R117="Poison",$R117="Steel",$R117="Fairy"),1,0)),IF(OR($S117="Grass",$S117="Psychic",$S117="Dark"),0-1,IF(OR($S117="Fighting",$S117="Flying",$S117="Fire",$S117="Ghost",$S117="Poison",$S117="Steel",$S117="Fairy"),1,0)))</f>
        <v>0</v>
      </c>
      <c r="AD117" s="507" t="n">
        <f aca="false">SUM(IF(OR($R117="Ghost",$R117="Psychic"),0-1,IF(OR($R117="Fighting",$R117="Dark",$R117="Fairy"),1,0)),IF(OR($S117="Ghost",$S117="Psychic"),0-1,IF(OR($S117="Fighting",$S117="Dark",$S117="Fairy"),1,0)))</f>
        <v>0</v>
      </c>
      <c r="AE117" s="507" t="n">
        <f aca="false">IF(OR($R117="Fairy",$S117="Fairy"),4,SUM(IF($R117="Dragon",0-1,IF($R117="Steel",1,0)),IF($S117="Dragon",0-1,IF($S117="Steel",1,0))))</f>
        <v>-1</v>
      </c>
      <c r="AF117" s="507" t="n">
        <f aca="false">IF(OR($R117="Ground",$S117="Ground"),4,SUM(IF(OR($R117="Flying",$R117="Water"),0-1,IF(OR($R117="Dragon",$R117="Electric",$R117="Grass"),1,0)),IF(OR($S117="Flying",$S117="Water"),0-1,IF(OR($S117="Dragon",$S117="Electric",$S117="Grass"),1,0))))</f>
        <v>1</v>
      </c>
      <c r="AG117" s="507" t="n">
        <f aca="false">SUM(IF(OR($R117="Dark",$R117="Dragon",$R117="Fighting"),0-1,IF(OR($R117="Steel",$R117="Poison",$R117="Fire"),1,0)),IF(OR($S117="Dark",$S117="Dragon",$S117="Fighting"),0-1,IF(OR($S117="Steel",$S117="Poison",$S117="Fire"),1,0)))</f>
        <v>-1</v>
      </c>
      <c r="AH117" s="507" t="n">
        <f aca="false">IF(OR($R117="Ghost",$S117="Ghost"),4,SUM(IF(OR($R117="Dark",$R117="Ice",$R117="Normal",$R117="Rock",$R117="Steel"),0-1,IF(OR($R117="Bug",$R117="Fairy",$R117="Flying",$R117="Poison",$R117="Psychic"),1,0)),IF(OR($S117="Dark",$S117="Ice",$S117="Normal",$S117="Rock",$S117="Steel"),0-1,IF(OR($S117="Bug",$S117="Fairy",$S117="Flying",$S117="Poison",$S117="Psychic"),1,0))))</f>
        <v>0</v>
      </c>
      <c r="AI117" s="507" t="n">
        <f aca="false">SUM(IF(OR($R117="Bug",$R117="Grass",$R117="Ice",$R117="Steel"),0-1,IF(OR($R117="Dragon",$R117="Fire",$R117="Rock",$R117="Water"),1,0)),IF(OR($S117="Bug",$S117="Grass",$S117="Ice",$S117="Steel"),0-1,IF(OR($S117="Dragon",$S117="Fire",$S117="Rock",$S117="Water"),1,0)))</f>
        <v>1</v>
      </c>
      <c r="AJ117" s="507" t="n">
        <f aca="false">SUM(IF(OR($R117="Bug",$R117="Grass",$R117="Fighting"),0-1,IF(OR($R117="Electric",$R117="Rock",$R117="Steel"),1,0)),IF(OR($S117="Bug",$S117="Grass",$S117="Fighting"),0-1,IF(OR($S117="Electric",$S117="Rock",$S117="Steel"),1,0)))</f>
        <v>0</v>
      </c>
      <c r="AK117" s="507" t="n">
        <f aca="false">IF(OR($R117="Normal",$S117="Normal"),4,SUM(IF(OR($R117="Ghost",$R117="Psychic"),0-1,IF($R117="Dark",1,0)),IF(OR($S117="Ghost",$S117="Psychic"),0-1,IF($S117="Dark",1,0))))</f>
        <v>0</v>
      </c>
      <c r="AL117" s="507" t="n">
        <f aca="false">SUM(IF(OR($R117="Ground",$R117="Rock",$R117="Water"),0-1,IF(OR($R117="Bug",$R117="Flying",$R117="Fire",$R117="Dragon",$R117="Poison",$R117="Steel",$R117="Grass"),1,0)),IF(OR($S117="Ground",$S117="Rock",$S117="Water"),0-1,IF(OR($S117="Bug",$S117="Flying",$S117="Fire",$S117="Dragon",$S117="Poison",$S117="Steel",$S117="Grass"),1,0)))</f>
        <v>1</v>
      </c>
      <c r="AM117" s="507" t="n">
        <f aca="false">IF(OR($R117="Flying",$S117="Flying"),4,SUM(IF(OR($R117="Electric",$R117="Fire",$R117="Rock",$R117="Steel",$R117="Poison"),0-1,IF(OR($R117="Bug",$R117="Grass"),1,0)),IF(OR($S117="Electric",$S117="Fire",$S117="Rock",$S117="Steel",$S117="Poison"),0-1,IF(OR($S117="Bug",$S117="Grass"),1,0))))</f>
        <v>0</v>
      </c>
      <c r="AN117" s="507" t="n">
        <f aca="false">SUM(IF(OR($R117="Flying",$R117="Dragon",$R117="Grass",$R117="Ground"),0-1,IF(OR($R117="Steel",$R117="Ice",$R117="Fire",$R117="Water"),1,0)),IF(OR($S117="Flying",$S117="Dragon",$S117="Grass",$S117="Ground"),0-1,IF(OR($S117="Steel",$S117="Ice",$S117="Fire",$S117="Water"),1,0)))</f>
        <v>-1</v>
      </c>
      <c r="AO117" s="507" t="n">
        <f aca="false">IF(OR($R117="Ghost",$S117="Ghost"),4,SUM(IF(OR($R117="Steel",$R117="Rock"),1,0),IF(OR($S117="Steel",$S117="Rock"),1,0)))</f>
        <v>0</v>
      </c>
      <c r="AP117" s="507" t="n">
        <f aca="false">IF(OR($R117="Steel",$S117="Steel"),4,SUM(IF(OR($R117="Fairy",$R117="Grass"),0-1,IF(OR($R117="Ghost",$R117="Rock",$R117="Ground",$R117="Poison"),1,0)),IF(OR($S117="Fairy",$S117="Grass"),0-1,IF(OR($S117="Ghost",$S117="Rock",$S117="Ground",$S117="Poison"),1,0))))</f>
        <v>0</v>
      </c>
      <c r="AQ117" s="507" t="n">
        <f aca="false">IF(OR($R117="Dark",$S117="Dark"),4,SUM(IF(OR($R117="Fighting",$R117="Poison"),0-1,IF(OR($R117="Psychic",$R117="Steel"),1,0)),IF(OR($S117="Fighting",$S117="Poison"),0-1,IF(OR($S117="Psychic",$S117="Steel"),1,0))))</f>
        <v>0</v>
      </c>
      <c r="AR117" s="507" t="n">
        <f aca="false">SUM(IF(OR($R117="Bug",$R117="Fire",$R117="Flying",$R117="Ice"),0-1,IF(OR($R117="Steel",$R117="Fighting",$R117="Ground"),1,0)),IF(OR($S117="Bug",$S117="Fire",$S117="Flying",$S117="Ice"),0-1,IF(OR($S117="Steel",$S117="Fighting",$S117="Ground"),1,0)))</f>
        <v>0</v>
      </c>
      <c r="AS117" s="507" t="n">
        <f aca="false">SUM(IF(OR($R117="Fairy",$R117="Ice",$R117="Rock"),0-1,IF(OR($R117="Steel",$R117="Electric",$R117="Fire",$R117="Water"),1,0)),IF(OR($S117="Fairy",$S117="Ice",$S117="Rock"),0-1,IF(OR($S117="Steel",$S117="Electric",$S117="Fire",$S117="Water"),1,0)))</f>
        <v>0</v>
      </c>
      <c r="AT117" s="508" t="n">
        <f aca="false">SUM(IF(OR($R117="Fire",$R117="Ground",$R117="Rock"),0-1,IF(OR($R117="Dragon",$R117="Grass",$R117="Water"),1,0)),IF(OR($S117="Fire",$S117="Ground",$S117="Rock"),0-1,IF(OR($S117="Dragon",$S117="Grass",$S117="Water"),1,0)))</f>
        <v>1</v>
      </c>
      <c r="AU117" s="518"/>
    </row>
    <row r="118" customFormat="false" ht="15.75" hidden="false" customHeight="false" outlineLevel="0" collapsed="false">
      <c r="A118" s="510" t="str">
        <f aca="false" t="array" ref="A118:A118">IF(ISNA(INDEX(Source!$U$7:$U$95,MATCH(B118,Source!$V$7:$V$95,0))),"FREE",INDEX(Source!$U$7:$U$95,MATCH(B118,Source!$V$7:$V$95,0)))</f>
        <v>FREE</v>
      </c>
      <c r="B118" s="511" t="s">
        <v>362</v>
      </c>
      <c r="C118" s="511"/>
      <c r="D118" s="511"/>
      <c r="E118" s="499" t="str">
        <f aca="false">IF(SUM($W118:$X118)&gt;0,SUM($W118:$X118),IF($H118&gt;0,0,IF($H118&gt;0,0,"-")))</f>
        <v>-</v>
      </c>
      <c r="F118" s="499" t="str">
        <f aca="false">IF(SUM($Y118:$Z118)&gt;0,SUM($Y118:$Z118),IF($H118&gt;0,0,"-"))</f>
        <v>-</v>
      </c>
      <c r="G118" s="499" t="str">
        <f aca="false">IF($H118&gt;0,minus(E118,F118),"-")</f>
        <v>-</v>
      </c>
      <c r="H118" s="500" t="n">
        <f aca="false">SUM(COUNTIF(MatchSource!$A:$A,$B118),COUNTIF(MatchSource!$H:$H,$B118))</f>
        <v>0</v>
      </c>
      <c r="I118" s="501" t="n">
        <f aca="false">SUM($AA118:$AB118)</f>
        <v>0</v>
      </c>
      <c r="J118" s="501" t="s">
        <v>699</v>
      </c>
      <c r="K118" s="512" t="str">
        <f aca="false" t="array" ref="K118:K118">IF(ISNA(INDEX(DraftRosters!$AA$3:$AA$199,MATCH($B118,DraftRosters!$AB$3:$AB$199,0))),"FA",IF(INDEX(DraftRosters!$AA$3:$AA$199,MATCH($B118,DraftRosters!$AB$3:$AB$199,0))="Franchise","Franch",INDEX(DraftRosters!$AA$3:$AA$199,MATCH($B118,DraftRosters!$AB$3:$AB$199,0))))</f>
        <v>FA</v>
      </c>
      <c r="L118" s="499" t="n">
        <v>35</v>
      </c>
      <c r="M118" s="499" t="n">
        <v>100</v>
      </c>
      <c r="N118" s="499" t="n">
        <v>50</v>
      </c>
      <c r="O118" s="499" t="n">
        <v>50</v>
      </c>
      <c r="P118" s="499" t="n">
        <v>70</v>
      </c>
      <c r="Q118" s="501" t="n">
        <v>120</v>
      </c>
      <c r="R118" s="499" t="s">
        <v>907</v>
      </c>
      <c r="S118" s="501"/>
      <c r="T118" s="504" t="s">
        <v>958</v>
      </c>
      <c r="U118" s="505" t="s">
        <v>906</v>
      </c>
      <c r="V118" s="506" t="s">
        <v>959</v>
      </c>
      <c r="W118" s="500" t="str">
        <f aca="false">IFERROR(__xludf.dummyfunction("if(isna(SUM(FILTER(MatchSource!$A:$D,MatchSource!$A:$A=$B118))),0,SUM(FILTER(MatchSource!$A:$D,MatchSource!$A:$A=$B118)))"),"0")</f>
        <v>0</v>
      </c>
      <c r="X118" s="499" t="str">
        <f aca="false">IFERROR(__xludf.dummyfunction("if(isna(SUM(FILTER(MatchSource!$H:$K,MatchSource!$H:$H=$B118))),0,SUM(FILTER(MatchSource!$H:$K,MatchSource!$H:$H=$B118)))"),"0")</f>
        <v>0</v>
      </c>
      <c r="Y118" s="499" t="str">
        <f aca="false">IFERROR(__xludf.dummyfunction("if(isna(ABS(MINUS(SUM(FILTER(MatchSource!$A:$E,MatchSource!$A:$A=$B118)),SUM($W118)))),0,ABS(MINUS(SUM(FILTER(MatchSource!$A:$E,MatchSource!$A:$A=$B118)),SUM($W118))))"),"0")</f>
        <v>0</v>
      </c>
      <c r="Z118" s="499" t="str">
        <f aca="false">IFERROR(__xludf.dummyfunction("if(isna(ABS(MINUS(SUM(FILTER(MatchSource!$H:$L,MatchSource!$H:$H=$B118)),SUM($X118)))),0,ABS(MINUS(SUM(FILTER(MatchSource!$H:$L,MatchSource!$H:$H=$B118)),SUM($X118))))"),"0")</f>
        <v>0</v>
      </c>
      <c r="AA118" s="499" t="str">
        <f aca="false">IFERROR(__xludf.dummyfunction("if(isna(ABS(MINUS(SUM(FILTER(MatchSource!$A:$F,MatchSource!$A:$A=$B118)),SUM($W118,$Y118)))),0,ABS(MINUS(SUM(FILTER(MatchSource!$A:$F,MatchSource!$A:$A=$B118)),SUM($W118, $Y118,))))"),"0")</f>
        <v>0</v>
      </c>
      <c r="AB118" s="501" t="str">
        <f aca="false">IFERROR(__xludf.dummyfunction("if(isna(ABS(MINUS(SUM(FILTER(MatchSource!$H:$M,MatchSource!$H:$H=$B118)),SUM($X118,$Z118)))),0,ABS(MINUS(SUM(FILTER(MatchSource!$H:$M,MatchSource!$H:$H=$B118)),SUM($X118,$Z118))))"),"0")</f>
        <v>0</v>
      </c>
      <c r="AC118" s="507" t="n">
        <f aca="false">SUM(IF(OR($R118="Grass",$R118="Psychic",$R118="Dark"),0-1,IF(OR($R118="Fighting",$R118="Flying",$R118="Fire",$R118="Ghost",$R118="Poison",$R118="Steel",$R118="Fairy"),1,0)),IF(OR($S118="Grass",$S118="Psychic",$S118="Dark"),0-1,IF(OR($S118="Fighting",$S118="Flying",$S118="Fire",$S118="Ghost",$S118="Poison",$S118="Steel",$S118="Fairy"),1,0)))</f>
        <v>0</v>
      </c>
      <c r="AD118" s="507" t="n">
        <f aca="false">SUM(IF(OR($R118="Ghost",$R118="Psychic"),0-1,IF(OR($R118="Fighting",$R118="Dark",$R118="Fairy"),1,0)),IF(OR($S118="Ghost",$S118="Psychic"),0-1,IF(OR($S118="Fighting",$S118="Dark",$S118="Fairy"),1,0)))</f>
        <v>0</v>
      </c>
      <c r="AE118" s="507" t="n">
        <f aca="false">IF(OR($R118="Fairy",$S118="Fairy"),4,SUM(IF($R118="Dragon",0-1,IF($R118="Steel",1,0)),IF($S118="Dragon",0-1,IF($S118="Steel",1,0))))</f>
        <v>0</v>
      </c>
      <c r="AF118" s="507" t="n">
        <f aca="false">IF(OR($R118="Ground",$S118="Ground"),4,SUM(IF(OR($R118="Flying",$R118="Water"),0-1,IF(OR($R118="Dragon",$R118="Electric",$R118="Grass"),1,0)),IF(OR($S118="Flying",$S118="Water"),0-1,IF(OR($S118="Dragon",$S118="Electric",$S118="Grass"),1,0))))</f>
        <v>4</v>
      </c>
      <c r="AG118" s="507" t="n">
        <f aca="false">SUM(IF(OR($R118="Dark",$R118="Dragon",$R118="Fighting"),0-1,IF(OR($R118="Steel",$R118="Poison",$R118="Fire"),1,0)),IF(OR($S118="Dark",$S118="Dragon",$S118="Fighting"),0-1,IF(OR($S118="Steel",$S118="Poison",$S118="Fire"),1,0)))</f>
        <v>0</v>
      </c>
      <c r="AH118" s="507" t="n">
        <f aca="false">IF(OR($R118="Ghost",$S118="Ghost"),4,SUM(IF(OR($R118="Dark",$R118="Ice",$R118="Normal",$R118="Rock",$R118="Steel"),0-1,IF(OR($R118="Bug",$R118="Fairy",$R118="Flying",$R118="Poison",$R118="Psychic"),1,0)),IF(OR($S118="Dark",$S118="Ice",$S118="Normal",$S118="Rock",$S118="Steel"),0-1,IF(OR($S118="Bug",$S118="Fairy",$S118="Flying",$S118="Poison",$S118="Psychic"),1,0))))</f>
        <v>0</v>
      </c>
      <c r="AI118" s="507" t="n">
        <f aca="false">SUM(IF(OR($R118="Bug",$R118="Grass",$R118="Ice",$R118="Steel"),0-1,IF(OR($R118="Dragon",$R118="Fire",$R118="Rock",$R118="Water"),1,0)),IF(OR($S118="Bug",$S118="Grass",$S118="Ice",$S118="Steel"),0-1,IF(OR($S118="Dragon",$S118="Fire",$S118="Rock",$S118="Water"),1,0)))</f>
        <v>0</v>
      </c>
      <c r="AJ118" s="507" t="n">
        <f aca="false">SUM(IF(OR($R118="Bug",$R118="Grass",$R118="Fighting"),0-1,IF(OR($R118="Electric",$R118="Rock",$R118="Steel"),1,0)),IF(OR($S118="Bug",$S118="Grass",$S118="Fighting"),0-1,IF(OR($S118="Electric",$S118="Rock",$S118="Steel"),1,0)))</f>
        <v>0</v>
      </c>
      <c r="AK118" s="507" t="n">
        <f aca="false">IF(OR($R118="Normal",$S118="Normal"),4,SUM(IF(OR($R118="Ghost",$R118="Psychic"),0-1,IF($R118="Dark",1,0)),IF(OR($S118="Ghost",$S118="Psychic"),0-1,IF($S118="Dark",1,0))))</f>
        <v>0</v>
      </c>
      <c r="AL118" s="507" t="n">
        <f aca="false">SUM(IF(OR($R118="Ground",$R118="Rock",$R118="Water"),0-1,IF(OR($R118="Bug",$R118="Flying",$R118="Fire",$R118="Dragon",$R118="Poison",$R118="Steel",$R118="Grass"),1,0)),IF(OR($S118="Ground",$S118="Rock",$S118="Water"),0-1,IF(OR($S118="Bug",$S118="Flying",$S118="Fire",$S118="Dragon",$S118="Poison",$S118="Steel",$S118="Grass"),1,0)))</f>
        <v>-1</v>
      </c>
      <c r="AM118" s="507" t="n">
        <f aca="false">IF(OR($R118="Flying",$S118="Flying"),4,SUM(IF(OR($R118="Electric",$R118="Fire",$R118="Rock",$R118="Steel",$R118="Poison"),0-1,IF(OR($R118="Bug",$R118="Grass"),1,0)),IF(OR($S118="Electric",$S118="Fire",$S118="Rock",$S118="Steel",$S118="Poison"),0-1,IF(OR($S118="Bug",$S118="Grass"),1,0))))</f>
        <v>0</v>
      </c>
      <c r="AN118" s="507" t="n">
        <f aca="false">SUM(IF(OR($R118="Flying",$R118="Dragon",$R118="Grass",$R118="Ground"),0-1,IF(OR($R118="Steel",$R118="Ice",$R118="Fire",$R118="Water"),1,0)),IF(OR($S118="Flying",$S118="Dragon",$S118="Grass",$S118="Ground"),0-1,IF(OR($S118="Steel",$S118="Ice",$S118="Fire",$S118="Water"),1,0)))</f>
        <v>-1</v>
      </c>
      <c r="AO118" s="507" t="n">
        <f aca="false">IF(OR($R118="Ghost",$S118="Ghost"),4,SUM(IF(OR($R118="Steel",$R118="Rock"),1,0),IF(OR($S118="Steel",$S118="Rock"),1,0)))</f>
        <v>0</v>
      </c>
      <c r="AP118" s="507" t="n">
        <f aca="false">IF(OR($R118="Steel",$S118="Steel"),4,SUM(IF(OR($R118="Fairy",$R118="Grass"),0-1,IF(OR($R118="Ghost",$R118="Rock",$R118="Ground",$R118="Poison"),1,0)),IF(OR($S118="Fairy",$S118="Grass"),0-1,IF(OR($S118="Ghost",$S118="Rock",$S118="Ground",$S118="Poison"),1,0))))</f>
        <v>1</v>
      </c>
      <c r="AQ118" s="507" t="n">
        <f aca="false">IF(OR($R118="Dark",$S118="Dark"),4,SUM(IF(OR($R118="Fighting",$R118="Poison"),0-1,IF(OR($R118="Psychic",$R118="Steel"),1,0)),IF(OR($S118="Fighting",$S118="Poison"),0-1,IF(OR($S118="Psychic",$S118="Steel"),1,0))))</f>
        <v>0</v>
      </c>
      <c r="AR118" s="507" t="n">
        <f aca="false">SUM(IF(OR($R118="Bug",$R118="Fire",$R118="Flying",$R118="Ice"),0-1,IF(OR($R118="Steel",$R118="Fighting",$R118="Ground"),1,0)),IF(OR($S118="Bug",$S118="Fire",$S118="Flying",$S118="Ice"),0-1,IF(OR($S118="Steel",$S118="Fighting",$S118="Ground"),1,0)))</f>
        <v>1</v>
      </c>
      <c r="AS118" s="507" t="n">
        <f aca="false">SUM(IF(OR($R118="Fairy",$R118="Ice",$R118="Rock"),0-1,IF(OR($R118="Steel",$R118="Electric",$R118="Fire",$R118="Water"),1,0)),IF(OR($S118="Fairy",$S118="Ice",$S118="Rock"),0-1,IF(OR($S118="Steel",$S118="Electric",$S118="Fire",$S118="Water"),1,0)))</f>
        <v>0</v>
      </c>
      <c r="AT118" s="508" t="n">
        <f aca="false">SUM(IF(OR($R118="Fire",$R118="Ground",$R118="Rock"),0-1,IF(OR($R118="Dragon",$R118="Grass",$R118="Water"),1,0)),IF(OR($S118="Fire",$S118="Ground",$S118="Rock"),0-1,IF(OR($S118="Dragon",$S118="Grass",$S118="Water"),1,0)))</f>
        <v>-1</v>
      </c>
      <c r="AU118" s="518"/>
    </row>
    <row r="119" customFormat="false" ht="15.75" hidden="false" customHeight="false" outlineLevel="0" collapsed="false">
      <c r="A119" s="510" t="str">
        <f aca="false" t="array" ref="A119:A119">IF(ISNA(INDEX(Source!$U$7:$U$95,MATCH(B119,Source!$V$7:$V$95,0))),"FREE",INDEX(Source!$U$7:$U$95,MATCH(B119,Source!$V$7:$V$95,0)))</f>
        <v>FREE</v>
      </c>
      <c r="B119" s="511" t="s">
        <v>742</v>
      </c>
      <c r="C119" s="511"/>
      <c r="D119" s="511"/>
      <c r="E119" s="499" t="str">
        <f aca="false">IF(SUM($W119:$X119)&gt;0,SUM($W119:$X119),IF($H119&gt;0,0,IF($H119&gt;0,0,"-")))</f>
        <v>-</v>
      </c>
      <c r="F119" s="499" t="str">
        <f aca="false">IF(SUM($Y119:$Z119)&gt;0,SUM($Y119:$Z119),IF($H119&gt;0,0,"-"))</f>
        <v>-</v>
      </c>
      <c r="G119" s="499" t="str">
        <f aca="false">IF($H119&gt;0,minus(E119,F119),"-")</f>
        <v>-</v>
      </c>
      <c r="H119" s="500" t="n">
        <f aca="false">SUM(COUNTIF(MatchSource!$A:$A,$B119),COUNTIF(MatchSource!$H:$H,$B119))</f>
        <v>0</v>
      </c>
      <c r="I119" s="501" t="n">
        <f aca="false">SUM($AA119:$AB119)</f>
        <v>0</v>
      </c>
      <c r="J119" s="501" t="s">
        <v>701</v>
      </c>
      <c r="K119" s="512" t="str">
        <f aca="false" t="array" ref="K119:K119">IF(ISNA(INDEX(DraftRosters!$AA$3:$AA$199,MATCH($B119,DraftRosters!$AB$3:$AB$199,0))),"FA",IF(INDEX(DraftRosters!$AA$3:$AA$199,MATCH($B119,DraftRosters!$AB$3:$AB$199,0))="Franchise","Franch",INDEX(DraftRosters!$AA$3:$AA$199,MATCH($B119,DraftRosters!$AB$3:$AB$199,0))))</f>
        <v>FA</v>
      </c>
      <c r="L119" s="507" t="n">
        <v>35</v>
      </c>
      <c r="M119" s="507" t="n">
        <v>100</v>
      </c>
      <c r="N119" s="507" t="n">
        <v>60</v>
      </c>
      <c r="O119" s="507" t="n">
        <v>50</v>
      </c>
      <c r="P119" s="507" t="n">
        <v>70</v>
      </c>
      <c r="Q119" s="508" t="n">
        <v>110</v>
      </c>
      <c r="R119" s="499" t="s">
        <v>907</v>
      </c>
      <c r="S119" s="501" t="s">
        <v>810</v>
      </c>
      <c r="T119" s="504" t="s">
        <v>960</v>
      </c>
      <c r="U119" s="505" t="s">
        <v>959</v>
      </c>
      <c r="V119" s="506" t="s">
        <v>906</v>
      </c>
      <c r="W119" s="500" t="str">
        <f aca="false">IFERROR(__xludf.dummyfunction("if(isna(SUM(FILTER(MatchSource!$A:$D,MatchSource!$A:$A=$B119))),0,SUM(FILTER(MatchSource!$A:$D,MatchSource!$A:$A=$B119)))"),"0")</f>
        <v>0</v>
      </c>
      <c r="X119" s="499" t="str">
        <f aca="false">IFERROR(__xludf.dummyfunction("if(isna(SUM(FILTER(MatchSource!$H:$K,MatchSource!$H:$H=$B119))),0,SUM(FILTER(MatchSource!$H:$K,MatchSource!$H:$H=$B119)))"),"0")</f>
        <v>0</v>
      </c>
      <c r="Y119" s="499" t="str">
        <f aca="false">IFERROR(__xludf.dummyfunction("if(isna(ABS(MINUS(SUM(FILTER(MatchSource!$A:$E,MatchSource!$A:$A=$B119)),SUM($W119)))),0,ABS(MINUS(SUM(FILTER(MatchSource!$A:$E,MatchSource!$A:$A=$B119)),SUM($W119))))"),"0")</f>
        <v>0</v>
      </c>
      <c r="Z119" s="499" t="str">
        <f aca="false">IFERROR(__xludf.dummyfunction("if(isna(ABS(MINUS(SUM(FILTER(MatchSource!$H:$L,MatchSource!$H:$H=$B119)),SUM($X119)))),0,ABS(MINUS(SUM(FILTER(MatchSource!$H:$L,MatchSource!$H:$H=$B119)),SUM($X119))))"),"0")</f>
        <v>0</v>
      </c>
      <c r="AA119" s="499" t="str">
        <f aca="false">IFERROR(__xludf.dummyfunction("if(isna(ABS(MINUS(SUM(FILTER(MatchSource!$A:$F,MatchSource!$A:$A=$B119)),SUM($W119,$Y119)))),0,ABS(MINUS(SUM(FILTER(MatchSource!$A:$F,MatchSource!$A:$A=$B119)),SUM($W119, $Y119,))))"),"0")</f>
        <v>0</v>
      </c>
      <c r="AB119" s="501" t="str">
        <f aca="false">IFERROR(__xludf.dummyfunction("if(isna(ABS(MINUS(SUM(FILTER(MatchSource!$H:$M,MatchSource!$H:$H=$B119)),SUM($X119,$Z119)))),0,ABS(MINUS(SUM(FILTER(MatchSource!$H:$M,MatchSource!$H:$H=$B119)),SUM($X119,$Z119))))"),"0")</f>
        <v>0</v>
      </c>
      <c r="AC119" s="507" t="n">
        <f aca="false">SUM(IF(OR($R119="Grass",$R119="Psychic",$R119="Dark"),0-1,IF(OR($R119="Fighting",$R119="Flying",$R119="Fire",$R119="Ghost",$R119="Poison",$R119="Steel",$R119="Fairy"),1,0)),IF(OR($S119="Grass",$S119="Psychic",$S119="Dark"),0-1,IF(OR($S119="Fighting",$S119="Flying",$S119="Fire",$S119="Ghost",$S119="Poison",$S119="Steel",$S119="Fairy"),1,0)))</f>
        <v>1</v>
      </c>
      <c r="AD119" s="507" t="n">
        <f aca="false">SUM(IF(OR($R119="Ghost",$R119="Psychic"),0-1,IF(OR($R119="Fighting",$R119="Dark",$R119="Fairy"),1,0)),IF(OR($S119="Ghost",$S119="Psychic"),0-1,IF(OR($S119="Fighting",$S119="Dark",$S119="Fairy"),1,0)))</f>
        <v>0</v>
      </c>
      <c r="AE119" s="507" t="n">
        <f aca="false">IF(OR($R119="Fairy",$S119="Fairy"),4,SUM(IF($R119="Dragon",0-1,IF($R119="Steel",1,0)),IF($S119="Dragon",0-1,IF($S119="Steel",1,0))))</f>
        <v>1</v>
      </c>
      <c r="AF119" s="507" t="n">
        <f aca="false">IF(OR($R119="Ground",$S119="Ground"),4,SUM(IF(OR($R119="Flying",$R119="Water"),0-1,IF(OR($R119="Dragon",$R119="Electric",$R119="Grass"),1,0)),IF(OR($S119="Flying",$S119="Water"),0-1,IF(OR($S119="Dragon",$S119="Electric",$S119="Grass"),1,0))))</f>
        <v>4</v>
      </c>
      <c r="AG119" s="507" t="n">
        <f aca="false">SUM(IF(OR($R119="Dark",$R119="Dragon",$R119="Fighting"),0-1,IF(OR($R119="Steel",$R119="Poison",$R119="Fire"),1,0)),IF(OR($S119="Dark",$S119="Dragon",$S119="Fighting"),0-1,IF(OR($S119="Steel",$S119="Poison",$S119="Fire"),1,0)))</f>
        <v>1</v>
      </c>
      <c r="AH119" s="507" t="n">
        <f aca="false">IF(OR($R119="Ghost",$S119="Ghost"),4,SUM(IF(OR($R119="Dark",$R119="Ice",$R119="Normal",$R119="Rock",$R119="Steel"),0-1,IF(OR($R119="Bug",$R119="Fairy",$R119="Flying",$R119="Poison",$R119="Psychic"),1,0)),IF(OR($S119="Dark",$S119="Ice",$S119="Normal",$S119="Rock",$S119="Steel"),0-1,IF(OR($S119="Bug",$S119="Fairy",$S119="Flying",$S119="Poison",$S119="Psychic"),1,0))))</f>
        <v>-1</v>
      </c>
      <c r="AI119" s="507" t="n">
        <f aca="false">SUM(IF(OR($R119="Bug",$R119="Grass",$R119="Ice",$R119="Steel"),0-1,IF(OR($R119="Dragon",$R119="Fire",$R119="Rock",$R119="Water"),1,0)),IF(OR($S119="Bug",$S119="Grass",$S119="Ice",$S119="Steel"),0-1,IF(OR($S119="Dragon",$S119="Fire",$S119="Rock",$S119="Water"),1,0)))</f>
        <v>-1</v>
      </c>
      <c r="AJ119" s="507" t="n">
        <f aca="false">SUM(IF(OR($R119="Bug",$R119="Grass",$R119="Fighting"),0-1,IF(OR($R119="Electric",$R119="Rock",$R119="Steel"),1,0)),IF(OR($S119="Bug",$S119="Grass",$S119="Fighting"),0-1,IF(OR($S119="Electric",$S119="Rock",$S119="Steel"),1,0)))</f>
        <v>1</v>
      </c>
      <c r="AK119" s="507" t="n">
        <f aca="false">IF(OR($R119="Normal",$S119="Normal"),4,SUM(IF(OR($R119="Ghost",$R119="Psychic"),0-1,IF($R119="Dark",1,0)),IF(OR($S119="Ghost",$S119="Psychic"),0-1,IF($S119="Dark",1,0))))</f>
        <v>0</v>
      </c>
      <c r="AL119" s="507" t="n">
        <f aca="false">SUM(IF(OR($R119="Ground",$R119="Rock",$R119="Water"),0-1,IF(OR($R119="Bug",$R119="Flying",$R119="Fire",$R119="Dragon",$R119="Poison",$R119="Steel",$R119="Grass"),1,0)),IF(OR($S119="Ground",$S119="Rock",$S119="Water"),0-1,IF(OR($S119="Bug",$S119="Flying",$S119="Fire",$S119="Dragon",$S119="Poison",$S119="Steel",$S119="Grass"),1,0)))</f>
        <v>0</v>
      </c>
      <c r="AM119" s="507" t="n">
        <f aca="false">IF(OR($R119="Flying",$S119="Flying"),4,SUM(IF(OR($R119="Electric",$R119="Fire",$R119="Rock",$R119="Steel",$R119="Poison"),0-1,IF(OR($R119="Bug",$R119="Grass"),1,0)),IF(OR($S119="Electric",$S119="Fire",$S119="Rock",$S119="Steel",$S119="Poison"),0-1,IF(OR($S119="Bug",$S119="Grass"),1,0))))</f>
        <v>-1</v>
      </c>
      <c r="AN119" s="507" t="n">
        <f aca="false">SUM(IF(OR($R119="Flying",$R119="Dragon",$R119="Grass",$R119="Ground"),0-1,IF(OR($R119="Steel",$R119="Ice",$R119="Fire",$R119="Water"),1,0)),IF(OR($S119="Flying",$S119="Dragon",$S119="Grass",$S119="Ground"),0-1,IF(OR($S119="Steel",$S119="Ice",$S119="Fire",$S119="Water"),1,0)))</f>
        <v>0</v>
      </c>
      <c r="AO119" s="507" t="n">
        <f aca="false">IF(OR($R119="Ghost",$S119="Ghost"),4,SUM(IF(OR($R119="Steel",$R119="Rock"),1,0),IF(OR($S119="Steel",$S119="Rock"),1,0)))</f>
        <v>1</v>
      </c>
      <c r="AP119" s="507" t="n">
        <f aca="false">IF(OR($R119="Steel",$S119="Steel"),4,SUM(IF(OR($R119="Fairy",$R119="Grass"),0-1,IF(OR($R119="Ghost",$R119="Rock",$R119="Ground",$R119="Poison"),1,0)),IF(OR($S119="Fairy",$S119="Grass"),0-1,IF(OR($S119="Ghost",$S119="Rock",$S119="Ground",$S119="Poison"),1,0))))</f>
        <v>4</v>
      </c>
      <c r="AQ119" s="507" t="n">
        <f aca="false">IF(OR($R119="Dark",$S119="Dark"),4,SUM(IF(OR($R119="Fighting",$R119="Poison"),0-1,IF(OR($R119="Psychic",$R119="Steel"),1,0)),IF(OR($S119="Fighting",$S119="Poison"),0-1,IF(OR($S119="Psychic",$S119="Steel"),1,0))))</f>
        <v>1</v>
      </c>
      <c r="AR119" s="507" t="n">
        <f aca="false">SUM(IF(OR($R119="Bug",$R119="Fire",$R119="Flying",$R119="Ice"),0-1,IF(OR($R119="Steel",$R119="Fighting",$R119="Ground"),1,0)),IF(OR($S119="Bug",$S119="Fire",$S119="Flying",$S119="Ice"),0-1,IF(OR($S119="Steel",$S119="Fighting",$S119="Ground"),1,0)))</f>
        <v>2</v>
      </c>
      <c r="AS119" s="507" t="n">
        <f aca="false">SUM(IF(OR($R119="Fairy",$R119="Ice",$R119="Rock"),0-1,IF(OR($R119="Steel",$R119="Electric",$R119="Fire",$R119="Water"),1,0)),IF(OR($S119="Fairy",$S119="Ice",$S119="Rock"),0-1,IF(OR($S119="Steel",$S119="Electric",$S119="Fire",$S119="Water"),1,0)))</f>
        <v>1</v>
      </c>
      <c r="AT119" s="508" t="n">
        <f aca="false">SUM(IF(OR($R119="Fire",$R119="Ground",$R119="Rock"),0-1,IF(OR($R119="Dragon",$R119="Grass",$R119="Water"),1,0)),IF(OR($S119="Fire",$S119="Ground",$S119="Rock"),0-1,IF(OR($S119="Dragon",$S119="Grass",$S119="Water"),1,0)))</f>
        <v>-1</v>
      </c>
      <c r="AU119" s="518"/>
    </row>
    <row r="120" customFormat="false" ht="15.75" hidden="false" customHeight="false" outlineLevel="0" collapsed="false">
      <c r="A120" s="510" t="str">
        <f aca="false" t="array" ref="A120:A120">IF(ISNA(INDEX(Source!$U$7:$U$95,MATCH(B120,Source!$V$7:$V$95,0))),"FREE",INDEX(Source!$U$7:$U$95,MATCH(B120,Source!$V$7:$V$95,0)))</f>
        <v>FREE</v>
      </c>
      <c r="B120" s="511" t="s">
        <v>524</v>
      </c>
      <c r="C120" s="511"/>
      <c r="D120" s="511"/>
      <c r="E120" s="499" t="str">
        <f aca="false">IF(SUM($W120:$X120)&gt;0,SUM($W120:$X120),IF($H120&gt;0,0,IF($H120&gt;0,0,"-")))</f>
        <v>-</v>
      </c>
      <c r="F120" s="499" t="str">
        <f aca="false">IF(SUM($Y120:$Z120)&gt;0,SUM($Y120:$Z120),IF($H120&gt;0,0,"-"))</f>
        <v>-</v>
      </c>
      <c r="G120" s="499" t="str">
        <f aca="false">IF($H120&gt;0,minus(E120,F120),"-")</f>
        <v>-</v>
      </c>
      <c r="H120" s="500" t="n">
        <f aca="false">SUM(COUNTIF(MatchSource!$A:$A,$B120),COUNTIF(MatchSource!$H:$H,$B120))</f>
        <v>0</v>
      </c>
      <c r="I120" s="501" t="n">
        <f aca="false">SUM($AA120:$AB120)</f>
        <v>0</v>
      </c>
      <c r="J120" s="501" t="s">
        <v>702</v>
      </c>
      <c r="K120" s="512" t="str">
        <f aca="false" t="array" ref="K120:K120">IF(ISNA(INDEX(DraftRosters!$AA$3:$AA$199,MATCH($B120,DraftRosters!$AB$3:$AB$199,0))),"FA",IF(INDEX(DraftRosters!$AA$3:$AA$199,MATCH($B120,DraftRosters!$AB$3:$AB$199,0))="Franchise","Franch",INDEX(DraftRosters!$AA$3:$AA$199,MATCH($B120,DraftRosters!$AB$3:$AB$199,0))))</f>
        <v>FA</v>
      </c>
      <c r="L120" s="499" t="n">
        <v>100</v>
      </c>
      <c r="M120" s="499" t="n">
        <v>70</v>
      </c>
      <c r="N120" s="499" t="n">
        <v>70</v>
      </c>
      <c r="O120" s="499" t="n">
        <v>65</v>
      </c>
      <c r="P120" s="499" t="n">
        <v>65</v>
      </c>
      <c r="Q120" s="501" t="n">
        <v>45</v>
      </c>
      <c r="R120" s="499" t="s">
        <v>839</v>
      </c>
      <c r="S120" s="501"/>
      <c r="T120" s="504" t="s">
        <v>961</v>
      </c>
      <c r="U120" s="505" t="s">
        <v>895</v>
      </c>
      <c r="V120" s="506" t="s">
        <v>949</v>
      </c>
      <c r="W120" s="500" t="str">
        <f aca="false">IFERROR(__xludf.dummyfunction("if(isna(SUM(FILTER(MatchSource!$A:$D,MatchSource!$A:$A=$B120))),0,SUM(FILTER(MatchSource!$A:$D,MatchSource!$A:$A=$B120)))"),"0")</f>
        <v>0</v>
      </c>
      <c r="X120" s="499" t="str">
        <f aca="false">IFERROR(__xludf.dummyfunction("if(isna(SUM(FILTER(MatchSource!$H:$K,MatchSource!$H:$H=$B120))),0,SUM(FILTER(MatchSource!$H:$K,MatchSource!$H:$H=$B120)))"),"0")</f>
        <v>0</v>
      </c>
      <c r="Y120" s="499" t="str">
        <f aca="false">IFERROR(__xludf.dummyfunction("if(isna(ABS(MINUS(SUM(FILTER(MatchSource!$A:$E,MatchSource!$A:$A=$B120)),SUM($W120)))),0,ABS(MINUS(SUM(FILTER(MatchSource!$A:$E,MatchSource!$A:$A=$B120)),SUM($W120))))"),"0")</f>
        <v>0</v>
      </c>
      <c r="Z120" s="499" t="str">
        <f aca="false">IFERROR(__xludf.dummyfunction("if(isna(ABS(MINUS(SUM(FILTER(MatchSource!$H:$L,MatchSource!$H:$H=$B120)),SUM($X120)))),0,ABS(MINUS(SUM(FILTER(MatchSource!$H:$L,MatchSource!$H:$H=$B120)),SUM($X120))))"),"0")</f>
        <v>0</v>
      </c>
      <c r="AA120" s="499" t="str">
        <f aca="false">IFERROR(__xludf.dummyfunction("if(isna(ABS(MINUS(SUM(FILTER(MatchSource!$A:$F,MatchSource!$A:$A=$B120)),SUM($W120,$Y120)))),0,ABS(MINUS(SUM(FILTER(MatchSource!$A:$F,MatchSource!$A:$A=$B120)),SUM($W120, $Y120,))))"),"0")</f>
        <v>0</v>
      </c>
      <c r="AB120" s="501" t="str">
        <f aca="false">IFERROR(__xludf.dummyfunction("if(isna(ABS(MINUS(SUM(FILTER(MatchSource!$H:$M,MatchSource!$H:$H=$B120)),SUM($X120,$Z120)))),0,ABS(MINUS(SUM(FILTER(MatchSource!$H:$M,MatchSource!$H:$H=$B120)),SUM($X120,$Z120))))"),"0")</f>
        <v>0</v>
      </c>
      <c r="AC120" s="507" t="n">
        <f aca="false">SUM(IF(OR($R120="Grass",$R120="Psychic",$R120="Dark"),0-1,IF(OR($R120="Fighting",$R120="Flying",$R120="Fire",$R120="Ghost",$R120="Poison",$R120="Steel",$R120="Fairy"),1,0)),IF(OR($S120="Grass",$S120="Psychic",$S120="Dark"),0-1,IF(OR($S120="Fighting",$S120="Flying",$S120="Fire",$S120="Ghost",$S120="Poison",$S120="Steel",$S120="Fairy"),1,0)))</f>
        <v>0</v>
      </c>
      <c r="AD120" s="507" t="n">
        <f aca="false">SUM(IF(OR($R120="Ghost",$R120="Psychic"),0-1,IF(OR($R120="Fighting",$R120="Dark",$R120="Fairy"),1,0)),IF(OR($S120="Ghost",$S120="Psychic"),0-1,IF(OR($S120="Fighting",$S120="Dark",$S120="Fairy"),1,0)))</f>
        <v>0</v>
      </c>
      <c r="AE120" s="507" t="n">
        <f aca="false">IF(OR($R120="Fairy",$S120="Fairy"),4,SUM(IF($R120="Dragon",0-1,IF($R120="Steel",1,0)),IF($S120="Dragon",0-1,IF($S120="Steel",1,0))))</f>
        <v>0</v>
      </c>
      <c r="AF120" s="507" t="n">
        <f aca="false">IF(OR($R120="Ground",$S120="Ground"),4,SUM(IF(OR($R120="Flying",$R120="Water"),0-1,IF(OR($R120="Dragon",$R120="Electric",$R120="Grass"),1,0)),IF(OR($S120="Flying",$S120="Water"),0-1,IF(OR($S120="Dragon",$S120="Electric",$S120="Grass"),1,0))))</f>
        <v>0</v>
      </c>
      <c r="AG120" s="507" t="n">
        <f aca="false">SUM(IF(OR($R120="Dark",$R120="Dragon",$R120="Fighting"),0-1,IF(OR($R120="Steel",$R120="Poison",$R120="Fire"),1,0)),IF(OR($S120="Dark",$S120="Dragon",$S120="Fighting"),0-1,IF(OR($S120="Steel",$S120="Poison",$S120="Fire"),1,0)))</f>
        <v>0</v>
      </c>
      <c r="AH120" s="507" t="n">
        <f aca="false">IF(OR($R120="Ghost",$S120="Ghost"),4,SUM(IF(OR($R120="Dark",$R120="Ice",$R120="Normal",$R120="Rock",$R120="Steel"),0-1,IF(OR($R120="Bug",$R120="Fairy",$R120="Flying",$R120="Poison",$R120="Psychic"),1,0)),IF(OR($S120="Dark",$S120="Ice",$S120="Normal",$S120="Rock",$S120="Steel"),0-1,IF(OR($S120="Bug",$S120="Fairy",$S120="Flying",$S120="Poison",$S120="Psychic"),1,0))))</f>
        <v>-1</v>
      </c>
      <c r="AI120" s="507" t="n">
        <f aca="false">SUM(IF(OR($R120="Bug",$R120="Grass",$R120="Ice",$R120="Steel"),0-1,IF(OR($R120="Dragon",$R120="Fire",$R120="Rock",$R120="Water"),1,0)),IF(OR($S120="Bug",$S120="Grass",$S120="Ice",$S120="Steel"),0-1,IF(OR($S120="Dragon",$S120="Fire",$S120="Rock",$S120="Water"),1,0)))</f>
        <v>0</v>
      </c>
      <c r="AJ120" s="507" t="n">
        <f aca="false">SUM(IF(OR($R120="Bug",$R120="Grass",$R120="Fighting"),0-1,IF(OR($R120="Electric",$R120="Rock",$R120="Steel"),1,0)),IF(OR($S120="Bug",$S120="Grass",$S120="Fighting"),0-1,IF(OR($S120="Electric",$S120="Rock",$S120="Steel"),1,0)))</f>
        <v>0</v>
      </c>
      <c r="AK120" s="507" t="n">
        <f aca="false">IF(OR($R120="Normal",$S120="Normal"),4,SUM(IF(OR($R120="Ghost",$R120="Psychic"),0-1,IF($R120="Dark",1,0)),IF(OR($S120="Ghost",$S120="Psychic"),0-1,IF($S120="Dark",1,0))))</f>
        <v>4</v>
      </c>
      <c r="AL120" s="507" t="n">
        <f aca="false">SUM(IF(OR($R120="Ground",$R120="Rock",$R120="Water"),0-1,IF(OR($R120="Bug",$R120="Flying",$R120="Fire",$R120="Dragon",$R120="Poison",$R120="Steel",$R120="Grass"),1,0)),IF(OR($S120="Ground",$S120="Rock",$S120="Water"),0-1,IF(OR($S120="Bug",$S120="Flying",$S120="Fire",$S120="Dragon",$S120="Poison",$S120="Steel",$S120="Grass"),1,0)))</f>
        <v>0</v>
      </c>
      <c r="AM120" s="507" t="n">
        <f aca="false">IF(OR($R120="Flying",$S120="Flying"),4,SUM(IF(OR($R120="Electric",$R120="Fire",$R120="Rock",$R120="Steel",$R120="Poison"),0-1,IF(OR($R120="Bug",$R120="Grass"),1,0)),IF(OR($S120="Electric",$S120="Fire",$S120="Rock",$S120="Steel",$S120="Poison"),0-1,IF(OR($S120="Bug",$S120="Grass"),1,0))))</f>
        <v>0</v>
      </c>
      <c r="AN120" s="507" t="n">
        <f aca="false">SUM(IF(OR($R120="Flying",$R120="Dragon",$R120="Grass",$R120="Ground"),0-1,IF(OR($R120="Steel",$R120="Ice",$R120="Fire",$R120="Water"),1,0)),IF(OR($S120="Flying",$S120="Dragon",$S120="Grass",$S120="Ground"),0-1,IF(OR($S120="Steel",$S120="Ice",$S120="Fire",$S120="Water"),1,0)))</f>
        <v>0</v>
      </c>
      <c r="AO120" s="507" t="n">
        <f aca="false">IF(OR($R120="Ghost",$S120="Ghost"),4,SUM(IF(OR($R120="Steel",$R120="Rock"),1,0),IF(OR($S120="Steel",$S120="Rock"),1,0)))</f>
        <v>0</v>
      </c>
      <c r="AP120" s="507" t="n">
        <f aca="false">IF(OR($R120="Steel",$S120="Steel"),4,SUM(IF(OR($R120="Fairy",$R120="Grass"),0-1,IF(OR($R120="Ghost",$R120="Rock",$R120="Ground",$R120="Poison"),1,0)),IF(OR($S120="Fairy",$S120="Grass"),0-1,IF(OR($S120="Ghost",$S120="Rock",$S120="Ground",$S120="Poison"),1,0))))</f>
        <v>0</v>
      </c>
      <c r="AQ120" s="507" t="n">
        <f aca="false">IF(OR($R120="Dark",$S120="Dark"),4,SUM(IF(OR($R120="Fighting",$R120="Poison"),0-1,IF(OR($R120="Psychic",$R120="Steel"),1,0)),IF(OR($S120="Fighting",$S120="Poison"),0-1,IF(OR($S120="Psychic",$S120="Steel"),1,0))))</f>
        <v>0</v>
      </c>
      <c r="AR120" s="507" t="n">
        <f aca="false">SUM(IF(OR($R120="Bug",$R120="Fire",$R120="Flying",$R120="Ice"),0-1,IF(OR($R120="Steel",$R120="Fighting",$R120="Ground"),1,0)),IF(OR($S120="Bug",$S120="Fire",$S120="Flying",$S120="Ice"),0-1,IF(OR($S120="Steel",$S120="Fighting",$S120="Ground"),1,0)))</f>
        <v>0</v>
      </c>
      <c r="AS120" s="507" t="n">
        <f aca="false">SUM(IF(OR($R120="Fairy",$R120="Ice",$R120="Rock"),0-1,IF(OR($R120="Steel",$R120="Electric",$R120="Fire",$R120="Water"),1,0)),IF(OR($S120="Fairy",$S120="Ice",$S120="Rock"),0-1,IF(OR($S120="Steel",$S120="Electric",$S120="Fire",$S120="Water"),1,0)))</f>
        <v>0</v>
      </c>
      <c r="AT120" s="508" t="n">
        <f aca="false">SUM(IF(OR($R120="Fire",$R120="Ground",$R120="Rock"),0-1,IF(OR($R120="Dragon",$R120="Grass",$R120="Water"),1,0)),IF(OR($S120="Fire",$S120="Ground",$S120="Rock"),0-1,IF(OR($S120="Dragon",$S120="Grass",$S120="Water"),1,0)))</f>
        <v>0</v>
      </c>
      <c r="AU120" s="518"/>
    </row>
    <row r="121" customFormat="false" ht="15.75" hidden="false" customHeight="false" outlineLevel="0" collapsed="false">
      <c r="A121" s="510" t="str">
        <f aca="false" t="array" ref="A121:A121">IF(ISNA(INDEX(Source!$U$7:$U$95,MATCH(B121,Source!$V$7:$V$95,0))),"FREE",INDEX(Source!$U$7:$U$95,MATCH(B121,Source!$V$7:$V$95,0)))</f>
        <v>FREE</v>
      </c>
      <c r="B121" s="511" t="s">
        <v>439</v>
      </c>
      <c r="C121" s="511"/>
      <c r="D121" s="511"/>
      <c r="E121" s="499" t="str">
        <f aca="false">IF(SUM($W121:$X121)&gt;0,SUM($W121:$X121),IF($H121&gt;0,0,IF($H121&gt;0,0,"-")))</f>
        <v>-</v>
      </c>
      <c r="F121" s="499" t="str">
        <f aca="false">IF(SUM($Y121:$Z121)&gt;0,SUM($Y121:$Z121),IF($H121&gt;0,0,"-"))</f>
        <v>-</v>
      </c>
      <c r="G121" s="499" t="str">
        <f aca="false">IF($H121&gt;0,minus(E121,F121),"-")</f>
        <v>-</v>
      </c>
      <c r="H121" s="500" t="n">
        <f aca="false">SUM(COUNTIF(MatchSource!$A:$A,$B121),COUNTIF(MatchSource!$H:$H,$B121))</f>
        <v>0</v>
      </c>
      <c r="I121" s="501" t="n">
        <f aca="false">SUM($AA121:$AB121)</f>
        <v>0</v>
      </c>
      <c r="J121" s="501" t="s">
        <v>701</v>
      </c>
      <c r="K121" s="512" t="str">
        <f aca="false" t="array" ref="K121:K121">IF(ISNA(INDEX(DraftRosters!$AA$3:$AA$199,MATCH($B121,DraftRosters!$AB$3:$AB$199,0))),"FA",IF(INDEX(DraftRosters!$AA$3:$AA$199,MATCH($B121,DraftRosters!$AB$3:$AB$199,0))="Franchise","Franch",INDEX(DraftRosters!$AA$3:$AA$199,MATCH($B121,DraftRosters!$AB$3:$AB$199,0))))</f>
        <v>FA</v>
      </c>
      <c r="L121" s="499" t="n">
        <v>58</v>
      </c>
      <c r="M121" s="499" t="n">
        <v>109</v>
      </c>
      <c r="N121" s="499" t="n">
        <v>112</v>
      </c>
      <c r="O121" s="499" t="n">
        <v>48</v>
      </c>
      <c r="P121" s="499" t="n">
        <v>48</v>
      </c>
      <c r="Q121" s="501" t="n">
        <v>109</v>
      </c>
      <c r="R121" s="499" t="s">
        <v>794</v>
      </c>
      <c r="S121" s="501" t="s">
        <v>810</v>
      </c>
      <c r="T121" s="504" t="s">
        <v>932</v>
      </c>
      <c r="U121" s="505" t="s">
        <v>962</v>
      </c>
      <c r="V121" s="506" t="s">
        <v>857</v>
      </c>
      <c r="W121" s="500" t="str">
        <f aca="false">IFERROR(__xludf.dummyfunction("if(isna(SUM(FILTER(MatchSource!$A:$D,MatchSource!$A:$A=$B121))),0,SUM(FILTER(MatchSource!$A:$D,MatchSource!$A:$A=$B121)))"),"0")</f>
        <v>0</v>
      </c>
      <c r="X121" s="499" t="str">
        <f aca="false">IFERROR(__xludf.dummyfunction("if(isna(SUM(FILTER(MatchSource!$H:$K,MatchSource!$H:$H=$B121))),0,SUM(FILTER(MatchSource!$H:$K,MatchSource!$H:$H=$B121)))"),"0")</f>
        <v>0</v>
      </c>
      <c r="Y121" s="499" t="str">
        <f aca="false">IFERROR(__xludf.dummyfunction("if(isna(ABS(MINUS(SUM(FILTER(MatchSource!$A:$E,MatchSource!$A:$A=$B121)),SUM($W121)))),0,ABS(MINUS(SUM(FILTER(MatchSource!$A:$E,MatchSource!$A:$A=$B121)),SUM($W121))))"),"0")</f>
        <v>0</v>
      </c>
      <c r="Z121" s="499" t="str">
        <f aca="false">IFERROR(__xludf.dummyfunction("if(isna(ABS(MINUS(SUM(FILTER(MatchSource!$H:$L,MatchSource!$H:$H=$B121)),SUM($X121)))),0,ABS(MINUS(SUM(FILTER(MatchSource!$H:$L,MatchSource!$H:$H=$B121)),SUM($X121))))"),"0")</f>
        <v>0</v>
      </c>
      <c r="AA121" s="499" t="str">
        <f aca="false">IFERROR(__xludf.dummyfunction("if(isna(ABS(MINUS(SUM(FILTER(MatchSource!$A:$F,MatchSource!$A:$A=$B121)),SUM($W121,$Y121)))),0,ABS(MINUS(SUM(FILTER(MatchSource!$A:$F,MatchSource!$A:$A=$B121)),SUM($W121, $Y121,))))"),"0")</f>
        <v>0</v>
      </c>
      <c r="AB121" s="501" t="str">
        <f aca="false">IFERROR(__xludf.dummyfunction("if(isna(ABS(MINUS(SUM(FILTER(MatchSource!$H:$M,MatchSource!$H:$H=$B121)),SUM($X121,$Z121)))),0,ABS(MINUS(SUM(FILTER(MatchSource!$H:$M,MatchSource!$H:$H=$B121)),SUM($X121,$Z121))))"),"0")</f>
        <v>0</v>
      </c>
      <c r="AC121" s="507" t="n">
        <f aca="false">SUM(IF(OR($R121="Grass",$R121="Psychic",$R121="Dark"),0-1,IF(OR($R121="Fighting",$R121="Flying",$R121="Fire",$R121="Ghost",$R121="Poison",$R121="Steel",$R121="Fairy"),1,0)),IF(OR($S121="Grass",$S121="Psychic",$S121="Dark"),0-1,IF(OR($S121="Fighting",$S121="Flying",$S121="Fire",$S121="Ghost",$S121="Poison",$S121="Steel",$S121="Fairy"),1,0)))</f>
        <v>1</v>
      </c>
      <c r="AD121" s="507" t="n">
        <f aca="false">SUM(IF(OR($R121="Ghost",$R121="Psychic"),0-1,IF(OR($R121="Fighting",$R121="Dark",$R121="Fairy"),1,0)),IF(OR($S121="Ghost",$S121="Psychic"),0-1,IF(OR($S121="Fighting",$S121="Dark",$S121="Fairy"),1,0)))</f>
        <v>0</v>
      </c>
      <c r="AE121" s="507" t="n">
        <f aca="false">IF(OR($R121="Fairy",$S121="Fairy"),4,SUM(IF($R121="Dragon",0-1,IF($R121="Steel",1,0)),IF($S121="Dragon",0-1,IF($S121="Steel",1,0))))</f>
        <v>1</v>
      </c>
      <c r="AF121" s="507" t="n">
        <f aca="false">IF(OR($R121="Ground",$S121="Ground"),4,SUM(IF(OR($R121="Flying",$R121="Water"),0-1,IF(OR($R121="Dragon",$R121="Electric",$R121="Grass"),1,0)),IF(OR($S121="Flying",$S121="Water"),0-1,IF(OR($S121="Dragon",$S121="Electric",$S121="Grass"),1,0))))</f>
        <v>0</v>
      </c>
      <c r="AG121" s="507" t="n">
        <f aca="false">SUM(IF(OR($R121="Dark",$R121="Dragon",$R121="Fighting"),0-1,IF(OR($R121="Steel",$R121="Poison",$R121="Fire"),1,0)),IF(OR($S121="Dark",$S121="Dragon",$S121="Fighting"),0-1,IF(OR($S121="Steel",$S121="Poison",$S121="Fire"),1,0)))</f>
        <v>1</v>
      </c>
      <c r="AH121" s="507" t="n">
        <f aca="false">IF(OR($R121="Ghost",$S121="Ghost"),4,SUM(IF(OR($R121="Dark",$R121="Ice",$R121="Normal",$R121="Rock",$R121="Steel"),0-1,IF(OR($R121="Bug",$R121="Fairy",$R121="Flying",$R121="Poison",$R121="Psychic"),1,0)),IF(OR($S121="Dark",$S121="Ice",$S121="Normal",$S121="Rock",$S121="Steel"),0-1,IF(OR($S121="Bug",$S121="Fairy",$S121="Flying",$S121="Poison",$S121="Psychic"),1,0))))</f>
        <v>0</v>
      </c>
      <c r="AI121" s="507" t="n">
        <f aca="false">SUM(IF(OR($R121="Bug",$R121="Grass",$R121="Ice",$R121="Steel"),0-1,IF(OR($R121="Dragon",$R121="Fire",$R121="Rock",$R121="Water"),1,0)),IF(OR($S121="Bug",$S121="Grass",$S121="Ice",$S121="Steel"),0-1,IF(OR($S121="Dragon",$S121="Fire",$S121="Rock",$S121="Water"),1,0)))</f>
        <v>-2</v>
      </c>
      <c r="AJ121" s="507" t="n">
        <f aca="false">SUM(IF(OR($R121="Bug",$R121="Grass",$R121="Fighting"),0-1,IF(OR($R121="Electric",$R121="Rock",$R121="Steel"),1,0)),IF(OR($S121="Bug",$S121="Grass",$S121="Fighting"),0-1,IF(OR($S121="Electric",$S121="Rock",$S121="Steel"),1,0)))</f>
        <v>0</v>
      </c>
      <c r="AK121" s="507" t="n">
        <f aca="false">IF(OR($R121="Normal",$S121="Normal"),4,SUM(IF(OR($R121="Ghost",$R121="Psychic"),0-1,IF($R121="Dark",1,0)),IF(OR($S121="Ghost",$S121="Psychic"),0-1,IF($S121="Dark",1,0))))</f>
        <v>0</v>
      </c>
      <c r="AL121" s="507" t="n">
        <f aca="false">SUM(IF(OR($R121="Ground",$R121="Rock",$R121="Water"),0-1,IF(OR($R121="Bug",$R121="Flying",$R121="Fire",$R121="Dragon",$R121="Poison",$R121="Steel",$R121="Grass"),1,0)),IF(OR($S121="Ground",$S121="Rock",$S121="Water"),0-1,IF(OR($S121="Bug",$S121="Flying",$S121="Fire",$S121="Dragon",$S121="Poison",$S121="Steel",$S121="Grass"),1,0)))</f>
        <v>2</v>
      </c>
      <c r="AM121" s="507" t="n">
        <f aca="false">IF(OR($R121="Flying",$S121="Flying"),4,SUM(IF(OR($R121="Electric",$R121="Fire",$R121="Rock",$R121="Steel",$R121="Poison"),0-1,IF(OR($R121="Bug",$R121="Grass"),1,0)),IF(OR($S121="Electric",$S121="Fire",$S121="Rock",$S121="Steel",$S121="Poison"),0-1,IF(OR($S121="Bug",$S121="Grass"),1,0))))</f>
        <v>0</v>
      </c>
      <c r="AN121" s="507" t="n">
        <f aca="false">SUM(IF(OR($R121="Flying",$R121="Dragon",$R121="Grass",$R121="Ground"),0-1,IF(OR($R121="Steel",$R121="Ice",$R121="Fire",$R121="Water"),1,0)),IF(OR($S121="Flying",$S121="Dragon",$S121="Grass",$S121="Ground"),0-1,IF(OR($S121="Steel",$S121="Ice",$S121="Fire",$S121="Water"),1,0)))</f>
        <v>1</v>
      </c>
      <c r="AO121" s="507" t="n">
        <f aca="false">IF(OR($R121="Ghost",$S121="Ghost"),4,SUM(IF(OR($R121="Steel",$R121="Rock"),1,0),IF(OR($S121="Steel",$S121="Rock"),1,0)))</f>
        <v>1</v>
      </c>
      <c r="AP121" s="507" t="n">
        <f aca="false">IF(OR($R121="Steel",$S121="Steel"),4,SUM(IF(OR($R121="Fairy",$R121="Grass"),0-1,IF(OR($R121="Ghost",$R121="Rock",$R121="Ground",$R121="Poison"),1,0)),IF(OR($S121="Fairy",$S121="Grass"),0-1,IF(OR($S121="Ghost",$S121="Rock",$S121="Ground",$S121="Poison"),1,0))))</f>
        <v>4</v>
      </c>
      <c r="AQ121" s="507" t="n">
        <f aca="false">IF(OR($R121="Dark",$S121="Dark"),4,SUM(IF(OR($R121="Fighting",$R121="Poison"),0-1,IF(OR($R121="Psychic",$R121="Steel"),1,0)),IF(OR($S121="Fighting",$S121="Poison"),0-1,IF(OR($S121="Psychic",$S121="Steel"),1,0))))</f>
        <v>1</v>
      </c>
      <c r="AR121" s="507" t="n">
        <f aca="false">SUM(IF(OR($R121="Bug",$R121="Fire",$R121="Flying",$R121="Ice"),0-1,IF(OR($R121="Steel",$R121="Fighting",$R121="Ground"),1,0)),IF(OR($S121="Bug",$S121="Fire",$S121="Flying",$S121="Ice"),0-1,IF(OR($S121="Steel",$S121="Fighting",$S121="Ground"),1,0)))</f>
        <v>0</v>
      </c>
      <c r="AS121" s="507" t="n">
        <f aca="false">SUM(IF(OR($R121="Fairy",$R121="Ice",$R121="Rock"),0-1,IF(OR($R121="Steel",$R121="Electric",$R121="Fire",$R121="Water"),1,0)),IF(OR($S121="Fairy",$S121="Ice",$S121="Rock"),0-1,IF(OR($S121="Steel",$S121="Electric",$S121="Fire",$S121="Water"),1,0)))</f>
        <v>1</v>
      </c>
      <c r="AT121" s="508" t="n">
        <f aca="false">SUM(IF(OR($R121="Fire",$R121="Ground",$R121="Rock"),0-1,IF(OR($R121="Dragon",$R121="Grass",$R121="Water"),1,0)),IF(OR($S121="Fire",$S121="Ground",$S121="Rock"),0-1,IF(OR($S121="Dragon",$S121="Grass",$S121="Water"),1,0)))</f>
        <v>0</v>
      </c>
      <c r="AU121" s="518"/>
    </row>
    <row r="122" customFormat="false" ht="15.75" hidden="false" customHeight="false" outlineLevel="0" collapsed="false">
      <c r="A122" s="515" t="str">
        <f aca="false" t="array" ref="A122:A122">IF(ISNA(INDEX(Source!$U$7:$U$95,MATCH(B122,Source!$V$7:$V$95,0))),"FREE",INDEX(Source!$U$7:$U$95,MATCH(B122,Source!$V$7:$V$95,0)))</f>
        <v>FREE</v>
      </c>
      <c r="B122" s="511" t="s">
        <v>443</v>
      </c>
      <c r="C122" s="511"/>
      <c r="D122" s="511"/>
      <c r="E122" s="499" t="str">
        <f aca="false">IF(SUM($W122:$X122)&gt;0,SUM($W122:$X122),IF($H122&gt;0,0,IF($H122&gt;0,0,"-")))</f>
        <v>-</v>
      </c>
      <c r="F122" s="499" t="str">
        <f aca="false">IF(SUM($Y122:$Z122)&gt;0,SUM($Y122:$Z122),IF($H122&gt;0,0,"-"))</f>
        <v>-</v>
      </c>
      <c r="G122" s="499" t="str">
        <f aca="false">IF($H122&gt;0,minus(E122,F122),"-")</f>
        <v>-</v>
      </c>
      <c r="H122" s="500" t="n">
        <f aca="false">SUM(COUNTIF(MatchSource!$A:$A,$B122),COUNTIF(MatchSource!$H:$H,$B122))</f>
        <v>0</v>
      </c>
      <c r="I122" s="501" t="n">
        <f aca="false">SUM($AA122:$AB122)</f>
        <v>0</v>
      </c>
      <c r="J122" s="501" t="s">
        <v>701</v>
      </c>
      <c r="K122" s="512" t="str">
        <f aca="false" t="array" ref="K122:K122">IF(ISNA(INDEX(DraftRosters!$AA$3:$AA$199,MATCH($B122,DraftRosters!$AB$3:$AB$199,0))),"FA",IF(INDEX(DraftRosters!$AA$3:$AA$199,MATCH($B122,DraftRosters!$AB$3:$AB$199,0))="Franchise","Franch",INDEX(DraftRosters!$AA$3:$AA$199,MATCH($B122,DraftRosters!$AB$3:$AB$199,0))))</f>
        <v>FA</v>
      </c>
      <c r="L122" s="507" t="n">
        <v>40</v>
      </c>
      <c r="M122" s="507" t="n">
        <v>70</v>
      </c>
      <c r="N122" s="507" t="n">
        <v>130</v>
      </c>
      <c r="O122" s="507" t="n">
        <v>60</v>
      </c>
      <c r="P122" s="507" t="n">
        <v>130</v>
      </c>
      <c r="Q122" s="508" t="n">
        <v>20</v>
      </c>
      <c r="R122" s="499" t="s">
        <v>802</v>
      </c>
      <c r="S122" s="501"/>
      <c r="T122" s="504" t="s">
        <v>871</v>
      </c>
      <c r="U122" s="505" t="s">
        <v>816</v>
      </c>
      <c r="V122" s="506"/>
      <c r="W122" s="500" t="str">
        <f aca="false">IFERROR(__xludf.dummyfunction("if(isna(SUM(FILTER(MatchSource!$A:$D,MatchSource!$A:$A=$B122))),0,SUM(FILTER(MatchSource!$A:$D,MatchSource!$A:$A=$B122)))"),"0")</f>
        <v>0</v>
      </c>
      <c r="X122" s="499" t="str">
        <f aca="false">IFERROR(__xludf.dummyfunction("if(isna(SUM(FILTER(MatchSource!$H:$K,MatchSource!$H:$H=$B122))),0,SUM(FILTER(MatchSource!$H:$K,MatchSource!$H:$H=$B122)))"),"0")</f>
        <v>0</v>
      </c>
      <c r="Y122" s="499" t="str">
        <f aca="false">IFERROR(__xludf.dummyfunction("if(isna(ABS(MINUS(SUM(FILTER(MatchSource!$A:$E,MatchSource!$A:$A=$B122)),SUM($W122)))),0,ABS(MINUS(SUM(FILTER(MatchSource!$A:$E,MatchSource!$A:$A=$B122)),SUM($W122))))"),"0")</f>
        <v>0</v>
      </c>
      <c r="Z122" s="499" t="str">
        <f aca="false">IFERROR(__xludf.dummyfunction("if(isna(ABS(MINUS(SUM(FILTER(MatchSource!$H:$L,MatchSource!$H:$H=$B122)),SUM($X122)))),0,ABS(MINUS(SUM(FILTER(MatchSource!$H:$L,MatchSource!$H:$H=$B122)),SUM($X122))))"),"0")</f>
        <v>0</v>
      </c>
      <c r="AA122" s="499" t="str">
        <f aca="false">IFERROR(__xludf.dummyfunction("if(isna(ABS(MINUS(SUM(FILTER(MatchSource!$A:$F,MatchSource!$A:$A=$B122)),SUM($W122,$Y122)))),0,ABS(MINUS(SUM(FILTER(MatchSource!$A:$F,MatchSource!$A:$A=$B122)),SUM($W122, $Y122,))))"),"0")</f>
        <v>0</v>
      </c>
      <c r="AB122" s="501" t="str">
        <f aca="false">IFERROR(__xludf.dummyfunction("if(isna(ABS(MINUS(SUM(FILTER(MatchSource!$H:$M,MatchSource!$H:$H=$B122)),SUM($X122,$Z122)))),0,ABS(MINUS(SUM(FILTER(MatchSource!$H:$M,MatchSource!$H:$H=$B122)),SUM($X122,$Z122))))"),"0")</f>
        <v>0</v>
      </c>
      <c r="AC122" s="507" t="n">
        <f aca="false">SUM(IF(OR($R122="Grass",$R122="Psychic",$R122="Dark"),0-1,IF(OR($R122="Fighting",$R122="Flying",$R122="Fire",$R122="Ghost",$R122="Poison",$R122="Steel",$R122="Fairy"),1,0)),IF(OR($S122="Grass",$S122="Psychic",$S122="Dark"),0-1,IF(OR($S122="Fighting",$S122="Flying",$S122="Fire",$S122="Ghost",$S122="Poison",$S122="Steel",$S122="Fairy"),1,0)))</f>
        <v>1</v>
      </c>
      <c r="AD122" s="507" t="n">
        <f aca="false">SUM(IF(OR($R122="Ghost",$R122="Psychic"),0-1,IF(OR($R122="Fighting",$R122="Dark",$R122="Fairy"),1,0)),IF(OR($S122="Ghost",$S122="Psychic"),0-1,IF(OR($S122="Fighting",$S122="Dark",$S122="Fairy"),1,0)))</f>
        <v>-1</v>
      </c>
      <c r="AE122" s="507" t="n">
        <f aca="false">IF(OR($R122="Fairy",$S122="Fairy"),4,SUM(IF($R122="Dragon",0-1,IF($R122="Steel",1,0)),IF($S122="Dragon",0-1,IF($S122="Steel",1,0))))</f>
        <v>0</v>
      </c>
      <c r="AF122" s="507" t="n">
        <f aca="false">IF(OR($R122="Ground",$S122="Ground"),4,SUM(IF(OR($R122="Flying",$R122="Water"),0-1,IF(OR($R122="Dragon",$R122="Electric",$R122="Grass"),1,0)),IF(OR($S122="Flying",$S122="Water"),0-1,IF(OR($S122="Dragon",$S122="Electric",$S122="Grass"),1,0))))</f>
        <v>0</v>
      </c>
      <c r="AG122" s="507" t="n">
        <f aca="false">SUM(IF(OR($R122="Dark",$R122="Dragon",$R122="Fighting"),0-1,IF(OR($R122="Steel",$R122="Poison",$R122="Fire"),1,0)),IF(OR($S122="Dark",$S122="Dragon",$S122="Fighting"),0-1,IF(OR($S122="Steel",$S122="Poison",$S122="Fire"),1,0)))</f>
        <v>0</v>
      </c>
      <c r="AH122" s="507" t="n">
        <f aca="false">IF(OR($R122="Ghost",$S122="Ghost"),4,SUM(IF(OR($R122="Dark",$R122="Ice",$R122="Normal",$R122="Rock",$R122="Steel"),0-1,IF(OR($R122="Bug",$R122="Fairy",$R122="Flying",$R122="Poison",$R122="Psychic"),1,0)),IF(OR($S122="Dark",$S122="Ice",$S122="Normal",$S122="Rock",$S122="Steel"),0-1,IF(OR($S122="Bug",$S122="Fairy",$S122="Flying",$S122="Poison",$S122="Psychic"),1,0))))</f>
        <v>4</v>
      </c>
      <c r="AI122" s="507" t="n">
        <f aca="false">SUM(IF(OR($R122="Bug",$R122="Grass",$R122="Ice",$R122="Steel"),0-1,IF(OR($R122="Dragon",$R122="Fire",$R122="Rock",$R122="Water"),1,0)),IF(OR($S122="Bug",$S122="Grass",$S122="Ice",$S122="Steel"),0-1,IF(OR($S122="Dragon",$S122="Fire",$S122="Rock",$S122="Water"),1,0)))</f>
        <v>0</v>
      </c>
      <c r="AJ122" s="507" t="n">
        <f aca="false">SUM(IF(OR($R122="Bug",$R122="Grass",$R122="Fighting"),0-1,IF(OR($R122="Electric",$R122="Rock",$R122="Steel"),1,0)),IF(OR($S122="Bug",$S122="Grass",$S122="Fighting"),0-1,IF(OR($S122="Electric",$S122="Rock",$S122="Steel"),1,0)))</f>
        <v>0</v>
      </c>
      <c r="AK122" s="507" t="n">
        <f aca="false">IF(OR($R122="Normal",$S122="Normal"),4,SUM(IF(OR($R122="Ghost",$R122="Psychic"),0-1,IF($R122="Dark",1,0)),IF(OR($S122="Ghost",$S122="Psychic"),0-1,IF($S122="Dark",1,0))))</f>
        <v>-1</v>
      </c>
      <c r="AL122" s="507" t="n">
        <f aca="false">SUM(IF(OR($R122="Ground",$R122="Rock",$R122="Water"),0-1,IF(OR($R122="Bug",$R122="Flying",$R122="Fire",$R122="Dragon",$R122="Poison",$R122="Steel",$R122="Grass"),1,0)),IF(OR($S122="Ground",$S122="Rock",$S122="Water"),0-1,IF(OR($S122="Bug",$S122="Flying",$S122="Fire",$S122="Dragon",$S122="Poison",$S122="Steel",$S122="Grass"),1,0)))</f>
        <v>0</v>
      </c>
      <c r="AM122" s="507" t="n">
        <f aca="false">IF(OR($R122="Flying",$S122="Flying"),4,SUM(IF(OR($R122="Electric",$R122="Fire",$R122="Rock",$R122="Steel",$R122="Poison"),0-1,IF(OR($R122="Bug",$R122="Grass"),1,0)),IF(OR($S122="Electric",$S122="Fire",$S122="Rock",$S122="Steel",$S122="Poison"),0-1,IF(OR($S122="Bug",$S122="Grass"),1,0))))</f>
        <v>0</v>
      </c>
      <c r="AN122" s="507" t="n">
        <f aca="false">SUM(IF(OR($R122="Flying",$R122="Dragon",$R122="Grass",$R122="Ground"),0-1,IF(OR($R122="Steel",$R122="Ice",$R122="Fire",$R122="Water"),1,0)),IF(OR($S122="Flying",$S122="Dragon",$S122="Grass",$S122="Ground"),0-1,IF(OR($S122="Steel",$S122="Ice",$S122="Fire",$S122="Water"),1,0)))</f>
        <v>0</v>
      </c>
      <c r="AO122" s="507" t="n">
        <f aca="false">IF(OR($R122="Ghost",$S122="Ghost"),4,SUM(IF(OR($R122="Steel",$R122="Rock"),1,0),IF(OR($S122="Steel",$S122="Rock"),1,0)))</f>
        <v>4</v>
      </c>
      <c r="AP122" s="507" t="n">
        <f aca="false">IF(OR($R122="Steel",$S122="Steel"),4,SUM(IF(OR($R122="Fairy",$R122="Grass"),0-1,IF(OR($R122="Ghost",$R122="Rock",$R122="Ground",$R122="Poison"),1,0)),IF(OR($S122="Fairy",$S122="Grass"),0-1,IF(OR($S122="Ghost",$S122="Rock",$S122="Ground",$S122="Poison"),1,0))))</f>
        <v>1</v>
      </c>
      <c r="AQ122" s="507" t="n">
        <f aca="false">IF(OR($R122="Dark",$S122="Dark"),4,SUM(IF(OR($R122="Fighting",$R122="Poison"),0-1,IF(OR($R122="Psychic",$R122="Steel"),1,0)),IF(OR($S122="Fighting",$S122="Poison"),0-1,IF(OR($S122="Psychic",$S122="Steel"),1,0))))</f>
        <v>0</v>
      </c>
      <c r="AR122" s="507" t="n">
        <f aca="false">SUM(IF(OR($R122="Bug",$R122="Fire",$R122="Flying",$R122="Ice"),0-1,IF(OR($R122="Steel",$R122="Fighting",$R122="Ground"),1,0)),IF(OR($S122="Bug",$S122="Fire",$S122="Flying",$S122="Ice"),0-1,IF(OR($S122="Steel",$S122="Fighting",$S122="Ground"),1,0)))</f>
        <v>0</v>
      </c>
      <c r="AS122" s="507" t="n">
        <f aca="false">SUM(IF(OR($R122="Fairy",$R122="Ice",$R122="Rock"),0-1,IF(OR($R122="Steel",$R122="Electric",$R122="Fire",$R122="Water"),1,0)),IF(OR($S122="Fairy",$S122="Ice",$S122="Rock"),0-1,IF(OR($S122="Steel",$S122="Electric",$S122="Fire",$S122="Water"),1,0)))</f>
        <v>0</v>
      </c>
      <c r="AT122" s="508" t="n">
        <f aca="false">SUM(IF(OR($R122="Fire",$R122="Ground",$R122="Rock"),0-1,IF(OR($R122="Dragon",$R122="Grass",$R122="Water"),1,0)),IF(OR($S122="Fire",$S122="Ground",$S122="Rock"),0-1,IF(OR($S122="Dragon",$S122="Grass",$S122="Water"),1,0)))</f>
        <v>0</v>
      </c>
      <c r="AU122" s="518"/>
    </row>
    <row r="123" customFormat="false" ht="15.75" hidden="false" customHeight="false" outlineLevel="0" collapsed="false">
      <c r="A123" s="515" t="str">
        <f aca="false" t="array" ref="A123:A123">IF(ISNA(INDEX(Source!$U$7:$U$95,MATCH(B123,Source!$V$7:$V$95,0))),"FREE",INDEX(Source!$U$7:$U$95,MATCH(B123,Source!$V$7:$V$95,0)))</f>
        <v>FREE</v>
      </c>
      <c r="B123" s="511" t="s">
        <v>31</v>
      </c>
      <c r="C123" s="511"/>
      <c r="D123" s="511"/>
      <c r="E123" s="499" t="n">
        <f aca="false">IF(SUM($W123:$X123)&gt;0,SUM($W123:$X123),IF($H123&gt;0,0,IF($H123&gt;0,0,"-")))</f>
        <v>0</v>
      </c>
      <c r="F123" s="499" t="n">
        <f aca="false">IF(SUM($Y123:$Z123)&gt;0,SUM($Y123:$Z123),IF($H123&gt;0,0,"-"))</f>
        <v>0</v>
      </c>
      <c r="G123" s="499" t="e">
        <f aca="false">IF($H123&gt;0,minus(E123,F123),"-")</f>
        <v>#NAME?</v>
      </c>
      <c r="H123" s="500" t="n">
        <f aca="false">SUM(COUNTIF(MatchSource!$A:$A,$B123),COUNTIF(MatchSource!$H:$H,$B123))</f>
        <v>1</v>
      </c>
      <c r="I123" s="501" t="n">
        <f aca="false">SUM($AA123:$AB123)</f>
        <v>0</v>
      </c>
      <c r="J123" s="501" t="s">
        <v>701</v>
      </c>
      <c r="K123" s="512" t="n">
        <f aca="false" t="array" ref="K123:K123">IF(ISNA(INDEX(DraftRosters!$AA$3:$AA$199,MATCH($B123,DraftRosters!$AB$3:$AB$199,0))),"FA",IF(INDEX(DraftRosters!$AA$3:$AA$199,MATCH($B123,DraftRosters!$AB$3:$AB$199,0))="Franchise","Franch",INDEX(DraftRosters!$AA$3:$AA$199,MATCH($B123,DraftRosters!$AB$3:$AB$199,0))))</f>
        <v>65</v>
      </c>
      <c r="L123" s="507" t="n">
        <v>45</v>
      </c>
      <c r="M123" s="507" t="n">
        <v>100</v>
      </c>
      <c r="N123" s="507" t="n">
        <v>135</v>
      </c>
      <c r="O123" s="507" t="n">
        <v>65</v>
      </c>
      <c r="P123" s="507" t="n">
        <v>135</v>
      </c>
      <c r="Q123" s="508" t="n">
        <v>45</v>
      </c>
      <c r="R123" s="499" t="s">
        <v>802</v>
      </c>
      <c r="S123" s="501"/>
      <c r="T123" s="504" t="s">
        <v>871</v>
      </c>
      <c r="U123" s="505" t="s">
        <v>816</v>
      </c>
      <c r="V123" s="506"/>
      <c r="W123" s="500" t="str">
        <f aca="false">IFERROR(__xludf.dummyfunction("if(isna(SUM(FILTER(MatchSource!$A:$D,MatchSource!$A:$A=$B123))),0,SUM(FILTER(MatchSource!$A:$D,MatchSource!$A:$A=$B123)))"),"0")</f>
        <v>0</v>
      </c>
      <c r="X123" s="499" t="str">
        <f aca="false">IFERROR(__xludf.dummyfunction("if(isna(SUM(FILTER(MatchSource!$H:$K,MatchSource!$H:$H=$B123))),0,SUM(FILTER(MatchSource!$H:$K,MatchSource!$H:$H=$B123)))"),"0")</f>
        <v>0</v>
      </c>
      <c r="Y123" s="499" t="str">
        <f aca="false">IFERROR(__xludf.dummyfunction("if(isna(ABS(MINUS(SUM(FILTER(MatchSource!$A:$E,MatchSource!$A:$A=$B123)),SUM($W123)))),0,ABS(MINUS(SUM(FILTER(MatchSource!$A:$E,MatchSource!$A:$A=$B123)),SUM($W123))))"),"1")</f>
        <v>1</v>
      </c>
      <c r="Z123" s="499" t="str">
        <f aca="false">IFERROR(__xludf.dummyfunction("if(isna(ABS(MINUS(SUM(FILTER(MatchSource!$H:$L,MatchSource!$H:$H=$B123)),SUM($X123)))),0,ABS(MINUS(SUM(FILTER(MatchSource!$H:$L,MatchSource!$H:$H=$B123)),SUM($X123))))"),"0")</f>
        <v>0</v>
      </c>
      <c r="AA123" s="499" t="str">
        <f aca="false">IFERROR(__xludf.dummyfunction("if(isna(ABS(MINUS(SUM(FILTER(MatchSource!$A:$F,MatchSource!$A:$A=$B123)),SUM($W123,$Y123)))),0,ABS(MINUS(SUM(FILTER(MatchSource!$A:$F,MatchSource!$A:$A=$B123)),SUM($W123, $Y123,))))"),"0")</f>
        <v>0</v>
      </c>
      <c r="AB123" s="501" t="str">
        <f aca="false">IFERROR(__xludf.dummyfunction("if(isna(ABS(MINUS(SUM(FILTER(MatchSource!$H:$M,MatchSource!$H:$H=$B123)),SUM($X123,$Z123)))),0,ABS(MINUS(SUM(FILTER(MatchSource!$H:$M,MatchSource!$H:$H=$B123)),SUM($X123,$Z123))))"),"0")</f>
        <v>0</v>
      </c>
      <c r="AC123" s="507" t="n">
        <f aca="false">SUM(IF(OR($R123="Grass",$R123="Psychic",$R123="Dark"),0-1,IF(OR($R123="Fighting",$R123="Flying",$R123="Fire",$R123="Ghost",$R123="Poison",$R123="Steel",$R123="Fairy"),1,0)),IF(OR($S123="Grass",$S123="Psychic",$S123="Dark"),0-1,IF(OR($S123="Fighting",$S123="Flying",$S123="Fire",$S123="Ghost",$S123="Poison",$S123="Steel",$S123="Fairy"),1,0)))</f>
        <v>1</v>
      </c>
      <c r="AD123" s="507" t="n">
        <f aca="false">SUM(IF(OR($R123="Ghost",$R123="Psychic"),0-1,IF(OR($R123="Fighting",$R123="Dark",$R123="Fairy"),1,0)),IF(OR($S123="Ghost",$S123="Psychic"),0-1,IF(OR($S123="Fighting",$S123="Dark",$S123="Fairy"),1,0)))</f>
        <v>-1</v>
      </c>
      <c r="AE123" s="507" t="n">
        <f aca="false">IF(OR($R123="Fairy",$S123="Fairy"),4,SUM(IF($R123="Dragon",0-1,IF($R123="Steel",1,0)),IF($S123="Dragon",0-1,IF($S123="Steel",1,0))))</f>
        <v>0</v>
      </c>
      <c r="AF123" s="507" t="n">
        <f aca="false">IF(OR($R123="Ground",$S123="Ground"),4,SUM(IF(OR($R123="Flying",$R123="Water"),0-1,IF(OR($R123="Dragon",$R123="Electric",$R123="Grass"),1,0)),IF(OR($S123="Flying",$S123="Water"),0-1,IF(OR($S123="Dragon",$S123="Electric",$S123="Grass"),1,0))))</f>
        <v>0</v>
      </c>
      <c r="AG123" s="507" t="n">
        <f aca="false">SUM(IF(OR($R123="Dark",$R123="Dragon",$R123="Fighting"),0-1,IF(OR($R123="Steel",$R123="Poison",$R123="Fire"),1,0)),IF(OR($S123="Dark",$S123="Dragon",$S123="Fighting"),0-1,IF(OR($S123="Steel",$S123="Poison",$S123="Fire"),1,0)))</f>
        <v>0</v>
      </c>
      <c r="AH123" s="507" t="n">
        <f aca="false">IF(OR($R123="Ghost",$S123="Ghost"),4,SUM(IF(OR($R123="Dark",$R123="Ice",$R123="Normal",$R123="Rock",$R123="Steel"),0-1,IF(OR($R123="Bug",$R123="Fairy",$R123="Flying",$R123="Poison",$R123="Psychic"),1,0)),IF(OR($S123="Dark",$S123="Ice",$S123="Normal",$S123="Rock",$S123="Steel"),0-1,IF(OR($S123="Bug",$S123="Fairy",$S123="Flying",$S123="Poison",$S123="Psychic"),1,0))))</f>
        <v>4</v>
      </c>
      <c r="AI123" s="507" t="n">
        <f aca="false">SUM(IF(OR($R123="Bug",$R123="Grass",$R123="Ice",$R123="Steel"),0-1,IF(OR($R123="Dragon",$R123="Fire",$R123="Rock",$R123="Water"),1,0)),IF(OR($S123="Bug",$S123="Grass",$S123="Ice",$S123="Steel"),0-1,IF(OR($S123="Dragon",$S123="Fire",$S123="Rock",$S123="Water"),1,0)))</f>
        <v>0</v>
      </c>
      <c r="AJ123" s="507" t="n">
        <f aca="false">SUM(IF(OR($R123="Bug",$R123="Grass",$R123="Fighting"),0-1,IF(OR($R123="Electric",$R123="Rock",$R123="Steel"),1,0)),IF(OR($S123="Bug",$S123="Grass",$S123="Fighting"),0-1,IF(OR($S123="Electric",$S123="Rock",$S123="Steel"),1,0)))</f>
        <v>0</v>
      </c>
      <c r="AK123" s="507" t="n">
        <f aca="false">IF(OR($R123="Normal",$S123="Normal"),4,SUM(IF(OR($R123="Ghost",$R123="Psychic"),0-1,IF($R123="Dark",1,0)),IF(OR($S123="Ghost",$S123="Psychic"),0-1,IF($S123="Dark",1,0))))</f>
        <v>-1</v>
      </c>
      <c r="AL123" s="507" t="n">
        <f aca="false">SUM(IF(OR($R123="Ground",$R123="Rock",$R123="Water"),0-1,IF(OR($R123="Bug",$R123="Flying",$R123="Fire",$R123="Dragon",$R123="Poison",$R123="Steel",$R123="Grass"),1,0)),IF(OR($S123="Ground",$S123="Rock",$S123="Water"),0-1,IF(OR($S123="Bug",$S123="Flying",$S123="Fire",$S123="Dragon",$S123="Poison",$S123="Steel",$S123="Grass"),1,0)))</f>
        <v>0</v>
      </c>
      <c r="AM123" s="507" t="n">
        <f aca="false">IF(OR($R123="Flying",$S123="Flying"),4,SUM(IF(OR($R123="Electric",$R123="Fire",$R123="Rock",$R123="Steel",$R123="Poison"),0-1,IF(OR($R123="Bug",$R123="Grass"),1,0)),IF(OR($S123="Electric",$S123="Fire",$S123="Rock",$S123="Steel",$S123="Poison"),0-1,IF(OR($S123="Bug",$S123="Grass"),1,0))))</f>
        <v>0</v>
      </c>
      <c r="AN123" s="507" t="n">
        <f aca="false">SUM(IF(OR($R123="Flying",$R123="Dragon",$R123="Grass",$R123="Ground"),0-1,IF(OR($R123="Steel",$R123="Ice",$R123="Fire",$R123="Water"),1,0)),IF(OR($S123="Flying",$S123="Dragon",$S123="Grass",$S123="Ground"),0-1,IF(OR($S123="Steel",$S123="Ice",$S123="Fire",$S123="Water"),1,0)))</f>
        <v>0</v>
      </c>
      <c r="AO123" s="507" t="n">
        <f aca="false">IF(OR($R123="Ghost",$S123="Ghost"),4,SUM(IF(OR($R123="Steel",$R123="Rock"),1,0),IF(OR($S123="Steel",$S123="Rock"),1,0)))</f>
        <v>4</v>
      </c>
      <c r="AP123" s="507" t="n">
        <f aca="false">IF(OR($R123="Steel",$S123="Steel"),4,SUM(IF(OR($R123="Fairy",$R123="Grass"),0-1,IF(OR($R123="Ghost",$R123="Rock",$R123="Ground",$R123="Poison"),1,0)),IF(OR($S123="Fairy",$S123="Grass"),0-1,IF(OR($S123="Ghost",$S123="Rock",$S123="Ground",$S123="Poison"),1,0))))</f>
        <v>1</v>
      </c>
      <c r="AQ123" s="507" t="n">
        <f aca="false">IF(OR($R123="Dark",$S123="Dark"),4,SUM(IF(OR($R123="Fighting",$R123="Poison"),0-1,IF(OR($R123="Psychic",$R123="Steel"),1,0)),IF(OR($S123="Fighting",$S123="Poison"),0-1,IF(OR($S123="Psychic",$S123="Steel"),1,0))))</f>
        <v>0</v>
      </c>
      <c r="AR123" s="507" t="n">
        <f aca="false">SUM(IF(OR($R123="Bug",$R123="Fire",$R123="Flying",$R123="Ice"),0-1,IF(OR($R123="Steel",$R123="Fighting",$R123="Ground"),1,0)),IF(OR($S123="Bug",$S123="Fire",$S123="Flying",$S123="Ice"),0-1,IF(OR($S123="Steel",$S123="Fighting",$S123="Ground"),1,0)))</f>
        <v>0</v>
      </c>
      <c r="AS123" s="507" t="n">
        <f aca="false">SUM(IF(OR($R123="Fairy",$R123="Ice",$R123="Rock"),0-1,IF(OR($R123="Steel",$R123="Electric",$R123="Fire",$R123="Water"),1,0)),IF(OR($S123="Fairy",$S123="Ice",$S123="Rock"),0-1,IF(OR($S123="Steel",$S123="Electric",$S123="Fire",$S123="Water"),1,0)))</f>
        <v>0</v>
      </c>
      <c r="AT123" s="508" t="n">
        <f aca="false">SUM(IF(OR($R123="Fire",$R123="Ground",$R123="Rock"),0-1,IF(OR($R123="Dragon",$R123="Grass",$R123="Water"),1,0)),IF(OR($S123="Fire",$S123="Ground",$S123="Rock"),0-1,IF(OR($S123="Dragon",$S123="Grass",$S123="Water"),1,0)))</f>
        <v>0</v>
      </c>
      <c r="AU123" s="518"/>
    </row>
    <row r="124" customFormat="false" ht="15.75" hidden="false" customHeight="false" outlineLevel="0" collapsed="false">
      <c r="A124" s="515" t="str">
        <f aca="false" t="array" ref="A124:A124">IF(ISNA(INDEX(Source!$U$7:$U$95,MATCH(B124,Source!$V$7:$V$95,0))),"FREE",INDEX(Source!$U$7:$U$95,MATCH(B124,Source!$V$7:$V$95,0)))</f>
        <v>FREE</v>
      </c>
      <c r="B124" s="511" t="s">
        <v>531</v>
      </c>
      <c r="C124" s="511"/>
      <c r="D124" s="511"/>
      <c r="E124" s="499" t="str">
        <f aca="false">IF(SUM($W124:$X124)&gt;0,SUM($W124:$X124),IF($H124&gt;0,0,IF($H124&gt;0,0,"-")))</f>
        <v>-</v>
      </c>
      <c r="F124" s="499" t="str">
        <f aca="false">IF(SUM($Y124:$Z124)&gt;0,SUM($Y124:$Z124),IF($H124&gt;0,0,"-"))</f>
        <v>-</v>
      </c>
      <c r="G124" s="499" t="str">
        <f aca="false">IF($H124&gt;0,minus(E124,F124),"-")</f>
        <v>-</v>
      </c>
      <c r="H124" s="500" t="n">
        <f aca="false">SUM(COUNTIF(MatchSource!$A:$A,$B124),COUNTIF(MatchSource!$H:$H,$B124))</f>
        <v>0</v>
      </c>
      <c r="I124" s="501" t="n">
        <f aca="false">SUM($AA124:$AB124)</f>
        <v>0</v>
      </c>
      <c r="J124" s="501" t="s">
        <v>702</v>
      </c>
      <c r="K124" s="512" t="str">
        <f aca="false" t="array" ref="K124:K124">IF(ISNA(INDEX(DraftRosters!$AA$3:$AA$199,MATCH($B124,DraftRosters!$AB$3:$AB$199,0))),"FA",IF(INDEX(DraftRosters!$AA$3:$AA$199,MATCH($B124,DraftRosters!$AB$3:$AB$199,0))="Franchise","Franch",INDEX(DraftRosters!$AA$3:$AA$199,MATCH($B124,DraftRosters!$AB$3:$AB$199,0))))</f>
        <v>FA</v>
      </c>
      <c r="L124" s="499" t="n">
        <v>60</v>
      </c>
      <c r="M124" s="499" t="n">
        <v>50</v>
      </c>
      <c r="N124" s="499" t="n">
        <v>70</v>
      </c>
      <c r="O124" s="499" t="n">
        <v>50</v>
      </c>
      <c r="P124" s="499" t="n">
        <v>90</v>
      </c>
      <c r="Q124" s="501" t="n">
        <v>65</v>
      </c>
      <c r="R124" s="499" t="s">
        <v>794</v>
      </c>
      <c r="S124" s="501" t="s">
        <v>843</v>
      </c>
      <c r="T124" s="504" t="s">
        <v>904</v>
      </c>
      <c r="U124" s="505" t="s">
        <v>963</v>
      </c>
      <c r="V124" s="506"/>
      <c r="W124" s="500" t="str">
        <f aca="false">IFERROR(__xludf.dummyfunction("if(isna(SUM(FILTER(MatchSource!$A:$D,MatchSource!$A:$A=$B124))),0,SUM(FILTER(MatchSource!$A:$D,MatchSource!$A:$A=$B124)))"),"0")</f>
        <v>0</v>
      </c>
      <c r="X124" s="499" t="str">
        <f aca="false">IFERROR(__xludf.dummyfunction("if(isna(SUM(FILTER(MatchSource!$H:$K,MatchSource!$H:$H=$B124))),0,SUM(FILTER(MatchSource!$H:$K,MatchSource!$H:$H=$B124)))"),"0")</f>
        <v>0</v>
      </c>
      <c r="Y124" s="499" t="str">
        <f aca="false">IFERROR(__xludf.dummyfunction("if(isna(ABS(MINUS(SUM(FILTER(MatchSource!$A:$E,MatchSource!$A:$A=$B124)),SUM($W124)))),0,ABS(MINUS(SUM(FILTER(MatchSource!$A:$E,MatchSource!$A:$A=$B124)),SUM($W124))))"),"0")</f>
        <v>0</v>
      </c>
      <c r="Z124" s="499" t="str">
        <f aca="false">IFERROR(__xludf.dummyfunction("if(isna(ABS(MINUS(SUM(FILTER(MatchSource!$H:$L,MatchSource!$H:$H=$B124)),SUM($X124)))),0,ABS(MINUS(SUM(FILTER(MatchSource!$H:$L,MatchSource!$H:$H=$B124)),SUM($X124))))"),"0")</f>
        <v>0</v>
      </c>
      <c r="AA124" s="499" t="str">
        <f aca="false">IFERROR(__xludf.dummyfunction("if(isna(ABS(MINUS(SUM(FILTER(MatchSource!$A:$F,MatchSource!$A:$A=$B124)),SUM($W124,$Y124)))),0,ABS(MINUS(SUM(FILTER(MatchSource!$A:$F,MatchSource!$A:$A=$B124)),SUM($W124, $Y124,))))"),"0")</f>
        <v>0</v>
      </c>
      <c r="AB124" s="501" t="str">
        <f aca="false">IFERROR(__xludf.dummyfunction("if(isna(ABS(MINUS(SUM(FILTER(MatchSource!$H:$M,MatchSource!$H:$H=$B124)),SUM($X124,$Z124)))),0,ABS(MINUS(SUM(FILTER(MatchSource!$H:$M,MatchSource!$H:$H=$B124)),SUM($X124,$Z124))))"),"0")</f>
        <v>0</v>
      </c>
      <c r="AC124" s="507" t="n">
        <f aca="false">SUM(IF(OR($R124="Grass",$R124="Psychic",$R124="Dark"),0-1,IF(OR($R124="Fighting",$R124="Flying",$R124="Fire",$R124="Ghost",$R124="Poison",$R124="Steel",$R124="Fairy"),1,0)),IF(OR($S124="Grass",$S124="Psychic",$S124="Dark"),0-1,IF(OR($S124="Fighting",$S124="Flying",$S124="Fire",$S124="Ghost",$S124="Poison",$S124="Steel",$S124="Fairy"),1,0)))</f>
        <v>1</v>
      </c>
      <c r="AD124" s="507" t="n">
        <f aca="false">SUM(IF(OR($R124="Ghost",$R124="Psychic"),0-1,IF(OR($R124="Fighting",$R124="Dark",$R124="Fairy"),1,0)),IF(OR($S124="Ghost",$S124="Psychic"),0-1,IF(OR($S124="Fighting",$S124="Dark",$S124="Fairy"),1,0)))</f>
        <v>0</v>
      </c>
      <c r="AE124" s="507" t="n">
        <f aca="false">IF(OR($R124="Fairy",$S124="Fairy"),4,SUM(IF($R124="Dragon",0-1,IF($R124="Steel",1,0)),IF($S124="Dragon",0-1,IF($S124="Steel",1,0))))</f>
        <v>0</v>
      </c>
      <c r="AF124" s="507" t="n">
        <f aca="false">IF(OR($R124="Ground",$S124="Ground"),4,SUM(IF(OR($R124="Flying",$R124="Water"),0-1,IF(OR($R124="Dragon",$R124="Electric",$R124="Grass"),1,0)),IF(OR($S124="Flying",$S124="Water"),0-1,IF(OR($S124="Dragon",$S124="Electric",$S124="Grass"),1,0))))</f>
        <v>0</v>
      </c>
      <c r="AG124" s="507" t="n">
        <f aca="false">SUM(IF(OR($R124="Dark",$R124="Dragon",$R124="Fighting"),0-1,IF(OR($R124="Steel",$R124="Poison",$R124="Fire"),1,0)),IF(OR($S124="Dark",$S124="Dragon",$S124="Fighting"),0-1,IF(OR($S124="Steel",$S124="Poison",$S124="Fire"),1,0)))</f>
        <v>1</v>
      </c>
      <c r="AH124" s="507" t="n">
        <f aca="false">IF(OR($R124="Ghost",$S124="Ghost"),4,SUM(IF(OR($R124="Dark",$R124="Ice",$R124="Normal",$R124="Rock",$R124="Steel"),0-1,IF(OR($R124="Bug",$R124="Fairy",$R124="Flying",$R124="Poison",$R124="Psychic"),1,0)),IF(OR($S124="Dark",$S124="Ice",$S124="Normal",$S124="Rock",$S124="Steel"),0-1,IF(OR($S124="Bug",$S124="Fairy",$S124="Flying",$S124="Poison",$S124="Psychic"),1,0))))</f>
        <v>2</v>
      </c>
      <c r="AI124" s="507" t="n">
        <f aca="false">SUM(IF(OR($R124="Bug",$R124="Grass",$R124="Ice",$R124="Steel"),0-1,IF(OR($R124="Dragon",$R124="Fire",$R124="Rock",$R124="Water"),1,0)),IF(OR($S124="Bug",$S124="Grass",$S124="Ice",$S124="Steel"),0-1,IF(OR($S124="Dragon",$S124="Fire",$S124="Rock",$S124="Water"),1,0)))</f>
        <v>-1</v>
      </c>
      <c r="AJ124" s="507" t="n">
        <f aca="false">SUM(IF(OR($R124="Bug",$R124="Grass",$R124="Fighting"),0-1,IF(OR($R124="Electric",$R124="Rock",$R124="Steel"),1,0)),IF(OR($S124="Bug",$S124="Grass",$S124="Fighting"),0-1,IF(OR($S124="Electric",$S124="Rock",$S124="Steel"),1,0)))</f>
        <v>-1</v>
      </c>
      <c r="AK124" s="507" t="n">
        <f aca="false">IF(OR($R124="Normal",$S124="Normal"),4,SUM(IF(OR($R124="Ghost",$R124="Psychic"),0-1,IF($R124="Dark",1,0)),IF(OR($S124="Ghost",$S124="Psychic"),0-1,IF($S124="Dark",1,0))))</f>
        <v>0</v>
      </c>
      <c r="AL124" s="507" t="n">
        <f aca="false">SUM(IF(OR($R124="Ground",$R124="Rock",$R124="Water"),0-1,IF(OR($R124="Bug",$R124="Flying",$R124="Fire",$R124="Dragon",$R124="Poison",$R124="Steel",$R124="Grass"),1,0)),IF(OR($S124="Ground",$S124="Rock",$S124="Water"),0-1,IF(OR($S124="Bug",$S124="Flying",$S124="Fire",$S124="Dragon",$S124="Poison",$S124="Steel",$S124="Grass"),1,0)))</f>
        <v>2</v>
      </c>
      <c r="AM124" s="507" t="n">
        <f aca="false">IF(OR($R124="Flying",$S124="Flying"),4,SUM(IF(OR($R124="Electric",$R124="Fire",$R124="Rock",$R124="Steel",$R124="Poison"),0-1,IF(OR($R124="Bug",$R124="Grass"),1,0)),IF(OR($S124="Electric",$S124="Fire",$S124="Rock",$S124="Steel",$S124="Poison"),0-1,IF(OR($S124="Bug",$S124="Grass"),1,0))))</f>
        <v>0</v>
      </c>
      <c r="AN124" s="507" t="n">
        <f aca="false">SUM(IF(OR($R124="Flying",$R124="Dragon",$R124="Grass",$R124="Ground"),0-1,IF(OR($R124="Steel",$R124="Ice",$R124="Fire",$R124="Water"),1,0)),IF(OR($S124="Flying",$S124="Dragon",$S124="Grass",$S124="Ground"),0-1,IF(OR($S124="Steel",$S124="Ice",$S124="Fire",$S124="Water"),1,0)))</f>
        <v>0</v>
      </c>
      <c r="AO124" s="507" t="n">
        <f aca="false">IF(OR($R124="Ghost",$S124="Ghost"),4,SUM(IF(OR($R124="Steel",$R124="Rock"),1,0),IF(OR($S124="Steel",$S124="Rock"),1,0)))</f>
        <v>0</v>
      </c>
      <c r="AP124" s="507" t="n">
        <f aca="false">IF(OR($R124="Steel",$S124="Steel"),4,SUM(IF(OR($R124="Fairy",$R124="Grass"),0-1,IF(OR($R124="Ghost",$R124="Rock",$R124="Ground",$R124="Poison"),1,0)),IF(OR($S124="Fairy",$S124="Grass"),0-1,IF(OR($S124="Ghost",$S124="Rock",$S124="Ground",$S124="Poison"),1,0))))</f>
        <v>1</v>
      </c>
      <c r="AQ124" s="507" t="n">
        <f aca="false">IF(OR($R124="Dark",$S124="Dark"),4,SUM(IF(OR($R124="Fighting",$R124="Poison"),0-1,IF(OR($R124="Psychic",$R124="Steel"),1,0)),IF(OR($S124="Fighting",$S124="Poison"),0-1,IF(OR($S124="Psychic",$S124="Steel"),1,0))))</f>
        <v>-1</v>
      </c>
      <c r="AR124" s="507" t="n">
        <f aca="false">SUM(IF(OR($R124="Bug",$R124="Fire",$R124="Flying",$R124="Ice"),0-1,IF(OR($R124="Steel",$R124="Fighting",$R124="Ground"),1,0)),IF(OR($S124="Bug",$S124="Fire",$S124="Flying",$S124="Ice"),0-1,IF(OR($S124="Steel",$S124="Fighting",$S124="Ground"),1,0)))</f>
        <v>-1</v>
      </c>
      <c r="AS124" s="507" t="n">
        <f aca="false">SUM(IF(OR($R124="Fairy",$R124="Ice",$R124="Rock"),0-1,IF(OR($R124="Steel",$R124="Electric",$R124="Fire",$R124="Water"),1,0)),IF(OR($S124="Fairy",$S124="Ice",$S124="Rock"),0-1,IF(OR($S124="Steel",$S124="Electric",$S124="Fire",$S124="Water"),1,0)))</f>
        <v>0</v>
      </c>
      <c r="AT124" s="508" t="n">
        <f aca="false">SUM(IF(OR($R124="Fire",$R124="Ground",$R124="Rock"),0-1,IF(OR($R124="Dragon",$R124="Grass",$R124="Water"),1,0)),IF(OR($S124="Fire",$S124="Ground",$S124="Rock"),0-1,IF(OR($S124="Dragon",$S124="Grass",$S124="Water"),1,0)))</f>
        <v>0</v>
      </c>
      <c r="AU124" s="518"/>
    </row>
    <row r="125" customFormat="false" ht="15.75" hidden="false" customHeight="false" outlineLevel="0" collapsed="false">
      <c r="A125" s="510" t="str">
        <f aca="false" t="array" ref="A125:A125">IF(ISNA(INDEX(Source!$U$7:$U$95,MATCH(B125,Source!$V$7:$V$95,0))),"FREE",INDEX(Source!$U$7:$U$95,MATCH(B125,Source!$V$7:$V$95,0)))</f>
        <v>FREE</v>
      </c>
      <c r="B125" s="511" t="s">
        <v>451</v>
      </c>
      <c r="C125" s="511"/>
      <c r="D125" s="511"/>
      <c r="E125" s="499" t="str">
        <f aca="false">IF(SUM($W125:$X125)&gt;0,SUM($W125:$X125),IF($H125&gt;0,0,IF($H125&gt;0,0,"-")))</f>
        <v>-</v>
      </c>
      <c r="F125" s="499" t="str">
        <f aca="false">IF(SUM($Y125:$Z125)&gt;0,SUM($Y125:$Z125),IF($H125&gt;0,0,"-"))</f>
        <v>-</v>
      </c>
      <c r="G125" s="499" t="str">
        <f aca="false">IF($H125&gt;0,minus(E125,F125),"-")</f>
        <v>-</v>
      </c>
      <c r="H125" s="500" t="n">
        <f aca="false">SUM(COUNTIF(MatchSource!$A:$A,$B125),COUNTIF(MatchSource!$H:$H,$B125))</f>
        <v>0</v>
      </c>
      <c r="I125" s="501" t="n">
        <f aca="false">SUM($AA125:$AB125)</f>
        <v>0</v>
      </c>
      <c r="J125" s="501" t="s">
        <v>701</v>
      </c>
      <c r="K125" s="512" t="str">
        <f aca="false" t="array" ref="K125:K125">IF(ISNA(INDEX(DraftRosters!$AA$3:$AA$199,MATCH($B125,DraftRosters!$AB$3:$AB$199,0))),"FA",IF(INDEX(DraftRosters!$AA$3:$AA$199,MATCH($B125,DraftRosters!$AB$3:$AB$199,0))="Franchise","Franch",INDEX(DraftRosters!$AA$3:$AA$199,MATCH($B125,DraftRosters!$AB$3:$AB$199,0))))</f>
        <v>FA</v>
      </c>
      <c r="L125" s="499" t="n">
        <v>85</v>
      </c>
      <c r="M125" s="499" t="n">
        <v>115</v>
      </c>
      <c r="N125" s="499" t="n">
        <v>80</v>
      </c>
      <c r="O125" s="499" t="n">
        <v>105</v>
      </c>
      <c r="P125" s="499" t="n">
        <v>80</v>
      </c>
      <c r="Q125" s="501" t="n">
        <v>50</v>
      </c>
      <c r="R125" s="499" t="s">
        <v>845</v>
      </c>
      <c r="S125" s="501"/>
      <c r="T125" s="504" t="s">
        <v>866</v>
      </c>
      <c r="U125" s="505"/>
      <c r="V125" s="506"/>
      <c r="W125" s="500" t="str">
        <f aca="false">IFERROR(__xludf.dummyfunction("if(isna(SUM(FILTER(MatchSource!$A:$D,MatchSource!$A:$A=$B125))),0,SUM(FILTER(MatchSource!$A:$D,MatchSource!$A:$A=$B125)))"),"0")</f>
        <v>0</v>
      </c>
      <c r="X125" s="499" t="str">
        <f aca="false">IFERROR(__xludf.dummyfunction("if(isna(SUM(FILTER(MatchSource!$H:$K,MatchSource!$H:$H=$B125))),0,SUM(FILTER(MatchSource!$H:$K,MatchSource!$H:$H=$B125)))"),"0")</f>
        <v>0</v>
      </c>
      <c r="Y125" s="499" t="str">
        <f aca="false">IFERROR(__xludf.dummyfunction("if(isna(ABS(MINUS(SUM(FILTER(MatchSource!$A:$E,MatchSource!$A:$A=$B125)),SUM($W125)))),0,ABS(MINUS(SUM(FILTER(MatchSource!$A:$E,MatchSource!$A:$A=$B125)),SUM($W125))))"),"0")</f>
        <v>0</v>
      </c>
      <c r="Z125" s="499" t="str">
        <f aca="false">IFERROR(__xludf.dummyfunction("if(isna(ABS(MINUS(SUM(FILTER(MatchSource!$H:$L,MatchSource!$H:$H=$B125)),SUM($X125)))),0,ABS(MINUS(SUM(FILTER(MatchSource!$H:$L,MatchSource!$H:$H=$B125)),SUM($X125))))"),"0")</f>
        <v>0</v>
      </c>
      <c r="AA125" s="499" t="str">
        <f aca="false">IFERROR(__xludf.dummyfunction("if(isna(ABS(MINUS(SUM(FILTER(MatchSource!$A:$F,MatchSource!$A:$A=$B125)),SUM($W125,$Y125)))),0,ABS(MINUS(SUM(FILTER(MatchSource!$A:$F,MatchSource!$A:$A=$B125)),SUM($W125, $Y125,))))"),"0")</f>
        <v>0</v>
      </c>
      <c r="AB125" s="501" t="str">
        <f aca="false">IFERROR(__xludf.dummyfunction("if(isna(ABS(MINUS(SUM(FILTER(MatchSource!$H:$M,MatchSource!$H:$H=$B125)),SUM($X125,$Z125)))),0,ABS(MINUS(SUM(FILTER(MatchSource!$H:$M,MatchSource!$H:$H=$B125)),SUM($X125,$Z125))))"),"0")</f>
        <v>0</v>
      </c>
      <c r="AC125" s="507" t="n">
        <f aca="false">SUM(IF(OR($R125="Grass",$R125="Psychic",$R125="Dark"),0-1,IF(OR($R125="Fighting",$R125="Flying",$R125="Fire",$R125="Ghost",$R125="Poison",$R125="Steel",$R125="Fairy"),1,0)),IF(OR($S125="Grass",$S125="Psychic",$S125="Dark"),0-1,IF(OR($S125="Fighting",$S125="Flying",$S125="Fire",$S125="Ghost",$S125="Poison",$S125="Steel",$S125="Fairy"),1,0)))</f>
        <v>0</v>
      </c>
      <c r="AD125" s="507" t="n">
        <f aca="false">SUM(IF(OR($R125="Ghost",$R125="Psychic"),0-1,IF(OR($R125="Fighting",$R125="Dark",$R125="Fairy"),1,0)),IF(OR($S125="Ghost",$S125="Psychic"),0-1,IF(OR($S125="Fighting",$S125="Dark",$S125="Fairy"),1,0)))</f>
        <v>0</v>
      </c>
      <c r="AE125" s="507" t="n">
        <f aca="false">IF(OR($R125="Fairy",$S125="Fairy"),4,SUM(IF($R125="Dragon",0-1,IF($R125="Steel",1,0)),IF($S125="Dragon",0-1,IF($S125="Steel",1,0))))</f>
        <v>0</v>
      </c>
      <c r="AF125" s="507" t="n">
        <f aca="false">IF(OR($R125="Ground",$S125="Ground"),4,SUM(IF(OR($R125="Flying",$R125="Water"),0-1,IF(OR($R125="Dragon",$R125="Electric",$R125="Grass"),1,0)),IF(OR($S125="Flying",$S125="Water"),0-1,IF(OR($S125="Dragon",$S125="Electric",$S125="Grass"),1,0))))</f>
        <v>1</v>
      </c>
      <c r="AG125" s="507" t="n">
        <f aca="false">SUM(IF(OR($R125="Dark",$R125="Dragon",$R125="Fighting"),0-1,IF(OR($R125="Steel",$R125="Poison",$R125="Fire"),1,0)),IF(OR($S125="Dark",$S125="Dragon",$S125="Fighting"),0-1,IF(OR($S125="Steel",$S125="Poison",$S125="Fire"),1,0)))</f>
        <v>0</v>
      </c>
      <c r="AH125" s="507" t="n">
        <f aca="false">IF(OR($R125="Ghost",$S125="Ghost"),4,SUM(IF(OR($R125="Dark",$R125="Ice",$R125="Normal",$R125="Rock",$R125="Steel"),0-1,IF(OR($R125="Bug",$R125="Fairy",$R125="Flying",$R125="Poison",$R125="Psychic"),1,0)),IF(OR($S125="Dark",$S125="Ice",$S125="Normal",$S125="Rock",$S125="Steel"),0-1,IF(OR($S125="Bug",$S125="Fairy",$S125="Flying",$S125="Poison",$S125="Psychic"),1,0))))</f>
        <v>0</v>
      </c>
      <c r="AI125" s="507" t="n">
        <f aca="false">SUM(IF(OR($R125="Bug",$R125="Grass",$R125="Ice",$R125="Steel"),0-1,IF(OR($R125="Dragon",$R125="Fire",$R125="Rock",$R125="Water"),1,0)),IF(OR($S125="Bug",$S125="Grass",$S125="Ice",$S125="Steel"),0-1,IF(OR($S125="Dragon",$S125="Fire",$S125="Rock",$S125="Water"),1,0)))</f>
        <v>0</v>
      </c>
      <c r="AJ125" s="507" t="n">
        <f aca="false">SUM(IF(OR($R125="Bug",$R125="Grass",$R125="Fighting"),0-1,IF(OR($R125="Electric",$R125="Rock",$R125="Steel"),1,0)),IF(OR($S125="Bug",$S125="Grass",$S125="Fighting"),0-1,IF(OR($S125="Electric",$S125="Rock",$S125="Steel"),1,0)))</f>
        <v>1</v>
      </c>
      <c r="AK125" s="507" t="n">
        <f aca="false">IF(OR($R125="Normal",$S125="Normal"),4,SUM(IF(OR($R125="Ghost",$R125="Psychic"),0-1,IF($R125="Dark",1,0)),IF(OR($S125="Ghost",$S125="Psychic"),0-1,IF($S125="Dark",1,0))))</f>
        <v>0</v>
      </c>
      <c r="AL125" s="507" t="n">
        <f aca="false">SUM(IF(OR($R125="Ground",$R125="Rock",$R125="Water"),0-1,IF(OR($R125="Bug",$R125="Flying",$R125="Fire",$R125="Dragon",$R125="Poison",$R125="Steel",$R125="Grass"),1,0)),IF(OR($S125="Ground",$S125="Rock",$S125="Water"),0-1,IF(OR($S125="Bug",$S125="Flying",$S125="Fire",$S125="Dragon",$S125="Poison",$S125="Steel",$S125="Grass"),1,0)))</f>
        <v>0</v>
      </c>
      <c r="AM125" s="507" t="n">
        <f aca="false">IF(OR($R125="Flying",$S125="Flying"),4,SUM(IF(OR($R125="Electric",$R125="Fire",$R125="Rock",$R125="Steel",$R125="Poison"),0-1,IF(OR($R125="Bug",$R125="Grass"),1,0)),IF(OR($S125="Electric",$S125="Fire",$S125="Rock",$S125="Steel",$S125="Poison"),0-1,IF(OR($S125="Bug",$S125="Grass"),1,0))))</f>
        <v>-1</v>
      </c>
      <c r="AN125" s="507" t="n">
        <f aca="false">SUM(IF(OR($R125="Flying",$R125="Dragon",$R125="Grass",$R125="Ground"),0-1,IF(OR($R125="Steel",$R125="Ice",$R125="Fire",$R125="Water"),1,0)),IF(OR($S125="Flying",$S125="Dragon",$S125="Grass",$S125="Ground"),0-1,IF(OR($S125="Steel",$S125="Ice",$S125="Fire",$S125="Water"),1,0)))</f>
        <v>0</v>
      </c>
      <c r="AO125" s="507" t="n">
        <f aca="false">IF(OR($R125="Ghost",$S125="Ghost"),4,SUM(IF(OR($R125="Steel",$R125="Rock"),1,0),IF(OR($S125="Steel",$S125="Rock"),1,0)))</f>
        <v>0</v>
      </c>
      <c r="AP125" s="507" t="n">
        <f aca="false">IF(OR($R125="Steel",$S125="Steel"),4,SUM(IF(OR($R125="Fairy",$R125="Grass"),0-1,IF(OR($R125="Ghost",$R125="Rock",$R125="Ground",$R125="Poison"),1,0)),IF(OR($S125="Fairy",$S125="Grass"),0-1,IF(OR($S125="Ghost",$S125="Rock",$S125="Ground",$S125="Poison"),1,0))))</f>
        <v>0</v>
      </c>
      <c r="AQ125" s="507" t="n">
        <f aca="false">IF(OR($R125="Dark",$S125="Dark"),4,SUM(IF(OR($R125="Fighting",$R125="Poison"),0-1,IF(OR($R125="Psychic",$R125="Steel"),1,0)),IF(OR($S125="Fighting",$S125="Poison"),0-1,IF(OR($S125="Psychic",$S125="Steel"),1,0))))</f>
        <v>0</v>
      </c>
      <c r="AR125" s="507" t="n">
        <f aca="false">SUM(IF(OR($R125="Bug",$R125="Fire",$R125="Flying",$R125="Ice"),0-1,IF(OR($R125="Steel",$R125="Fighting",$R125="Ground"),1,0)),IF(OR($S125="Bug",$S125="Fire",$S125="Flying",$S125="Ice"),0-1,IF(OR($S125="Steel",$S125="Fighting",$S125="Ground"),1,0)))</f>
        <v>0</v>
      </c>
      <c r="AS125" s="507" t="n">
        <f aca="false">SUM(IF(OR($R125="Fairy",$R125="Ice",$R125="Rock"),0-1,IF(OR($R125="Steel",$R125="Electric",$R125="Fire",$R125="Water"),1,0)),IF(OR($S125="Fairy",$S125="Ice",$S125="Rock"),0-1,IF(OR($S125="Steel",$S125="Electric",$S125="Fire",$S125="Water"),1,0)))</f>
        <v>1</v>
      </c>
      <c r="AT125" s="508" t="n">
        <f aca="false">SUM(IF(OR($R125="Fire",$R125="Ground",$R125="Rock"),0-1,IF(OR($R125="Dragon",$R125="Grass",$R125="Water"),1,0)),IF(OR($S125="Fire",$S125="Ground",$S125="Rock"),0-1,IF(OR($S125="Dragon",$S125="Grass",$S125="Water"),1,0)))</f>
        <v>0</v>
      </c>
      <c r="AU125" s="518"/>
    </row>
    <row r="126" customFormat="false" ht="15.75" hidden="false" customHeight="false" outlineLevel="0" collapsed="false">
      <c r="A126" s="529" t="str">
        <f aca="false" t="array" ref="A126:A126">IF(ISNA(INDEX(Source!$U$7:$U$95,MATCH(B126,Source!$V$7:$V$95,0))),"FREE",INDEX(Source!$U$7:$U$95,MATCH(B126,Source!$V$7:$V$95,0)))</f>
        <v>FREE</v>
      </c>
      <c r="B126" s="530" t="s">
        <v>534</v>
      </c>
      <c r="C126" s="530"/>
      <c r="D126" s="530"/>
      <c r="E126" s="499" t="str">
        <f aca="false">IF(SUM($W126:$X126)&gt;0,SUM($W126:$X126),IF($H126&gt;0,0,IF($H126&gt;0,0,"-")))</f>
        <v>-</v>
      </c>
      <c r="F126" s="499" t="str">
        <f aca="false">IF(SUM($Y126:$Z126)&gt;0,SUM($Y126:$Z126),IF($H126&gt;0,0,"-"))</f>
        <v>-</v>
      </c>
      <c r="G126" s="499" t="str">
        <f aca="false">IF($H126&gt;0,minus(E126,F126),"-")</f>
        <v>-</v>
      </c>
      <c r="H126" s="500" t="n">
        <f aca="false">SUM(COUNTIF(MatchSource!$A:$A,$B126),COUNTIF(MatchSource!$H:$H,$B126))</f>
        <v>0</v>
      </c>
      <c r="I126" s="501" t="n">
        <f aca="false">SUM($AA126:$AB126)</f>
        <v>0</v>
      </c>
      <c r="J126" s="531" t="s">
        <v>702</v>
      </c>
      <c r="K126" s="529" t="str">
        <f aca="false" t="array" ref="K126:K126">IF(ISNA(INDEX(DraftRosters!$AA$3:$AA$199,MATCH($B126,DraftRosters!$AB$3:$AB$199,0))),"FA",IF(INDEX(DraftRosters!$AA$3:$AA$199,MATCH($B126,DraftRosters!$AB$3:$AB$199,0))="Franchise","Franch",INDEX(DraftRosters!$AA$3:$AA$199,MATCH($B126,DraftRosters!$AB$3:$AB$199,0))))</f>
        <v>FA</v>
      </c>
      <c r="L126" s="532" t="n">
        <v>65</v>
      </c>
      <c r="M126" s="532" t="n">
        <v>83</v>
      </c>
      <c r="N126" s="532" t="n">
        <v>57</v>
      </c>
      <c r="O126" s="532" t="n">
        <v>95</v>
      </c>
      <c r="P126" s="532" t="n">
        <v>85</v>
      </c>
      <c r="Q126" s="531" t="n">
        <v>105</v>
      </c>
      <c r="R126" s="532" t="s">
        <v>845</v>
      </c>
      <c r="S126" s="533"/>
      <c r="T126" s="534" t="s">
        <v>964</v>
      </c>
      <c r="U126" s="535" t="s">
        <v>942</v>
      </c>
      <c r="V126" s="533"/>
      <c r="W126" s="500" t="str">
        <f aca="false">IFERROR(__xludf.dummyfunction("if(isna(SUM(FILTER(MatchSource!$A:$D,MatchSource!$A:$A=$B126))),0,SUM(FILTER(MatchSource!$A:$D,MatchSource!$A:$A=$B126)))"),"0")</f>
        <v>0</v>
      </c>
      <c r="X126" s="499" t="str">
        <f aca="false">IFERROR(__xludf.dummyfunction("if(isna(SUM(FILTER(MatchSource!$H:$K,MatchSource!$H:$H=$B126))),0,SUM(FILTER(MatchSource!$H:$K,MatchSource!$H:$H=$B126)))"),"0")</f>
        <v>0</v>
      </c>
      <c r="Y126" s="499" t="str">
        <f aca="false">IFERROR(__xludf.dummyfunction("if(isna(ABS(MINUS(SUM(FILTER(MatchSource!$A:$E,MatchSource!$A:$A=$B126)),SUM($W126)))),0,ABS(MINUS(SUM(FILTER(MatchSource!$A:$E,MatchSource!$A:$A=$B126)),SUM($W126))))"),"0")</f>
        <v>0</v>
      </c>
      <c r="Z126" s="499" t="str">
        <f aca="false">IFERROR(__xludf.dummyfunction("if(isna(ABS(MINUS(SUM(FILTER(MatchSource!$H:$L,MatchSource!$H:$H=$B126)),SUM($X126)))),0,ABS(MINUS(SUM(FILTER(MatchSource!$H:$L,MatchSource!$H:$H=$B126)),SUM($X126))))"),"0")</f>
        <v>0</v>
      </c>
      <c r="AA126" s="499" t="str">
        <f aca="false">IFERROR(__xludf.dummyfunction("if(isna(ABS(MINUS(SUM(FILTER(MatchSource!$A:$F,MatchSource!$A:$A=$B126)),SUM($W126,$Y126)))),0,ABS(MINUS(SUM(FILTER(MatchSource!$A:$F,MatchSource!$A:$A=$B126)),SUM($W126, $Y126,))))"),"0")</f>
        <v>0</v>
      </c>
      <c r="AB126" s="501" t="str">
        <f aca="false">IFERROR(__xludf.dummyfunction("if(isna(ABS(MINUS(SUM(FILTER(MatchSource!$H:$M,MatchSource!$H:$H=$B126)),SUM($X126,$Z126)))),0,ABS(MINUS(SUM(FILTER(MatchSource!$H:$M,MatchSource!$H:$H=$B126)),SUM($X126,$Z126))))"),"0")</f>
        <v>0</v>
      </c>
      <c r="AC126" s="532" t="n">
        <f aca="false">SUM(IF(OR($R126="Grass",$R126="Psychic",$R126="Dark"),0-1,IF(OR($R126="Fighting",$R126="Flying",$R126="Fire",$R126="Ghost",$R126="Poison",$R126="Steel",$R126="Fairy"),1,0)),IF(OR($S126="Grass",$S126="Psychic",$S126="Dark"),0-1,IF(OR($S126="Fighting",$S126="Flying",$S126="Fire",$S126="Ghost",$S126="Poison",$S126="Steel",$S126="Fairy"),1,0)))</f>
        <v>0</v>
      </c>
      <c r="AD126" s="532" t="n">
        <f aca="false">SUM(IF(OR($R126="Ghost",$R126="Psychic"),0-1,IF(OR($R126="Fighting",$R126="Dark",$R126="Fairy"),1,0)),IF(OR($S126="Ghost",$S126="Psychic"),0-1,IF(OR($S126="Fighting",$S126="Dark",$S126="Fairy"),1,0)))</f>
        <v>0</v>
      </c>
      <c r="AE126" s="532" t="n">
        <f aca="false">IF(OR($R126="Fairy",$S126="Fairy"),4,SUM(IF($R126="Dragon",0-1,IF($R126="Steel",1,0)),IF($S126="Dragon",0-1,IF($S126="Steel",1,0))))</f>
        <v>0</v>
      </c>
      <c r="AF126" s="532" t="n">
        <f aca="false">IF(OR($R126="Ground",$S126="Ground"),4,SUM(IF(OR($R126="Flying",$R126="Water"),0-1,IF(OR($R126="Dragon",$R126="Electric",$R126="Grass"),1,0)),IF(OR($S126="Flying",$S126="Water"),0-1,IF(OR($S126="Dragon",$S126="Electric",$S126="Grass"),1,0))))</f>
        <v>1</v>
      </c>
      <c r="AG126" s="532" t="n">
        <f aca="false">SUM(IF(OR($R126="Dark",$R126="Dragon",$R126="Fighting"),0-1,IF(OR($R126="Steel",$R126="Poison",$R126="Fire"),1,0)),IF(OR($S126="Dark",$S126="Dragon",$S126="Fighting"),0-1,IF(OR($S126="Steel",$S126="Poison",$S126="Fire"),1,0)))</f>
        <v>0</v>
      </c>
      <c r="AH126" s="532" t="n">
        <f aca="false">IF(OR($R126="Ghost",$S126="Ghost"),4,SUM(IF(OR($R126="Dark",$R126="Ice",$R126="Normal",$R126="Rock",$R126="Steel"),0-1,IF(OR($R126="Bug",$R126="Fairy",$R126="Flying",$R126="Poison",$R126="Psychic"),1,0)),IF(OR($S126="Dark",$S126="Ice",$S126="Normal",$S126="Rock",$S126="Steel"),0-1,IF(OR($S126="Bug",$S126="Fairy",$S126="Flying",$S126="Poison",$S126="Psychic"),1,0))))</f>
        <v>0</v>
      </c>
      <c r="AI126" s="532" t="n">
        <f aca="false">SUM(IF(OR($R126="Bug",$R126="Grass",$R126="Ice",$R126="Steel"),0-1,IF(OR($R126="Dragon",$R126="Fire",$R126="Rock",$R126="Water"),1,0)),IF(OR($S126="Bug",$S126="Grass",$S126="Ice",$S126="Steel"),0-1,IF(OR($S126="Dragon",$S126="Fire",$S126="Rock",$S126="Water"),1,0)))</f>
        <v>0</v>
      </c>
      <c r="AJ126" s="532" t="n">
        <f aca="false">SUM(IF(OR($R126="Bug",$R126="Grass",$R126="Fighting"),0-1,IF(OR($R126="Electric",$R126="Rock",$R126="Steel"),1,0)),IF(OR($S126="Bug",$S126="Grass",$S126="Fighting"),0-1,IF(OR($S126="Electric",$S126="Rock",$S126="Steel"),1,0)))</f>
        <v>1</v>
      </c>
      <c r="AK126" s="532" t="n">
        <f aca="false">IF(OR($R126="Normal",$S126="Normal"),4,SUM(IF(OR($R126="Ghost",$R126="Psychic"),0-1,IF($R126="Dark",1,0)),IF(OR($S126="Ghost",$S126="Psychic"),0-1,IF($S126="Dark",1,0))))</f>
        <v>0</v>
      </c>
      <c r="AL126" s="532" t="n">
        <f aca="false">SUM(IF(OR($R126="Ground",$R126="Rock",$R126="Water"),0-1,IF(OR($R126="Bug",$R126="Flying",$R126="Fire",$R126="Dragon",$R126="Poison",$R126="Steel",$R126="Grass"),1,0)),IF(OR($S126="Ground",$S126="Rock",$S126="Water"),0-1,IF(OR($S126="Bug",$S126="Flying",$S126="Fire",$S126="Dragon",$S126="Poison",$S126="Steel",$S126="Grass"),1,0)))</f>
        <v>0</v>
      </c>
      <c r="AM126" s="532" t="n">
        <f aca="false">IF(OR($R126="Flying",$S126="Flying"),4,SUM(IF(OR($R126="Electric",$R126="Fire",$R126="Rock",$R126="Steel",$R126="Poison"),0-1,IF(OR($R126="Bug",$R126="Grass"),1,0)),IF(OR($S126="Electric",$S126="Fire",$S126="Rock",$S126="Steel",$S126="Poison"),0-1,IF(OR($S126="Bug",$S126="Grass"),1,0))))</f>
        <v>-1</v>
      </c>
      <c r="AN126" s="532" t="n">
        <f aca="false">SUM(IF(OR($R126="Flying",$R126="Dragon",$R126="Grass",$R126="Ground"),0-1,IF(OR($R126="Steel",$R126="Ice",$R126="Fire",$R126="Water"),1,0)),IF(OR($S126="Flying",$S126="Dragon",$S126="Grass",$S126="Ground"),0-1,IF(OR($S126="Steel",$S126="Ice",$S126="Fire",$S126="Water"),1,0)))</f>
        <v>0</v>
      </c>
      <c r="AO126" s="532" t="n">
        <f aca="false">IF(OR($R126="Ghost",$S126="Ghost"),4,SUM(IF(OR($R126="Steel",$R126="Rock"),1,0),IF(OR($S126="Steel",$S126="Rock"),1,0)))</f>
        <v>0</v>
      </c>
      <c r="AP126" s="532" t="n">
        <f aca="false">IF(OR($R126="Steel",$S126="Steel"),4,SUM(IF(OR($R126="Fairy",$R126="Grass"),0-1,IF(OR($R126="Ghost",$R126="Rock",$R126="Ground",$R126="Poison"),1,0)),IF(OR($S126="Fairy",$S126="Grass"),0-1,IF(OR($S126="Ghost",$S126="Rock",$S126="Ground",$S126="Poison"),1,0))))</f>
        <v>0</v>
      </c>
      <c r="AQ126" s="532" t="n">
        <f aca="false">IF(OR($R126="Dark",$S126="Dark"),4,SUM(IF(OR($R126="Fighting",$R126="Poison"),0-1,IF(OR($R126="Psychic",$R126="Steel"),1,0)),IF(OR($S126="Fighting",$S126="Poison"),0-1,IF(OR($S126="Psychic",$S126="Steel"),1,0))))</f>
        <v>0</v>
      </c>
      <c r="AR126" s="532" t="n">
        <f aca="false">SUM(IF(OR($R126="Bug",$R126="Fire",$R126="Flying",$R126="Ice"),0-1,IF(OR($R126="Steel",$R126="Fighting",$R126="Ground"),1,0)),IF(OR($S126="Bug",$S126="Fire",$S126="Flying",$S126="Ice"),0-1,IF(OR($S126="Steel",$S126="Fighting",$S126="Ground"),1,0)))</f>
        <v>0</v>
      </c>
      <c r="AS126" s="532" t="n">
        <f aca="false">SUM(IF(OR($R126="Fairy",$R126="Ice",$R126="Rock"),0-1,IF(OR($R126="Steel",$R126="Electric",$R126="Fire",$R126="Water"),1,0)),IF(OR($S126="Fairy",$S126="Ice",$S126="Rock"),0-1,IF(OR($S126="Steel",$S126="Electric",$S126="Fire",$S126="Water"),1,0)))</f>
        <v>1</v>
      </c>
      <c r="AT126" s="531" t="n">
        <f aca="false">SUM(IF(OR($R126="Fire",$R126="Ground",$R126="Rock"),0-1,IF(OR($R126="Dragon",$R126="Grass",$R126="Water"),1,0)),IF(OR($S126="Fire",$S126="Ground",$S126="Rock"),0-1,IF(OR($S126="Dragon",$S126="Grass",$S126="Water"),1,0)))</f>
        <v>0</v>
      </c>
      <c r="AU126" s="518"/>
    </row>
    <row r="127" customFormat="false" ht="15.75" hidden="false" customHeight="false" outlineLevel="0" collapsed="false">
      <c r="A127" s="510" t="str">
        <f aca="false" t="array" ref="A127:A127">IF(ISNA(INDEX(Source!$U$7:$U$95,MATCH(B127,Source!$V$7:$V$95,0))),"FREE",INDEX(Source!$U$7:$U$95,MATCH(B127,Source!$V$7:$V$95,0)))</f>
        <v>FREE</v>
      </c>
      <c r="B127" s="511" t="s">
        <v>456</v>
      </c>
      <c r="C127" s="511"/>
      <c r="D127" s="511"/>
      <c r="E127" s="499" t="str">
        <f aca="false">IF(SUM($W127:$X127)&gt;0,SUM($W127:$X127),IF($H127&gt;0,0,IF($H127&gt;0,0,"-")))</f>
        <v>-</v>
      </c>
      <c r="F127" s="499" t="str">
        <f aca="false">IF(SUM($Y127:$Z127)&gt;0,SUM($Y127:$Z127),IF($H127&gt;0,0,"-"))</f>
        <v>-</v>
      </c>
      <c r="G127" s="499" t="str">
        <f aca="false">IF($H127&gt;0,minus(E127,F127),"-")</f>
        <v>-</v>
      </c>
      <c r="H127" s="500" t="n">
        <f aca="false">SUM(COUNTIF(MatchSource!$A:$A,$B127),COUNTIF(MatchSource!$H:$H,$B127))</f>
        <v>0</v>
      </c>
      <c r="I127" s="501" t="n">
        <f aca="false">SUM($AA127:$AB127)</f>
        <v>0</v>
      </c>
      <c r="J127" s="501" t="s">
        <v>701</v>
      </c>
      <c r="K127" s="512" t="str">
        <f aca="false" t="array" ref="K127:K127">IF(ISNA(INDEX(DraftRosters!$AA$3:$AA$199,MATCH($B127,DraftRosters!$AB$3:$AB$199,0))),"FA",IF(INDEX(DraftRosters!$AA$3:$AA$199,MATCH($B127,DraftRosters!$AB$3:$AB$199,0))="Franchise","Franch",INDEX(DraftRosters!$AA$3:$AA$199,MATCH($B127,DraftRosters!$AB$3:$AB$199,0))))</f>
        <v>FA</v>
      </c>
      <c r="L127" s="499" t="n">
        <v>75</v>
      </c>
      <c r="M127" s="499" t="n">
        <v>123</v>
      </c>
      <c r="N127" s="499" t="n">
        <v>67</v>
      </c>
      <c r="O127" s="499" t="n">
        <v>95</v>
      </c>
      <c r="P127" s="499" t="n">
        <v>85</v>
      </c>
      <c r="Q127" s="501" t="n">
        <v>95</v>
      </c>
      <c r="R127" s="499" t="s">
        <v>845</v>
      </c>
      <c r="S127" s="501"/>
      <c r="T127" s="504" t="s">
        <v>964</v>
      </c>
      <c r="U127" s="505" t="s">
        <v>942</v>
      </c>
      <c r="V127" s="506"/>
      <c r="W127" s="500" t="str">
        <f aca="false">IFERROR(__xludf.dummyfunction("if(isna(SUM(FILTER(MatchSource!$A:$D,MatchSource!$A:$A=$B127))),0,SUM(FILTER(MatchSource!$A:$D,MatchSource!$A:$A=$B127)))"),"0")</f>
        <v>0</v>
      </c>
      <c r="X127" s="499" t="str">
        <f aca="false">IFERROR(__xludf.dummyfunction("if(isna(SUM(FILTER(MatchSource!$H:$K,MatchSource!$H:$H=$B127))),0,SUM(FILTER(MatchSource!$H:$K,MatchSource!$H:$H=$B127)))"),"0")</f>
        <v>0</v>
      </c>
      <c r="Y127" s="499" t="str">
        <f aca="false">IFERROR(__xludf.dummyfunction("if(isna(ABS(MINUS(SUM(FILTER(MatchSource!$A:$E,MatchSource!$A:$A=$B127)),SUM($W127)))),0,ABS(MINUS(SUM(FILTER(MatchSource!$A:$E,MatchSource!$A:$A=$B127)),SUM($W127))))"),"0")</f>
        <v>0</v>
      </c>
      <c r="Z127" s="499" t="str">
        <f aca="false">IFERROR(__xludf.dummyfunction("if(isna(ABS(MINUS(SUM(FILTER(MatchSource!$H:$L,MatchSource!$H:$H=$B127)),SUM($X127)))),0,ABS(MINUS(SUM(FILTER(MatchSource!$H:$L,MatchSource!$H:$H=$B127)),SUM($X127))))"),"0")</f>
        <v>0</v>
      </c>
      <c r="AA127" s="499" t="str">
        <f aca="false">IFERROR(__xludf.dummyfunction("if(isna(ABS(MINUS(SUM(FILTER(MatchSource!$A:$F,MatchSource!$A:$A=$B127)),SUM($W127,$Y127)))),0,ABS(MINUS(SUM(FILTER(MatchSource!$A:$F,MatchSource!$A:$A=$B127)),SUM($W127, $Y127,))))"),"0")</f>
        <v>0</v>
      </c>
      <c r="AB127" s="501" t="str">
        <f aca="false">IFERROR(__xludf.dummyfunction("if(isna(ABS(MINUS(SUM(FILTER(MatchSource!$H:$M,MatchSource!$H:$H=$B127)),SUM($X127,$Z127)))),0,ABS(MINUS(SUM(FILTER(MatchSource!$H:$M,MatchSource!$H:$H=$B127)),SUM($X127,$Z127))))"),"0")</f>
        <v>0</v>
      </c>
      <c r="AC127" s="507" t="n">
        <f aca="false">SUM(IF(OR($R127="Grass",$R127="Psychic",$R127="Dark"),0-1,IF(OR($R127="Fighting",$R127="Flying",$R127="Fire",$R127="Ghost",$R127="Poison",$R127="Steel",$R127="Fairy"),1,0)),IF(OR($S127="Grass",$S127="Psychic",$S127="Dark"),0-1,IF(OR($S127="Fighting",$S127="Flying",$S127="Fire",$S127="Ghost",$S127="Poison",$S127="Steel",$S127="Fairy"),1,0)))</f>
        <v>0</v>
      </c>
      <c r="AD127" s="507" t="n">
        <f aca="false">SUM(IF(OR($R127="Ghost",$R127="Psychic"),0-1,IF(OR($R127="Fighting",$R127="Dark",$R127="Fairy"),1,0)),IF(OR($S127="Ghost",$S127="Psychic"),0-1,IF(OR($S127="Fighting",$S127="Dark",$S127="Fairy"),1,0)))</f>
        <v>0</v>
      </c>
      <c r="AE127" s="507" t="n">
        <f aca="false">IF(OR($R127="Fairy",$S127="Fairy"),4,SUM(IF($R127="Dragon",0-1,IF($R127="Steel",1,0)),IF($S127="Dragon",0-1,IF($S127="Steel",1,0))))</f>
        <v>0</v>
      </c>
      <c r="AF127" s="507" t="n">
        <f aca="false">IF(OR($R127="Ground",$S127="Ground"),4,SUM(IF(OR($R127="Flying",$R127="Water"),0-1,IF(OR($R127="Dragon",$R127="Electric",$R127="Grass"),1,0)),IF(OR($S127="Flying",$S127="Water"),0-1,IF(OR($S127="Dragon",$S127="Electric",$S127="Grass"),1,0))))</f>
        <v>1</v>
      </c>
      <c r="AG127" s="507" t="n">
        <f aca="false">SUM(IF(OR($R127="Dark",$R127="Dragon",$R127="Fighting"),0-1,IF(OR($R127="Steel",$R127="Poison",$R127="Fire"),1,0)),IF(OR($S127="Dark",$S127="Dragon",$S127="Fighting"),0-1,IF(OR($S127="Steel",$S127="Poison",$S127="Fire"),1,0)))</f>
        <v>0</v>
      </c>
      <c r="AH127" s="507" t="n">
        <f aca="false">IF(OR($R127="Ghost",$S127="Ghost"),4,SUM(IF(OR($R127="Dark",$R127="Ice",$R127="Normal",$R127="Rock",$R127="Steel"),0-1,IF(OR($R127="Bug",$R127="Fairy",$R127="Flying",$R127="Poison",$R127="Psychic"),1,0)),IF(OR($S127="Dark",$S127="Ice",$S127="Normal",$S127="Rock",$S127="Steel"),0-1,IF(OR($S127="Bug",$S127="Fairy",$S127="Flying",$S127="Poison",$S127="Psychic"),1,0))))</f>
        <v>0</v>
      </c>
      <c r="AI127" s="507" t="n">
        <f aca="false">SUM(IF(OR($R127="Bug",$R127="Grass",$R127="Ice",$R127="Steel"),0-1,IF(OR($R127="Dragon",$R127="Fire",$R127="Rock",$R127="Water"),1,0)),IF(OR($S127="Bug",$S127="Grass",$S127="Ice",$S127="Steel"),0-1,IF(OR($S127="Dragon",$S127="Fire",$S127="Rock",$S127="Water"),1,0)))</f>
        <v>0</v>
      </c>
      <c r="AJ127" s="507" t="n">
        <f aca="false">SUM(IF(OR($R127="Bug",$R127="Grass",$R127="Fighting"),0-1,IF(OR($R127="Electric",$R127="Rock",$R127="Steel"),1,0)),IF(OR($S127="Bug",$S127="Grass",$S127="Fighting"),0-1,IF(OR($S127="Electric",$S127="Rock",$S127="Steel"),1,0)))</f>
        <v>1</v>
      </c>
      <c r="AK127" s="507" t="n">
        <f aca="false">IF(OR($R127="Normal",$S127="Normal"),4,SUM(IF(OR($R127="Ghost",$R127="Psychic"),0-1,IF($R127="Dark",1,0)),IF(OR($S127="Ghost",$S127="Psychic"),0-1,IF($S127="Dark",1,0))))</f>
        <v>0</v>
      </c>
      <c r="AL127" s="507" t="n">
        <f aca="false">SUM(IF(OR($R127="Ground",$R127="Rock",$R127="Water"),0-1,IF(OR($R127="Bug",$R127="Flying",$R127="Fire",$R127="Dragon",$R127="Poison",$R127="Steel",$R127="Grass"),1,0)),IF(OR($S127="Ground",$S127="Rock",$S127="Water"),0-1,IF(OR($S127="Bug",$S127="Flying",$S127="Fire",$S127="Dragon",$S127="Poison",$S127="Steel",$S127="Grass"),1,0)))</f>
        <v>0</v>
      </c>
      <c r="AM127" s="507" t="n">
        <f aca="false">IF(OR($R127="Flying",$S127="Flying"),4,SUM(IF(OR($R127="Electric",$R127="Fire",$R127="Rock",$R127="Steel",$R127="Poison"),0-1,IF(OR($R127="Bug",$R127="Grass"),1,0)),IF(OR($S127="Electric",$S127="Fire",$S127="Rock",$S127="Steel",$S127="Poison"),0-1,IF(OR($S127="Bug",$S127="Grass"),1,0))))</f>
        <v>-1</v>
      </c>
      <c r="AN127" s="507" t="n">
        <f aca="false">SUM(IF(OR($R127="Flying",$R127="Dragon",$R127="Grass",$R127="Ground"),0-1,IF(OR($R127="Steel",$R127="Ice",$R127="Fire",$R127="Water"),1,0)),IF(OR($S127="Flying",$S127="Dragon",$S127="Grass",$S127="Ground"),0-1,IF(OR($S127="Steel",$S127="Ice",$S127="Fire",$S127="Water"),1,0)))</f>
        <v>0</v>
      </c>
      <c r="AO127" s="507" t="n">
        <f aca="false">IF(OR($R127="Ghost",$S127="Ghost"),4,SUM(IF(OR($R127="Steel",$R127="Rock"),1,0),IF(OR($S127="Steel",$S127="Rock"),1,0)))</f>
        <v>0</v>
      </c>
      <c r="AP127" s="507" t="n">
        <f aca="false">IF(OR($R127="Steel",$S127="Steel"),4,SUM(IF(OR($R127="Fairy",$R127="Grass"),0-1,IF(OR($R127="Ghost",$R127="Rock",$R127="Ground",$R127="Poison"),1,0)),IF(OR($S127="Fairy",$S127="Grass"),0-1,IF(OR($S127="Ghost",$S127="Rock",$S127="Ground",$S127="Poison"),1,0))))</f>
        <v>0</v>
      </c>
      <c r="AQ127" s="507" t="n">
        <f aca="false">IF(OR($R127="Dark",$S127="Dark"),4,SUM(IF(OR($R127="Fighting",$R127="Poison"),0-1,IF(OR($R127="Psychic",$R127="Steel"),1,0)),IF(OR($S127="Fighting",$S127="Poison"),0-1,IF(OR($S127="Psychic",$S127="Steel"),1,0))))</f>
        <v>0</v>
      </c>
      <c r="AR127" s="507" t="n">
        <f aca="false">SUM(IF(OR($R127="Bug",$R127="Fire",$R127="Flying",$R127="Ice"),0-1,IF(OR($R127="Steel",$R127="Fighting",$R127="Ground"),1,0)),IF(OR($S127="Bug",$S127="Fire",$S127="Flying",$S127="Ice"),0-1,IF(OR($S127="Steel",$S127="Fighting",$S127="Ground"),1,0)))</f>
        <v>0</v>
      </c>
      <c r="AS127" s="507" t="n">
        <f aca="false">SUM(IF(OR($R127="Fairy",$R127="Ice",$R127="Rock"),0-1,IF(OR($R127="Steel",$R127="Electric",$R127="Fire",$R127="Water"),1,0)),IF(OR($S127="Fairy",$S127="Ice",$S127="Rock"),0-1,IF(OR($S127="Steel",$S127="Electric",$S127="Fire",$S127="Water"),1,0)))</f>
        <v>1</v>
      </c>
      <c r="AT127" s="508" t="n">
        <f aca="false">SUM(IF(OR($R127="Fire",$R127="Ground",$R127="Rock"),0-1,IF(OR($R127="Dragon",$R127="Grass",$R127="Water"),1,0)),IF(OR($S127="Fire",$S127="Ground",$S127="Rock"),0-1,IF(OR($S127="Dragon",$S127="Grass",$S127="Water"),1,0)))</f>
        <v>0</v>
      </c>
      <c r="AU127" s="518"/>
    </row>
    <row r="128" customFormat="false" ht="15.75" hidden="false" customHeight="false" outlineLevel="0" collapsed="false">
      <c r="A128" s="510" t="str">
        <f aca="false" t="array" ref="A128:A128">IF(ISNA(INDEX(Source!$U$7:$U$95,MATCH(B128,Source!$V$7:$V$95,0))),"FREE",INDEX(Source!$U$7:$U$95,MATCH(B128,Source!$V$7:$V$95,0)))</f>
        <v>FREE</v>
      </c>
      <c r="B128" s="511" t="s">
        <v>538</v>
      </c>
      <c r="C128" s="511"/>
      <c r="D128" s="511"/>
      <c r="E128" s="499" t="str">
        <f aca="false">IF(SUM($W128:$X128)&gt;0,SUM($W128:$X128),IF($H128&gt;0,0,IF($H128&gt;0,0,"-")))</f>
        <v>-</v>
      </c>
      <c r="F128" s="499" t="str">
        <f aca="false">IF(SUM($Y128:$Z128)&gt;0,SUM($Y128:$Z128),IF($H128&gt;0,0,"-"))</f>
        <v>-</v>
      </c>
      <c r="G128" s="499" t="str">
        <f aca="false">IF($H128&gt;0,minus(E128,F128),"-")</f>
        <v>-</v>
      </c>
      <c r="H128" s="500" t="n">
        <f aca="false">SUM(COUNTIF(MatchSource!$A:$A,$B128),COUNTIF(MatchSource!$H:$H,$B128))</f>
        <v>0</v>
      </c>
      <c r="I128" s="501" t="n">
        <f aca="false">SUM($AA128:$AB128)</f>
        <v>0</v>
      </c>
      <c r="J128" s="501" t="s">
        <v>702</v>
      </c>
      <c r="K128" s="512" t="str">
        <f aca="false" t="array" ref="K128:K128">IF(ISNA(INDEX(DraftRosters!$AA$3:$AA$199,MATCH($B128,DraftRosters!$AB$3:$AB$199,0))),"FA",IF(INDEX(DraftRosters!$AA$3:$AA$199,MATCH($B128,DraftRosters!$AB$3:$AB$199,0))="Franchise","Franch",INDEX(DraftRosters!$AA$3:$AA$199,MATCH($B128,DraftRosters!$AB$3:$AB$199,0))))</f>
        <v>FA</v>
      </c>
      <c r="L128" s="499" t="n">
        <v>60</v>
      </c>
      <c r="M128" s="499" t="n">
        <v>50</v>
      </c>
      <c r="N128" s="499" t="n">
        <v>70</v>
      </c>
      <c r="O128" s="499" t="n">
        <v>80</v>
      </c>
      <c r="P128" s="499" t="n">
        <v>80</v>
      </c>
      <c r="Q128" s="501" t="n">
        <v>150</v>
      </c>
      <c r="R128" s="499" t="s">
        <v>845</v>
      </c>
      <c r="S128" s="501"/>
      <c r="T128" s="504" t="s">
        <v>955</v>
      </c>
      <c r="U128" s="505" t="s">
        <v>965</v>
      </c>
      <c r="V128" s="506" t="s">
        <v>814</v>
      </c>
      <c r="W128" s="500" t="str">
        <f aca="false">IFERROR(__xludf.dummyfunction("if(isna(SUM(FILTER(MatchSource!$A:$D,MatchSource!$A:$A=$B128))),0,SUM(FILTER(MatchSource!$A:$D,MatchSource!$A:$A=$B128)))"),"0")</f>
        <v>0</v>
      </c>
      <c r="X128" s="499" t="str">
        <f aca="false">IFERROR(__xludf.dummyfunction("if(isna(SUM(FILTER(MatchSource!$H:$K,MatchSource!$H:$H=$B128))),0,SUM(FILTER(MatchSource!$H:$K,MatchSource!$H:$H=$B128)))"),"0")</f>
        <v>0</v>
      </c>
      <c r="Y128" s="499" t="str">
        <f aca="false">IFERROR(__xludf.dummyfunction("if(isna(ABS(MINUS(SUM(FILTER(MatchSource!$A:$E,MatchSource!$A:$A=$B128)),SUM($W128)))),0,ABS(MINUS(SUM(FILTER(MatchSource!$A:$E,MatchSource!$A:$A=$B128)),SUM($W128))))"),"0")</f>
        <v>0</v>
      </c>
      <c r="Z128" s="499" t="str">
        <f aca="false">IFERROR(__xludf.dummyfunction("if(isna(ABS(MINUS(SUM(FILTER(MatchSource!$H:$L,MatchSource!$H:$H=$B128)),SUM($X128)))),0,ABS(MINUS(SUM(FILTER(MatchSource!$H:$L,MatchSource!$H:$H=$B128)),SUM($X128))))"),"0")</f>
        <v>0</v>
      </c>
      <c r="AA128" s="499" t="str">
        <f aca="false">IFERROR(__xludf.dummyfunction("if(isna(ABS(MINUS(SUM(FILTER(MatchSource!$A:$F,MatchSource!$A:$A=$B128)),SUM($W128,$Y128)))),0,ABS(MINUS(SUM(FILTER(MatchSource!$A:$F,MatchSource!$A:$A=$B128)),SUM($W128, $Y128,))))"),"0")</f>
        <v>0</v>
      </c>
      <c r="AB128" s="501" t="str">
        <f aca="false">IFERROR(__xludf.dummyfunction("if(isna(ABS(MINUS(SUM(FILTER(MatchSource!$H:$M,MatchSource!$H:$H=$B128)),SUM($X128,$Z128)))),0,ABS(MINUS(SUM(FILTER(MatchSource!$H:$M,MatchSource!$H:$H=$B128)),SUM($X128,$Z128))))"),"0")</f>
        <v>0</v>
      </c>
      <c r="AC128" s="507" t="n">
        <f aca="false">SUM(IF(OR($R128="Grass",$R128="Psychic",$R128="Dark"),0-1,IF(OR($R128="Fighting",$R128="Flying",$R128="Fire",$R128="Ghost",$R128="Poison",$R128="Steel",$R128="Fairy"),1,0)),IF(OR($S128="Grass",$S128="Psychic",$S128="Dark"),0-1,IF(OR($S128="Fighting",$S128="Flying",$S128="Fire",$S128="Ghost",$S128="Poison",$S128="Steel",$S128="Fairy"),1,0)))</f>
        <v>0</v>
      </c>
      <c r="AD128" s="507" t="n">
        <f aca="false">SUM(IF(OR($R128="Ghost",$R128="Psychic"),0-1,IF(OR($R128="Fighting",$R128="Dark",$R128="Fairy"),1,0)),IF(OR($S128="Ghost",$S128="Psychic"),0-1,IF(OR($S128="Fighting",$S128="Dark",$S128="Fairy"),1,0)))</f>
        <v>0</v>
      </c>
      <c r="AE128" s="507" t="n">
        <f aca="false">IF(OR($R128="Fairy",$S128="Fairy"),4,SUM(IF($R128="Dragon",0-1,IF($R128="Steel",1,0)),IF($S128="Dragon",0-1,IF($S128="Steel",1,0))))</f>
        <v>0</v>
      </c>
      <c r="AF128" s="507" t="n">
        <f aca="false">IF(OR($R128="Ground",$S128="Ground"),4,SUM(IF(OR($R128="Flying",$R128="Water"),0-1,IF(OR($R128="Dragon",$R128="Electric",$R128="Grass"),1,0)),IF(OR($S128="Flying",$S128="Water"),0-1,IF(OR($S128="Dragon",$S128="Electric",$S128="Grass"),1,0))))</f>
        <v>1</v>
      </c>
      <c r="AG128" s="507" t="n">
        <f aca="false">SUM(IF(OR($R128="Dark",$R128="Dragon",$R128="Fighting"),0-1,IF(OR($R128="Steel",$R128="Poison",$R128="Fire"),1,0)),IF(OR($S128="Dark",$S128="Dragon",$S128="Fighting"),0-1,IF(OR($S128="Steel",$S128="Poison",$S128="Fire"),1,0)))</f>
        <v>0</v>
      </c>
      <c r="AH128" s="507" t="n">
        <f aca="false">IF(OR($R128="Ghost",$S128="Ghost"),4,SUM(IF(OR($R128="Dark",$R128="Ice",$R128="Normal",$R128="Rock",$R128="Steel"),0-1,IF(OR($R128="Bug",$R128="Fairy",$R128="Flying",$R128="Poison",$R128="Psychic"),1,0)),IF(OR($S128="Dark",$S128="Ice",$S128="Normal",$S128="Rock",$S128="Steel"),0-1,IF(OR($S128="Bug",$S128="Fairy",$S128="Flying",$S128="Poison",$S128="Psychic"),1,0))))</f>
        <v>0</v>
      </c>
      <c r="AI128" s="507" t="n">
        <f aca="false">SUM(IF(OR($R128="Bug",$R128="Grass",$R128="Ice",$R128="Steel"),0-1,IF(OR($R128="Dragon",$R128="Fire",$R128="Rock",$R128="Water"),1,0)),IF(OR($S128="Bug",$S128="Grass",$S128="Ice",$S128="Steel"),0-1,IF(OR($S128="Dragon",$S128="Fire",$S128="Rock",$S128="Water"),1,0)))</f>
        <v>0</v>
      </c>
      <c r="AJ128" s="507" t="n">
        <f aca="false">SUM(IF(OR($R128="Bug",$R128="Grass",$R128="Fighting"),0-1,IF(OR($R128="Electric",$R128="Rock",$R128="Steel"),1,0)),IF(OR($S128="Bug",$S128="Grass",$S128="Fighting"),0-1,IF(OR($S128="Electric",$S128="Rock",$S128="Steel"),1,0)))</f>
        <v>1</v>
      </c>
      <c r="AK128" s="507" t="n">
        <f aca="false">IF(OR($R128="Normal",$S128="Normal"),4,SUM(IF(OR($R128="Ghost",$R128="Psychic"),0-1,IF($R128="Dark",1,0)),IF(OR($S128="Ghost",$S128="Psychic"),0-1,IF($S128="Dark",1,0))))</f>
        <v>0</v>
      </c>
      <c r="AL128" s="507" t="n">
        <f aca="false">SUM(IF(OR($R128="Ground",$R128="Rock",$R128="Water"),0-1,IF(OR($R128="Bug",$R128="Flying",$R128="Fire",$R128="Dragon",$R128="Poison",$R128="Steel",$R128="Grass"),1,0)),IF(OR($S128="Ground",$S128="Rock",$S128="Water"),0-1,IF(OR($S128="Bug",$S128="Flying",$S128="Fire",$S128="Dragon",$S128="Poison",$S128="Steel",$S128="Grass"),1,0)))</f>
        <v>0</v>
      </c>
      <c r="AM128" s="507" t="n">
        <f aca="false">IF(OR($R128="Flying",$S128="Flying"),4,SUM(IF(OR($R128="Electric",$R128="Fire",$R128="Rock",$R128="Steel",$R128="Poison"),0-1,IF(OR($R128="Bug",$R128="Grass"),1,0)),IF(OR($S128="Electric",$S128="Fire",$S128="Rock",$S128="Steel",$S128="Poison"),0-1,IF(OR($S128="Bug",$S128="Grass"),1,0))))</f>
        <v>-1</v>
      </c>
      <c r="AN128" s="507" t="n">
        <f aca="false">SUM(IF(OR($R128="Flying",$R128="Dragon",$R128="Grass",$R128="Ground"),0-1,IF(OR($R128="Steel",$R128="Ice",$R128="Fire",$R128="Water"),1,0)),IF(OR($S128="Flying",$S128="Dragon",$S128="Grass",$S128="Ground"),0-1,IF(OR($S128="Steel",$S128="Ice",$S128="Fire",$S128="Water"),1,0)))</f>
        <v>0</v>
      </c>
      <c r="AO128" s="507" t="n">
        <f aca="false">IF(OR($R128="Ghost",$S128="Ghost"),4,SUM(IF(OR($R128="Steel",$R128="Rock"),1,0),IF(OR($S128="Steel",$S128="Rock"),1,0)))</f>
        <v>0</v>
      </c>
      <c r="AP128" s="507" t="n">
        <f aca="false">IF(OR($R128="Steel",$S128="Steel"),4,SUM(IF(OR($R128="Fairy",$R128="Grass"),0-1,IF(OR($R128="Ghost",$R128="Rock",$R128="Ground",$R128="Poison"),1,0)),IF(OR($S128="Fairy",$S128="Grass"),0-1,IF(OR($S128="Ghost",$S128="Rock",$S128="Ground",$S128="Poison"),1,0))))</f>
        <v>0</v>
      </c>
      <c r="AQ128" s="507" t="n">
        <f aca="false">IF(OR($R128="Dark",$S128="Dark"),4,SUM(IF(OR($R128="Fighting",$R128="Poison"),0-1,IF(OR($R128="Psychic",$R128="Steel"),1,0)),IF(OR($S128="Fighting",$S128="Poison"),0-1,IF(OR($S128="Psychic",$S128="Steel"),1,0))))</f>
        <v>0</v>
      </c>
      <c r="AR128" s="507" t="n">
        <f aca="false">SUM(IF(OR($R128="Bug",$R128="Fire",$R128="Flying",$R128="Ice"),0-1,IF(OR($R128="Steel",$R128="Fighting",$R128="Ground"),1,0)),IF(OR($S128="Bug",$S128="Fire",$S128="Flying",$S128="Ice"),0-1,IF(OR($S128="Steel",$S128="Fighting",$S128="Ground"),1,0)))</f>
        <v>0</v>
      </c>
      <c r="AS128" s="507" t="n">
        <f aca="false">SUM(IF(OR($R128="Fairy",$R128="Ice",$R128="Rock"),0-1,IF(OR($R128="Steel",$R128="Electric",$R128="Fire",$R128="Water"),1,0)),IF(OR($S128="Fairy",$S128="Ice",$S128="Rock"),0-1,IF(OR($S128="Steel",$S128="Electric",$S128="Fire",$S128="Water"),1,0)))</f>
        <v>1</v>
      </c>
      <c r="AT128" s="508" t="n">
        <f aca="false">SUM(IF(OR($R128="Fire",$R128="Ground",$R128="Rock"),0-1,IF(OR($R128="Dragon",$R128="Grass",$R128="Water"),1,0)),IF(OR($S128="Fire",$S128="Ground",$S128="Rock"),0-1,IF(OR($S128="Dragon",$S128="Grass",$S128="Water"),1,0)))</f>
        <v>0</v>
      </c>
      <c r="AU128" s="518"/>
    </row>
    <row r="129" customFormat="false" ht="15.75" hidden="false" customHeight="false" outlineLevel="0" collapsed="false">
      <c r="A129" s="510" t="str">
        <f aca="false" t="array" ref="A129:A129">IF(ISNA(INDEX(Source!$U$7:$U$95,MATCH(B129,Source!$V$7:$V$95,0))),"FREE",INDEX(Source!$U$7:$U$95,MATCH(B129,Source!$V$7:$V$95,0)))</f>
        <v>FREE</v>
      </c>
      <c r="B129" s="511" t="s">
        <v>395</v>
      </c>
      <c r="C129" s="511"/>
      <c r="D129" s="511"/>
      <c r="E129" s="499" t="str">
        <f aca="false">IF(SUM($W129:$X129)&gt;0,SUM($W129:$X129),IF($H129&gt;0,0,IF($H129&gt;0,0,"-")))</f>
        <v>-</v>
      </c>
      <c r="F129" s="499" t="str">
        <f aca="false">IF(SUM($Y129:$Z129)&gt;0,SUM($Y129:$Z129),IF($H129&gt;0,0,"-"))</f>
        <v>-</v>
      </c>
      <c r="G129" s="499" t="str">
        <f aca="false">IF($H129&gt;0,minus(E129,F129),"-")</f>
        <v>-</v>
      </c>
      <c r="H129" s="500" t="n">
        <f aca="false">SUM(COUNTIF(MatchSource!$A:$A,$B129),COUNTIF(MatchSource!$H:$H,$B129))</f>
        <v>0</v>
      </c>
      <c r="I129" s="501" t="n">
        <f aca="false">SUM($AA129:$AB129)</f>
        <v>0</v>
      </c>
      <c r="J129" s="501" t="s">
        <v>700</v>
      </c>
      <c r="K129" s="512" t="str">
        <f aca="false" t="array" ref="K129:K129">IF(ISNA(INDEX(DraftRosters!$AA$3:$AA$199,MATCH($B129,DraftRosters!$AB$3:$AB$199,0))),"FA",IF(INDEX(DraftRosters!$AA$3:$AA$199,MATCH($B129,DraftRosters!$AB$3:$AB$199,0))="Franchise","Franch",INDEX(DraftRosters!$AA$3:$AA$199,MATCH($B129,DraftRosters!$AB$3:$AB$199,0))))</f>
        <v>FA</v>
      </c>
      <c r="L129" s="507" t="n">
        <v>110</v>
      </c>
      <c r="M129" s="507" t="n">
        <v>123</v>
      </c>
      <c r="N129" s="507" t="n">
        <v>65</v>
      </c>
      <c r="O129" s="507" t="n">
        <v>100</v>
      </c>
      <c r="P129" s="507" t="n">
        <v>65</v>
      </c>
      <c r="Q129" s="508" t="n">
        <v>65</v>
      </c>
      <c r="R129" s="499" t="s">
        <v>881</v>
      </c>
      <c r="S129" s="501" t="s">
        <v>800</v>
      </c>
      <c r="T129" s="504" t="s">
        <v>893</v>
      </c>
      <c r="U129" s="505" t="s">
        <v>896</v>
      </c>
      <c r="V129" s="506"/>
      <c r="W129" s="500" t="str">
        <f aca="false">IFERROR(__xludf.dummyfunction("if(isna(SUM(FILTER(MatchSource!$A:$D,MatchSource!$A:$A=$B129))),0,SUM(FILTER(MatchSource!$A:$D,MatchSource!$A:$A=$B129)))"),"0")</f>
        <v>0</v>
      </c>
      <c r="X129" s="499" t="str">
        <f aca="false">IFERROR(__xludf.dummyfunction("if(isna(SUM(FILTER(MatchSource!$H:$K,MatchSource!$H:$H=$B129))),0,SUM(FILTER(MatchSource!$H:$K,MatchSource!$H:$H=$B129)))"),"0")</f>
        <v>0</v>
      </c>
      <c r="Y129" s="499" t="str">
        <f aca="false">IFERROR(__xludf.dummyfunction("if(isna(ABS(MINUS(SUM(FILTER(MatchSource!$A:$E,MatchSource!$A:$A=$B129)),SUM($W129)))),0,ABS(MINUS(SUM(FILTER(MatchSource!$A:$E,MatchSource!$A:$A=$B129)),SUM($W129))))"),"0")</f>
        <v>0</v>
      </c>
      <c r="Z129" s="499" t="str">
        <f aca="false">IFERROR(__xludf.dummyfunction("if(isna(ABS(MINUS(SUM(FILTER(MatchSource!$H:$L,MatchSource!$H:$H=$B129)),SUM($X129)))),0,ABS(MINUS(SUM(FILTER(MatchSource!$H:$L,MatchSource!$H:$H=$B129)),SUM($X129))))"),"0")</f>
        <v>0</v>
      </c>
      <c r="AA129" s="499" t="str">
        <f aca="false">IFERROR(__xludf.dummyfunction("if(isna(ABS(MINUS(SUM(FILTER(MatchSource!$A:$F,MatchSource!$A:$A=$B129)),SUM($W129,$Y129)))),0,ABS(MINUS(SUM(FILTER(MatchSource!$A:$F,MatchSource!$A:$A=$B129)),SUM($W129, $Y129,))))"),"0")</f>
        <v>0</v>
      </c>
      <c r="AB129" s="501" t="str">
        <f aca="false">IFERROR(__xludf.dummyfunction("if(isna(ABS(MINUS(SUM(FILTER(MatchSource!$H:$M,MatchSource!$H:$H=$B129)),SUM($X129,$Z129)))),0,ABS(MINUS(SUM(FILTER(MatchSource!$H:$M,MatchSource!$H:$H=$B129)),SUM($X129,$Z129))))"),"0")</f>
        <v>0</v>
      </c>
      <c r="AC129" s="507" t="n">
        <f aca="false">SUM(IF(OR($R129="Grass",$R129="Psychic",$R129="Dark"),0-1,IF(OR($R129="Fighting",$R129="Flying",$R129="Fire",$R129="Ghost",$R129="Poison",$R129="Steel",$R129="Fairy"),1,0)),IF(OR($S129="Grass",$S129="Psychic",$S129="Dark"),0-1,IF(OR($S129="Fighting",$S129="Flying",$S129="Fire",$S129="Ghost",$S129="Poison",$S129="Steel",$S129="Fairy"),1,0)))</f>
        <v>2</v>
      </c>
      <c r="AD129" s="507" t="n">
        <f aca="false">SUM(IF(OR($R129="Ghost",$R129="Psychic"),0-1,IF(OR($R129="Fighting",$R129="Dark",$R129="Fairy"),1,0)),IF(OR($S129="Ghost",$S129="Psychic"),0-1,IF(OR($S129="Fighting",$S129="Dark",$S129="Fairy"),1,0)))</f>
        <v>1</v>
      </c>
      <c r="AE129" s="507" t="n">
        <f aca="false">IF(OR($R129="Fairy",$S129="Fairy"),4,SUM(IF($R129="Dragon",0-1,IF($R129="Steel",1,0)),IF($S129="Dragon",0-1,IF($S129="Steel",1,0))))</f>
        <v>0</v>
      </c>
      <c r="AF129" s="507" t="n">
        <f aca="false">IF(OR($R129="Ground",$S129="Ground"),4,SUM(IF(OR($R129="Flying",$R129="Water"),0-1,IF(OR($R129="Dragon",$R129="Electric",$R129="Grass"),1,0)),IF(OR($S129="Flying",$S129="Water"),0-1,IF(OR($S129="Dragon",$S129="Electric",$S129="Grass"),1,0))))</f>
        <v>0</v>
      </c>
      <c r="AG129" s="507" t="n">
        <f aca="false">SUM(IF(OR($R129="Dark",$R129="Dragon",$R129="Fighting"),0-1,IF(OR($R129="Steel",$R129="Poison",$R129="Fire"),1,0)),IF(OR($S129="Dark",$S129="Dragon",$S129="Fighting"),0-1,IF(OR($S129="Steel",$S129="Poison",$S129="Fire"),1,0)))</f>
        <v>0</v>
      </c>
      <c r="AH129" s="507" t="n">
        <f aca="false">IF(OR($R129="Ghost",$S129="Ghost"),4,SUM(IF(OR($R129="Dark",$R129="Ice",$R129="Normal",$R129="Rock",$R129="Steel"),0-1,IF(OR($R129="Bug",$R129="Fairy",$R129="Flying",$R129="Poison",$R129="Psychic"),1,0)),IF(OR($S129="Dark",$S129="Ice",$S129="Normal",$S129="Rock",$S129="Steel"),0-1,IF(OR($S129="Bug",$S129="Fairy",$S129="Flying",$S129="Poison",$S129="Psychic"),1,0))))</f>
        <v>0</v>
      </c>
      <c r="AI129" s="507" t="n">
        <f aca="false">SUM(IF(OR($R129="Bug",$R129="Grass",$R129="Ice",$R129="Steel"),0-1,IF(OR($R129="Dragon",$R129="Fire",$R129="Rock",$R129="Water"),1,0)),IF(OR($S129="Bug",$S129="Grass",$S129="Ice",$S129="Steel"),0-1,IF(OR($S129="Dragon",$S129="Fire",$S129="Rock",$S129="Water"),1,0)))</f>
        <v>1</v>
      </c>
      <c r="AJ129" s="507" t="n">
        <f aca="false">SUM(IF(OR($R129="Bug",$R129="Grass",$R129="Fighting"),0-1,IF(OR($R129="Electric",$R129="Rock",$R129="Steel"),1,0)),IF(OR($S129="Bug",$S129="Grass",$S129="Fighting"),0-1,IF(OR($S129="Electric",$S129="Rock",$S129="Steel"),1,0)))</f>
        <v>-1</v>
      </c>
      <c r="AK129" s="507" t="n">
        <f aca="false">IF(OR($R129="Normal",$S129="Normal"),4,SUM(IF(OR($R129="Ghost",$R129="Psychic"),0-1,IF($R129="Dark",1,0)),IF(OR($S129="Ghost",$S129="Psychic"),0-1,IF($S129="Dark",1,0))))</f>
        <v>0</v>
      </c>
      <c r="AL129" s="507" t="n">
        <f aca="false">SUM(IF(OR($R129="Ground",$R129="Rock",$R129="Water"),0-1,IF(OR($R129="Bug",$R129="Flying",$R129="Fire",$R129="Dragon",$R129="Poison",$R129="Steel",$R129="Grass"),1,0)),IF(OR($S129="Ground",$S129="Rock",$S129="Water"),0-1,IF(OR($S129="Bug",$S129="Flying",$S129="Fire",$S129="Dragon",$S129="Poison",$S129="Steel",$S129="Grass"),1,0)))</f>
        <v>1</v>
      </c>
      <c r="AM129" s="507" t="n">
        <f aca="false">IF(OR($R129="Flying",$S129="Flying"),4,SUM(IF(OR($R129="Electric",$R129="Fire",$R129="Rock",$R129="Steel",$R129="Poison"),0-1,IF(OR($R129="Bug",$R129="Grass"),1,0)),IF(OR($S129="Electric",$S129="Fire",$S129="Rock",$S129="Steel",$S129="Poison"),0-1,IF(OR($S129="Bug",$S129="Grass"),1,0))))</f>
        <v>-1</v>
      </c>
      <c r="AN129" s="507" t="n">
        <f aca="false">SUM(IF(OR($R129="Flying",$R129="Dragon",$R129="Grass",$R129="Ground"),0-1,IF(OR($R129="Steel",$R129="Ice",$R129="Fire",$R129="Water"),1,0)),IF(OR($S129="Flying",$S129="Dragon",$S129="Grass",$S129="Ground"),0-1,IF(OR($S129="Steel",$S129="Ice",$S129="Fire",$S129="Water"),1,0)))</f>
        <v>1</v>
      </c>
      <c r="AO129" s="507" t="n">
        <f aca="false">IF(OR($R129="Ghost",$S129="Ghost"),4,SUM(IF(OR($R129="Steel",$R129="Rock"),1,0),IF(OR($S129="Steel",$S129="Rock"),1,0)))</f>
        <v>0</v>
      </c>
      <c r="AP129" s="507" t="n">
        <f aca="false">IF(OR($R129="Steel",$S129="Steel"),4,SUM(IF(OR($R129="Fairy",$R129="Grass"),0-1,IF(OR($R129="Ghost",$R129="Rock",$R129="Ground",$R129="Poison"),1,0)),IF(OR($S129="Fairy",$S129="Grass"),0-1,IF(OR($S129="Ghost",$S129="Rock",$S129="Ground",$S129="Poison"),1,0))))</f>
        <v>0</v>
      </c>
      <c r="AQ129" s="507" t="n">
        <f aca="false">IF(OR($R129="Dark",$S129="Dark"),4,SUM(IF(OR($R129="Fighting",$R129="Poison"),0-1,IF(OR($R129="Psychic",$R129="Steel"),1,0)),IF(OR($S129="Fighting",$S129="Poison"),0-1,IF(OR($S129="Psychic",$S129="Steel"),1,0))))</f>
        <v>-1</v>
      </c>
      <c r="AR129" s="507" t="n">
        <f aca="false">SUM(IF(OR($R129="Bug",$R129="Fire",$R129="Flying",$R129="Ice"),0-1,IF(OR($R129="Steel",$R129="Fighting",$R129="Ground"),1,0)),IF(OR($S129="Bug",$S129="Fire",$S129="Flying",$S129="Ice"),0-1,IF(OR($S129="Steel",$S129="Fighting",$S129="Ground"),1,0)))</f>
        <v>0</v>
      </c>
      <c r="AS129" s="507" t="n">
        <f aca="false">SUM(IF(OR($R129="Fairy",$R129="Ice",$R129="Rock"),0-1,IF(OR($R129="Steel",$R129="Electric",$R129="Fire",$R129="Water"),1,0)),IF(OR($S129="Fairy",$S129="Ice",$S129="Rock"),0-1,IF(OR($S129="Steel",$S129="Electric",$S129="Fire",$S129="Water"),1,0)))</f>
        <v>1</v>
      </c>
      <c r="AT129" s="508" t="n">
        <f aca="false">SUM(IF(OR($R129="Fire",$R129="Ground",$R129="Rock"),0-1,IF(OR($R129="Dragon",$R129="Grass",$R129="Water"),1,0)),IF(OR($S129="Fire",$S129="Ground",$S129="Rock"),0-1,IF(OR($S129="Dragon",$S129="Grass",$S129="Water"),1,0)))</f>
        <v>-1</v>
      </c>
      <c r="AU129" s="518"/>
    </row>
    <row r="130" customFormat="false" ht="15.75" hidden="false" customHeight="false" outlineLevel="0" collapsed="false">
      <c r="A130" s="510" t="str">
        <f aca="false" t="array" ref="A130:A130">IF(ISNA(INDEX(Source!$U$7:$U$95,MATCH(B130,Source!$V$7:$V$95,0))),"FREE",INDEX(Source!$U$7:$U$95,MATCH(B130,Source!$V$7:$V$95,0)))</f>
        <v>FREE</v>
      </c>
      <c r="B130" s="511" t="s">
        <v>542</v>
      </c>
      <c r="C130" s="511"/>
      <c r="D130" s="511"/>
      <c r="E130" s="499" t="str">
        <f aca="false">IF(SUM($W130:$X130)&gt;0,SUM($W130:$X130),IF($H130&gt;0,0,IF($H130&gt;0,0,"-")))</f>
        <v>-</v>
      </c>
      <c r="F130" s="499" t="str">
        <f aca="false">IF(SUM($Y130:$Z130)&gt;0,SUM($Y130:$Z130),IF($H130&gt;0,0,"-"))</f>
        <v>-</v>
      </c>
      <c r="G130" s="499" t="str">
        <f aca="false">IF($H130&gt;0,minus(E130,F130),"-")</f>
        <v>-</v>
      </c>
      <c r="H130" s="500" t="n">
        <f aca="false">SUM(COUNTIF(MatchSource!$A:$A,$B130),COUNTIF(MatchSource!$H:$H,$B130))</f>
        <v>0</v>
      </c>
      <c r="I130" s="501" t="n">
        <f aca="false">SUM($AA130:$AB130)</f>
        <v>0</v>
      </c>
      <c r="J130" s="501" t="s">
        <v>702</v>
      </c>
      <c r="K130" s="512" t="str">
        <f aca="false" t="array" ref="K130:K130">IF(ISNA(INDEX(DraftRosters!$AA$3:$AA$199,MATCH($B130,DraftRosters!$AB$3:$AB$199,0))),"FA",IF(INDEX(DraftRosters!$AA$3:$AA$199,MATCH($B130,DraftRosters!$AB$3:$AB$199,0))="Franchise","Franch",INDEX(DraftRosters!$AA$3:$AA$199,MATCH($B130,DraftRosters!$AB$3:$AB$199,0))))</f>
        <v>FA</v>
      </c>
      <c r="L130" s="499" t="n">
        <v>55</v>
      </c>
      <c r="M130" s="499" t="n">
        <v>75</v>
      </c>
      <c r="N130" s="499" t="n">
        <v>60</v>
      </c>
      <c r="O130" s="499" t="n">
        <v>75</v>
      </c>
      <c r="P130" s="499" t="n">
        <v>60</v>
      </c>
      <c r="Q130" s="501" t="n">
        <v>103</v>
      </c>
      <c r="R130" s="499" t="s">
        <v>845</v>
      </c>
      <c r="S130" s="501" t="s">
        <v>801</v>
      </c>
      <c r="T130" s="504" t="s">
        <v>964</v>
      </c>
      <c r="U130" s="505" t="s">
        <v>965</v>
      </c>
      <c r="V130" s="506"/>
      <c r="W130" s="500" t="str">
        <f aca="false">IFERROR(__xludf.dummyfunction("if(isna(SUM(FILTER(MatchSource!$A:$D,MatchSource!$A:$A=$B130))),0,SUM(FILTER(MatchSource!$A:$D,MatchSource!$A:$A=$B130)))"),"0")</f>
        <v>0</v>
      </c>
      <c r="X130" s="499" t="str">
        <f aca="false">IFERROR(__xludf.dummyfunction("if(isna(SUM(FILTER(MatchSource!$H:$K,MatchSource!$H:$H=$B130))),0,SUM(FILTER(MatchSource!$H:$K,MatchSource!$H:$H=$B130)))"),"0")</f>
        <v>0</v>
      </c>
      <c r="Y130" s="499" t="str">
        <f aca="false">IFERROR(__xludf.dummyfunction("if(isna(ABS(MINUS(SUM(FILTER(MatchSource!$A:$E,MatchSource!$A:$A=$B130)),SUM($W130)))),0,ABS(MINUS(SUM(FILTER(MatchSource!$A:$E,MatchSource!$A:$A=$B130)),SUM($W130))))"),"0")</f>
        <v>0</v>
      </c>
      <c r="Z130" s="499" t="str">
        <f aca="false">IFERROR(__xludf.dummyfunction("if(isna(ABS(MINUS(SUM(FILTER(MatchSource!$H:$L,MatchSource!$H:$H=$B130)),SUM($X130)))),0,ABS(MINUS(SUM(FILTER(MatchSource!$H:$L,MatchSource!$H:$H=$B130)),SUM($X130))))"),"0")</f>
        <v>0</v>
      </c>
      <c r="AA130" s="499" t="str">
        <f aca="false">IFERROR(__xludf.dummyfunction("if(isna(ABS(MINUS(SUM(FILTER(MatchSource!$A:$F,MatchSource!$A:$A=$B130)),SUM($W130,$Y130)))),0,ABS(MINUS(SUM(FILTER(MatchSource!$A:$F,MatchSource!$A:$A=$B130)),SUM($W130, $Y130,))))"),"0")</f>
        <v>0</v>
      </c>
      <c r="AB130" s="501" t="str">
        <f aca="false">IFERROR(__xludf.dummyfunction("if(isna(ABS(MINUS(SUM(FILTER(MatchSource!$H:$M,MatchSource!$H:$H=$B130)),SUM($X130,$Z130)))),0,ABS(MINUS(SUM(FILTER(MatchSource!$H:$M,MatchSource!$H:$H=$B130)),SUM($X130,$Z130))))"),"0")</f>
        <v>0</v>
      </c>
      <c r="AC130" s="507" t="n">
        <f aca="false">SUM(IF(OR($R130="Grass",$R130="Psychic",$R130="Dark"),0-1,IF(OR($R130="Fighting",$R130="Flying",$R130="Fire",$R130="Ghost",$R130="Poison",$R130="Steel",$R130="Fairy"),1,0)),IF(OR($S130="Grass",$S130="Psychic",$S130="Dark"),0-1,IF(OR($S130="Fighting",$S130="Flying",$S130="Fire",$S130="Ghost",$S130="Poison",$S130="Steel",$S130="Fairy"),1,0)))</f>
        <v>1</v>
      </c>
      <c r="AD130" s="507" t="n">
        <f aca="false">SUM(IF(OR($R130="Ghost",$R130="Psychic"),0-1,IF(OR($R130="Fighting",$R130="Dark",$R130="Fairy"),1,0)),IF(OR($S130="Ghost",$S130="Psychic"),0-1,IF(OR($S130="Fighting",$S130="Dark",$S130="Fairy"),1,0)))</f>
        <v>0</v>
      </c>
      <c r="AE130" s="507" t="n">
        <f aca="false">IF(OR($R130="Fairy",$S130="Fairy"),4,SUM(IF($R130="Dragon",0-1,IF($R130="Steel",1,0)),IF($S130="Dragon",0-1,IF($S130="Steel",1,0))))</f>
        <v>0</v>
      </c>
      <c r="AF130" s="507" t="n">
        <f aca="false">IF(OR($R130="Ground",$S130="Ground"),4,SUM(IF(OR($R130="Flying",$R130="Water"),0-1,IF(OR($R130="Dragon",$R130="Electric",$R130="Grass"),1,0)),IF(OR($S130="Flying",$S130="Water"),0-1,IF(OR($S130="Dragon",$S130="Electric",$S130="Grass"),1,0))))</f>
        <v>0</v>
      </c>
      <c r="AG130" s="507" t="n">
        <f aca="false">SUM(IF(OR($R130="Dark",$R130="Dragon",$R130="Fighting"),0-1,IF(OR($R130="Steel",$R130="Poison",$R130="Fire"),1,0)),IF(OR($S130="Dark",$S130="Dragon",$S130="Fighting"),0-1,IF(OR($S130="Steel",$S130="Poison",$S130="Fire"),1,0)))</f>
        <v>0</v>
      </c>
      <c r="AH130" s="507" t="n">
        <f aca="false">IF(OR($R130="Ghost",$S130="Ghost"),4,SUM(IF(OR($R130="Dark",$R130="Ice",$R130="Normal",$R130="Rock",$R130="Steel"),0-1,IF(OR($R130="Bug",$R130="Fairy",$R130="Flying",$R130="Poison",$R130="Psychic"),1,0)),IF(OR($S130="Dark",$S130="Ice",$S130="Normal",$S130="Rock",$S130="Steel"),0-1,IF(OR($S130="Bug",$S130="Fairy",$S130="Flying",$S130="Poison",$S130="Psychic"),1,0))))</f>
        <v>1</v>
      </c>
      <c r="AI130" s="507" t="n">
        <f aca="false">SUM(IF(OR($R130="Bug",$R130="Grass",$R130="Ice",$R130="Steel"),0-1,IF(OR($R130="Dragon",$R130="Fire",$R130="Rock",$R130="Water"),1,0)),IF(OR($S130="Bug",$S130="Grass",$S130="Ice",$S130="Steel"),0-1,IF(OR($S130="Dragon",$S130="Fire",$S130="Rock",$S130="Water"),1,0)))</f>
        <v>0</v>
      </c>
      <c r="AJ130" s="507" t="n">
        <f aca="false">SUM(IF(OR($R130="Bug",$R130="Grass",$R130="Fighting"),0-1,IF(OR($R130="Electric",$R130="Rock",$R130="Steel"),1,0)),IF(OR($S130="Bug",$S130="Grass",$S130="Fighting"),0-1,IF(OR($S130="Electric",$S130="Rock",$S130="Steel"),1,0)))</f>
        <v>1</v>
      </c>
      <c r="AK130" s="507" t="n">
        <f aca="false">IF(OR($R130="Normal",$S130="Normal"),4,SUM(IF(OR($R130="Ghost",$R130="Psychic"),0-1,IF($R130="Dark",1,0)),IF(OR($S130="Ghost",$S130="Psychic"),0-1,IF($S130="Dark",1,0))))</f>
        <v>0</v>
      </c>
      <c r="AL130" s="507" t="n">
        <f aca="false">SUM(IF(OR($R130="Ground",$R130="Rock",$R130="Water"),0-1,IF(OR($R130="Bug",$R130="Flying",$R130="Fire",$R130="Dragon",$R130="Poison",$R130="Steel",$R130="Grass"),1,0)),IF(OR($S130="Ground",$S130="Rock",$S130="Water"),0-1,IF(OR($S130="Bug",$S130="Flying",$S130="Fire",$S130="Dragon",$S130="Poison",$S130="Steel",$S130="Grass"),1,0)))</f>
        <v>1</v>
      </c>
      <c r="AM130" s="507" t="n">
        <f aca="false">IF(OR($R130="Flying",$S130="Flying"),4,SUM(IF(OR($R130="Electric",$R130="Fire",$R130="Rock",$R130="Steel",$R130="Poison"),0-1,IF(OR($R130="Bug",$R130="Grass"),1,0)),IF(OR($S130="Electric",$S130="Fire",$S130="Rock",$S130="Steel",$S130="Poison"),0-1,IF(OR($S130="Bug",$S130="Grass"),1,0))))</f>
        <v>4</v>
      </c>
      <c r="AN130" s="507" t="n">
        <f aca="false">SUM(IF(OR($R130="Flying",$R130="Dragon",$R130="Grass",$R130="Ground"),0-1,IF(OR($R130="Steel",$R130="Ice",$R130="Fire",$R130="Water"),1,0)),IF(OR($S130="Flying",$S130="Dragon",$S130="Grass",$S130="Ground"),0-1,IF(OR($S130="Steel",$S130="Ice",$S130="Fire",$S130="Water"),1,0)))</f>
        <v>-1</v>
      </c>
      <c r="AO130" s="507" t="n">
        <f aca="false">IF(OR($R130="Ghost",$S130="Ghost"),4,SUM(IF(OR($R130="Steel",$R130="Rock"),1,0),IF(OR($S130="Steel",$S130="Rock"),1,0)))</f>
        <v>0</v>
      </c>
      <c r="AP130" s="507" t="n">
        <f aca="false">IF(OR($R130="Steel",$S130="Steel"),4,SUM(IF(OR($R130="Fairy",$R130="Grass"),0-1,IF(OR($R130="Ghost",$R130="Rock",$R130="Ground",$R130="Poison"),1,0)),IF(OR($S130="Fairy",$S130="Grass"),0-1,IF(OR($S130="Ghost",$S130="Rock",$S130="Ground",$S130="Poison"),1,0))))</f>
        <v>0</v>
      </c>
      <c r="AQ130" s="507" t="n">
        <f aca="false">IF(OR($R130="Dark",$S130="Dark"),4,SUM(IF(OR($R130="Fighting",$R130="Poison"),0-1,IF(OR($R130="Psychic",$R130="Steel"),1,0)),IF(OR($S130="Fighting",$S130="Poison"),0-1,IF(OR($S130="Psychic",$S130="Steel"),1,0))))</f>
        <v>0</v>
      </c>
      <c r="AR130" s="507" t="n">
        <f aca="false">SUM(IF(OR($R130="Bug",$R130="Fire",$R130="Flying",$R130="Ice"),0-1,IF(OR($R130="Steel",$R130="Fighting",$R130="Ground"),1,0)),IF(OR($S130="Bug",$S130="Fire",$S130="Flying",$S130="Ice"),0-1,IF(OR($S130="Steel",$S130="Fighting",$S130="Ground"),1,0)))</f>
        <v>-1</v>
      </c>
      <c r="AS130" s="507" t="n">
        <f aca="false">SUM(IF(OR($R130="Fairy",$R130="Ice",$R130="Rock"),0-1,IF(OR($R130="Steel",$R130="Electric",$R130="Fire",$R130="Water"),1,0)),IF(OR($S130="Fairy",$S130="Ice",$S130="Rock"),0-1,IF(OR($S130="Steel",$S130="Electric",$S130="Fire",$S130="Water"),1,0)))</f>
        <v>1</v>
      </c>
      <c r="AT130" s="508" t="n">
        <f aca="false">SUM(IF(OR($R130="Fire",$R130="Ground",$R130="Rock"),0-1,IF(OR($R130="Dragon",$R130="Grass",$R130="Water"),1,0)),IF(OR($S130="Fire",$S130="Ground",$S130="Rock"),0-1,IF(OR($S130="Dragon",$S130="Grass",$S130="Water"),1,0)))</f>
        <v>0</v>
      </c>
      <c r="AU130" s="518"/>
    </row>
    <row r="131" customFormat="false" ht="15.75" hidden="false" customHeight="false" outlineLevel="0" collapsed="false">
      <c r="A131" s="510" t="str">
        <f aca="false" t="array" ref="A131:A131">IF(ISNA(INDEX(Source!$U$7:$U$95,MATCH(B131,Source!$V$7:$V$95,0))),"FREE",INDEX(Source!$U$7:$U$95,MATCH(B131,Source!$V$7:$V$95,0)))</f>
        <v>BBG</v>
      </c>
      <c r="B131" s="511" t="s">
        <v>120</v>
      </c>
      <c r="C131" s="511"/>
      <c r="D131" s="511"/>
      <c r="E131" s="499" t="n">
        <f aca="false">IF(SUM($W131:$X131)&gt;0,SUM($W131:$X131),IF($H131&gt;0,0,IF($H131&gt;0,0,"-")))</f>
        <v>0</v>
      </c>
      <c r="F131" s="499" t="n">
        <f aca="false">IF(SUM($Y131:$Z131)&gt;0,SUM($Y131:$Z131),IF($H131&gt;0,0,"-"))</f>
        <v>0</v>
      </c>
      <c r="G131" s="499" t="e">
        <f aca="false">IF($H131&gt;0,minus(E131,F131),"-")</f>
        <v>#NAME?</v>
      </c>
      <c r="H131" s="500" t="n">
        <f aca="false">SUM(COUNTIF(MatchSource!$A:$A,$B131),COUNTIF(MatchSource!$H:$H,$B131))</f>
        <v>1</v>
      </c>
      <c r="I131" s="501" t="n">
        <f aca="false">SUM($AA131:$AB131)</f>
        <v>0</v>
      </c>
      <c r="J131" s="501" t="s">
        <v>700</v>
      </c>
      <c r="K131" s="512" t="n">
        <f aca="false" t="array" ref="K131:K131">IF(ISNA(INDEX(DraftRosters!$AA$3:$AA$199,MATCH($B131,DraftRosters!$AB$3:$AB$199,0))),"FA",IF(INDEX(DraftRosters!$AA$3:$AA$199,MATCH($B131,DraftRosters!$AB$3:$AB$199,0))="Franchise","Franch",INDEX(DraftRosters!$AA$3:$AA$199,MATCH($B131,DraftRosters!$AB$3:$AB$199,0))))</f>
        <v>17</v>
      </c>
      <c r="L131" s="499" t="n">
        <v>84</v>
      </c>
      <c r="M131" s="499" t="n">
        <v>86</v>
      </c>
      <c r="N131" s="499" t="n">
        <v>88</v>
      </c>
      <c r="O131" s="499" t="n">
        <v>111</v>
      </c>
      <c r="P131" s="499" t="n">
        <v>101</v>
      </c>
      <c r="Q131" s="501" t="n">
        <v>60</v>
      </c>
      <c r="R131" s="499" t="s">
        <v>810</v>
      </c>
      <c r="S131" s="501" t="s">
        <v>811</v>
      </c>
      <c r="T131" s="504" t="s">
        <v>886</v>
      </c>
      <c r="U131" s="505" t="s">
        <v>890</v>
      </c>
      <c r="V131" s="506"/>
      <c r="W131" s="500" t="str">
        <f aca="false">IFERROR(__xludf.dummyfunction("if(isna(SUM(FILTER(MatchSource!$A:$D,MatchSource!$A:$A=$B131))),0,SUM(FILTER(MatchSource!$A:$D,MatchSource!$A:$A=$B131)))"),"0")</f>
        <v>0</v>
      </c>
      <c r="X131" s="499" t="str">
        <f aca="false">IFERROR(__xludf.dummyfunction("if(isna(SUM(FILTER(MatchSource!$H:$K,MatchSource!$H:$H=$B131))),0,SUM(FILTER(MatchSource!$H:$K,MatchSource!$H:$H=$B131)))"),"0")</f>
        <v>0</v>
      </c>
      <c r="Y131" s="499" t="str">
        <f aca="false">IFERROR(__xludf.dummyfunction("if(isna(ABS(MINUS(SUM(FILTER(MatchSource!$A:$E,MatchSource!$A:$A=$B131)),SUM($W131)))),0,ABS(MINUS(SUM(FILTER(MatchSource!$A:$E,MatchSource!$A:$A=$B131)),SUM($W131))))"),"1")</f>
        <v>1</v>
      </c>
      <c r="Z131" s="499" t="str">
        <f aca="false">IFERROR(__xludf.dummyfunction("if(isna(ABS(MINUS(SUM(FILTER(MatchSource!$H:$L,MatchSource!$H:$H=$B131)),SUM($X131)))),0,ABS(MINUS(SUM(FILTER(MatchSource!$H:$L,MatchSource!$H:$H=$B131)),SUM($X131))))"),"0")</f>
        <v>0</v>
      </c>
      <c r="AA131" s="499" t="str">
        <f aca="false">IFERROR(__xludf.dummyfunction("if(isna(ABS(MINUS(SUM(FILTER(MatchSource!$A:$F,MatchSource!$A:$A=$B131)),SUM($W131,$Y131)))),0,ABS(MINUS(SUM(FILTER(MatchSource!$A:$F,MatchSource!$A:$A=$B131)),SUM($W131, $Y131,))))"),"0")</f>
        <v>0</v>
      </c>
      <c r="AB131" s="501" t="str">
        <f aca="false">IFERROR(__xludf.dummyfunction("if(isna(ABS(MINUS(SUM(FILTER(MatchSource!$H:$M,MatchSource!$H:$H=$B131)),SUM($X131,$Z131)))),0,ABS(MINUS(SUM(FILTER(MatchSource!$H:$M,MatchSource!$H:$H=$B131)),SUM($X131,$Z131))))"),"0")</f>
        <v>0</v>
      </c>
      <c r="AC131" s="507" t="n">
        <f aca="false">SUM(IF(OR($R131="Grass",$R131="Psychic",$R131="Dark"),0-1,IF(OR($R131="Fighting",$R131="Flying",$R131="Fire",$R131="Ghost",$R131="Poison",$R131="Steel",$R131="Fairy"),1,0)),IF(OR($S131="Grass",$S131="Psychic",$S131="Dark"),0-1,IF(OR($S131="Fighting",$S131="Flying",$S131="Fire",$S131="Ghost",$S131="Poison",$S131="Steel",$S131="Fairy"),1,0)))</f>
        <v>1</v>
      </c>
      <c r="AD131" s="507" t="n">
        <f aca="false">SUM(IF(OR($R131="Ghost",$R131="Psychic"),0-1,IF(OR($R131="Fighting",$R131="Dark",$R131="Fairy"),1,0)),IF(OR($S131="Ghost",$S131="Psychic"),0-1,IF(OR($S131="Fighting",$S131="Dark",$S131="Fairy"),1,0)))</f>
        <v>0</v>
      </c>
      <c r="AE131" s="507" t="n">
        <f aca="false">IF(OR($R131="Fairy",$S131="Fairy"),4,SUM(IF($R131="Dragon",0-1,IF($R131="Steel",1,0)),IF($S131="Dragon",0-1,IF($S131="Steel",1,0))))</f>
        <v>1</v>
      </c>
      <c r="AF131" s="507" t="n">
        <f aca="false">IF(OR($R131="Ground",$S131="Ground"),4,SUM(IF(OR($R131="Flying",$R131="Water"),0-1,IF(OR($R131="Dragon",$R131="Electric",$R131="Grass"),1,0)),IF(OR($S131="Flying",$S131="Water"),0-1,IF(OR($S131="Dragon",$S131="Electric",$S131="Grass"),1,0))))</f>
        <v>-1</v>
      </c>
      <c r="AG131" s="507" t="n">
        <f aca="false">SUM(IF(OR($R131="Dark",$R131="Dragon",$R131="Fighting"),0-1,IF(OR($R131="Steel",$R131="Poison",$R131="Fire"),1,0)),IF(OR($S131="Dark",$S131="Dragon",$S131="Fighting"),0-1,IF(OR($S131="Steel",$S131="Poison",$S131="Fire"),1,0)))</f>
        <v>1</v>
      </c>
      <c r="AH131" s="507" t="n">
        <f aca="false">IF(OR($R131="Ghost",$S131="Ghost"),4,SUM(IF(OR($R131="Dark",$R131="Ice",$R131="Normal",$R131="Rock",$R131="Steel"),0-1,IF(OR($R131="Bug",$R131="Fairy",$R131="Flying",$R131="Poison",$R131="Psychic"),1,0)),IF(OR($S131="Dark",$S131="Ice",$S131="Normal",$S131="Rock",$S131="Steel"),0-1,IF(OR($S131="Bug",$S131="Fairy",$S131="Flying",$S131="Poison",$S131="Psychic"),1,0))))</f>
        <v>-1</v>
      </c>
      <c r="AI131" s="507" t="n">
        <f aca="false">SUM(IF(OR($R131="Bug",$R131="Grass",$R131="Ice",$R131="Steel"),0-1,IF(OR($R131="Dragon",$R131="Fire",$R131="Rock",$R131="Water"),1,0)),IF(OR($S131="Bug",$S131="Grass",$S131="Ice",$S131="Steel"),0-1,IF(OR($S131="Dragon",$S131="Fire",$S131="Rock",$S131="Water"),1,0)))</f>
        <v>0</v>
      </c>
      <c r="AJ131" s="507" t="n">
        <f aca="false">SUM(IF(OR($R131="Bug",$R131="Grass",$R131="Fighting"),0-1,IF(OR($R131="Electric",$R131="Rock",$R131="Steel"),1,0)),IF(OR($S131="Bug",$S131="Grass",$S131="Fighting"),0-1,IF(OR($S131="Electric",$S131="Rock",$S131="Steel"),1,0)))</f>
        <v>1</v>
      </c>
      <c r="AK131" s="507" t="n">
        <f aca="false">IF(OR($R131="Normal",$S131="Normal"),4,SUM(IF(OR($R131="Ghost",$R131="Psychic"),0-1,IF($R131="Dark",1,0)),IF(OR($S131="Ghost",$S131="Psychic"),0-1,IF($S131="Dark",1,0))))</f>
        <v>0</v>
      </c>
      <c r="AL131" s="507" t="n">
        <f aca="false">SUM(IF(OR($R131="Ground",$R131="Rock",$R131="Water"),0-1,IF(OR($R131="Bug",$R131="Flying",$R131="Fire",$R131="Dragon",$R131="Poison",$R131="Steel",$R131="Grass"),1,0)),IF(OR($S131="Ground",$S131="Rock",$S131="Water"),0-1,IF(OR($S131="Bug",$S131="Flying",$S131="Fire",$S131="Dragon",$S131="Poison",$S131="Steel",$S131="Grass"),1,0)))</f>
        <v>0</v>
      </c>
      <c r="AM131" s="507" t="n">
        <f aca="false">IF(OR($R131="Flying",$S131="Flying"),4,SUM(IF(OR($R131="Electric",$R131="Fire",$R131="Rock",$R131="Steel",$R131="Poison"),0-1,IF(OR($R131="Bug",$R131="Grass"),1,0)),IF(OR($S131="Electric",$S131="Fire",$S131="Rock",$S131="Steel",$S131="Poison"),0-1,IF(OR($S131="Bug",$S131="Grass"),1,0))))</f>
        <v>-1</v>
      </c>
      <c r="AN131" s="507" t="n">
        <f aca="false">SUM(IF(OR($R131="Flying",$R131="Dragon",$R131="Grass",$R131="Ground"),0-1,IF(OR($R131="Steel",$R131="Ice",$R131="Fire",$R131="Water"),1,0)),IF(OR($S131="Flying",$S131="Dragon",$S131="Grass",$S131="Ground"),0-1,IF(OR($S131="Steel",$S131="Ice",$S131="Fire",$S131="Water"),1,0)))</f>
        <v>2</v>
      </c>
      <c r="AO131" s="507" t="n">
        <f aca="false">IF(OR($R131="Ghost",$S131="Ghost"),4,SUM(IF(OR($R131="Steel",$R131="Rock"),1,0),IF(OR($S131="Steel",$S131="Rock"),1,0)))</f>
        <v>1</v>
      </c>
      <c r="AP131" s="507" t="n">
        <f aca="false">IF(OR($R131="Steel",$S131="Steel"),4,SUM(IF(OR($R131="Fairy",$R131="Grass"),0-1,IF(OR($R131="Ghost",$R131="Rock",$R131="Ground",$R131="Poison"),1,0)),IF(OR($S131="Fairy",$S131="Grass"),0-1,IF(OR($S131="Ghost",$S131="Rock",$S131="Ground",$S131="Poison"),1,0))))</f>
        <v>4</v>
      </c>
      <c r="AQ131" s="507" t="n">
        <f aca="false">IF(OR($R131="Dark",$S131="Dark"),4,SUM(IF(OR($R131="Fighting",$R131="Poison"),0-1,IF(OR($R131="Psychic",$R131="Steel"),1,0)),IF(OR($S131="Fighting",$S131="Poison"),0-1,IF(OR($S131="Psychic",$S131="Steel"),1,0))))</f>
        <v>1</v>
      </c>
      <c r="AR131" s="507" t="n">
        <f aca="false">SUM(IF(OR($R131="Bug",$R131="Fire",$R131="Flying",$R131="Ice"),0-1,IF(OR($R131="Steel",$R131="Fighting",$R131="Ground"),1,0)),IF(OR($S131="Bug",$S131="Fire",$S131="Flying",$S131="Ice"),0-1,IF(OR($S131="Steel",$S131="Fighting",$S131="Ground"),1,0)))</f>
        <v>1</v>
      </c>
      <c r="AS131" s="507" t="n">
        <f aca="false">SUM(IF(OR($R131="Fairy",$R131="Ice",$R131="Rock"),0-1,IF(OR($R131="Steel",$R131="Electric",$R131="Fire",$R131="Water"),1,0)),IF(OR($S131="Fairy",$S131="Ice",$S131="Rock"),0-1,IF(OR($S131="Steel",$S131="Electric",$S131="Fire",$S131="Water"),1,0)))</f>
        <v>2</v>
      </c>
      <c r="AT131" s="508" t="n">
        <f aca="false">SUM(IF(OR($R131="Fire",$R131="Ground",$R131="Rock"),0-1,IF(OR($R131="Dragon",$R131="Grass",$R131="Water"),1,0)),IF(OR($S131="Fire",$S131="Ground",$S131="Rock"),0-1,IF(OR($S131="Dragon",$S131="Grass",$S131="Water"),1,0)))</f>
        <v>1</v>
      </c>
      <c r="AU131" s="518"/>
    </row>
    <row r="132" customFormat="false" ht="15.75" hidden="false" customHeight="false" outlineLevel="0" collapsed="false">
      <c r="A132" s="515" t="str">
        <f aca="false" t="array" ref="A132:A132">IF(ISNA(INDEX(Source!$U$7:$U$95,MATCH(B132,Source!$V$7:$V$95,0))),"FREE",INDEX(Source!$U$7:$U$95,MATCH(B132,Source!$V$7:$V$95,0)))</f>
        <v>FREE</v>
      </c>
      <c r="B132" s="511" t="s">
        <v>368</v>
      </c>
      <c r="C132" s="511"/>
      <c r="D132" s="511"/>
      <c r="E132" s="499" t="str">
        <f aca="false">IF(SUM($W132:$X132)&gt;0,SUM($W132:$X132),IF($H132&gt;0,0,IF($H132&gt;0,0,"-")))</f>
        <v>-</v>
      </c>
      <c r="F132" s="499" t="str">
        <f aca="false">IF(SUM($Y132:$Z132)&gt;0,SUM($Y132:$Z132),IF($H132&gt;0,0,"-"))</f>
        <v>-</v>
      </c>
      <c r="G132" s="499" t="str">
        <f aca="false">IF($H132&gt;0,minus(E132,F132),"-")</f>
        <v>-</v>
      </c>
      <c r="H132" s="500" t="n">
        <f aca="false">SUM(COUNTIF(MatchSource!$A:$A,$B132),COUNTIF(MatchSource!$H:$H,$B132))</f>
        <v>0</v>
      </c>
      <c r="I132" s="501" t="n">
        <f aca="false">SUM($AA132:$AB132)</f>
        <v>0</v>
      </c>
      <c r="J132" s="501" t="s">
        <v>699</v>
      </c>
      <c r="K132" s="512" t="str">
        <f aca="false" t="array" ref="K132:K132">IF(ISNA(INDEX(DraftRosters!$AA$3:$AA$199,MATCH($B132,DraftRosters!$AB$3:$AB$199,0))),"FA",IF(INDEX(DraftRosters!$AA$3:$AA$199,MATCH($B132,DraftRosters!$AB$3:$AB$199,0))="Franchise","Franch",INDEX(DraftRosters!$AA$3:$AA$199,MATCH($B132,DraftRosters!$AB$3:$AB$199,0))))</f>
        <v>FA</v>
      </c>
      <c r="L132" s="499" t="n">
        <v>115</v>
      </c>
      <c r="M132" s="499" t="n">
        <v>115</v>
      </c>
      <c r="N132" s="499" t="n">
        <v>85</v>
      </c>
      <c r="O132" s="499" t="n">
        <v>90</v>
      </c>
      <c r="P132" s="499" t="n">
        <v>75</v>
      </c>
      <c r="Q132" s="501" t="n">
        <v>100</v>
      </c>
      <c r="R132" s="499" t="s">
        <v>800</v>
      </c>
      <c r="S132" s="501"/>
      <c r="T132" s="504" t="s">
        <v>816</v>
      </c>
      <c r="U132" s="505" t="s">
        <v>829</v>
      </c>
      <c r="V132" s="506"/>
      <c r="W132" s="500" t="str">
        <f aca="false">IFERROR(__xludf.dummyfunction("if(isna(SUM(FILTER(MatchSource!$A:$D,MatchSource!$A:$A=$B132))),0,SUM(FILTER(MatchSource!$A:$D,MatchSource!$A:$A=$B132)))"),"0")</f>
        <v>0</v>
      </c>
      <c r="X132" s="499" t="str">
        <f aca="false">IFERROR(__xludf.dummyfunction("if(isna(SUM(FILTER(MatchSource!$H:$K,MatchSource!$H:$H=$B132))),0,SUM(FILTER(MatchSource!$H:$K,MatchSource!$H:$H=$B132)))"),"0")</f>
        <v>0</v>
      </c>
      <c r="Y132" s="499" t="str">
        <f aca="false">IFERROR(__xludf.dummyfunction("if(isna(ABS(MINUS(SUM(FILTER(MatchSource!$A:$E,MatchSource!$A:$A=$B132)),SUM($W132)))),0,ABS(MINUS(SUM(FILTER(MatchSource!$A:$E,MatchSource!$A:$A=$B132)),SUM($W132))))"),"0")</f>
        <v>0</v>
      </c>
      <c r="Z132" s="499" t="str">
        <f aca="false">IFERROR(__xludf.dummyfunction("if(isna(ABS(MINUS(SUM(FILTER(MatchSource!$H:$L,MatchSource!$H:$H=$B132)),SUM($X132)))),0,ABS(MINUS(SUM(FILTER(MatchSource!$H:$L,MatchSource!$H:$H=$B132)),SUM($X132))))"),"0")</f>
        <v>0</v>
      </c>
      <c r="AA132" s="499" t="str">
        <f aca="false">IFERROR(__xludf.dummyfunction("if(isna(ABS(MINUS(SUM(FILTER(MatchSource!$A:$F,MatchSource!$A:$A=$B132)),SUM($W132,$Y132)))),0,ABS(MINUS(SUM(FILTER(MatchSource!$A:$F,MatchSource!$A:$A=$B132)),SUM($W132, $Y132,))))"),"0")</f>
        <v>0</v>
      </c>
      <c r="AB132" s="501" t="str">
        <f aca="false">IFERROR(__xludf.dummyfunction("if(isna(ABS(MINUS(SUM(FILTER(MatchSource!$H:$M,MatchSource!$H:$H=$B132)),SUM($X132,$Z132)))),0,ABS(MINUS(SUM(FILTER(MatchSource!$H:$M,MatchSource!$H:$H=$B132)),SUM($X132,$Z132))))"),"0")</f>
        <v>0</v>
      </c>
      <c r="AC132" s="507" t="n">
        <f aca="false">SUM(IF(OR($R132="Grass",$R132="Psychic",$R132="Dark"),0-1,IF(OR($R132="Fighting",$R132="Flying",$R132="Fire",$R132="Ghost",$R132="Poison",$R132="Steel",$R132="Fairy"),1,0)),IF(OR($S132="Grass",$S132="Psychic",$S132="Dark"),0-1,IF(OR($S132="Fighting",$S132="Flying",$S132="Fire",$S132="Ghost",$S132="Poison",$S132="Steel",$S132="Fairy"),1,0)))</f>
        <v>1</v>
      </c>
      <c r="AD132" s="507" t="n">
        <f aca="false">SUM(IF(OR($R132="Ghost",$R132="Psychic"),0-1,IF(OR($R132="Fighting",$R132="Dark",$R132="Fairy"),1,0)),IF(OR($S132="Ghost",$S132="Psychic"),0-1,IF(OR($S132="Fighting",$S132="Dark",$S132="Fairy"),1,0)))</f>
        <v>0</v>
      </c>
      <c r="AE132" s="507" t="n">
        <f aca="false">IF(OR($R132="Fairy",$S132="Fairy"),4,SUM(IF($R132="Dragon",0-1,IF($R132="Steel",1,0)),IF($S132="Dragon",0-1,IF($S132="Steel",1,0))))</f>
        <v>0</v>
      </c>
      <c r="AF132" s="507" t="n">
        <f aca="false">IF(OR($R132="Ground",$S132="Ground"),4,SUM(IF(OR($R132="Flying",$R132="Water"),0-1,IF(OR($R132="Dragon",$R132="Electric",$R132="Grass"),1,0)),IF(OR($S132="Flying",$S132="Water"),0-1,IF(OR($S132="Dragon",$S132="Electric",$S132="Grass"),1,0))))</f>
        <v>0</v>
      </c>
      <c r="AG132" s="507" t="n">
        <f aca="false">SUM(IF(OR($R132="Dark",$R132="Dragon",$R132="Fighting"),0-1,IF(OR($R132="Steel",$R132="Poison",$R132="Fire"),1,0)),IF(OR($S132="Dark",$S132="Dragon",$S132="Fighting"),0-1,IF(OR($S132="Steel",$S132="Poison",$S132="Fire"),1,0)))</f>
        <v>1</v>
      </c>
      <c r="AH132" s="507" t="n">
        <f aca="false">IF(OR($R132="Ghost",$S132="Ghost"),4,SUM(IF(OR($R132="Dark",$R132="Ice",$R132="Normal",$R132="Rock",$R132="Steel"),0-1,IF(OR($R132="Bug",$R132="Fairy",$R132="Flying",$R132="Poison",$R132="Psychic"),1,0)),IF(OR($S132="Dark",$S132="Ice",$S132="Normal",$S132="Rock",$S132="Steel"),0-1,IF(OR($S132="Bug",$S132="Fairy",$S132="Flying",$S132="Poison",$S132="Psychic"),1,0))))</f>
        <v>0</v>
      </c>
      <c r="AI132" s="507" t="n">
        <f aca="false">SUM(IF(OR($R132="Bug",$R132="Grass",$R132="Ice",$R132="Steel"),0-1,IF(OR($R132="Dragon",$R132="Fire",$R132="Rock",$R132="Water"),1,0)),IF(OR($S132="Bug",$S132="Grass",$S132="Ice",$S132="Steel"),0-1,IF(OR($S132="Dragon",$S132="Fire",$S132="Rock",$S132="Water"),1,0)))</f>
        <v>1</v>
      </c>
      <c r="AJ132" s="507" t="n">
        <f aca="false">SUM(IF(OR($R132="Bug",$R132="Grass",$R132="Fighting"),0-1,IF(OR($R132="Electric",$R132="Rock",$R132="Steel"),1,0)),IF(OR($S132="Bug",$S132="Grass",$S132="Fighting"),0-1,IF(OR($S132="Electric",$S132="Rock",$S132="Steel"),1,0)))</f>
        <v>0</v>
      </c>
      <c r="AK132" s="507" t="n">
        <f aca="false">IF(OR($R132="Normal",$S132="Normal"),4,SUM(IF(OR($R132="Ghost",$R132="Psychic"),0-1,IF($R132="Dark",1,0)),IF(OR($S132="Ghost",$S132="Psychic"),0-1,IF($S132="Dark",1,0))))</f>
        <v>0</v>
      </c>
      <c r="AL132" s="507" t="n">
        <f aca="false">SUM(IF(OR($R132="Ground",$R132="Rock",$R132="Water"),0-1,IF(OR($R132="Bug",$R132="Flying",$R132="Fire",$R132="Dragon",$R132="Poison",$R132="Steel",$R132="Grass"),1,0)),IF(OR($S132="Ground",$S132="Rock",$S132="Water"),0-1,IF(OR($S132="Bug",$S132="Flying",$S132="Fire",$S132="Dragon",$S132="Poison",$S132="Steel",$S132="Grass"),1,0)))</f>
        <v>1</v>
      </c>
      <c r="AM132" s="507" t="n">
        <f aca="false">IF(OR($R132="Flying",$S132="Flying"),4,SUM(IF(OR($R132="Electric",$R132="Fire",$R132="Rock",$R132="Steel",$R132="Poison"),0-1,IF(OR($R132="Bug",$R132="Grass"),1,0)),IF(OR($S132="Electric",$S132="Fire",$S132="Rock",$S132="Steel",$S132="Poison"),0-1,IF(OR($S132="Bug",$S132="Grass"),1,0))))</f>
        <v>-1</v>
      </c>
      <c r="AN132" s="507" t="n">
        <f aca="false">SUM(IF(OR($R132="Flying",$R132="Dragon",$R132="Grass",$R132="Ground"),0-1,IF(OR($R132="Steel",$R132="Ice",$R132="Fire",$R132="Water"),1,0)),IF(OR($S132="Flying",$S132="Dragon",$S132="Grass",$S132="Ground"),0-1,IF(OR($S132="Steel",$S132="Ice",$S132="Fire",$S132="Water"),1,0)))</f>
        <v>1</v>
      </c>
      <c r="AO132" s="507" t="n">
        <f aca="false">IF(OR($R132="Ghost",$S132="Ghost"),4,SUM(IF(OR($R132="Steel",$R132="Rock"),1,0),IF(OR($S132="Steel",$S132="Rock"),1,0)))</f>
        <v>0</v>
      </c>
      <c r="AP132" s="507" t="n">
        <f aca="false">IF(OR($R132="Steel",$S132="Steel"),4,SUM(IF(OR($R132="Fairy",$R132="Grass"),0-1,IF(OR($R132="Ghost",$R132="Rock",$R132="Ground",$R132="Poison"),1,0)),IF(OR($S132="Fairy",$S132="Grass"),0-1,IF(OR($S132="Ghost",$S132="Rock",$S132="Ground",$S132="Poison"),1,0))))</f>
        <v>0</v>
      </c>
      <c r="AQ132" s="507" t="n">
        <f aca="false">IF(OR($R132="Dark",$S132="Dark"),4,SUM(IF(OR($R132="Fighting",$R132="Poison"),0-1,IF(OR($R132="Psychic",$R132="Steel"),1,0)),IF(OR($S132="Fighting",$S132="Poison"),0-1,IF(OR($S132="Psychic",$S132="Steel"),1,0))))</f>
        <v>0</v>
      </c>
      <c r="AR132" s="507" t="n">
        <f aca="false">SUM(IF(OR($R132="Bug",$R132="Fire",$R132="Flying",$R132="Ice"),0-1,IF(OR($R132="Steel",$R132="Fighting",$R132="Ground"),1,0)),IF(OR($S132="Bug",$S132="Fire",$S132="Flying",$S132="Ice"),0-1,IF(OR($S132="Steel",$S132="Fighting",$S132="Ground"),1,0)))</f>
        <v>-1</v>
      </c>
      <c r="AS132" s="507" t="n">
        <f aca="false">SUM(IF(OR($R132="Fairy",$R132="Ice",$R132="Rock"),0-1,IF(OR($R132="Steel",$R132="Electric",$R132="Fire",$R132="Water"),1,0)),IF(OR($S132="Fairy",$S132="Ice",$S132="Rock"),0-1,IF(OR($S132="Steel",$S132="Electric",$S132="Fire",$S132="Water"),1,0)))</f>
        <v>1</v>
      </c>
      <c r="AT132" s="508" t="n">
        <f aca="false">SUM(IF(OR($R132="Fire",$R132="Ground",$R132="Rock"),0-1,IF(OR($R132="Dragon",$R132="Grass",$R132="Water"),1,0)),IF(OR($S132="Fire",$S132="Ground",$S132="Rock"),0-1,IF(OR($S132="Dragon",$S132="Grass",$S132="Water"),1,0)))</f>
        <v>-1</v>
      </c>
      <c r="AU132" s="518"/>
    </row>
    <row r="133" customFormat="false" ht="15.75" hidden="false" customHeight="false" outlineLevel="0" collapsed="false">
      <c r="A133" s="515" t="str">
        <f aca="false" t="array" ref="A133:A133">IF(ISNA(INDEX(Source!$U$7:$U$95,MATCH(B133,Source!$V$7:$V$95,0))),"FREE",INDEX(Source!$U$7:$U$95,MATCH(B133,Source!$V$7:$V$95,0)))</f>
        <v>FREE</v>
      </c>
      <c r="B133" s="511" t="s">
        <v>461</v>
      </c>
      <c r="C133" s="511"/>
      <c r="D133" s="511"/>
      <c r="E133" s="499" t="str">
        <f aca="false">IF(SUM($W133:$X133)&gt;0,SUM($W133:$X133),IF($H133&gt;0,0,IF($H133&gt;0,0,"-")))</f>
        <v>-</v>
      </c>
      <c r="F133" s="499" t="str">
        <f aca="false">IF(SUM($Y133:$Z133)&gt;0,SUM($Y133:$Z133),IF($H133&gt;0,0,"-"))</f>
        <v>-</v>
      </c>
      <c r="G133" s="499" t="str">
        <f aca="false">IF($H133&gt;0,minus(E133,F133),"-")</f>
        <v>-</v>
      </c>
      <c r="H133" s="500" t="n">
        <f aca="false">SUM(COUNTIF(MatchSource!$A:$A,$B133),COUNTIF(MatchSource!$H:$H,$B133))</f>
        <v>0</v>
      </c>
      <c r="I133" s="501" t="n">
        <f aca="false">SUM($AA133:$AB133)</f>
        <v>0</v>
      </c>
      <c r="J133" s="501" t="s">
        <v>701</v>
      </c>
      <c r="K133" s="512" t="str">
        <f aca="false" t="array" ref="K133:K133">IF(ISNA(INDEX(DraftRosters!$AA$3:$AA$199,MATCH($B133,DraftRosters!$AB$3:$AB$199,0))),"FA",IF(INDEX(DraftRosters!$AA$3:$AA$199,MATCH($B133,DraftRosters!$AB$3:$AB$199,0))="Franchise","Franch",INDEX(DraftRosters!$AA$3:$AA$199,MATCH($B133,DraftRosters!$AB$3:$AB$199,0))))</f>
        <v>FA</v>
      </c>
      <c r="L133" s="507" t="n">
        <v>70</v>
      </c>
      <c r="M133" s="507" t="n">
        <v>135</v>
      </c>
      <c r="N133" s="507" t="n">
        <v>105</v>
      </c>
      <c r="O133" s="507" t="n">
        <v>60</v>
      </c>
      <c r="P133" s="507" t="n">
        <v>105</v>
      </c>
      <c r="Q133" s="508" t="n">
        <v>20</v>
      </c>
      <c r="R133" s="499" t="s">
        <v>794</v>
      </c>
      <c r="S133" s="501" t="s">
        <v>810</v>
      </c>
      <c r="T133" s="504" t="s">
        <v>924</v>
      </c>
      <c r="U133" s="505" t="s">
        <v>857</v>
      </c>
      <c r="V133" s="506" t="s">
        <v>925</v>
      </c>
      <c r="W133" s="500" t="str">
        <f aca="false">IFERROR(__xludf.dummyfunction("if(isna(SUM(FILTER(MatchSource!$A:$D,MatchSource!$A:$A=$B133))),0,SUM(FILTER(MatchSource!$A:$D,MatchSource!$A:$A=$B133)))"),"0")</f>
        <v>0</v>
      </c>
      <c r="X133" s="499" t="str">
        <f aca="false">IFERROR(__xludf.dummyfunction("if(isna(SUM(FILTER(MatchSource!$H:$K,MatchSource!$H:$H=$B133))),0,SUM(FILTER(MatchSource!$H:$K,MatchSource!$H:$H=$B133)))"),"0")</f>
        <v>0</v>
      </c>
      <c r="Y133" s="499" t="str">
        <f aca="false">IFERROR(__xludf.dummyfunction("if(isna(ABS(MINUS(SUM(FILTER(MatchSource!$A:$E,MatchSource!$A:$A=$B133)),SUM($W133)))),0,ABS(MINUS(SUM(FILTER(MatchSource!$A:$E,MatchSource!$A:$A=$B133)),SUM($W133))))"),"0")</f>
        <v>0</v>
      </c>
      <c r="Z133" s="499" t="str">
        <f aca="false">IFERROR(__xludf.dummyfunction("if(isna(ABS(MINUS(SUM(FILTER(MatchSource!$H:$L,MatchSource!$H:$H=$B133)),SUM($X133)))),0,ABS(MINUS(SUM(FILTER(MatchSource!$H:$L,MatchSource!$H:$H=$B133)),SUM($X133))))"),"0")</f>
        <v>0</v>
      </c>
      <c r="AA133" s="499" t="str">
        <f aca="false">IFERROR(__xludf.dummyfunction("if(isna(ABS(MINUS(SUM(FILTER(MatchSource!$A:$F,MatchSource!$A:$A=$B133)),SUM($W133,$Y133)))),0,ABS(MINUS(SUM(FILTER(MatchSource!$A:$F,MatchSource!$A:$A=$B133)),SUM($W133, $Y133,))))"),"0")</f>
        <v>0</v>
      </c>
      <c r="AB133" s="501" t="str">
        <f aca="false">IFERROR(__xludf.dummyfunction("if(isna(ABS(MINUS(SUM(FILTER(MatchSource!$H:$M,MatchSource!$H:$H=$B133)),SUM($X133,$Z133)))),0,ABS(MINUS(SUM(FILTER(MatchSource!$H:$M,MatchSource!$H:$H=$B133)),SUM($X133,$Z133))))"),"0")</f>
        <v>0</v>
      </c>
      <c r="AC133" s="507" t="n">
        <f aca="false">SUM(IF(OR($R133="Grass",$R133="Psychic",$R133="Dark"),0-1,IF(OR($R133="Fighting",$R133="Flying",$R133="Fire",$R133="Ghost",$R133="Poison",$R133="Steel",$R133="Fairy"),1,0)),IF(OR($S133="Grass",$S133="Psychic",$S133="Dark"),0-1,IF(OR($S133="Fighting",$S133="Flying",$S133="Fire",$S133="Ghost",$S133="Poison",$S133="Steel",$S133="Fairy"),1,0)))</f>
        <v>1</v>
      </c>
      <c r="AD133" s="507" t="n">
        <f aca="false">SUM(IF(OR($R133="Ghost",$R133="Psychic"),0-1,IF(OR($R133="Fighting",$R133="Dark",$R133="Fairy"),1,0)),IF(OR($S133="Ghost",$S133="Psychic"),0-1,IF(OR($S133="Fighting",$S133="Dark",$S133="Fairy"),1,0)))</f>
        <v>0</v>
      </c>
      <c r="AE133" s="507" t="n">
        <f aca="false">IF(OR($R133="Fairy",$S133="Fairy"),4,SUM(IF($R133="Dragon",0-1,IF($R133="Steel",1,0)),IF($S133="Dragon",0-1,IF($S133="Steel",1,0))))</f>
        <v>1</v>
      </c>
      <c r="AF133" s="507" t="n">
        <f aca="false">IF(OR($R133="Ground",$S133="Ground"),4,SUM(IF(OR($R133="Flying",$R133="Water"),0-1,IF(OR($R133="Dragon",$R133="Electric",$R133="Grass"),1,0)),IF(OR($S133="Flying",$S133="Water"),0-1,IF(OR($S133="Dragon",$S133="Electric",$S133="Grass"),1,0))))</f>
        <v>0</v>
      </c>
      <c r="AG133" s="507" t="n">
        <f aca="false">SUM(IF(OR($R133="Dark",$R133="Dragon",$R133="Fighting"),0-1,IF(OR($R133="Steel",$R133="Poison",$R133="Fire"),1,0)),IF(OR($S133="Dark",$S133="Dragon",$S133="Fighting"),0-1,IF(OR($S133="Steel",$S133="Poison",$S133="Fire"),1,0)))</f>
        <v>1</v>
      </c>
      <c r="AH133" s="507" t="n">
        <f aca="false">IF(OR($R133="Ghost",$S133="Ghost"),4,SUM(IF(OR($R133="Dark",$R133="Ice",$R133="Normal",$R133="Rock",$R133="Steel"),0-1,IF(OR($R133="Bug",$R133="Fairy",$R133="Flying",$R133="Poison",$R133="Psychic"),1,0)),IF(OR($S133="Dark",$S133="Ice",$S133="Normal",$S133="Rock",$S133="Steel"),0-1,IF(OR($S133="Bug",$S133="Fairy",$S133="Flying",$S133="Poison",$S133="Psychic"),1,0))))</f>
        <v>0</v>
      </c>
      <c r="AI133" s="507" t="n">
        <f aca="false">SUM(IF(OR($R133="Bug",$R133="Grass",$R133="Ice",$R133="Steel"),0-1,IF(OR($R133="Dragon",$R133="Fire",$R133="Rock",$R133="Water"),1,0)),IF(OR($S133="Bug",$S133="Grass",$S133="Ice",$S133="Steel"),0-1,IF(OR($S133="Dragon",$S133="Fire",$S133="Rock",$S133="Water"),1,0)))</f>
        <v>-2</v>
      </c>
      <c r="AJ133" s="507" t="n">
        <f aca="false">SUM(IF(OR($R133="Bug",$R133="Grass",$R133="Fighting"),0-1,IF(OR($R133="Electric",$R133="Rock",$R133="Steel"),1,0)),IF(OR($S133="Bug",$S133="Grass",$S133="Fighting"),0-1,IF(OR($S133="Electric",$S133="Rock",$S133="Steel"),1,0)))</f>
        <v>0</v>
      </c>
      <c r="AK133" s="507" t="n">
        <f aca="false">IF(OR($R133="Normal",$S133="Normal"),4,SUM(IF(OR($R133="Ghost",$R133="Psychic"),0-1,IF($R133="Dark",1,0)),IF(OR($S133="Ghost",$S133="Psychic"),0-1,IF($S133="Dark",1,0))))</f>
        <v>0</v>
      </c>
      <c r="AL133" s="507" t="n">
        <f aca="false">SUM(IF(OR($R133="Ground",$R133="Rock",$R133="Water"),0-1,IF(OR($R133="Bug",$R133="Flying",$R133="Fire",$R133="Dragon",$R133="Poison",$R133="Steel",$R133="Grass"),1,0)),IF(OR($S133="Ground",$S133="Rock",$S133="Water"),0-1,IF(OR($S133="Bug",$S133="Flying",$S133="Fire",$S133="Dragon",$S133="Poison",$S133="Steel",$S133="Grass"),1,0)))</f>
        <v>2</v>
      </c>
      <c r="AM133" s="507" t="n">
        <f aca="false">IF(OR($R133="Flying",$S133="Flying"),4,SUM(IF(OR($R133="Electric",$R133="Fire",$R133="Rock",$R133="Steel",$R133="Poison"),0-1,IF(OR($R133="Bug",$R133="Grass"),1,0)),IF(OR($S133="Electric",$S133="Fire",$S133="Rock",$S133="Steel",$S133="Poison"),0-1,IF(OR($S133="Bug",$S133="Grass"),1,0))))</f>
        <v>0</v>
      </c>
      <c r="AN133" s="507" t="n">
        <f aca="false">SUM(IF(OR($R133="Flying",$R133="Dragon",$R133="Grass",$R133="Ground"),0-1,IF(OR($R133="Steel",$R133="Ice",$R133="Fire",$R133="Water"),1,0)),IF(OR($S133="Flying",$S133="Dragon",$S133="Grass",$S133="Ground"),0-1,IF(OR($S133="Steel",$S133="Ice",$S133="Fire",$S133="Water"),1,0)))</f>
        <v>1</v>
      </c>
      <c r="AO133" s="507" t="n">
        <f aca="false">IF(OR($R133="Ghost",$S133="Ghost"),4,SUM(IF(OR($R133="Steel",$R133="Rock"),1,0),IF(OR($S133="Steel",$S133="Rock"),1,0)))</f>
        <v>1</v>
      </c>
      <c r="AP133" s="507" t="n">
        <f aca="false">IF(OR($R133="Steel",$S133="Steel"),4,SUM(IF(OR($R133="Fairy",$R133="Grass"),0-1,IF(OR($R133="Ghost",$R133="Rock",$R133="Ground",$R133="Poison"),1,0)),IF(OR($S133="Fairy",$S133="Grass"),0-1,IF(OR($S133="Ghost",$S133="Rock",$S133="Ground",$S133="Poison"),1,0))))</f>
        <v>4</v>
      </c>
      <c r="AQ133" s="507" t="n">
        <f aca="false">IF(OR($R133="Dark",$S133="Dark"),4,SUM(IF(OR($R133="Fighting",$R133="Poison"),0-1,IF(OR($R133="Psychic",$R133="Steel"),1,0)),IF(OR($S133="Fighting",$S133="Poison"),0-1,IF(OR($S133="Psychic",$S133="Steel"),1,0))))</f>
        <v>1</v>
      </c>
      <c r="AR133" s="507" t="n">
        <f aca="false">SUM(IF(OR($R133="Bug",$R133="Fire",$R133="Flying",$R133="Ice"),0-1,IF(OR($R133="Steel",$R133="Fighting",$R133="Ground"),1,0)),IF(OR($S133="Bug",$S133="Fire",$S133="Flying",$S133="Ice"),0-1,IF(OR($S133="Steel",$S133="Fighting",$S133="Ground"),1,0)))</f>
        <v>0</v>
      </c>
      <c r="AS133" s="507" t="n">
        <f aca="false">SUM(IF(OR($R133="Fairy",$R133="Ice",$R133="Rock"),0-1,IF(OR($R133="Steel",$R133="Electric",$R133="Fire",$R133="Water"),1,0)),IF(OR($S133="Fairy",$S133="Ice",$S133="Rock"),0-1,IF(OR($S133="Steel",$S133="Electric",$S133="Fire",$S133="Water"),1,0)))</f>
        <v>1</v>
      </c>
      <c r="AT133" s="508" t="n">
        <f aca="false">SUM(IF(OR($R133="Fire",$R133="Ground",$R133="Rock"),0-1,IF(OR($R133="Dragon",$R133="Grass",$R133="Water"),1,0)),IF(OR($S133="Fire",$S133="Ground",$S133="Rock"),0-1,IF(OR($S133="Dragon",$S133="Grass",$S133="Water"),1,0)))</f>
        <v>0</v>
      </c>
      <c r="AU133" s="518"/>
    </row>
    <row r="134" customFormat="false" ht="15.75" hidden="false" customHeight="false" outlineLevel="0" collapsed="false">
      <c r="A134" s="515" t="str">
        <f aca="false" t="array" ref="A134:A134">IF(ISNA(INDEX(Source!$U$7:$U$95,MATCH(B134,Source!$V$7:$V$95,0))),"FREE",INDEX(Source!$U$7:$U$95,MATCH(B134,Source!$V$7:$V$95,0)))</f>
        <v>FREE</v>
      </c>
      <c r="B134" s="511" t="s">
        <v>405</v>
      </c>
      <c r="C134" s="511"/>
      <c r="D134" s="511"/>
      <c r="E134" s="499" t="str">
        <f aca="false">IF(SUM($W134:$X134)&gt;0,SUM($W134:$X134),IF($H134&gt;0,0,IF($H134&gt;0,0,"-")))</f>
        <v>-</v>
      </c>
      <c r="F134" s="499" t="str">
        <f aca="false">IF(SUM($Y134:$Z134)&gt;0,SUM($Y134:$Z134),IF($H134&gt;0,0,"-"))</f>
        <v>-</v>
      </c>
      <c r="G134" s="499" t="str">
        <f aca="false">IF($H134&gt;0,minus(E134,F134),"-")</f>
        <v>-</v>
      </c>
      <c r="H134" s="500" t="n">
        <f aca="false">SUM(COUNTIF(MatchSource!$A:$A,$B134),COUNTIF(MatchSource!$H:$H,$B134))</f>
        <v>0</v>
      </c>
      <c r="I134" s="501" t="n">
        <f aca="false">SUM($AA134:$AB134)</f>
        <v>0</v>
      </c>
      <c r="J134" s="501" t="s">
        <v>700</v>
      </c>
      <c r="K134" s="512" t="str">
        <f aca="false" t="array" ref="K134:K134">IF(ISNA(INDEX(DraftRosters!$AA$3:$AA$199,MATCH($B134,DraftRosters!$AB$3:$AB$199,0))),"FA",IF(INDEX(DraftRosters!$AA$3:$AA$199,MATCH($B134,DraftRosters!$AB$3:$AB$199,0))="Franchise","Franch",INDEX(DraftRosters!$AA$3:$AA$199,MATCH($B134,DraftRosters!$AB$3:$AB$199,0))))</f>
        <v>FA</v>
      </c>
      <c r="L134" s="507" t="n">
        <v>65</v>
      </c>
      <c r="M134" s="507" t="n">
        <v>65</v>
      </c>
      <c r="N134" s="507" t="n">
        <v>60</v>
      </c>
      <c r="O134" s="507" t="n">
        <v>130</v>
      </c>
      <c r="P134" s="507" t="n">
        <v>95</v>
      </c>
      <c r="Q134" s="508" t="n">
        <v>110</v>
      </c>
      <c r="R134" s="499" t="s">
        <v>828</v>
      </c>
      <c r="S134" s="501"/>
      <c r="T134" s="504" t="s">
        <v>818</v>
      </c>
      <c r="U134" s="505" t="s">
        <v>966</v>
      </c>
      <c r="V134" s="506"/>
      <c r="W134" s="500" t="str">
        <f aca="false">IFERROR(__xludf.dummyfunction("if(isna(SUM(FILTER(MatchSource!$A:$D,MatchSource!$A:$A=$B134))),0,SUM(FILTER(MatchSource!$A:$D,MatchSource!$A:$A=$B134)))"),"0")</f>
        <v>0</v>
      </c>
      <c r="X134" s="499" t="str">
        <f aca="false">IFERROR(__xludf.dummyfunction("if(isna(SUM(FILTER(MatchSource!$H:$K,MatchSource!$H:$H=$B134))),0,SUM(FILTER(MatchSource!$H:$K,MatchSource!$H:$H=$B134)))"),"0")</f>
        <v>0</v>
      </c>
      <c r="Y134" s="499" t="str">
        <f aca="false">IFERROR(__xludf.dummyfunction("if(isna(ABS(MINUS(SUM(FILTER(MatchSource!$A:$E,MatchSource!$A:$A=$B134)),SUM($W134)))),0,ABS(MINUS(SUM(FILTER(MatchSource!$A:$E,MatchSource!$A:$A=$B134)),SUM($W134))))"),"0")</f>
        <v>0</v>
      </c>
      <c r="Z134" s="499" t="str">
        <f aca="false">IFERROR(__xludf.dummyfunction("if(isna(ABS(MINUS(SUM(FILTER(MatchSource!$H:$L,MatchSource!$H:$H=$B134)),SUM($X134)))),0,ABS(MINUS(SUM(FILTER(MatchSource!$H:$L,MatchSource!$H:$H=$B134)),SUM($X134))))"),"0")</f>
        <v>0</v>
      </c>
      <c r="AA134" s="499" t="str">
        <f aca="false">IFERROR(__xludf.dummyfunction("if(isna(ABS(MINUS(SUM(FILTER(MatchSource!$A:$F,MatchSource!$A:$A=$B134)),SUM($W134,$Y134)))),0,ABS(MINUS(SUM(FILTER(MatchSource!$A:$F,MatchSource!$A:$A=$B134)),SUM($W134, $Y134,))))"),"0")</f>
        <v>0</v>
      </c>
      <c r="AB134" s="501" t="str">
        <f aca="false">IFERROR(__xludf.dummyfunction("if(isna(ABS(MINUS(SUM(FILTER(MatchSource!$H:$M,MatchSource!$H:$H=$B134)),SUM($X134,$Z134)))),0,ABS(MINUS(SUM(FILTER(MatchSource!$H:$M,MatchSource!$H:$H=$B134)),SUM($X134,$Z134))))"),"0")</f>
        <v>0</v>
      </c>
      <c r="AC134" s="507" t="n">
        <f aca="false">SUM(IF(OR($R134="Grass",$R134="Psychic",$R134="Dark"),0-1,IF(OR($R134="Fighting",$R134="Flying",$R134="Fire",$R134="Ghost",$R134="Poison",$R134="Steel",$R134="Fairy"),1,0)),IF(OR($S134="Grass",$S134="Psychic",$S134="Dark"),0-1,IF(OR($S134="Fighting",$S134="Flying",$S134="Fire",$S134="Ghost",$S134="Poison",$S134="Steel",$S134="Fairy"),1,0)))</f>
        <v>-1</v>
      </c>
      <c r="AD134" s="507" t="n">
        <f aca="false">SUM(IF(OR($R134="Ghost",$R134="Psychic"),0-1,IF(OR($R134="Fighting",$R134="Dark",$R134="Fairy"),1,0)),IF(OR($S134="Ghost",$S134="Psychic"),0-1,IF(OR($S134="Fighting",$S134="Dark",$S134="Fairy"),1,0)))</f>
        <v>-1</v>
      </c>
      <c r="AE134" s="507" t="n">
        <f aca="false">IF(OR($R134="Fairy",$S134="Fairy"),4,SUM(IF($R134="Dragon",0-1,IF($R134="Steel",1,0)),IF($S134="Dragon",0-1,IF($S134="Steel",1,0))))</f>
        <v>0</v>
      </c>
      <c r="AF134" s="507" t="n">
        <f aca="false">IF(OR($R134="Ground",$S134="Ground"),4,SUM(IF(OR($R134="Flying",$R134="Water"),0-1,IF(OR($R134="Dragon",$R134="Electric",$R134="Grass"),1,0)),IF(OR($S134="Flying",$S134="Water"),0-1,IF(OR($S134="Dragon",$S134="Electric",$S134="Grass"),1,0))))</f>
        <v>0</v>
      </c>
      <c r="AG134" s="507" t="n">
        <f aca="false">SUM(IF(OR($R134="Dark",$R134="Dragon",$R134="Fighting"),0-1,IF(OR($R134="Steel",$R134="Poison",$R134="Fire"),1,0)),IF(OR($S134="Dark",$S134="Dragon",$S134="Fighting"),0-1,IF(OR($S134="Steel",$S134="Poison",$S134="Fire"),1,0)))</f>
        <v>0</v>
      </c>
      <c r="AH134" s="507" t="n">
        <f aca="false">IF(OR($R134="Ghost",$S134="Ghost"),4,SUM(IF(OR($R134="Dark",$R134="Ice",$R134="Normal",$R134="Rock",$R134="Steel"),0-1,IF(OR($R134="Bug",$R134="Fairy",$R134="Flying",$R134="Poison",$R134="Psychic"),1,0)),IF(OR($S134="Dark",$S134="Ice",$S134="Normal",$S134="Rock",$S134="Steel"),0-1,IF(OR($S134="Bug",$S134="Fairy",$S134="Flying",$S134="Poison",$S134="Psychic"),1,0))))</f>
        <v>1</v>
      </c>
      <c r="AI134" s="507" t="n">
        <f aca="false">SUM(IF(OR($R134="Bug",$R134="Grass",$R134="Ice",$R134="Steel"),0-1,IF(OR($R134="Dragon",$R134="Fire",$R134="Rock",$R134="Water"),1,0)),IF(OR($S134="Bug",$S134="Grass",$S134="Ice",$S134="Steel"),0-1,IF(OR($S134="Dragon",$S134="Fire",$S134="Rock",$S134="Water"),1,0)))</f>
        <v>0</v>
      </c>
      <c r="AJ134" s="507" t="n">
        <f aca="false">SUM(IF(OR($R134="Bug",$R134="Grass",$R134="Fighting"),0-1,IF(OR($R134="Electric",$R134="Rock",$R134="Steel"),1,0)),IF(OR($S134="Bug",$S134="Grass",$S134="Fighting"),0-1,IF(OR($S134="Electric",$S134="Rock",$S134="Steel"),1,0)))</f>
        <v>0</v>
      </c>
      <c r="AK134" s="507" t="n">
        <f aca="false">IF(OR($R134="Normal",$S134="Normal"),4,SUM(IF(OR($R134="Ghost",$R134="Psychic"),0-1,IF($R134="Dark",1,0)),IF(OR($S134="Ghost",$S134="Psychic"),0-1,IF($S134="Dark",1,0))))</f>
        <v>-1</v>
      </c>
      <c r="AL134" s="507" t="n">
        <f aca="false">SUM(IF(OR($R134="Ground",$R134="Rock",$R134="Water"),0-1,IF(OR($R134="Bug",$R134="Flying",$R134="Fire",$R134="Dragon",$R134="Poison",$R134="Steel",$R134="Grass"),1,0)),IF(OR($S134="Ground",$S134="Rock",$S134="Water"),0-1,IF(OR($S134="Bug",$S134="Flying",$S134="Fire",$S134="Dragon",$S134="Poison",$S134="Steel",$S134="Grass"),1,0)))</f>
        <v>0</v>
      </c>
      <c r="AM134" s="507" t="n">
        <f aca="false">IF(OR($R134="Flying",$S134="Flying"),4,SUM(IF(OR($R134="Electric",$R134="Fire",$R134="Rock",$R134="Steel",$R134="Poison"),0-1,IF(OR($R134="Bug",$R134="Grass"),1,0)),IF(OR($S134="Electric",$S134="Fire",$S134="Rock",$S134="Steel",$S134="Poison"),0-1,IF(OR($S134="Bug",$S134="Grass"),1,0))))</f>
        <v>0</v>
      </c>
      <c r="AN134" s="507" t="n">
        <f aca="false">SUM(IF(OR($R134="Flying",$R134="Dragon",$R134="Grass",$R134="Ground"),0-1,IF(OR($R134="Steel",$R134="Ice",$R134="Fire",$R134="Water"),1,0)),IF(OR($S134="Flying",$S134="Dragon",$S134="Grass",$S134="Ground"),0-1,IF(OR($S134="Steel",$S134="Ice",$S134="Fire",$S134="Water"),1,0)))</f>
        <v>0</v>
      </c>
      <c r="AO134" s="507" t="n">
        <f aca="false">IF(OR($R134="Ghost",$S134="Ghost"),4,SUM(IF(OR($R134="Steel",$R134="Rock"),1,0),IF(OR($S134="Steel",$S134="Rock"),1,0)))</f>
        <v>0</v>
      </c>
      <c r="AP134" s="507" t="n">
        <f aca="false">IF(OR($R134="Steel",$S134="Steel"),4,SUM(IF(OR($R134="Fairy",$R134="Grass"),0-1,IF(OR($R134="Ghost",$R134="Rock",$R134="Ground",$R134="Poison"),1,0)),IF(OR($S134="Fairy",$S134="Grass"),0-1,IF(OR($S134="Ghost",$S134="Rock",$S134="Ground",$S134="Poison"),1,0))))</f>
        <v>0</v>
      </c>
      <c r="AQ134" s="507" t="n">
        <f aca="false">IF(OR($R134="Dark",$S134="Dark"),4,SUM(IF(OR($R134="Fighting",$R134="Poison"),0-1,IF(OR($R134="Psychic",$R134="Steel"),1,0)),IF(OR($S134="Fighting",$S134="Poison"),0-1,IF(OR($S134="Psychic",$S134="Steel"),1,0))))</f>
        <v>1</v>
      </c>
      <c r="AR134" s="507" t="n">
        <f aca="false">SUM(IF(OR($R134="Bug",$R134="Fire",$R134="Flying",$R134="Ice"),0-1,IF(OR($R134="Steel",$R134="Fighting",$R134="Ground"),1,0)),IF(OR($S134="Bug",$S134="Fire",$S134="Flying",$S134="Ice"),0-1,IF(OR($S134="Steel",$S134="Fighting",$S134="Ground"),1,0)))</f>
        <v>0</v>
      </c>
      <c r="AS134" s="507" t="n">
        <f aca="false">SUM(IF(OR($R134="Fairy",$R134="Ice",$R134="Rock"),0-1,IF(OR($R134="Steel",$R134="Electric",$R134="Fire",$R134="Water"),1,0)),IF(OR($S134="Fairy",$S134="Ice",$S134="Rock"),0-1,IF(OR($S134="Steel",$S134="Electric",$S134="Fire",$S134="Water"),1,0)))</f>
        <v>0</v>
      </c>
      <c r="AT134" s="508" t="n">
        <f aca="false">SUM(IF(OR($R134="Fire",$R134="Ground",$R134="Rock"),0-1,IF(OR($R134="Dragon",$R134="Grass",$R134="Water"),1,0)),IF(OR($S134="Fire",$S134="Ground",$S134="Rock"),0-1,IF(OR($S134="Dragon",$S134="Grass",$S134="Water"),1,0)))</f>
        <v>0</v>
      </c>
      <c r="AU134" s="518"/>
    </row>
    <row r="135" customFormat="false" ht="15.75" hidden="false" customHeight="false" outlineLevel="0" collapsed="false">
      <c r="A135" s="510" t="str">
        <f aca="false" t="array" ref="A135:A135">IF(ISNA(INDEX(Source!$U$7:$U$95,MATCH(B135,Source!$V$7:$V$95,0))),"FREE",INDEX(Source!$U$7:$U$95,MATCH(B135,Source!$V$7:$V$95,0)))</f>
        <v>KKS</v>
      </c>
      <c r="B135" s="511" t="s">
        <v>88</v>
      </c>
      <c r="C135" s="511"/>
      <c r="D135" s="511"/>
      <c r="E135" s="499" t="n">
        <f aca="false">IF(SUM($W135:$X135)&gt;0,SUM($W135:$X135),IF($H135&gt;0,0,IF($H135&gt;0,0,"-")))</f>
        <v>0</v>
      </c>
      <c r="F135" s="499" t="n">
        <f aca="false">IF(SUM($Y135:$Z135)&gt;0,SUM($Y135:$Z135),IF($H135&gt;0,0,"-"))</f>
        <v>0</v>
      </c>
      <c r="G135" s="499" t="e">
        <f aca="false">IF($H135&gt;0,minus(E135,F135),"-")</f>
        <v>#NAME?</v>
      </c>
      <c r="H135" s="500" t="n">
        <f aca="false">SUM(COUNTIF(MatchSource!$A:$A,$B135),COUNTIF(MatchSource!$H:$H,$B135))</f>
        <v>8</v>
      </c>
      <c r="I135" s="501" t="n">
        <f aca="false">SUM($AA135:$AB135)</f>
        <v>0</v>
      </c>
      <c r="J135" s="501" t="s">
        <v>698</v>
      </c>
      <c r="K135" s="512" t="n">
        <f aca="false" t="array" ref="K135:K135">IF(ISNA(INDEX(DraftRosters!$AA$3:$AA$199,MATCH($B135,DraftRosters!$AB$3:$AB$199,0))),"FA",IF(INDEX(DraftRosters!$AA$3:$AA$199,MATCH($B135,DraftRosters!$AB$3:$AB$199,0))="Franchise","Franch",INDEX(DraftRosters!$AA$3:$AA$199,MATCH($B135,DraftRosters!$AB$3:$AB$199,0))))</f>
        <v>27</v>
      </c>
      <c r="L135" s="507" t="n">
        <v>110</v>
      </c>
      <c r="M135" s="507" t="n">
        <v>135</v>
      </c>
      <c r="N135" s="507" t="n">
        <v>60</v>
      </c>
      <c r="O135" s="507" t="n">
        <v>50</v>
      </c>
      <c r="P135" s="507" t="n">
        <v>65</v>
      </c>
      <c r="Q135" s="508" t="n">
        <v>88</v>
      </c>
      <c r="R135" s="499" t="s">
        <v>907</v>
      </c>
      <c r="S135" s="501" t="s">
        <v>810</v>
      </c>
      <c r="T135" s="504" t="s">
        <v>848</v>
      </c>
      <c r="U135" s="505" t="s">
        <v>967</v>
      </c>
      <c r="V135" s="506" t="s">
        <v>959</v>
      </c>
      <c r="W135" s="500" t="str">
        <f aca="false">IFERROR(__xludf.dummyfunction("if(isna(SUM(FILTER(MatchSource!$A:$D,MatchSource!$A:$A=$B135))),0,SUM(FILTER(MatchSource!$A:$D,MatchSource!$A:$A=$B135)))"),"8")</f>
        <v>8</v>
      </c>
      <c r="X135" s="499" t="str">
        <f aca="false">IFERROR(__xludf.dummyfunction("if(isna(SUM(FILTER(MatchSource!$H:$K,MatchSource!$H:$H=$B135))),0,SUM(FILTER(MatchSource!$H:$K,MatchSource!$H:$H=$B135)))"),"5")</f>
        <v>5</v>
      </c>
      <c r="Y135" s="499" t="str">
        <f aca="false">IFERROR(__xludf.dummyfunction("if(isna(ABS(MINUS(SUM(FILTER(MatchSource!$A:$E,MatchSource!$A:$A=$B135)),SUM($W135)))),0,ABS(MINUS(SUM(FILTER(MatchSource!$A:$E,MatchSource!$A:$A=$B135)),SUM($W135))))"),"5")</f>
        <v>5</v>
      </c>
      <c r="Z135" s="499" t="str">
        <f aca="false">IFERROR(__xludf.dummyfunction("if(isna(ABS(MINUS(SUM(FILTER(MatchSource!$H:$L,MatchSource!$H:$H=$B135)),SUM($X135)))),0,ABS(MINUS(SUM(FILTER(MatchSource!$H:$L,MatchSource!$H:$H=$B135)),SUM($X135))))"),"0")</f>
        <v>0</v>
      </c>
      <c r="AA135" s="499" t="str">
        <f aca="false">IFERROR(__xludf.dummyfunction("if(isna(ABS(MINUS(SUM(FILTER(MatchSource!$A:$F,MatchSource!$A:$A=$B135)),SUM($W135,$Y135)))),0,ABS(MINUS(SUM(FILTER(MatchSource!$A:$F,MatchSource!$A:$A=$B135)),SUM($W135, $Y135,))))"),"5")</f>
        <v>5</v>
      </c>
      <c r="AB135" s="501" t="str">
        <f aca="false">IFERROR(__xludf.dummyfunction("if(isna(ABS(MINUS(SUM(FILTER(MatchSource!$H:$M,MatchSource!$H:$H=$B135)),SUM($X135,$Z135)))),0,ABS(MINUS(SUM(FILTER(MatchSource!$H:$M,MatchSource!$H:$H=$B135)),SUM($X135,$Z135))))"),"2")</f>
        <v>2</v>
      </c>
      <c r="AC135" s="507" t="n">
        <f aca="false">SUM(IF(OR($R135="Grass",$R135="Psychic",$R135="Dark"),0-1,IF(OR($R135="Fighting",$R135="Flying",$R135="Fire",$R135="Ghost",$R135="Poison",$R135="Steel",$R135="Fairy"),1,0)),IF(OR($S135="Grass",$S135="Psychic",$S135="Dark"),0-1,IF(OR($S135="Fighting",$S135="Flying",$S135="Fire",$S135="Ghost",$S135="Poison",$S135="Steel",$S135="Fairy"),1,0)))</f>
        <v>1</v>
      </c>
      <c r="AD135" s="507" t="n">
        <f aca="false">SUM(IF(OR($R135="Ghost",$R135="Psychic"),0-1,IF(OR($R135="Fighting",$R135="Dark",$R135="Fairy"),1,0)),IF(OR($S135="Ghost",$S135="Psychic"),0-1,IF(OR($S135="Fighting",$S135="Dark",$S135="Fairy"),1,0)))</f>
        <v>0</v>
      </c>
      <c r="AE135" s="507" t="n">
        <f aca="false">IF(OR($R135="Fairy",$S135="Fairy"),4,SUM(IF($R135="Dragon",0-1,IF($R135="Steel",1,0)),IF($S135="Dragon",0-1,IF($S135="Steel",1,0))))</f>
        <v>1</v>
      </c>
      <c r="AF135" s="507" t="n">
        <f aca="false">IF(OR($R135="Ground",$S135="Ground"),4,SUM(IF(OR($R135="Flying",$R135="Water"),0-1,IF(OR($R135="Dragon",$R135="Electric",$R135="Grass"),1,0)),IF(OR($S135="Flying",$S135="Water"),0-1,IF(OR($S135="Dragon",$S135="Electric",$S135="Grass"),1,0))))</f>
        <v>4</v>
      </c>
      <c r="AG135" s="507" t="n">
        <f aca="false">SUM(IF(OR($R135="Dark",$R135="Dragon",$R135="Fighting"),0-1,IF(OR($R135="Steel",$R135="Poison",$R135="Fire"),1,0)),IF(OR($S135="Dark",$S135="Dragon",$S135="Fighting"),0-1,IF(OR($S135="Steel",$S135="Poison",$S135="Fire"),1,0)))</f>
        <v>1</v>
      </c>
      <c r="AH135" s="507" t="n">
        <f aca="false">IF(OR($R135="Ghost",$S135="Ghost"),4,SUM(IF(OR($R135="Dark",$R135="Ice",$R135="Normal",$R135="Rock",$R135="Steel"),0-1,IF(OR($R135="Bug",$R135="Fairy",$R135="Flying",$R135="Poison",$R135="Psychic"),1,0)),IF(OR($S135="Dark",$S135="Ice",$S135="Normal",$S135="Rock",$S135="Steel"),0-1,IF(OR($S135="Bug",$S135="Fairy",$S135="Flying",$S135="Poison",$S135="Psychic"),1,0))))</f>
        <v>-1</v>
      </c>
      <c r="AI135" s="507" t="n">
        <f aca="false">SUM(IF(OR($R135="Bug",$R135="Grass",$R135="Ice",$R135="Steel"),0-1,IF(OR($R135="Dragon",$R135="Fire",$R135="Rock",$R135="Water"),1,0)),IF(OR($S135="Bug",$S135="Grass",$S135="Ice",$S135="Steel"),0-1,IF(OR($S135="Dragon",$S135="Fire",$S135="Rock",$S135="Water"),1,0)))</f>
        <v>-1</v>
      </c>
      <c r="AJ135" s="507" t="n">
        <f aca="false">SUM(IF(OR($R135="Bug",$R135="Grass",$R135="Fighting"),0-1,IF(OR($R135="Electric",$R135="Rock",$R135="Steel"),1,0)),IF(OR($S135="Bug",$S135="Grass",$S135="Fighting"),0-1,IF(OR($S135="Electric",$S135="Rock",$S135="Steel"),1,0)))</f>
        <v>1</v>
      </c>
      <c r="AK135" s="507" t="n">
        <f aca="false">IF(OR($R135="Normal",$S135="Normal"),4,SUM(IF(OR($R135="Ghost",$R135="Psychic"),0-1,IF($R135="Dark",1,0)),IF(OR($S135="Ghost",$S135="Psychic"),0-1,IF($S135="Dark",1,0))))</f>
        <v>0</v>
      </c>
      <c r="AL135" s="507" t="n">
        <f aca="false">SUM(IF(OR($R135="Ground",$R135="Rock",$R135="Water"),0-1,IF(OR($R135="Bug",$R135="Flying",$R135="Fire",$R135="Dragon",$R135="Poison",$R135="Steel",$R135="Grass"),1,0)),IF(OR($S135="Ground",$S135="Rock",$S135="Water"),0-1,IF(OR($S135="Bug",$S135="Flying",$S135="Fire",$S135="Dragon",$S135="Poison",$S135="Steel",$S135="Grass"),1,0)))</f>
        <v>0</v>
      </c>
      <c r="AM135" s="507" t="n">
        <f aca="false">IF(OR($R135="Flying",$S135="Flying"),4,SUM(IF(OR($R135="Electric",$R135="Fire",$R135="Rock",$R135="Steel",$R135="Poison"),0-1,IF(OR($R135="Bug",$R135="Grass"),1,0)),IF(OR($S135="Electric",$S135="Fire",$S135="Rock",$S135="Steel",$S135="Poison"),0-1,IF(OR($S135="Bug",$S135="Grass"),1,0))))</f>
        <v>-1</v>
      </c>
      <c r="AN135" s="507" t="n">
        <f aca="false">SUM(IF(OR($R135="Flying",$R135="Dragon",$R135="Grass",$R135="Ground"),0-1,IF(OR($R135="Steel",$R135="Ice",$R135="Fire",$R135="Water"),1,0)),IF(OR($S135="Flying",$S135="Dragon",$S135="Grass",$S135="Ground"),0-1,IF(OR($S135="Steel",$S135="Ice",$S135="Fire",$S135="Water"),1,0)))</f>
        <v>0</v>
      </c>
      <c r="AO135" s="507" t="n">
        <f aca="false">IF(OR($R135="Ghost",$S135="Ghost"),4,SUM(IF(OR($R135="Steel",$R135="Rock"),1,0),IF(OR($S135="Steel",$S135="Rock"),1,0)))</f>
        <v>1</v>
      </c>
      <c r="AP135" s="507" t="n">
        <f aca="false">IF(OR($R135="Steel",$S135="Steel"),4,SUM(IF(OR($R135="Fairy",$R135="Grass"),0-1,IF(OR($R135="Ghost",$R135="Rock",$R135="Ground",$R135="Poison"),1,0)),IF(OR($S135="Fairy",$S135="Grass"),0-1,IF(OR($S135="Ghost",$S135="Rock",$S135="Ground",$S135="Poison"),1,0))))</f>
        <v>4</v>
      </c>
      <c r="AQ135" s="507" t="n">
        <f aca="false">IF(OR($R135="Dark",$S135="Dark"),4,SUM(IF(OR($R135="Fighting",$R135="Poison"),0-1,IF(OR($R135="Psychic",$R135="Steel"),1,0)),IF(OR($S135="Fighting",$S135="Poison"),0-1,IF(OR($S135="Psychic",$S135="Steel"),1,0))))</f>
        <v>1</v>
      </c>
      <c r="AR135" s="507" t="n">
        <f aca="false">SUM(IF(OR($R135="Bug",$R135="Fire",$R135="Flying",$R135="Ice"),0-1,IF(OR($R135="Steel",$R135="Fighting",$R135="Ground"),1,0)),IF(OR($S135="Bug",$S135="Fire",$S135="Flying",$S135="Ice"),0-1,IF(OR($S135="Steel",$S135="Fighting",$S135="Ground"),1,0)))</f>
        <v>2</v>
      </c>
      <c r="AS135" s="507" t="n">
        <f aca="false">SUM(IF(OR($R135="Fairy",$R135="Ice",$R135="Rock"),0-1,IF(OR($R135="Steel",$R135="Electric",$R135="Fire",$R135="Water"),1,0)),IF(OR($S135="Fairy",$S135="Ice",$S135="Rock"),0-1,IF(OR($S135="Steel",$S135="Electric",$S135="Fire",$S135="Water"),1,0)))</f>
        <v>1</v>
      </c>
      <c r="AT135" s="508" t="n">
        <f aca="false">SUM(IF(OR($R135="Fire",$R135="Ground",$R135="Rock"),0-1,IF(OR($R135="Dragon",$R135="Grass",$R135="Water"),1,0)),IF(OR($S135="Fire",$S135="Ground",$S135="Rock"),0-1,IF(OR($S135="Dragon",$S135="Grass",$S135="Water"),1,0)))</f>
        <v>-1</v>
      </c>
      <c r="AU135" s="518"/>
    </row>
    <row r="136" customFormat="false" ht="15.75" hidden="false" customHeight="false" outlineLevel="0" collapsed="false">
      <c r="A136" s="510" t="str">
        <f aca="false" t="array" ref="A136:A136">IF(ISNA(INDEX(Source!$U$7:$U$95,MATCH(B136,Source!$V$7:$V$95,0))),"FREE",INDEX(Source!$U$7:$U$95,MATCH(B136,Source!$V$7:$V$95,0)))</f>
        <v>FREE</v>
      </c>
      <c r="B136" s="511" t="s">
        <v>546</v>
      </c>
      <c r="C136" s="511"/>
      <c r="D136" s="511"/>
      <c r="E136" s="499" t="str">
        <f aca="false">IF(SUM($W136:$X136)&gt;0,SUM($W136:$X136),IF($H136&gt;0,0,IF($H136&gt;0,0,"-")))</f>
        <v>-</v>
      </c>
      <c r="F136" s="499" t="str">
        <f aca="false">IF(SUM($Y136:$Z136)&gt;0,SUM($Y136:$Z136),IF($H136&gt;0,0,"-"))</f>
        <v>-</v>
      </c>
      <c r="G136" s="499" t="str">
        <f aca="false">IF($H136&gt;0,minus(E136,F136),"-")</f>
        <v>-</v>
      </c>
      <c r="H136" s="500" t="n">
        <f aca="false">SUM(COUNTIF(MatchSource!$A:$A,$B136),COUNTIF(MatchSource!$H:$H,$B136))</f>
        <v>0</v>
      </c>
      <c r="I136" s="501" t="n">
        <f aca="false">SUM($AA136:$AB136)</f>
        <v>0</v>
      </c>
      <c r="J136" s="501" t="s">
        <v>702</v>
      </c>
      <c r="K136" s="512" t="str">
        <f aca="false" t="array" ref="K136:K136">IF(ISNA(INDEX(DraftRosters!$AA$3:$AA$199,MATCH($B136,DraftRosters!$AB$3:$AB$199,0))),"FA",IF(INDEX(DraftRosters!$AA$3:$AA$199,MATCH($B136,DraftRosters!$AB$3:$AB$199,0))="Franchise","Franch",INDEX(DraftRosters!$AA$3:$AA$199,MATCH($B136,DraftRosters!$AB$3:$AB$199,0))))</f>
        <v>FA</v>
      </c>
      <c r="L136" s="507" t="n">
        <v>95</v>
      </c>
      <c r="M136" s="507" t="n">
        <v>95</v>
      </c>
      <c r="N136" s="507" t="n">
        <v>85</v>
      </c>
      <c r="O136" s="507" t="n">
        <v>125</v>
      </c>
      <c r="P136" s="507" t="n">
        <v>75</v>
      </c>
      <c r="Q136" s="508" t="n">
        <v>55</v>
      </c>
      <c r="R136" s="499" t="s">
        <v>803</v>
      </c>
      <c r="S136" s="501" t="s">
        <v>828</v>
      </c>
      <c r="T136" s="504" t="s">
        <v>880</v>
      </c>
      <c r="U136" s="505" t="s">
        <v>968</v>
      </c>
      <c r="V136" s="506"/>
      <c r="W136" s="500" t="str">
        <f aca="false">IFERROR(__xludf.dummyfunction("if(isna(SUM(FILTER(MatchSource!$A:$D,MatchSource!$A:$A=$B136))),0,SUM(FILTER(MatchSource!$A:$D,MatchSource!$A:$A=$B136)))"),"0")</f>
        <v>0</v>
      </c>
      <c r="X136" s="499" t="str">
        <f aca="false">IFERROR(__xludf.dummyfunction("if(isna(SUM(FILTER(MatchSource!$H:$K,MatchSource!$H:$H=$B136))),0,SUM(FILTER(MatchSource!$H:$K,MatchSource!$H:$H=$B136)))"),"0")</f>
        <v>0</v>
      </c>
      <c r="Y136" s="499" t="str">
        <f aca="false">IFERROR(__xludf.dummyfunction("if(isna(ABS(MINUS(SUM(FILTER(MatchSource!$A:$E,MatchSource!$A:$A=$B136)),SUM($W136)))),0,ABS(MINUS(SUM(FILTER(MatchSource!$A:$E,MatchSource!$A:$A=$B136)),SUM($W136))))"),"0")</f>
        <v>0</v>
      </c>
      <c r="Z136" s="499" t="str">
        <f aca="false">IFERROR(__xludf.dummyfunction("if(isna(ABS(MINUS(SUM(FILTER(MatchSource!$H:$L,MatchSource!$H:$H=$B136)),SUM($X136)))),0,ABS(MINUS(SUM(FILTER(MatchSource!$H:$L,MatchSource!$H:$H=$B136)),SUM($X136))))"),"0")</f>
        <v>0</v>
      </c>
      <c r="AA136" s="499" t="str">
        <f aca="false">IFERROR(__xludf.dummyfunction("if(isna(ABS(MINUS(SUM(FILTER(MatchSource!$A:$F,MatchSource!$A:$A=$B136)),SUM($W136,$Y136)))),0,ABS(MINUS(SUM(FILTER(MatchSource!$A:$F,MatchSource!$A:$A=$B136)),SUM($W136, $Y136,))))"),"0")</f>
        <v>0</v>
      </c>
      <c r="AB136" s="501" t="str">
        <f aca="false">IFERROR(__xludf.dummyfunction("if(isna(ABS(MINUS(SUM(FILTER(MatchSource!$H:$M,MatchSource!$H:$H=$B136)),SUM($X136,$Z136)))),0,ABS(MINUS(SUM(FILTER(MatchSource!$H:$M,MatchSource!$H:$H=$B136)),SUM($X136,$Z136))))"),"0")</f>
        <v>0</v>
      </c>
      <c r="AC136" s="507" t="n">
        <f aca="false">SUM(IF(OR($R136="Grass",$R136="Psychic",$R136="Dark"),0-1,IF(OR($R136="Fighting",$R136="Flying",$R136="Fire",$R136="Ghost",$R136="Poison",$R136="Steel",$R136="Fairy"),1,0)),IF(OR($S136="Grass",$S136="Psychic",$S136="Dark"),0-1,IF(OR($S136="Fighting",$S136="Flying",$S136="Fire",$S136="Ghost",$S136="Poison",$S136="Steel",$S136="Fairy"),1,0)))</f>
        <v>-2</v>
      </c>
      <c r="AD136" s="507" t="n">
        <f aca="false">SUM(IF(OR($R136="Ghost",$R136="Psychic"),0-1,IF(OR($R136="Fighting",$R136="Dark",$R136="Fairy"),1,0)),IF(OR($S136="Ghost",$S136="Psychic"),0-1,IF(OR($S136="Fighting",$S136="Dark",$S136="Fairy"),1,0)))</f>
        <v>-1</v>
      </c>
      <c r="AE136" s="507" t="n">
        <f aca="false">IF(OR($R136="Fairy",$S136="Fairy"),4,SUM(IF($R136="Dragon",0-1,IF($R136="Steel",1,0)),IF($S136="Dragon",0-1,IF($S136="Steel",1,0))))</f>
        <v>0</v>
      </c>
      <c r="AF136" s="507" t="n">
        <f aca="false">IF(OR($R136="Ground",$S136="Ground"),4,SUM(IF(OR($R136="Flying",$R136="Water"),0-1,IF(OR($R136="Dragon",$R136="Electric",$R136="Grass"),1,0)),IF(OR($S136="Flying",$S136="Water"),0-1,IF(OR($S136="Dragon",$S136="Electric",$S136="Grass"),1,0))))</f>
        <v>1</v>
      </c>
      <c r="AG136" s="507" t="n">
        <f aca="false">SUM(IF(OR($R136="Dark",$R136="Dragon",$R136="Fighting"),0-1,IF(OR($R136="Steel",$R136="Poison",$R136="Fire"),1,0)),IF(OR($S136="Dark",$S136="Dragon",$S136="Fighting"),0-1,IF(OR($S136="Steel",$S136="Poison",$S136="Fire"),1,0)))</f>
        <v>0</v>
      </c>
      <c r="AH136" s="507" t="n">
        <f aca="false">IF(OR($R136="Ghost",$S136="Ghost"),4,SUM(IF(OR($R136="Dark",$R136="Ice",$R136="Normal",$R136="Rock",$R136="Steel"),0-1,IF(OR($R136="Bug",$R136="Fairy",$R136="Flying",$R136="Poison",$R136="Psychic"),1,0)),IF(OR($S136="Dark",$S136="Ice",$S136="Normal",$S136="Rock",$S136="Steel"),0-1,IF(OR($S136="Bug",$S136="Fairy",$S136="Flying",$S136="Poison",$S136="Psychic"),1,0))))</f>
        <v>1</v>
      </c>
      <c r="AI136" s="507" t="n">
        <f aca="false">SUM(IF(OR($R136="Bug",$R136="Grass",$R136="Ice",$R136="Steel"),0-1,IF(OR($R136="Dragon",$R136="Fire",$R136="Rock",$R136="Water"),1,0)),IF(OR($S136="Bug",$S136="Grass",$S136="Ice",$S136="Steel"),0-1,IF(OR($S136="Dragon",$S136="Fire",$S136="Rock",$S136="Water"),1,0)))</f>
        <v>-1</v>
      </c>
      <c r="AJ136" s="507" t="n">
        <f aca="false">SUM(IF(OR($R136="Bug",$R136="Grass",$R136="Fighting"),0-1,IF(OR($R136="Electric",$R136="Rock",$R136="Steel"),1,0)),IF(OR($S136="Bug",$S136="Grass",$S136="Fighting"),0-1,IF(OR($S136="Electric",$S136="Rock",$S136="Steel"),1,0)))</f>
        <v>-1</v>
      </c>
      <c r="AK136" s="507" t="n">
        <f aca="false">IF(OR($R136="Normal",$S136="Normal"),4,SUM(IF(OR($R136="Ghost",$R136="Psychic"),0-1,IF($R136="Dark",1,0)),IF(OR($S136="Ghost",$S136="Psychic"),0-1,IF($S136="Dark",1,0))))</f>
        <v>-1</v>
      </c>
      <c r="AL136" s="507" t="n">
        <f aca="false">SUM(IF(OR($R136="Ground",$R136="Rock",$R136="Water"),0-1,IF(OR($R136="Bug",$R136="Flying",$R136="Fire",$R136="Dragon",$R136="Poison",$R136="Steel",$R136="Grass"),1,0)),IF(OR($S136="Ground",$S136="Rock",$S136="Water"),0-1,IF(OR($S136="Bug",$S136="Flying",$S136="Fire",$S136="Dragon",$S136="Poison",$S136="Steel",$S136="Grass"),1,0)))</f>
        <v>1</v>
      </c>
      <c r="AM136" s="507" t="n">
        <f aca="false">IF(OR($R136="Flying",$S136="Flying"),4,SUM(IF(OR($R136="Electric",$R136="Fire",$R136="Rock",$R136="Steel",$R136="Poison"),0-1,IF(OR($R136="Bug",$R136="Grass"),1,0)),IF(OR($S136="Electric",$S136="Fire",$S136="Rock",$S136="Steel",$S136="Poison"),0-1,IF(OR($S136="Bug",$S136="Grass"),1,0))))</f>
        <v>1</v>
      </c>
      <c r="AN136" s="507" t="n">
        <f aca="false">SUM(IF(OR($R136="Flying",$R136="Dragon",$R136="Grass",$R136="Ground"),0-1,IF(OR($R136="Steel",$R136="Ice",$R136="Fire",$R136="Water"),1,0)),IF(OR($S136="Flying",$S136="Dragon",$S136="Grass",$S136="Ground"),0-1,IF(OR($S136="Steel",$S136="Ice",$S136="Fire",$S136="Water"),1,0)))</f>
        <v>-1</v>
      </c>
      <c r="AO136" s="507" t="n">
        <f aca="false">IF(OR($R136="Ghost",$S136="Ghost"),4,SUM(IF(OR($R136="Steel",$R136="Rock"),1,0),IF(OR($S136="Steel",$S136="Rock"),1,0)))</f>
        <v>0</v>
      </c>
      <c r="AP136" s="507" t="n">
        <f aca="false">IF(OR($R136="Steel",$S136="Steel"),4,SUM(IF(OR($R136="Fairy",$R136="Grass"),0-1,IF(OR($R136="Ghost",$R136="Rock",$R136="Ground",$R136="Poison"),1,0)),IF(OR($S136="Fairy",$S136="Grass"),0-1,IF(OR($S136="Ghost",$S136="Rock",$S136="Ground",$S136="Poison"),1,0))))</f>
        <v>-1</v>
      </c>
      <c r="AQ136" s="507" t="n">
        <f aca="false">IF(OR($R136="Dark",$S136="Dark"),4,SUM(IF(OR($R136="Fighting",$R136="Poison"),0-1,IF(OR($R136="Psychic",$R136="Steel"),1,0)),IF(OR($S136="Fighting",$S136="Poison"),0-1,IF(OR($S136="Psychic",$S136="Steel"),1,0))))</f>
        <v>1</v>
      </c>
      <c r="AR136" s="507" t="n">
        <f aca="false">SUM(IF(OR($R136="Bug",$R136="Fire",$R136="Flying",$R136="Ice"),0-1,IF(OR($R136="Steel",$R136="Fighting",$R136="Ground"),1,0)),IF(OR($S136="Bug",$S136="Fire",$S136="Flying",$S136="Ice"),0-1,IF(OR($S136="Steel",$S136="Fighting",$S136="Ground"),1,0)))</f>
        <v>0</v>
      </c>
      <c r="AS136" s="507" t="n">
        <f aca="false">SUM(IF(OR($R136="Fairy",$R136="Ice",$R136="Rock"),0-1,IF(OR($R136="Steel",$R136="Electric",$R136="Fire",$R136="Water"),1,0)),IF(OR($S136="Fairy",$S136="Ice",$S136="Rock"),0-1,IF(OR($S136="Steel",$S136="Electric",$S136="Fire",$S136="Water"),1,0)))</f>
        <v>0</v>
      </c>
      <c r="AT136" s="508" t="n">
        <f aca="false">SUM(IF(OR($R136="Fire",$R136="Ground",$R136="Rock"),0-1,IF(OR($R136="Dragon",$R136="Grass",$R136="Water"),1,0)),IF(OR($S136="Fire",$S136="Ground",$S136="Rock"),0-1,IF(OR($S136="Dragon",$S136="Grass",$S136="Water"),1,0)))</f>
        <v>1</v>
      </c>
      <c r="AU136" s="518"/>
    </row>
    <row r="137" customFormat="false" ht="15.75" hidden="false" customHeight="false" outlineLevel="0" collapsed="false">
      <c r="A137" s="510" t="str">
        <f aca="false" t="array" ref="A137:A137">IF(ISNA(INDEX(Source!$U$7:$U$95,MATCH(B137,Source!$V$7:$V$95,0))),"FREE",INDEX(Source!$U$7:$U$95,MATCH(B137,Source!$V$7:$V$95,0)))</f>
        <v>SEA</v>
      </c>
      <c r="B137" s="511" t="s">
        <v>113</v>
      </c>
      <c r="C137" s="511"/>
      <c r="D137" s="511"/>
      <c r="E137" s="499" t="n">
        <f aca="false">IF(SUM($W137:$X137)&gt;0,SUM($W137:$X137),IF($H137&gt;0,0,IF($H137&gt;0,0,"-")))</f>
        <v>0</v>
      </c>
      <c r="F137" s="499" t="n">
        <f aca="false">IF(SUM($Y137:$Z137)&gt;0,SUM($Y137:$Z137),IF($H137&gt;0,0,"-"))</f>
        <v>0</v>
      </c>
      <c r="G137" s="499" t="e">
        <f aca="false">IF($H137&gt;0,minus(E137,F137),"-")</f>
        <v>#NAME?</v>
      </c>
      <c r="H137" s="500" t="n">
        <f aca="false">SUM(COUNTIF(MatchSource!$A:$A,$B137),COUNTIF(MatchSource!$H:$H,$B137))</f>
        <v>2</v>
      </c>
      <c r="I137" s="501" t="n">
        <f aca="false">SUM($AA137:$AB137)</f>
        <v>0</v>
      </c>
      <c r="J137" s="501" t="s">
        <v>702</v>
      </c>
      <c r="K137" s="512" t="n">
        <f aca="false" t="array" ref="K137:K137">IF(ISNA(INDEX(DraftRosters!$AA$3:$AA$199,MATCH($B137,DraftRosters!$AB$3:$AB$199,0))),"FA",IF(INDEX(DraftRosters!$AA$3:$AA$199,MATCH($B137,DraftRosters!$AB$3:$AB$199,0))="Franchise","Franch",INDEX(DraftRosters!$AA$3:$AA$199,MATCH($B137,DraftRosters!$AB$3:$AB$199,0))))</f>
        <v>36</v>
      </c>
      <c r="L137" s="507" t="n">
        <v>95</v>
      </c>
      <c r="M137" s="507" t="n">
        <v>105</v>
      </c>
      <c r="N137" s="507" t="n">
        <v>85</v>
      </c>
      <c r="O137" s="507" t="n">
        <v>125</v>
      </c>
      <c r="P137" s="507" t="n">
        <v>75</v>
      </c>
      <c r="Q137" s="508" t="n">
        <v>45</v>
      </c>
      <c r="R137" s="499" t="s">
        <v>835</v>
      </c>
      <c r="S137" s="501" t="s">
        <v>803</v>
      </c>
      <c r="T137" s="504" t="s">
        <v>968</v>
      </c>
      <c r="U137" s="505" t="s">
        <v>871</v>
      </c>
      <c r="V137" s="506"/>
      <c r="W137" s="500" t="str">
        <f aca="false">IFERROR(__xludf.dummyfunction("if(isna(SUM(FILTER(MatchSource!$A:$D,MatchSource!$A:$A=$B137))),0,SUM(FILTER(MatchSource!$A:$D,MatchSource!$A:$A=$B137)))"),"1")</f>
        <v>1</v>
      </c>
      <c r="X137" s="499" t="str">
        <f aca="false">IFERROR(__xludf.dummyfunction("if(isna(SUM(FILTER(MatchSource!$H:$K,MatchSource!$H:$H=$B137))),0,SUM(FILTER(MatchSource!$H:$K,MatchSource!$H:$H=$B137)))"),"1")</f>
        <v>1</v>
      </c>
      <c r="Y137" s="499" t="str">
        <f aca="false">IFERROR(__xludf.dummyfunction("if(isna(ABS(MINUS(SUM(FILTER(MatchSource!$A:$E,MatchSource!$A:$A=$B137)),SUM($W137)))),0,ABS(MINUS(SUM(FILTER(MatchSource!$A:$E,MatchSource!$A:$A=$B137)),SUM($W137))))"),"1")</f>
        <v>1</v>
      </c>
      <c r="Z137" s="499" t="str">
        <f aca="false">IFERROR(__xludf.dummyfunction("if(isna(ABS(MINUS(SUM(FILTER(MatchSource!$H:$L,MatchSource!$H:$H=$B137)),SUM($X137)))),0,ABS(MINUS(SUM(FILTER(MatchSource!$H:$L,MatchSource!$H:$H=$B137)),SUM($X137))))"),"1")</f>
        <v>1</v>
      </c>
      <c r="AA137" s="499" t="str">
        <f aca="false">IFERROR(__xludf.dummyfunction("if(isna(ABS(MINUS(SUM(FILTER(MatchSource!$A:$F,MatchSource!$A:$A=$B137)),SUM($W137,$Y137)))),0,ABS(MINUS(SUM(FILTER(MatchSource!$A:$F,MatchSource!$A:$A=$B137)),SUM($W137, $Y137,))))"),"0")</f>
        <v>0</v>
      </c>
      <c r="AB137" s="501" t="str">
        <f aca="false">IFERROR(__xludf.dummyfunction("if(isna(ABS(MINUS(SUM(FILTER(MatchSource!$H:$M,MatchSource!$H:$H=$B137)),SUM($X137,$Z137)))),0,ABS(MINUS(SUM(FILTER(MatchSource!$H:$M,MatchSource!$H:$H=$B137)),SUM($X137,$Z137))))"),"0")</f>
        <v>0</v>
      </c>
      <c r="AC137" s="507" t="n">
        <f aca="false">SUM(IF(OR($R137="Grass",$R137="Psychic",$R137="Dark"),0-1,IF(OR($R137="Fighting",$R137="Flying",$R137="Fire",$R137="Ghost",$R137="Poison",$R137="Steel",$R137="Fairy"),1,0)),IF(OR($S137="Grass",$S137="Psychic",$S137="Dark"),0-1,IF(OR($S137="Fighting",$S137="Flying",$S137="Fire",$S137="Ghost",$S137="Poison",$S137="Steel",$S137="Fairy"),1,0)))</f>
        <v>-1</v>
      </c>
      <c r="AD137" s="507" t="n">
        <f aca="false">SUM(IF(OR($R137="Ghost",$R137="Psychic"),0-1,IF(OR($R137="Fighting",$R137="Dark",$R137="Fairy"),1,0)),IF(OR($S137="Ghost",$S137="Psychic"),0-1,IF(OR($S137="Fighting",$S137="Dark",$S137="Fairy"),1,0)))</f>
        <v>0</v>
      </c>
      <c r="AE137" s="507" t="n">
        <f aca="false">IF(OR($R137="Fairy",$S137="Fairy"),4,SUM(IF($R137="Dragon",0-1,IF($R137="Steel",1,0)),IF($S137="Dragon",0-1,IF($S137="Steel",1,0))))</f>
        <v>-1</v>
      </c>
      <c r="AF137" s="507" t="n">
        <f aca="false">IF(OR($R137="Ground",$S137="Ground"),4,SUM(IF(OR($R137="Flying",$R137="Water"),0-1,IF(OR($R137="Dragon",$R137="Electric",$R137="Grass"),1,0)),IF(OR($S137="Flying",$S137="Water"),0-1,IF(OR($S137="Dragon",$S137="Electric",$S137="Grass"),1,0))))</f>
        <v>2</v>
      </c>
      <c r="AG137" s="507" t="n">
        <f aca="false">SUM(IF(OR($R137="Dark",$R137="Dragon",$R137="Fighting"),0-1,IF(OR($R137="Steel",$R137="Poison",$R137="Fire"),1,0)),IF(OR($S137="Dark",$S137="Dragon",$S137="Fighting"),0-1,IF(OR($S137="Steel",$S137="Poison",$S137="Fire"),1,0)))</f>
        <v>-1</v>
      </c>
      <c r="AH137" s="507" t="n">
        <f aca="false">IF(OR($R137="Ghost",$S137="Ghost"),4,SUM(IF(OR($R137="Dark",$R137="Ice",$R137="Normal",$R137="Rock",$R137="Steel"),0-1,IF(OR($R137="Bug",$R137="Fairy",$R137="Flying",$R137="Poison",$R137="Psychic"),1,0)),IF(OR($S137="Dark",$S137="Ice",$S137="Normal",$S137="Rock",$S137="Steel"),0-1,IF(OR($S137="Bug",$S137="Fairy",$S137="Flying",$S137="Poison",$S137="Psychic"),1,0))))</f>
        <v>0</v>
      </c>
      <c r="AI137" s="507" t="n">
        <f aca="false">SUM(IF(OR($R137="Bug",$R137="Grass",$R137="Ice",$R137="Steel"),0-1,IF(OR($R137="Dragon",$R137="Fire",$R137="Rock",$R137="Water"),1,0)),IF(OR($S137="Bug",$S137="Grass",$S137="Ice",$S137="Steel"),0-1,IF(OR($S137="Dragon",$S137="Fire",$S137="Rock",$S137="Water"),1,0)))</f>
        <v>0</v>
      </c>
      <c r="AJ137" s="507" t="n">
        <f aca="false">SUM(IF(OR($R137="Bug",$R137="Grass",$R137="Fighting"),0-1,IF(OR($R137="Electric",$R137="Rock",$R137="Steel"),1,0)),IF(OR($S137="Bug",$S137="Grass",$S137="Fighting"),0-1,IF(OR($S137="Electric",$S137="Rock",$S137="Steel"),1,0)))</f>
        <v>-1</v>
      </c>
      <c r="AK137" s="507" t="n">
        <f aca="false">IF(OR($R137="Normal",$S137="Normal"),4,SUM(IF(OR($R137="Ghost",$R137="Psychic"),0-1,IF($R137="Dark",1,0)),IF(OR($S137="Ghost",$S137="Psychic"),0-1,IF($S137="Dark",1,0))))</f>
        <v>0</v>
      </c>
      <c r="AL137" s="507" t="n">
        <f aca="false">SUM(IF(OR($R137="Ground",$R137="Rock",$R137="Water"),0-1,IF(OR($R137="Bug",$R137="Flying",$R137="Fire",$R137="Dragon",$R137="Poison",$R137="Steel",$R137="Grass"),1,0)),IF(OR($S137="Ground",$S137="Rock",$S137="Water"),0-1,IF(OR($S137="Bug",$S137="Flying",$S137="Fire",$S137="Dragon",$S137="Poison",$S137="Steel",$S137="Grass"),1,0)))</f>
        <v>2</v>
      </c>
      <c r="AM137" s="507" t="n">
        <f aca="false">IF(OR($R137="Flying",$S137="Flying"),4,SUM(IF(OR($R137="Electric",$R137="Fire",$R137="Rock",$R137="Steel",$R137="Poison"),0-1,IF(OR($R137="Bug",$R137="Grass"),1,0)),IF(OR($S137="Electric",$S137="Fire",$S137="Rock",$S137="Steel",$S137="Poison"),0-1,IF(OR($S137="Bug",$S137="Grass"),1,0))))</f>
        <v>1</v>
      </c>
      <c r="AN137" s="507" t="n">
        <f aca="false">SUM(IF(OR($R137="Flying",$R137="Dragon",$R137="Grass",$R137="Ground"),0-1,IF(OR($R137="Steel",$R137="Ice",$R137="Fire",$R137="Water"),1,0)),IF(OR($S137="Flying",$S137="Dragon",$S137="Grass",$S137="Ground"),0-1,IF(OR($S137="Steel",$S137="Ice",$S137="Fire",$S137="Water"),1,0)))</f>
        <v>-2</v>
      </c>
      <c r="AO137" s="507" t="n">
        <f aca="false">IF(OR($R137="Ghost",$S137="Ghost"),4,SUM(IF(OR($R137="Steel",$R137="Rock"),1,0),IF(OR($S137="Steel",$S137="Rock"),1,0)))</f>
        <v>0</v>
      </c>
      <c r="AP137" s="507" t="n">
        <f aca="false">IF(OR($R137="Steel",$S137="Steel"),4,SUM(IF(OR($R137="Fairy",$R137="Grass"),0-1,IF(OR($R137="Ghost",$R137="Rock",$R137="Ground",$R137="Poison"),1,0)),IF(OR($S137="Fairy",$S137="Grass"),0-1,IF(OR($S137="Ghost",$S137="Rock",$S137="Ground",$S137="Poison"),1,0))))</f>
        <v>-1</v>
      </c>
      <c r="AQ137" s="507" t="n">
        <f aca="false">IF(OR($R137="Dark",$S137="Dark"),4,SUM(IF(OR($R137="Fighting",$R137="Poison"),0-1,IF(OR($R137="Psychic",$R137="Steel"),1,0)),IF(OR($S137="Fighting",$S137="Poison"),0-1,IF(OR($S137="Psychic",$S137="Steel"),1,0))))</f>
        <v>0</v>
      </c>
      <c r="AR137" s="507" t="n">
        <f aca="false">SUM(IF(OR($R137="Bug",$R137="Fire",$R137="Flying",$R137="Ice"),0-1,IF(OR($R137="Steel",$R137="Fighting",$R137="Ground"),1,0)),IF(OR($S137="Bug",$S137="Fire",$S137="Flying",$S137="Ice"),0-1,IF(OR($S137="Steel",$S137="Fighting",$S137="Ground"),1,0)))</f>
        <v>0</v>
      </c>
      <c r="AS137" s="507" t="n">
        <f aca="false">SUM(IF(OR($R137="Fairy",$R137="Ice",$R137="Rock"),0-1,IF(OR($R137="Steel",$R137="Electric",$R137="Fire",$R137="Water"),1,0)),IF(OR($S137="Fairy",$S137="Ice",$S137="Rock"),0-1,IF(OR($S137="Steel",$S137="Electric",$S137="Fire",$S137="Water"),1,0)))</f>
        <v>0</v>
      </c>
      <c r="AT137" s="508" t="n">
        <f aca="false">SUM(IF(OR($R137="Fire",$R137="Ground",$R137="Rock"),0-1,IF(OR($R137="Dragon",$R137="Grass",$R137="Water"),1,0)),IF(OR($S137="Fire",$S137="Ground",$S137="Rock"),0-1,IF(OR($S137="Dragon",$S137="Grass",$S137="Water"),1,0)))</f>
        <v>2</v>
      </c>
      <c r="AU137" s="518"/>
    </row>
    <row r="138" customFormat="false" ht="15.75" hidden="false" customHeight="false" outlineLevel="0" collapsed="false">
      <c r="A138" s="510" t="str">
        <f aca="false" t="array" ref="A138:A138">IF(ISNA(INDEX(Source!$U$7:$U$95,MATCH(B138,Source!$V$7:$V$95,0))),"FREE",INDEX(Source!$U$7:$U$95,MATCH(B138,Source!$V$7:$V$95,0)))</f>
        <v>FREE</v>
      </c>
      <c r="B138" s="511" t="s">
        <v>467</v>
      </c>
      <c r="C138" s="511"/>
      <c r="D138" s="511"/>
      <c r="E138" s="499" t="str">
        <f aca="false">IF(SUM($W138:$X138)&gt;0,SUM($W138:$X138),IF($H138&gt;0,0,IF($H138&gt;0,0,"-")))</f>
        <v>-</v>
      </c>
      <c r="F138" s="499" t="str">
        <f aca="false">IF(SUM($Y138:$Z138)&gt;0,SUM($Y138:$Z138),IF($H138&gt;0,0,"-"))</f>
        <v>-</v>
      </c>
      <c r="G138" s="499" t="str">
        <f aca="false">IF($H138&gt;0,minus(E138,F138),"-")</f>
        <v>-</v>
      </c>
      <c r="H138" s="500" t="n">
        <f aca="false">SUM(COUNTIF(MatchSource!$A:$A,$B138),COUNTIF(MatchSource!$H:$H,$B138))</f>
        <v>0</v>
      </c>
      <c r="I138" s="501" t="n">
        <f aca="false">SUM($AA138:$AB138)</f>
        <v>0</v>
      </c>
      <c r="J138" s="501" t="s">
        <v>701</v>
      </c>
      <c r="K138" s="512" t="str">
        <f aca="false" t="array" ref="K138:K138">IF(ISNA(INDEX(DraftRosters!$AA$3:$AA$199,MATCH($B138,DraftRosters!$AB$3:$AB$199,0))),"FA",IF(INDEX(DraftRosters!$AA$3:$AA$199,MATCH($B138,DraftRosters!$AB$3:$AB$199,0))="Franchise","Franch",INDEX(DraftRosters!$AA$3:$AA$199,MATCH($B138,DraftRosters!$AB$3:$AB$199,0))))</f>
        <v>FA</v>
      </c>
      <c r="L138" s="499" t="n">
        <v>104</v>
      </c>
      <c r="M138" s="499" t="n">
        <v>91</v>
      </c>
      <c r="N138" s="499" t="n">
        <v>63</v>
      </c>
      <c r="O138" s="499" t="n">
        <v>91</v>
      </c>
      <c r="P138" s="499" t="n">
        <v>73</v>
      </c>
      <c r="Q138" s="501" t="n">
        <v>68</v>
      </c>
      <c r="R138" s="499" t="s">
        <v>839</v>
      </c>
      <c r="S138" s="501"/>
      <c r="T138" s="504" t="s">
        <v>969</v>
      </c>
      <c r="U138" s="505" t="s">
        <v>814</v>
      </c>
      <c r="V138" s="506"/>
      <c r="W138" s="500" t="str">
        <f aca="false">IFERROR(__xludf.dummyfunction("if(isna(SUM(FILTER(MatchSource!$A:$D,MatchSource!$A:$A=$B138))),0,SUM(FILTER(MatchSource!$A:$D,MatchSource!$A:$A=$B138)))"),"0")</f>
        <v>0</v>
      </c>
      <c r="X138" s="499" t="str">
        <f aca="false">IFERROR(__xludf.dummyfunction("if(isna(SUM(FILTER(MatchSource!$H:$K,MatchSource!$H:$H=$B138))),0,SUM(FILTER(MatchSource!$H:$K,MatchSource!$H:$H=$B138)))"),"0")</f>
        <v>0</v>
      </c>
      <c r="Y138" s="499" t="str">
        <f aca="false">IFERROR(__xludf.dummyfunction("if(isna(ABS(MINUS(SUM(FILTER(MatchSource!$A:$E,MatchSource!$A:$A=$B138)),SUM($W138)))),0,ABS(MINUS(SUM(FILTER(MatchSource!$A:$E,MatchSource!$A:$A=$B138)),SUM($W138))))"),"0")</f>
        <v>0</v>
      </c>
      <c r="Z138" s="499" t="str">
        <f aca="false">IFERROR(__xludf.dummyfunction("if(isna(ABS(MINUS(SUM(FILTER(MatchSource!$H:$L,MatchSource!$H:$H=$B138)),SUM($X138)))),0,ABS(MINUS(SUM(FILTER(MatchSource!$H:$L,MatchSource!$H:$H=$B138)),SUM($X138))))"),"0")</f>
        <v>0</v>
      </c>
      <c r="AA138" s="499" t="str">
        <f aca="false">IFERROR(__xludf.dummyfunction("if(isna(ABS(MINUS(SUM(FILTER(MatchSource!$A:$F,MatchSource!$A:$A=$B138)),SUM($W138,$Y138)))),0,ABS(MINUS(SUM(FILTER(MatchSource!$A:$F,MatchSource!$A:$A=$B138)),SUM($W138, $Y138,))))"),"0")</f>
        <v>0</v>
      </c>
      <c r="AB138" s="501" t="str">
        <f aca="false">IFERROR(__xludf.dummyfunction("if(isna(ABS(MINUS(SUM(FILTER(MatchSource!$H:$M,MatchSource!$H:$H=$B138)),SUM($X138,$Z138)))),0,ABS(MINUS(SUM(FILTER(MatchSource!$H:$M,MatchSource!$H:$H=$B138)),SUM($X138,$Z138))))"),"0")</f>
        <v>0</v>
      </c>
      <c r="AC138" s="507" t="n">
        <f aca="false">SUM(IF(OR($R138="Grass",$R138="Psychic",$R138="Dark"),0-1,IF(OR($R138="Fighting",$R138="Flying",$R138="Fire",$R138="Ghost",$R138="Poison",$R138="Steel",$R138="Fairy"),1,0)),IF(OR($S138="Grass",$S138="Psychic",$S138="Dark"),0-1,IF(OR($S138="Fighting",$S138="Flying",$S138="Fire",$S138="Ghost",$S138="Poison",$S138="Steel",$S138="Fairy"),1,0)))</f>
        <v>0</v>
      </c>
      <c r="AD138" s="507" t="n">
        <f aca="false">SUM(IF(OR($R138="Ghost",$R138="Psychic"),0-1,IF(OR($R138="Fighting",$R138="Dark",$R138="Fairy"),1,0)),IF(OR($S138="Ghost",$S138="Psychic"),0-1,IF(OR($S138="Fighting",$S138="Dark",$S138="Fairy"),1,0)))</f>
        <v>0</v>
      </c>
      <c r="AE138" s="507" t="n">
        <f aca="false">IF(OR($R138="Fairy",$S138="Fairy"),4,SUM(IF($R138="Dragon",0-1,IF($R138="Steel",1,0)),IF($S138="Dragon",0-1,IF($S138="Steel",1,0))))</f>
        <v>0</v>
      </c>
      <c r="AF138" s="507" t="n">
        <f aca="false">IF(OR($R138="Ground",$S138="Ground"),4,SUM(IF(OR($R138="Flying",$R138="Water"),0-1,IF(OR($R138="Dragon",$R138="Electric",$R138="Grass"),1,0)),IF(OR($S138="Flying",$S138="Water"),0-1,IF(OR($S138="Dragon",$S138="Electric",$S138="Grass"),1,0))))</f>
        <v>0</v>
      </c>
      <c r="AG138" s="507" t="n">
        <f aca="false">SUM(IF(OR($R138="Dark",$R138="Dragon",$R138="Fighting"),0-1,IF(OR($R138="Steel",$R138="Poison",$R138="Fire"),1,0)),IF(OR($S138="Dark",$S138="Dragon",$S138="Fighting"),0-1,IF(OR($S138="Steel",$S138="Poison",$S138="Fire"),1,0)))</f>
        <v>0</v>
      </c>
      <c r="AH138" s="507" t="n">
        <f aca="false">IF(OR($R138="Ghost",$S138="Ghost"),4,SUM(IF(OR($R138="Dark",$R138="Ice",$R138="Normal",$R138="Rock",$R138="Steel"),0-1,IF(OR($R138="Bug",$R138="Fairy",$R138="Flying",$R138="Poison",$R138="Psychic"),1,0)),IF(OR($S138="Dark",$S138="Ice",$S138="Normal",$S138="Rock",$S138="Steel"),0-1,IF(OR($S138="Bug",$S138="Fairy",$S138="Flying",$S138="Poison",$S138="Psychic"),1,0))))</f>
        <v>-1</v>
      </c>
      <c r="AI138" s="507" t="n">
        <f aca="false">SUM(IF(OR($R138="Bug",$R138="Grass",$R138="Ice",$R138="Steel"),0-1,IF(OR($R138="Dragon",$R138="Fire",$R138="Rock",$R138="Water"),1,0)),IF(OR($S138="Bug",$S138="Grass",$S138="Ice",$S138="Steel"),0-1,IF(OR($S138="Dragon",$S138="Fire",$S138="Rock",$S138="Water"),1,0)))</f>
        <v>0</v>
      </c>
      <c r="AJ138" s="507" t="n">
        <f aca="false">SUM(IF(OR($R138="Bug",$R138="Grass",$R138="Fighting"),0-1,IF(OR($R138="Electric",$R138="Rock",$R138="Steel"),1,0)),IF(OR($S138="Bug",$S138="Grass",$S138="Fighting"),0-1,IF(OR($S138="Electric",$S138="Rock",$S138="Steel"),1,0)))</f>
        <v>0</v>
      </c>
      <c r="AK138" s="507" t="n">
        <f aca="false">IF(OR($R138="Normal",$S138="Normal"),4,SUM(IF(OR($R138="Ghost",$R138="Psychic"),0-1,IF($R138="Dark",1,0)),IF(OR($S138="Ghost",$S138="Psychic"),0-1,IF($S138="Dark",1,0))))</f>
        <v>4</v>
      </c>
      <c r="AL138" s="507" t="n">
        <f aca="false">SUM(IF(OR($R138="Ground",$R138="Rock",$R138="Water"),0-1,IF(OR($R138="Bug",$R138="Flying",$R138="Fire",$R138="Dragon",$R138="Poison",$R138="Steel",$R138="Grass"),1,0)),IF(OR($S138="Ground",$S138="Rock",$S138="Water"),0-1,IF(OR($S138="Bug",$S138="Flying",$S138="Fire",$S138="Dragon",$S138="Poison",$S138="Steel",$S138="Grass"),1,0)))</f>
        <v>0</v>
      </c>
      <c r="AM138" s="507" t="n">
        <f aca="false">IF(OR($R138="Flying",$S138="Flying"),4,SUM(IF(OR($R138="Electric",$R138="Fire",$R138="Rock",$R138="Steel",$R138="Poison"),0-1,IF(OR($R138="Bug",$R138="Grass"),1,0)),IF(OR($S138="Electric",$S138="Fire",$S138="Rock",$S138="Steel",$S138="Poison"),0-1,IF(OR($S138="Bug",$S138="Grass"),1,0))))</f>
        <v>0</v>
      </c>
      <c r="AN138" s="507" t="n">
        <f aca="false">SUM(IF(OR($R138="Flying",$R138="Dragon",$R138="Grass",$R138="Ground"),0-1,IF(OR($R138="Steel",$R138="Ice",$R138="Fire",$R138="Water"),1,0)),IF(OR($S138="Flying",$S138="Dragon",$S138="Grass",$S138="Ground"),0-1,IF(OR($S138="Steel",$S138="Ice",$S138="Fire",$S138="Water"),1,0)))</f>
        <v>0</v>
      </c>
      <c r="AO138" s="507" t="n">
        <f aca="false">IF(OR($R138="Ghost",$S138="Ghost"),4,SUM(IF(OR($R138="Steel",$R138="Rock"),1,0),IF(OR($S138="Steel",$S138="Rock"),1,0)))</f>
        <v>0</v>
      </c>
      <c r="AP138" s="507" t="n">
        <f aca="false">IF(OR($R138="Steel",$S138="Steel"),4,SUM(IF(OR($R138="Fairy",$R138="Grass"),0-1,IF(OR($R138="Ghost",$R138="Rock",$R138="Ground",$R138="Poison"),1,0)),IF(OR($S138="Fairy",$S138="Grass"),0-1,IF(OR($S138="Ghost",$S138="Rock",$S138="Ground",$S138="Poison"),1,0))))</f>
        <v>0</v>
      </c>
      <c r="AQ138" s="507" t="n">
        <f aca="false">IF(OR($R138="Dark",$S138="Dark"),4,SUM(IF(OR($R138="Fighting",$R138="Poison"),0-1,IF(OR($R138="Psychic",$R138="Steel"),1,0)),IF(OR($S138="Fighting",$S138="Poison"),0-1,IF(OR($S138="Psychic",$S138="Steel"),1,0))))</f>
        <v>0</v>
      </c>
      <c r="AR138" s="507" t="n">
        <f aca="false">SUM(IF(OR($R138="Bug",$R138="Fire",$R138="Flying",$R138="Ice"),0-1,IF(OR($R138="Steel",$R138="Fighting",$R138="Ground"),1,0)),IF(OR($S138="Bug",$S138="Fire",$S138="Flying",$S138="Ice"),0-1,IF(OR($S138="Steel",$S138="Fighting",$S138="Ground"),1,0)))</f>
        <v>0</v>
      </c>
      <c r="AS138" s="507" t="n">
        <f aca="false">SUM(IF(OR($R138="Fairy",$R138="Ice",$R138="Rock"),0-1,IF(OR($R138="Steel",$R138="Electric",$R138="Fire",$R138="Water"),1,0)),IF(OR($S138="Fairy",$S138="Ice",$S138="Rock"),0-1,IF(OR($S138="Steel",$S138="Electric",$S138="Fire",$S138="Water"),1,0)))</f>
        <v>0</v>
      </c>
      <c r="AT138" s="508" t="n">
        <f aca="false">SUM(IF(OR($R138="Fire",$R138="Ground",$R138="Rock"),0-1,IF(OR($R138="Dragon",$R138="Grass",$R138="Water"),1,0)),IF(OR($S138="Fire",$S138="Ground",$S138="Rock"),0-1,IF(OR($S138="Dragon",$S138="Grass",$S138="Water"),1,0)))</f>
        <v>0</v>
      </c>
      <c r="AU138" s="518"/>
    </row>
    <row r="139" customFormat="false" ht="15.75" hidden="false" customHeight="false" outlineLevel="0" collapsed="false">
      <c r="A139" s="510" t="str">
        <f aca="false" t="array" ref="A139:A139">IF(ISNA(INDEX(Source!$U$7:$U$95,MATCH(B139,Source!$V$7:$V$95,0))),"FREE",INDEX(Source!$U$7:$U$95,MATCH(B139,Source!$V$7:$V$95,0)))</f>
        <v>FREE</v>
      </c>
      <c r="B139" s="511" t="s">
        <v>549</v>
      </c>
      <c r="C139" s="511"/>
      <c r="D139" s="511"/>
      <c r="E139" s="499" t="str">
        <f aca="false">IF(SUM($W139:$X139)&gt;0,SUM($W139:$X139),IF($H139&gt;0,0,IF($H139&gt;0,0,"-")))</f>
        <v>-</v>
      </c>
      <c r="F139" s="499" t="str">
        <f aca="false">IF(SUM($Y139:$Z139)&gt;0,SUM($Y139:$Z139),IF($H139&gt;0,0,"-"))</f>
        <v>-</v>
      </c>
      <c r="G139" s="499" t="str">
        <f aca="false">IF($H139&gt;0,minus(E139,F139),"-")</f>
        <v>-</v>
      </c>
      <c r="H139" s="500" t="n">
        <f aca="false">SUM(COUNTIF(MatchSource!$A:$A,$B139),COUNTIF(MatchSource!$H:$H,$B139))</f>
        <v>0</v>
      </c>
      <c r="I139" s="501" t="n">
        <f aca="false">SUM($AA139:$AB139)</f>
        <v>0</v>
      </c>
      <c r="J139" s="501" t="s">
        <v>702</v>
      </c>
      <c r="K139" s="512" t="str">
        <f aca="false" t="array" ref="K139:K139">IF(ISNA(INDEX(DraftRosters!$AA$3:$AA$199,MATCH($B139,DraftRosters!$AB$3:$AB$199,0))),"FA",IF(INDEX(DraftRosters!$AA$3:$AA$199,MATCH($B139,DraftRosters!$AB$3:$AB$199,0))="Franchise","Franch",INDEX(DraftRosters!$AA$3:$AA$199,MATCH($B139,DraftRosters!$AB$3:$AB$199,0))))</f>
        <v>FA</v>
      </c>
      <c r="L139" s="499" t="n">
        <v>52</v>
      </c>
      <c r="M139" s="499" t="n">
        <v>90</v>
      </c>
      <c r="N139" s="499" t="n">
        <v>55</v>
      </c>
      <c r="O139" s="499" t="n">
        <v>58</v>
      </c>
      <c r="P139" s="499" t="n">
        <v>62</v>
      </c>
      <c r="Q139" s="501" t="n">
        <v>60</v>
      </c>
      <c r="R139" s="499" t="s">
        <v>801</v>
      </c>
      <c r="S139" s="501" t="s">
        <v>839</v>
      </c>
      <c r="T139" s="504" t="s">
        <v>886</v>
      </c>
      <c r="U139" s="505" t="s">
        <v>897</v>
      </c>
      <c r="V139" s="506" t="s">
        <v>829</v>
      </c>
      <c r="W139" s="500" t="str">
        <f aca="false">IFERROR(__xludf.dummyfunction("if(isna(SUM(FILTER(MatchSource!$A:$D,MatchSource!$A:$A=$B139))),0,SUM(FILTER(MatchSource!$A:$D,MatchSource!$A:$A=$B139)))"),"0")</f>
        <v>0</v>
      </c>
      <c r="X139" s="499" t="str">
        <f aca="false">IFERROR(__xludf.dummyfunction("if(isna(SUM(FILTER(MatchSource!$H:$K,MatchSource!$H:$H=$B139))),0,SUM(FILTER(MatchSource!$H:$K,MatchSource!$H:$H=$B139)))"),"0")</f>
        <v>0</v>
      </c>
      <c r="Y139" s="499" t="str">
        <f aca="false">IFERROR(__xludf.dummyfunction("if(isna(ABS(MINUS(SUM(FILTER(MatchSource!$A:$E,MatchSource!$A:$A=$B139)),SUM($W139)))),0,ABS(MINUS(SUM(FILTER(MatchSource!$A:$E,MatchSource!$A:$A=$B139)),SUM($W139))))"),"0")</f>
        <v>0</v>
      </c>
      <c r="Z139" s="499" t="str">
        <f aca="false">IFERROR(__xludf.dummyfunction("if(isna(ABS(MINUS(SUM(FILTER(MatchSource!$H:$L,MatchSource!$H:$H=$B139)),SUM($X139)))),0,ABS(MINUS(SUM(FILTER(MatchSource!$H:$L,MatchSource!$H:$H=$B139)),SUM($X139))))"),"0")</f>
        <v>0</v>
      </c>
      <c r="AA139" s="499" t="str">
        <f aca="false">IFERROR(__xludf.dummyfunction("if(isna(ABS(MINUS(SUM(FILTER(MatchSource!$A:$F,MatchSource!$A:$A=$B139)),SUM($W139,$Y139)))),0,ABS(MINUS(SUM(FILTER(MatchSource!$A:$F,MatchSource!$A:$A=$B139)),SUM($W139, $Y139,))))"),"0")</f>
        <v>0</v>
      </c>
      <c r="AB139" s="501" t="str">
        <f aca="false">IFERROR(__xludf.dummyfunction("if(isna(ABS(MINUS(SUM(FILTER(MatchSource!$H:$M,MatchSource!$H:$H=$B139)),SUM($X139,$Z139)))),0,ABS(MINUS(SUM(FILTER(MatchSource!$H:$M,MatchSource!$H:$H=$B139)),SUM($X139,$Z139))))"),"0")</f>
        <v>0</v>
      </c>
      <c r="AC139" s="507" t="n">
        <f aca="false">SUM(IF(OR($R139="Grass",$R139="Psychic",$R139="Dark"),0-1,IF(OR($R139="Fighting",$R139="Flying",$R139="Fire",$R139="Ghost",$R139="Poison",$R139="Steel",$R139="Fairy"),1,0)),IF(OR($S139="Grass",$S139="Psychic",$S139="Dark"),0-1,IF(OR($S139="Fighting",$S139="Flying",$S139="Fire",$S139="Ghost",$S139="Poison",$S139="Steel",$S139="Fairy"),1,0)))</f>
        <v>1</v>
      </c>
      <c r="AD139" s="507" t="n">
        <f aca="false">SUM(IF(OR($R139="Ghost",$R139="Psychic"),0-1,IF(OR($R139="Fighting",$R139="Dark",$R139="Fairy"),1,0)),IF(OR($S139="Ghost",$S139="Psychic"),0-1,IF(OR($S139="Fighting",$S139="Dark",$S139="Fairy"),1,0)))</f>
        <v>0</v>
      </c>
      <c r="AE139" s="507" t="n">
        <f aca="false">IF(OR($R139="Fairy",$S139="Fairy"),4,SUM(IF($R139="Dragon",0-1,IF($R139="Steel",1,0)),IF($S139="Dragon",0-1,IF($S139="Steel",1,0))))</f>
        <v>0</v>
      </c>
      <c r="AF139" s="507" t="n">
        <f aca="false">IF(OR($R139="Ground",$S139="Ground"),4,SUM(IF(OR($R139="Flying",$R139="Water"),0-1,IF(OR($R139="Dragon",$R139="Electric",$R139="Grass"),1,0)),IF(OR($S139="Flying",$S139="Water"),0-1,IF(OR($S139="Dragon",$S139="Electric",$S139="Grass"),1,0))))</f>
        <v>-1</v>
      </c>
      <c r="AG139" s="507" t="n">
        <f aca="false">SUM(IF(OR($R139="Dark",$R139="Dragon",$R139="Fighting"),0-1,IF(OR($R139="Steel",$R139="Poison",$R139="Fire"),1,0)),IF(OR($S139="Dark",$S139="Dragon",$S139="Fighting"),0-1,IF(OR($S139="Steel",$S139="Poison",$S139="Fire"),1,0)))</f>
        <v>0</v>
      </c>
      <c r="AH139" s="507" t="n">
        <f aca="false">IF(OR($R139="Ghost",$S139="Ghost"),4,SUM(IF(OR($R139="Dark",$R139="Ice",$R139="Normal",$R139="Rock",$R139="Steel"),0-1,IF(OR($R139="Bug",$R139="Fairy",$R139="Flying",$R139="Poison",$R139="Psychic"),1,0)),IF(OR($S139="Dark",$S139="Ice",$S139="Normal",$S139="Rock",$S139="Steel"),0-1,IF(OR($S139="Bug",$S139="Fairy",$S139="Flying",$S139="Poison",$S139="Psychic"),1,0))))</f>
        <v>0</v>
      </c>
      <c r="AI139" s="507" t="n">
        <f aca="false">SUM(IF(OR($R139="Bug",$R139="Grass",$R139="Ice",$R139="Steel"),0-1,IF(OR($R139="Dragon",$R139="Fire",$R139="Rock",$R139="Water"),1,0)),IF(OR($S139="Bug",$S139="Grass",$S139="Ice",$S139="Steel"),0-1,IF(OR($S139="Dragon",$S139="Fire",$S139="Rock",$S139="Water"),1,0)))</f>
        <v>0</v>
      </c>
      <c r="AJ139" s="507" t="n">
        <f aca="false">SUM(IF(OR($R139="Bug",$R139="Grass",$R139="Fighting"),0-1,IF(OR($R139="Electric",$R139="Rock",$R139="Steel"),1,0)),IF(OR($S139="Bug",$S139="Grass",$S139="Fighting"),0-1,IF(OR($S139="Electric",$S139="Rock",$S139="Steel"),1,0)))</f>
        <v>0</v>
      </c>
      <c r="AK139" s="507" t="n">
        <f aca="false">IF(OR($R139="Normal",$S139="Normal"),4,SUM(IF(OR($R139="Ghost",$R139="Psychic"),0-1,IF($R139="Dark",1,0)),IF(OR($S139="Ghost",$S139="Psychic"),0-1,IF($S139="Dark",1,0))))</f>
        <v>4</v>
      </c>
      <c r="AL139" s="507" t="n">
        <f aca="false">SUM(IF(OR($R139="Ground",$R139="Rock",$R139="Water"),0-1,IF(OR($R139="Bug",$R139="Flying",$R139="Fire",$R139="Dragon",$R139="Poison",$R139="Steel",$R139="Grass"),1,0)),IF(OR($S139="Ground",$S139="Rock",$S139="Water"),0-1,IF(OR($S139="Bug",$S139="Flying",$S139="Fire",$S139="Dragon",$S139="Poison",$S139="Steel",$S139="Grass"),1,0)))</f>
        <v>1</v>
      </c>
      <c r="AM139" s="507" t="n">
        <f aca="false">IF(OR($R139="Flying",$S139="Flying"),4,SUM(IF(OR($R139="Electric",$R139="Fire",$R139="Rock",$R139="Steel",$R139="Poison"),0-1,IF(OR($R139="Bug",$R139="Grass"),1,0)),IF(OR($S139="Electric",$S139="Fire",$S139="Rock",$S139="Steel",$S139="Poison"),0-1,IF(OR($S139="Bug",$S139="Grass"),1,0))))</f>
        <v>4</v>
      </c>
      <c r="AN139" s="507" t="n">
        <f aca="false">SUM(IF(OR($R139="Flying",$R139="Dragon",$R139="Grass",$R139="Ground"),0-1,IF(OR($R139="Steel",$R139="Ice",$R139="Fire",$R139="Water"),1,0)),IF(OR($S139="Flying",$S139="Dragon",$S139="Grass",$S139="Ground"),0-1,IF(OR($S139="Steel",$S139="Ice",$S139="Fire",$S139="Water"),1,0)))</f>
        <v>-1</v>
      </c>
      <c r="AO139" s="507" t="n">
        <f aca="false">IF(OR($R139="Ghost",$S139="Ghost"),4,SUM(IF(OR($R139="Steel",$R139="Rock"),1,0),IF(OR($S139="Steel",$S139="Rock"),1,0)))</f>
        <v>0</v>
      </c>
      <c r="AP139" s="507" t="n">
        <f aca="false">IF(OR($R139="Steel",$S139="Steel"),4,SUM(IF(OR($R139="Fairy",$R139="Grass"),0-1,IF(OR($R139="Ghost",$R139="Rock",$R139="Ground",$R139="Poison"),1,0)),IF(OR($S139="Fairy",$S139="Grass"),0-1,IF(OR($S139="Ghost",$S139="Rock",$S139="Ground",$S139="Poison"),1,0))))</f>
        <v>0</v>
      </c>
      <c r="AQ139" s="507" t="n">
        <f aca="false">IF(OR($R139="Dark",$S139="Dark"),4,SUM(IF(OR($R139="Fighting",$R139="Poison"),0-1,IF(OR($R139="Psychic",$R139="Steel"),1,0)),IF(OR($S139="Fighting",$S139="Poison"),0-1,IF(OR($S139="Psychic",$S139="Steel"),1,0))))</f>
        <v>0</v>
      </c>
      <c r="AR139" s="507" t="n">
        <f aca="false">SUM(IF(OR($R139="Bug",$R139="Fire",$R139="Flying",$R139="Ice"),0-1,IF(OR($R139="Steel",$R139="Fighting",$R139="Ground"),1,0)),IF(OR($S139="Bug",$S139="Fire",$S139="Flying",$S139="Ice"),0-1,IF(OR($S139="Steel",$S139="Fighting",$S139="Ground"),1,0)))</f>
        <v>-1</v>
      </c>
      <c r="AS139" s="507" t="n">
        <f aca="false">SUM(IF(OR($R139="Fairy",$R139="Ice",$R139="Rock"),0-1,IF(OR($R139="Steel",$R139="Electric",$R139="Fire",$R139="Water"),1,0)),IF(OR($S139="Fairy",$S139="Ice",$S139="Rock"),0-1,IF(OR($S139="Steel",$S139="Electric",$S139="Fire",$S139="Water"),1,0)))</f>
        <v>0</v>
      </c>
      <c r="AT139" s="508" t="n">
        <f aca="false">SUM(IF(OR($R139="Fire",$R139="Ground",$R139="Rock"),0-1,IF(OR($R139="Dragon",$R139="Grass",$R139="Water"),1,0)),IF(OR($S139="Fire",$S139="Ground",$S139="Rock"),0-1,IF(OR($S139="Dragon",$S139="Grass",$S139="Water"),1,0)))</f>
        <v>0</v>
      </c>
      <c r="AU139" s="518"/>
    </row>
    <row r="140" customFormat="false" ht="15.75" hidden="false" customHeight="false" outlineLevel="0" collapsed="false">
      <c r="A140" s="510" t="str">
        <f aca="false" t="array" ref="A140:A140">IF(ISNA(INDEX(Source!$U$7:$U$95,MATCH(B140,Source!$V$7:$V$95,0))),"FREE",INDEX(Source!$U$7:$U$95,MATCH(B140,Source!$V$7:$V$95,0)))</f>
        <v>FREE</v>
      </c>
      <c r="B140" s="511" t="s">
        <v>553</v>
      </c>
      <c r="C140" s="511"/>
      <c r="D140" s="511"/>
      <c r="E140" s="499" t="str">
        <f aca="false">IF(SUM($W140:$X140)&gt;0,SUM($W140:$X140),IF($H140&gt;0,0,IF($H140&gt;0,0,"-")))</f>
        <v>-</v>
      </c>
      <c r="F140" s="499" t="str">
        <f aca="false">IF(SUM($Y140:$Z140)&gt;0,SUM($Y140:$Z140),IF($H140&gt;0,0,"-"))</f>
        <v>-</v>
      </c>
      <c r="G140" s="499" t="str">
        <f aca="false">IF($H140&gt;0,minus(E140,F140),"-")</f>
        <v>-</v>
      </c>
      <c r="H140" s="500" t="n">
        <f aca="false">SUM(COUNTIF(MatchSource!$A:$A,$B140),COUNTIF(MatchSource!$H:$H,$B140))</f>
        <v>0</v>
      </c>
      <c r="I140" s="501" t="n">
        <f aca="false">SUM($AA140:$AB140)</f>
        <v>0</v>
      </c>
      <c r="J140" s="501" t="s">
        <v>702</v>
      </c>
      <c r="K140" s="512" t="str">
        <f aca="false" t="array" ref="K140:K140">IF(ISNA(INDEX(DraftRosters!$AA$3:$AA$199,MATCH($B140,DraftRosters!$AB$3:$AB$199,0))),"FA",IF(INDEX(DraftRosters!$AA$3:$AA$199,MATCH($B140,DraftRosters!$AB$3:$AB$199,0))="Franchise","Franch",INDEX(DraftRosters!$AA$3:$AA$199,MATCH($B140,DraftRosters!$AB$3:$AB$199,0))))</f>
        <v>FA</v>
      </c>
      <c r="L140" s="499" t="n">
        <v>65</v>
      </c>
      <c r="M140" s="499" t="n">
        <v>90</v>
      </c>
      <c r="N140" s="499" t="n">
        <v>65</v>
      </c>
      <c r="O140" s="499" t="n">
        <v>61</v>
      </c>
      <c r="P140" s="499" t="n">
        <v>61</v>
      </c>
      <c r="Q140" s="501" t="n">
        <v>100</v>
      </c>
      <c r="R140" s="499" t="s">
        <v>801</v>
      </c>
      <c r="S140" s="501" t="s">
        <v>839</v>
      </c>
      <c r="T140" s="504" t="s">
        <v>897</v>
      </c>
      <c r="U140" s="505" t="s">
        <v>856</v>
      </c>
      <c r="V140" s="506"/>
      <c r="W140" s="500" t="str">
        <f aca="false">IFERROR(__xludf.dummyfunction("if(isna(SUM(FILTER(MatchSource!$A:$D,MatchSource!$A:$A=$B140))),0,SUM(FILTER(MatchSource!$A:$D,MatchSource!$A:$A=$B140)))"),"0")</f>
        <v>0</v>
      </c>
      <c r="X140" s="499" t="str">
        <f aca="false">IFERROR(__xludf.dummyfunction("if(isna(SUM(FILTER(MatchSource!$H:$K,MatchSource!$H:$H=$B140))),0,SUM(FILTER(MatchSource!$H:$K,MatchSource!$H:$H=$B140)))"),"0")</f>
        <v>0</v>
      </c>
      <c r="Y140" s="499" t="str">
        <f aca="false">IFERROR(__xludf.dummyfunction("if(isna(ABS(MINUS(SUM(FILTER(MatchSource!$A:$E,MatchSource!$A:$A=$B140)),SUM($W140)))),0,ABS(MINUS(SUM(FILTER(MatchSource!$A:$E,MatchSource!$A:$A=$B140)),SUM($W140))))"),"0")</f>
        <v>0</v>
      </c>
      <c r="Z140" s="499" t="str">
        <f aca="false">IFERROR(__xludf.dummyfunction("if(isna(ABS(MINUS(SUM(FILTER(MatchSource!$H:$L,MatchSource!$H:$H=$B140)),SUM($X140)))),0,ABS(MINUS(SUM(FILTER(MatchSource!$H:$L,MatchSource!$H:$H=$B140)),SUM($X140))))"),"0")</f>
        <v>0</v>
      </c>
      <c r="AA140" s="499" t="str">
        <f aca="false">IFERROR(__xludf.dummyfunction("if(isna(ABS(MINUS(SUM(FILTER(MatchSource!$A:$F,MatchSource!$A:$A=$B140)),SUM($W140,$Y140)))),0,ABS(MINUS(SUM(FILTER(MatchSource!$A:$F,MatchSource!$A:$A=$B140)),SUM($W140, $Y140,))))"),"0")</f>
        <v>0</v>
      </c>
      <c r="AB140" s="501" t="str">
        <f aca="false">IFERROR(__xludf.dummyfunction("if(isna(ABS(MINUS(SUM(FILTER(MatchSource!$H:$M,MatchSource!$H:$H=$B140)),SUM($X140,$Z140)))),0,ABS(MINUS(SUM(FILTER(MatchSource!$H:$M,MatchSource!$H:$H=$B140)),SUM($X140,$Z140))))"),"0")</f>
        <v>0</v>
      </c>
      <c r="AC140" s="507" t="n">
        <f aca="false">SUM(IF(OR($R140="Grass",$R140="Psychic",$R140="Dark"),0-1,IF(OR($R140="Fighting",$R140="Flying",$R140="Fire",$R140="Ghost",$R140="Poison",$R140="Steel",$R140="Fairy"),1,0)),IF(OR($S140="Grass",$S140="Psychic",$S140="Dark"),0-1,IF(OR($S140="Fighting",$S140="Flying",$S140="Fire",$S140="Ghost",$S140="Poison",$S140="Steel",$S140="Fairy"),1,0)))</f>
        <v>1</v>
      </c>
      <c r="AD140" s="507" t="n">
        <f aca="false">SUM(IF(OR($R140="Ghost",$R140="Psychic"),0-1,IF(OR($R140="Fighting",$R140="Dark",$R140="Fairy"),1,0)),IF(OR($S140="Ghost",$S140="Psychic"),0-1,IF(OR($S140="Fighting",$S140="Dark",$S140="Fairy"),1,0)))</f>
        <v>0</v>
      </c>
      <c r="AE140" s="507" t="n">
        <f aca="false">IF(OR($R140="Fairy",$S140="Fairy"),4,SUM(IF($R140="Dragon",0-1,IF($R140="Steel",1,0)),IF($S140="Dragon",0-1,IF($S140="Steel",1,0))))</f>
        <v>0</v>
      </c>
      <c r="AF140" s="507" t="n">
        <f aca="false">IF(OR($R140="Ground",$S140="Ground"),4,SUM(IF(OR($R140="Flying",$R140="Water"),0-1,IF(OR($R140="Dragon",$R140="Electric",$R140="Grass"),1,0)),IF(OR($S140="Flying",$S140="Water"),0-1,IF(OR($S140="Dragon",$S140="Electric",$S140="Grass"),1,0))))</f>
        <v>-1</v>
      </c>
      <c r="AG140" s="507" t="n">
        <f aca="false">SUM(IF(OR($R140="Dark",$R140="Dragon",$R140="Fighting"),0-1,IF(OR($R140="Steel",$R140="Poison",$R140="Fire"),1,0)),IF(OR($S140="Dark",$S140="Dragon",$S140="Fighting"),0-1,IF(OR($S140="Steel",$S140="Poison",$S140="Fire"),1,0)))</f>
        <v>0</v>
      </c>
      <c r="AH140" s="507" t="n">
        <f aca="false">IF(OR($R140="Ghost",$S140="Ghost"),4,SUM(IF(OR($R140="Dark",$R140="Ice",$R140="Normal",$R140="Rock",$R140="Steel"),0-1,IF(OR($R140="Bug",$R140="Fairy",$R140="Flying",$R140="Poison",$R140="Psychic"),1,0)),IF(OR($S140="Dark",$S140="Ice",$S140="Normal",$S140="Rock",$S140="Steel"),0-1,IF(OR($S140="Bug",$S140="Fairy",$S140="Flying",$S140="Poison",$S140="Psychic"),1,0))))</f>
        <v>0</v>
      </c>
      <c r="AI140" s="507" t="n">
        <f aca="false">SUM(IF(OR($R140="Bug",$R140="Grass",$R140="Ice",$R140="Steel"),0-1,IF(OR($R140="Dragon",$R140="Fire",$R140="Rock",$R140="Water"),1,0)),IF(OR($S140="Bug",$S140="Grass",$S140="Ice",$S140="Steel"),0-1,IF(OR($S140="Dragon",$S140="Fire",$S140="Rock",$S140="Water"),1,0)))</f>
        <v>0</v>
      </c>
      <c r="AJ140" s="507" t="n">
        <f aca="false">SUM(IF(OR($R140="Bug",$R140="Grass",$R140="Fighting"),0-1,IF(OR($R140="Electric",$R140="Rock",$R140="Steel"),1,0)),IF(OR($S140="Bug",$S140="Grass",$S140="Fighting"),0-1,IF(OR($S140="Electric",$S140="Rock",$S140="Steel"),1,0)))</f>
        <v>0</v>
      </c>
      <c r="AK140" s="507" t="n">
        <f aca="false">IF(OR($R140="Normal",$S140="Normal"),4,SUM(IF(OR($R140="Ghost",$R140="Psychic"),0-1,IF($R140="Dark",1,0)),IF(OR($S140="Ghost",$S140="Psychic"),0-1,IF($S140="Dark",1,0))))</f>
        <v>4</v>
      </c>
      <c r="AL140" s="507" t="n">
        <f aca="false">SUM(IF(OR($R140="Ground",$R140="Rock",$R140="Water"),0-1,IF(OR($R140="Bug",$R140="Flying",$R140="Fire",$R140="Dragon",$R140="Poison",$R140="Steel",$R140="Grass"),1,0)),IF(OR($S140="Ground",$S140="Rock",$S140="Water"),0-1,IF(OR($S140="Bug",$S140="Flying",$S140="Fire",$S140="Dragon",$S140="Poison",$S140="Steel",$S140="Grass"),1,0)))</f>
        <v>1</v>
      </c>
      <c r="AM140" s="507" t="n">
        <f aca="false">IF(OR($R140="Flying",$S140="Flying"),4,SUM(IF(OR($R140="Electric",$R140="Fire",$R140="Rock",$R140="Steel",$R140="Poison"),0-1,IF(OR($R140="Bug",$R140="Grass"),1,0)),IF(OR($S140="Electric",$S140="Fire",$S140="Rock",$S140="Steel",$S140="Poison"),0-1,IF(OR($S140="Bug",$S140="Grass"),1,0))))</f>
        <v>4</v>
      </c>
      <c r="AN140" s="507" t="n">
        <f aca="false">SUM(IF(OR($R140="Flying",$R140="Dragon",$R140="Grass",$R140="Ground"),0-1,IF(OR($R140="Steel",$R140="Ice",$R140="Fire",$R140="Water"),1,0)),IF(OR($S140="Flying",$S140="Dragon",$S140="Grass",$S140="Ground"),0-1,IF(OR($S140="Steel",$S140="Ice",$S140="Fire",$S140="Water"),1,0)))</f>
        <v>-1</v>
      </c>
      <c r="AO140" s="507" t="n">
        <f aca="false">IF(OR($R140="Ghost",$S140="Ghost"),4,SUM(IF(OR($R140="Steel",$R140="Rock"),1,0),IF(OR($S140="Steel",$S140="Rock"),1,0)))</f>
        <v>0</v>
      </c>
      <c r="AP140" s="507" t="n">
        <f aca="false">IF(OR($R140="Steel",$S140="Steel"),4,SUM(IF(OR($R140="Fairy",$R140="Grass"),0-1,IF(OR($R140="Ghost",$R140="Rock",$R140="Ground",$R140="Poison"),1,0)),IF(OR($S140="Fairy",$S140="Grass"),0-1,IF(OR($S140="Ghost",$S140="Rock",$S140="Ground",$S140="Poison"),1,0))))</f>
        <v>0</v>
      </c>
      <c r="AQ140" s="507" t="n">
        <f aca="false">IF(OR($R140="Dark",$S140="Dark"),4,SUM(IF(OR($R140="Fighting",$R140="Poison"),0-1,IF(OR($R140="Psychic",$R140="Steel"),1,0)),IF(OR($S140="Fighting",$S140="Poison"),0-1,IF(OR($S140="Psychic",$S140="Steel"),1,0))))</f>
        <v>0</v>
      </c>
      <c r="AR140" s="507" t="n">
        <f aca="false">SUM(IF(OR($R140="Bug",$R140="Fire",$R140="Flying",$R140="Ice"),0-1,IF(OR($R140="Steel",$R140="Fighting",$R140="Ground"),1,0)),IF(OR($S140="Bug",$S140="Fire",$S140="Flying",$S140="Ice"),0-1,IF(OR($S140="Steel",$S140="Fighting",$S140="Ground"),1,0)))</f>
        <v>-1</v>
      </c>
      <c r="AS140" s="507" t="n">
        <f aca="false">SUM(IF(OR($R140="Fairy",$R140="Ice",$R140="Rock"),0-1,IF(OR($R140="Steel",$R140="Electric",$R140="Fire",$R140="Water"),1,0)),IF(OR($S140="Fairy",$S140="Ice",$S140="Rock"),0-1,IF(OR($S140="Steel",$S140="Electric",$S140="Fire",$S140="Water"),1,0)))</f>
        <v>0</v>
      </c>
      <c r="AT140" s="508" t="n">
        <f aca="false">SUM(IF(OR($R140="Fire",$R140="Ground",$R140="Rock"),0-1,IF(OR($R140="Dragon",$R140="Grass",$R140="Water"),1,0)),IF(OR($S140="Fire",$S140="Ground",$S140="Rock"),0-1,IF(OR($S140="Dragon",$S140="Grass",$S140="Water"),1,0)))</f>
        <v>0</v>
      </c>
      <c r="AU140" s="518"/>
    </row>
    <row r="141" customFormat="false" ht="15.75" hidden="false" customHeight="false" outlineLevel="0" collapsed="false">
      <c r="A141" s="510" t="str">
        <f aca="false" t="array" ref="A141:A141">IF(ISNA(INDEX(Source!$U$7:$U$95,MATCH(B141,Source!$V$7:$V$95,0))),"FREE",INDEX(Source!$U$7:$U$95,MATCH(B141,Source!$V$7:$V$95,0)))</f>
        <v>SEA</v>
      </c>
      <c r="B141" s="511" t="s">
        <v>90</v>
      </c>
      <c r="C141" s="511"/>
      <c r="D141" s="511"/>
      <c r="E141" s="499" t="n">
        <f aca="false">IF(SUM($W141:$X141)&gt;0,SUM($W141:$X141),IF($H141&gt;0,0,IF($H141&gt;0,0,"-")))</f>
        <v>0</v>
      </c>
      <c r="F141" s="499" t="n">
        <f aca="false">IF(SUM($Y141:$Z141)&gt;0,SUM($Y141:$Z141),IF($H141&gt;0,0,"-"))</f>
        <v>0</v>
      </c>
      <c r="G141" s="499" t="e">
        <f aca="false">IF($H141&gt;0,minus(E141,F141),"-")</f>
        <v>#NAME?</v>
      </c>
      <c r="H141" s="500" t="n">
        <f aca="false">SUM(COUNTIF(MatchSource!$A:$A,$B141),COUNTIF(MatchSource!$H:$H,$B141))</f>
        <v>4</v>
      </c>
      <c r="I141" s="501" t="n">
        <f aca="false">SUM($AA141:$AB141)</f>
        <v>0</v>
      </c>
      <c r="J141" s="501" t="s">
        <v>699</v>
      </c>
      <c r="K141" s="512" t="n">
        <f aca="false" t="array" ref="K141:K141">IF(ISNA(INDEX(DraftRosters!$AA$3:$AA$199,MATCH($B141,DraftRosters!$AB$3:$AB$199,0))),"FA",IF(INDEX(DraftRosters!$AA$3:$AA$199,MATCH($B141,DraftRosters!$AB$3:$AB$199,0))="Franchise","Franch",INDEX(DraftRosters!$AA$3:$AA$199,MATCH($B141,DraftRosters!$AB$3:$AB$199,0))))</f>
        <v>64</v>
      </c>
      <c r="L141" s="499" t="n">
        <v>85</v>
      </c>
      <c r="M141" s="499" t="n">
        <v>105</v>
      </c>
      <c r="N141" s="499" t="n">
        <v>100</v>
      </c>
      <c r="O141" s="499" t="n">
        <v>79</v>
      </c>
      <c r="P141" s="499" t="n">
        <v>83</v>
      </c>
      <c r="Q141" s="501" t="n">
        <v>78</v>
      </c>
      <c r="R141" s="499" t="s">
        <v>811</v>
      </c>
      <c r="S141" s="501"/>
      <c r="T141" s="504" t="s">
        <v>898</v>
      </c>
      <c r="U141" s="505" t="s">
        <v>890</v>
      </c>
      <c r="V141" s="506"/>
      <c r="W141" s="500" t="str">
        <f aca="false">IFERROR(__xludf.dummyfunction("if(isna(SUM(FILTER(MatchSource!$A:$D,MatchSource!$A:$A=$B141))),0,SUM(FILTER(MatchSource!$A:$D,MatchSource!$A:$A=$B141)))"),"1")</f>
        <v>1</v>
      </c>
      <c r="X141" s="499" t="str">
        <f aca="false">IFERROR(__xludf.dummyfunction("if(isna(SUM(FILTER(MatchSource!$H:$K,MatchSource!$H:$H=$B141))),0,SUM(FILTER(MatchSource!$H:$K,MatchSource!$H:$H=$B141)))"),"5")</f>
        <v>5</v>
      </c>
      <c r="Y141" s="499" t="str">
        <f aca="false">IFERROR(__xludf.dummyfunction("if(isna(ABS(MINUS(SUM(FILTER(MatchSource!$A:$E,MatchSource!$A:$A=$B141)),SUM($W141)))),0,ABS(MINUS(SUM(FILTER(MatchSource!$A:$E,MatchSource!$A:$A=$B141)),SUM($W141))))"),"2")</f>
        <v>2</v>
      </c>
      <c r="Z141" s="499" t="str">
        <f aca="false">IFERROR(__xludf.dummyfunction("if(isna(ABS(MINUS(SUM(FILTER(MatchSource!$H:$L,MatchSource!$H:$H=$B141)),SUM($X141)))),0,ABS(MINUS(SUM(FILTER(MatchSource!$H:$L,MatchSource!$H:$H=$B141)),SUM($X141))))"),"1")</f>
        <v>1</v>
      </c>
      <c r="AA141" s="499" t="str">
        <f aca="false">IFERROR(__xludf.dummyfunction("if(isna(ABS(MINUS(SUM(FILTER(MatchSource!$A:$F,MatchSource!$A:$A=$B141)),SUM($W141,$Y141)))),0,ABS(MINUS(SUM(FILTER(MatchSource!$A:$F,MatchSource!$A:$A=$B141)),SUM($W141, $Y141,))))"),"1")</f>
        <v>1</v>
      </c>
      <c r="AB141" s="501" t="str">
        <f aca="false">IFERROR(__xludf.dummyfunction("if(isna(ABS(MINUS(SUM(FILTER(MatchSource!$H:$M,MatchSource!$H:$H=$B141)),SUM($X141,$Z141)))),0,ABS(MINUS(SUM(FILTER(MatchSource!$H:$M,MatchSource!$H:$H=$B141)),SUM($X141,$Z141))))"),"2")</f>
        <v>2</v>
      </c>
      <c r="AC141" s="507" t="n">
        <f aca="false">SUM(IF(OR($R141="Grass",$R141="Psychic",$R141="Dark"),0-1,IF(OR($R141="Fighting",$R141="Flying",$R141="Fire",$R141="Ghost",$R141="Poison",$R141="Steel",$R141="Fairy"),1,0)),IF(OR($S141="Grass",$S141="Psychic",$S141="Dark"),0-1,IF(OR($S141="Fighting",$S141="Flying",$S141="Fire",$S141="Ghost",$S141="Poison",$S141="Steel",$S141="Fairy"),1,0)))</f>
        <v>0</v>
      </c>
      <c r="AD141" s="507" t="n">
        <f aca="false">SUM(IF(OR($R141="Ghost",$R141="Psychic"),0-1,IF(OR($R141="Fighting",$R141="Dark",$R141="Fairy"),1,0)),IF(OR($S141="Ghost",$S141="Psychic"),0-1,IF(OR($S141="Fighting",$S141="Dark",$S141="Fairy"),1,0)))</f>
        <v>0</v>
      </c>
      <c r="AE141" s="507" t="n">
        <f aca="false">IF(OR($R141="Fairy",$S141="Fairy"),4,SUM(IF($R141="Dragon",0-1,IF($R141="Steel",1,0)),IF($S141="Dragon",0-1,IF($S141="Steel",1,0))))</f>
        <v>0</v>
      </c>
      <c r="AF141" s="507" t="n">
        <f aca="false">IF(OR($R141="Ground",$S141="Ground"),4,SUM(IF(OR($R141="Flying",$R141="Water"),0-1,IF(OR($R141="Dragon",$R141="Electric",$R141="Grass"),1,0)),IF(OR($S141="Flying",$S141="Water"),0-1,IF(OR($S141="Dragon",$S141="Electric",$S141="Grass"),1,0))))</f>
        <v>-1</v>
      </c>
      <c r="AG141" s="507" t="n">
        <f aca="false">SUM(IF(OR($R141="Dark",$R141="Dragon",$R141="Fighting"),0-1,IF(OR($R141="Steel",$R141="Poison",$R141="Fire"),1,0)),IF(OR($S141="Dark",$S141="Dragon",$S141="Fighting"),0-1,IF(OR($S141="Steel",$S141="Poison",$S141="Fire"),1,0)))</f>
        <v>0</v>
      </c>
      <c r="AH141" s="507" t="n">
        <f aca="false">IF(OR($R141="Ghost",$S141="Ghost"),4,SUM(IF(OR($R141="Dark",$R141="Ice",$R141="Normal",$R141="Rock",$R141="Steel"),0-1,IF(OR($R141="Bug",$R141="Fairy",$R141="Flying",$R141="Poison",$R141="Psychic"),1,0)),IF(OR($S141="Dark",$S141="Ice",$S141="Normal",$S141="Rock",$S141="Steel"),0-1,IF(OR($S141="Bug",$S141="Fairy",$S141="Flying",$S141="Poison",$S141="Psychic"),1,0))))</f>
        <v>0</v>
      </c>
      <c r="AI141" s="507" t="n">
        <f aca="false">SUM(IF(OR($R141="Bug",$R141="Grass",$R141="Ice",$R141="Steel"),0-1,IF(OR($R141="Dragon",$R141="Fire",$R141="Rock",$R141="Water"),1,0)),IF(OR($S141="Bug",$S141="Grass",$S141="Ice",$S141="Steel"),0-1,IF(OR($S141="Dragon",$S141="Fire",$S141="Rock",$S141="Water"),1,0)))</f>
        <v>1</v>
      </c>
      <c r="AJ141" s="507" t="n">
        <f aca="false">SUM(IF(OR($R141="Bug",$R141="Grass",$R141="Fighting"),0-1,IF(OR($R141="Electric",$R141="Rock",$R141="Steel"),1,0)),IF(OR($S141="Bug",$S141="Grass",$S141="Fighting"),0-1,IF(OR($S141="Electric",$S141="Rock",$S141="Steel"),1,0)))</f>
        <v>0</v>
      </c>
      <c r="AK141" s="507" t="n">
        <f aca="false">IF(OR($R141="Normal",$S141="Normal"),4,SUM(IF(OR($R141="Ghost",$R141="Psychic"),0-1,IF($R141="Dark",1,0)),IF(OR($S141="Ghost",$S141="Psychic"),0-1,IF($S141="Dark",1,0))))</f>
        <v>0</v>
      </c>
      <c r="AL141" s="507" t="n">
        <f aca="false">SUM(IF(OR($R141="Ground",$R141="Rock",$R141="Water"),0-1,IF(OR($R141="Bug",$R141="Flying",$R141="Fire",$R141="Dragon",$R141="Poison",$R141="Steel",$R141="Grass"),1,0)),IF(OR($S141="Ground",$S141="Rock",$S141="Water"),0-1,IF(OR($S141="Bug",$S141="Flying",$S141="Fire",$S141="Dragon",$S141="Poison",$S141="Steel",$S141="Grass"),1,0)))</f>
        <v>-1</v>
      </c>
      <c r="AM141" s="507" t="n">
        <f aca="false">IF(OR($R141="Flying",$S141="Flying"),4,SUM(IF(OR($R141="Electric",$R141="Fire",$R141="Rock",$R141="Steel",$R141="Poison"),0-1,IF(OR($R141="Bug",$R141="Grass"),1,0)),IF(OR($S141="Electric",$S141="Fire",$S141="Rock",$S141="Steel",$S141="Poison"),0-1,IF(OR($S141="Bug",$S141="Grass"),1,0))))</f>
        <v>0</v>
      </c>
      <c r="AN141" s="507" t="n">
        <f aca="false">SUM(IF(OR($R141="Flying",$R141="Dragon",$R141="Grass",$R141="Ground"),0-1,IF(OR($R141="Steel",$R141="Ice",$R141="Fire",$R141="Water"),1,0)),IF(OR($S141="Flying",$S141="Dragon",$S141="Grass",$S141="Ground"),0-1,IF(OR($S141="Steel",$S141="Ice",$S141="Fire",$S141="Water"),1,0)))</f>
        <v>1</v>
      </c>
      <c r="AO141" s="507" t="n">
        <f aca="false">IF(OR($R141="Ghost",$S141="Ghost"),4,SUM(IF(OR($R141="Steel",$R141="Rock"),1,0),IF(OR($S141="Steel",$S141="Rock"),1,0)))</f>
        <v>0</v>
      </c>
      <c r="AP141" s="507" t="n">
        <f aca="false">IF(OR($R141="Steel",$S141="Steel"),4,SUM(IF(OR($R141="Fairy",$R141="Grass"),0-1,IF(OR($R141="Ghost",$R141="Rock",$R141="Ground",$R141="Poison"),1,0)),IF(OR($S141="Fairy",$S141="Grass"),0-1,IF(OR($S141="Ghost",$S141="Rock",$S141="Ground",$S141="Poison"),1,0))))</f>
        <v>0</v>
      </c>
      <c r="AQ141" s="507" t="n">
        <f aca="false">IF(OR($R141="Dark",$S141="Dark"),4,SUM(IF(OR($R141="Fighting",$R141="Poison"),0-1,IF(OR($R141="Psychic",$R141="Steel"),1,0)),IF(OR($S141="Fighting",$S141="Poison"),0-1,IF(OR($S141="Psychic",$S141="Steel"),1,0))))</f>
        <v>0</v>
      </c>
      <c r="AR141" s="507" t="n">
        <f aca="false">SUM(IF(OR($R141="Bug",$R141="Fire",$R141="Flying",$R141="Ice"),0-1,IF(OR($R141="Steel",$R141="Fighting",$R141="Ground"),1,0)),IF(OR($S141="Bug",$S141="Fire",$S141="Flying",$S141="Ice"),0-1,IF(OR($S141="Steel",$S141="Fighting",$S141="Ground"),1,0)))</f>
        <v>0</v>
      </c>
      <c r="AS141" s="507" t="n">
        <f aca="false">SUM(IF(OR($R141="Fairy",$R141="Ice",$R141="Rock"),0-1,IF(OR($R141="Steel",$R141="Electric",$R141="Fire",$R141="Water"),1,0)),IF(OR($S141="Fairy",$S141="Ice",$S141="Rock"),0-1,IF(OR($S141="Steel",$S141="Electric",$S141="Fire",$S141="Water"),1,0)))</f>
        <v>1</v>
      </c>
      <c r="AT141" s="508" t="n">
        <f aca="false">SUM(IF(OR($R141="Fire",$R141="Ground",$R141="Rock"),0-1,IF(OR($R141="Dragon",$R141="Grass",$R141="Water"),1,0)),IF(OR($S141="Fire",$S141="Ground",$S141="Rock"),0-1,IF(OR($S141="Dragon",$S141="Grass",$S141="Water"),1,0)))</f>
        <v>1</v>
      </c>
      <c r="AU141" s="518"/>
    </row>
    <row r="142" customFormat="false" ht="15.75" hidden="false" customHeight="false" outlineLevel="0" collapsed="false">
      <c r="A142" s="515" t="str">
        <f aca="false" t="array" ref="A142:A142">IF(ISNA(INDEX(Source!$U$7:$U$95,MATCH(B142,Source!$V$7:$V$95,0))),"FREE",INDEX(Source!$U$7:$U$95,MATCH(B142,Source!$V$7:$V$95,0)))</f>
        <v>FREE</v>
      </c>
      <c r="B142" s="511" t="s">
        <v>556</v>
      </c>
      <c r="C142" s="511"/>
      <c r="D142" s="511"/>
      <c r="E142" s="499" t="str">
        <f aca="false">IF(SUM($W142:$X142)&gt;0,SUM($W142:$X142),IF($H142&gt;0,0,IF($H142&gt;0,0,"-")))</f>
        <v>-</v>
      </c>
      <c r="F142" s="499" t="str">
        <f aca="false">IF(SUM($Y142:$Z142)&gt;0,SUM($Y142:$Z142),IF($H142&gt;0,0,"-"))</f>
        <v>-</v>
      </c>
      <c r="G142" s="499" t="str">
        <f aca="false">IF($H142&gt;0,minus(E142,F142),"-")</f>
        <v>-</v>
      </c>
      <c r="H142" s="500" t="n">
        <f aca="false">SUM(COUNTIF(MatchSource!$A:$A,$B142),COUNTIF(MatchSource!$H:$H,$B142))</f>
        <v>0</v>
      </c>
      <c r="I142" s="501" t="n">
        <f aca="false">SUM($AA142:$AB142)</f>
        <v>0</v>
      </c>
      <c r="J142" s="501" t="s">
        <v>702</v>
      </c>
      <c r="K142" s="512" t="str">
        <f aca="false" t="array" ref="K142:K142">IF(ISNA(INDEX(DraftRosters!$AA$3:$AA$199,MATCH($B142,DraftRosters!$AB$3:$AB$199,0))),"FA",IF(INDEX(DraftRosters!$AA$3:$AA$199,MATCH($B142,DraftRosters!$AB$3:$AB$199,0))="Franchise","Franch",INDEX(DraftRosters!$AA$3:$AA$199,MATCH($B142,DraftRosters!$AB$3:$AB$199,0))))</f>
        <v>FA</v>
      </c>
      <c r="L142" s="499" t="n">
        <v>44</v>
      </c>
      <c r="M142" s="499" t="n">
        <v>50</v>
      </c>
      <c r="N142" s="499" t="n">
        <v>91</v>
      </c>
      <c r="O142" s="499" t="n">
        <v>24</v>
      </c>
      <c r="P142" s="499" t="n">
        <v>89</v>
      </c>
      <c r="Q142" s="501" t="n">
        <v>10</v>
      </c>
      <c r="R142" s="499" t="s">
        <v>803</v>
      </c>
      <c r="S142" s="501" t="s">
        <v>810</v>
      </c>
      <c r="T142" s="504" t="s">
        <v>970</v>
      </c>
      <c r="U142" s="505"/>
      <c r="V142" s="506"/>
      <c r="W142" s="500" t="str">
        <f aca="false">IFERROR(__xludf.dummyfunction("if(isna(SUM(FILTER(MatchSource!$A:$D,MatchSource!$A:$A=$B142))),0,SUM(FILTER(MatchSource!$A:$D,MatchSource!$A:$A=$B142)))"),"0")</f>
        <v>0</v>
      </c>
      <c r="X142" s="499" t="str">
        <f aca="false">IFERROR(__xludf.dummyfunction("if(isna(SUM(FILTER(MatchSource!$H:$K,MatchSource!$H:$H=$B142))),0,SUM(FILTER(MatchSource!$H:$K,MatchSource!$H:$H=$B142)))"),"0")</f>
        <v>0</v>
      </c>
      <c r="Y142" s="499" t="str">
        <f aca="false">IFERROR(__xludf.dummyfunction("if(isna(ABS(MINUS(SUM(FILTER(MatchSource!$A:$E,MatchSource!$A:$A=$B142)),SUM($W142)))),0,ABS(MINUS(SUM(FILTER(MatchSource!$A:$E,MatchSource!$A:$A=$B142)),SUM($W142))))"),"0")</f>
        <v>0</v>
      </c>
      <c r="Z142" s="499" t="str">
        <f aca="false">IFERROR(__xludf.dummyfunction("if(isna(ABS(MINUS(SUM(FILTER(MatchSource!$H:$L,MatchSource!$H:$H=$B142)),SUM($X142)))),0,ABS(MINUS(SUM(FILTER(MatchSource!$H:$L,MatchSource!$H:$H=$B142)),SUM($X142))))"),"0")</f>
        <v>0</v>
      </c>
      <c r="AA142" s="499" t="str">
        <f aca="false">IFERROR(__xludf.dummyfunction("if(isna(ABS(MINUS(SUM(FILTER(MatchSource!$A:$F,MatchSource!$A:$A=$B142)),SUM($W142,$Y142)))),0,ABS(MINUS(SUM(FILTER(MatchSource!$A:$F,MatchSource!$A:$A=$B142)),SUM($W142, $Y142,))))"),"0")</f>
        <v>0</v>
      </c>
      <c r="AB142" s="501" t="str">
        <f aca="false">IFERROR(__xludf.dummyfunction("if(isna(ABS(MINUS(SUM(FILTER(MatchSource!$H:$M,MatchSource!$H:$H=$B142)),SUM($X142,$Z142)))),0,ABS(MINUS(SUM(FILTER(MatchSource!$H:$M,MatchSource!$H:$H=$B142)),SUM($X142,$Z142))))"),"0")</f>
        <v>0</v>
      </c>
      <c r="AC142" s="507" t="n">
        <f aca="false">SUM(IF(OR($R142="Grass",$R142="Psychic",$R142="Dark"),0-1,IF(OR($R142="Fighting",$R142="Flying",$R142="Fire",$R142="Ghost",$R142="Poison",$R142="Steel",$R142="Fairy"),1,0)),IF(OR($S142="Grass",$S142="Psychic",$S142="Dark"),0-1,IF(OR($S142="Fighting",$S142="Flying",$S142="Fire",$S142="Ghost",$S142="Poison",$S142="Steel",$S142="Fairy"),1,0)))</f>
        <v>0</v>
      </c>
      <c r="AD142" s="507" t="n">
        <f aca="false">SUM(IF(OR($R142="Ghost",$R142="Psychic"),0-1,IF(OR($R142="Fighting",$R142="Dark",$R142="Fairy"),1,0)),IF(OR($S142="Ghost",$S142="Psychic"),0-1,IF(OR($S142="Fighting",$S142="Dark",$S142="Fairy"),1,0)))</f>
        <v>0</v>
      </c>
      <c r="AE142" s="507" t="n">
        <f aca="false">IF(OR($R142="Fairy",$S142="Fairy"),4,SUM(IF($R142="Dragon",0-1,IF($R142="Steel",1,0)),IF($S142="Dragon",0-1,IF($S142="Steel",1,0))))</f>
        <v>1</v>
      </c>
      <c r="AF142" s="507" t="n">
        <f aca="false">IF(OR($R142="Ground",$S142="Ground"),4,SUM(IF(OR($R142="Flying",$R142="Water"),0-1,IF(OR($R142="Dragon",$R142="Electric",$R142="Grass"),1,0)),IF(OR($S142="Flying",$S142="Water"),0-1,IF(OR($S142="Dragon",$S142="Electric",$S142="Grass"),1,0))))</f>
        <v>1</v>
      </c>
      <c r="AG142" s="507" t="n">
        <f aca="false">SUM(IF(OR($R142="Dark",$R142="Dragon",$R142="Fighting"),0-1,IF(OR($R142="Steel",$R142="Poison",$R142="Fire"),1,0)),IF(OR($S142="Dark",$S142="Dragon",$S142="Fighting"),0-1,IF(OR($S142="Steel",$S142="Poison",$S142="Fire"),1,0)))</f>
        <v>1</v>
      </c>
      <c r="AH142" s="507" t="n">
        <f aca="false">IF(OR($R142="Ghost",$S142="Ghost"),4,SUM(IF(OR($R142="Dark",$R142="Ice",$R142="Normal",$R142="Rock",$R142="Steel"),0-1,IF(OR($R142="Bug",$R142="Fairy",$R142="Flying",$R142="Poison",$R142="Psychic"),1,0)),IF(OR($S142="Dark",$S142="Ice",$S142="Normal",$S142="Rock",$S142="Steel"),0-1,IF(OR($S142="Bug",$S142="Fairy",$S142="Flying",$S142="Poison",$S142="Psychic"),1,0))))</f>
        <v>-1</v>
      </c>
      <c r="AI142" s="507" t="n">
        <f aca="false">SUM(IF(OR($R142="Bug",$R142="Grass",$R142="Ice",$R142="Steel"),0-1,IF(OR($R142="Dragon",$R142="Fire",$R142="Rock",$R142="Water"),1,0)),IF(OR($S142="Bug",$S142="Grass",$S142="Ice",$S142="Steel"),0-1,IF(OR($S142="Dragon",$S142="Fire",$S142="Rock",$S142="Water"),1,0)))</f>
        <v>-2</v>
      </c>
      <c r="AJ142" s="507" t="n">
        <f aca="false">SUM(IF(OR($R142="Bug",$R142="Grass",$R142="Fighting"),0-1,IF(OR($R142="Electric",$R142="Rock",$R142="Steel"),1,0)),IF(OR($S142="Bug",$S142="Grass",$S142="Fighting"),0-1,IF(OR($S142="Electric",$S142="Rock",$S142="Steel"),1,0)))</f>
        <v>0</v>
      </c>
      <c r="AK142" s="507" t="n">
        <f aca="false">IF(OR($R142="Normal",$S142="Normal"),4,SUM(IF(OR($R142="Ghost",$R142="Psychic"),0-1,IF($R142="Dark",1,0)),IF(OR($S142="Ghost",$S142="Psychic"),0-1,IF($S142="Dark",1,0))))</f>
        <v>0</v>
      </c>
      <c r="AL142" s="507" t="n">
        <f aca="false">SUM(IF(OR($R142="Ground",$R142="Rock",$R142="Water"),0-1,IF(OR($R142="Bug",$R142="Flying",$R142="Fire",$R142="Dragon",$R142="Poison",$R142="Steel",$R142="Grass"),1,0)),IF(OR($S142="Ground",$S142="Rock",$S142="Water"),0-1,IF(OR($S142="Bug",$S142="Flying",$S142="Fire",$S142="Dragon",$S142="Poison",$S142="Steel",$S142="Grass"),1,0)))</f>
        <v>2</v>
      </c>
      <c r="AM142" s="507" t="n">
        <f aca="false">IF(OR($R142="Flying",$S142="Flying"),4,SUM(IF(OR($R142="Electric",$R142="Fire",$R142="Rock",$R142="Steel",$R142="Poison"),0-1,IF(OR($R142="Bug",$R142="Grass"),1,0)),IF(OR($S142="Electric",$S142="Fire",$S142="Rock",$S142="Steel",$S142="Poison"),0-1,IF(OR($S142="Bug",$S142="Grass"),1,0))))</f>
        <v>0</v>
      </c>
      <c r="AN142" s="507" t="n">
        <f aca="false">SUM(IF(OR($R142="Flying",$R142="Dragon",$R142="Grass",$R142="Ground"),0-1,IF(OR($R142="Steel",$R142="Ice",$R142="Fire",$R142="Water"),1,0)),IF(OR($S142="Flying",$S142="Dragon",$S142="Grass",$S142="Ground"),0-1,IF(OR($S142="Steel",$S142="Ice",$S142="Fire",$S142="Water"),1,0)))</f>
        <v>0</v>
      </c>
      <c r="AO142" s="507" t="n">
        <f aca="false">IF(OR($R142="Ghost",$S142="Ghost"),4,SUM(IF(OR($R142="Steel",$R142="Rock"),1,0),IF(OR($S142="Steel",$S142="Rock"),1,0)))</f>
        <v>1</v>
      </c>
      <c r="AP142" s="507" t="n">
        <f aca="false">IF(OR($R142="Steel",$S142="Steel"),4,SUM(IF(OR($R142="Fairy",$R142="Grass"),0-1,IF(OR($R142="Ghost",$R142="Rock",$R142="Ground",$R142="Poison"),1,0)),IF(OR($S142="Fairy",$S142="Grass"),0-1,IF(OR($S142="Ghost",$S142="Rock",$S142="Ground",$S142="Poison"),1,0))))</f>
        <v>4</v>
      </c>
      <c r="AQ142" s="507" t="n">
        <f aca="false">IF(OR($R142="Dark",$S142="Dark"),4,SUM(IF(OR($R142="Fighting",$R142="Poison"),0-1,IF(OR($R142="Psychic",$R142="Steel"),1,0)),IF(OR($S142="Fighting",$S142="Poison"),0-1,IF(OR($S142="Psychic",$S142="Steel"),1,0))))</f>
        <v>1</v>
      </c>
      <c r="AR142" s="507" t="n">
        <f aca="false">SUM(IF(OR($R142="Bug",$R142="Fire",$R142="Flying",$R142="Ice"),0-1,IF(OR($R142="Steel",$R142="Fighting",$R142="Ground"),1,0)),IF(OR($S142="Bug",$S142="Fire",$S142="Flying",$S142="Ice"),0-1,IF(OR($S142="Steel",$S142="Fighting",$S142="Ground"),1,0)))</f>
        <v>1</v>
      </c>
      <c r="AS142" s="507" t="n">
        <f aca="false">SUM(IF(OR($R142="Fairy",$R142="Ice",$R142="Rock"),0-1,IF(OR($R142="Steel",$R142="Electric",$R142="Fire",$R142="Water"),1,0)),IF(OR($S142="Fairy",$S142="Ice",$S142="Rock"),0-1,IF(OR($S142="Steel",$S142="Electric",$S142="Fire",$S142="Water"),1,0)))</f>
        <v>1</v>
      </c>
      <c r="AT142" s="508" t="n">
        <f aca="false">SUM(IF(OR($R142="Fire",$R142="Ground",$R142="Rock"),0-1,IF(OR($R142="Dragon",$R142="Grass",$R142="Water"),1,0)),IF(OR($S142="Fire",$S142="Ground",$S142="Rock"),0-1,IF(OR($S142="Dragon",$S142="Grass",$S142="Water"),1,0)))</f>
        <v>1</v>
      </c>
      <c r="AU142" s="518"/>
    </row>
    <row r="143" customFormat="false" ht="15.75" hidden="false" customHeight="false" outlineLevel="0" collapsed="false">
      <c r="A143" s="515" t="str">
        <f aca="false" t="array" ref="A143:A143">IF(ISNA(INDEX(Source!$U$7:$U$95,MATCH(B143,Source!$V$7:$V$95,0))),"FREE",INDEX(Source!$U$7:$U$95,MATCH(B143,Source!$V$7:$V$95,0)))</f>
        <v>FREE</v>
      </c>
      <c r="B143" s="511" t="s">
        <v>379</v>
      </c>
      <c r="C143" s="511"/>
      <c r="D143" s="511"/>
      <c r="E143" s="499" t="str">
        <f aca="false">IF(SUM($W143:$X143)&gt;0,SUM($W143:$X143),IF($H143&gt;0,0,IF($H143&gt;0,0,"-")))</f>
        <v>-</v>
      </c>
      <c r="F143" s="499" t="str">
        <f aca="false">IF(SUM($Y143:$Z143)&gt;0,SUM($Y143:$Z143),IF($H143&gt;0,0,"-"))</f>
        <v>-</v>
      </c>
      <c r="G143" s="499" t="str">
        <f aca="false">IF($H143&gt;0,minus(E143,F143),"-")</f>
        <v>-</v>
      </c>
      <c r="H143" s="500" t="n">
        <f aca="false">SUM(COUNTIF(MatchSource!$A:$A,$B143),COUNTIF(MatchSource!$H:$H,$B143))</f>
        <v>0</v>
      </c>
      <c r="I143" s="501" t="n">
        <f aca="false">SUM($AA143:$AB143)</f>
        <v>0</v>
      </c>
      <c r="J143" s="501" t="s">
        <v>699</v>
      </c>
      <c r="K143" s="512" t="str">
        <f aca="false" t="array" ref="K143:K143">IF(ISNA(INDEX(DraftRosters!$AA$3:$AA$199,MATCH($B143,DraftRosters!$AB$3:$AB$199,0))),"FA",IF(INDEX(DraftRosters!$AA$3:$AA$199,MATCH($B143,DraftRosters!$AB$3:$AB$199,0))="Franchise","Franch",INDEX(DraftRosters!$AA$3:$AA$199,MATCH($B143,DraftRosters!$AB$3:$AB$199,0))))</f>
        <v>FA</v>
      </c>
      <c r="L143" s="499" t="n">
        <v>74</v>
      </c>
      <c r="M143" s="499" t="n">
        <v>94</v>
      </c>
      <c r="N143" s="499" t="n">
        <v>131</v>
      </c>
      <c r="O143" s="499" t="n">
        <v>54</v>
      </c>
      <c r="P143" s="499" t="n">
        <v>116</v>
      </c>
      <c r="Q143" s="501" t="n">
        <v>20</v>
      </c>
      <c r="R143" s="499" t="s">
        <v>803</v>
      </c>
      <c r="S143" s="501" t="s">
        <v>810</v>
      </c>
      <c r="T143" s="504" t="s">
        <v>971</v>
      </c>
      <c r="U143" s="505" t="s">
        <v>970</v>
      </c>
      <c r="V143" s="506"/>
      <c r="W143" s="500" t="str">
        <f aca="false">IFERROR(__xludf.dummyfunction("if(isna(SUM(FILTER(MatchSource!$A:$D,MatchSource!$A:$A=$B143))),0,SUM(FILTER(MatchSource!$A:$D,MatchSource!$A:$A=$B143)))"),"0")</f>
        <v>0</v>
      </c>
      <c r="X143" s="499" t="str">
        <f aca="false">IFERROR(__xludf.dummyfunction("if(isna(SUM(FILTER(MatchSource!$H:$K,MatchSource!$H:$H=$B143))),0,SUM(FILTER(MatchSource!$H:$K,MatchSource!$H:$H=$B143)))"),"0")</f>
        <v>0</v>
      </c>
      <c r="Y143" s="499" t="str">
        <f aca="false">IFERROR(__xludf.dummyfunction("if(isna(ABS(MINUS(SUM(FILTER(MatchSource!$A:$E,MatchSource!$A:$A=$B143)),SUM($W143)))),0,ABS(MINUS(SUM(FILTER(MatchSource!$A:$E,MatchSource!$A:$A=$B143)),SUM($W143))))"),"0")</f>
        <v>0</v>
      </c>
      <c r="Z143" s="499" t="str">
        <f aca="false">IFERROR(__xludf.dummyfunction("if(isna(ABS(MINUS(SUM(FILTER(MatchSource!$H:$L,MatchSource!$H:$H=$B143)),SUM($X143)))),0,ABS(MINUS(SUM(FILTER(MatchSource!$H:$L,MatchSource!$H:$H=$B143)),SUM($X143))))"),"0")</f>
        <v>0</v>
      </c>
      <c r="AA143" s="499" t="str">
        <f aca="false">IFERROR(__xludf.dummyfunction("if(isna(ABS(MINUS(SUM(FILTER(MatchSource!$A:$F,MatchSource!$A:$A=$B143)),SUM($W143,$Y143)))),0,ABS(MINUS(SUM(FILTER(MatchSource!$A:$F,MatchSource!$A:$A=$B143)),SUM($W143, $Y143,))))"),"0")</f>
        <v>0</v>
      </c>
      <c r="AB143" s="501" t="str">
        <f aca="false">IFERROR(__xludf.dummyfunction("if(isna(ABS(MINUS(SUM(FILTER(MatchSource!$H:$M,MatchSource!$H:$H=$B143)),SUM($X143,$Z143)))),0,ABS(MINUS(SUM(FILTER(MatchSource!$H:$M,MatchSource!$H:$H=$B143)),SUM($X143,$Z143))))"),"0")</f>
        <v>0</v>
      </c>
      <c r="AC143" s="507" t="n">
        <f aca="false">SUM(IF(OR($R143="Grass",$R143="Psychic",$R143="Dark"),0-1,IF(OR($R143="Fighting",$R143="Flying",$R143="Fire",$R143="Ghost",$R143="Poison",$R143="Steel",$R143="Fairy"),1,0)),IF(OR($S143="Grass",$S143="Psychic",$S143="Dark"),0-1,IF(OR($S143="Fighting",$S143="Flying",$S143="Fire",$S143="Ghost",$S143="Poison",$S143="Steel",$S143="Fairy"),1,0)))</f>
        <v>0</v>
      </c>
      <c r="AD143" s="507" t="n">
        <f aca="false">SUM(IF(OR($R143="Ghost",$R143="Psychic"),0-1,IF(OR($R143="Fighting",$R143="Dark",$R143="Fairy"),1,0)),IF(OR($S143="Ghost",$S143="Psychic"),0-1,IF(OR($S143="Fighting",$S143="Dark",$S143="Fairy"),1,0)))</f>
        <v>0</v>
      </c>
      <c r="AE143" s="507" t="n">
        <f aca="false">IF(OR($R143="Fairy",$S143="Fairy"),4,SUM(IF($R143="Dragon",0-1,IF($R143="Steel",1,0)),IF($S143="Dragon",0-1,IF($S143="Steel",1,0))))</f>
        <v>1</v>
      </c>
      <c r="AF143" s="507" t="n">
        <f aca="false">IF(OR($R143="Ground",$S143="Ground"),4,SUM(IF(OR($R143="Flying",$R143="Water"),0-1,IF(OR($R143="Dragon",$R143="Electric",$R143="Grass"),1,0)),IF(OR($S143="Flying",$S143="Water"),0-1,IF(OR($S143="Dragon",$S143="Electric",$S143="Grass"),1,0))))</f>
        <v>1</v>
      </c>
      <c r="AG143" s="507" t="n">
        <f aca="false">SUM(IF(OR($R143="Dark",$R143="Dragon",$R143="Fighting"),0-1,IF(OR($R143="Steel",$R143="Poison",$R143="Fire"),1,0)),IF(OR($S143="Dark",$S143="Dragon",$S143="Fighting"),0-1,IF(OR($S143="Steel",$S143="Poison",$S143="Fire"),1,0)))</f>
        <v>1</v>
      </c>
      <c r="AH143" s="507" t="n">
        <f aca="false">IF(OR($R143="Ghost",$S143="Ghost"),4,SUM(IF(OR($R143="Dark",$R143="Ice",$R143="Normal",$R143="Rock",$R143="Steel"),0-1,IF(OR($R143="Bug",$R143="Fairy",$R143="Flying",$R143="Poison",$R143="Psychic"),1,0)),IF(OR($S143="Dark",$S143="Ice",$S143="Normal",$S143="Rock",$S143="Steel"),0-1,IF(OR($S143="Bug",$S143="Fairy",$S143="Flying",$S143="Poison",$S143="Psychic"),1,0))))</f>
        <v>-1</v>
      </c>
      <c r="AI143" s="507" t="n">
        <f aca="false">SUM(IF(OR($R143="Bug",$R143="Grass",$R143="Ice",$R143="Steel"),0-1,IF(OR($R143="Dragon",$R143="Fire",$R143="Rock",$R143="Water"),1,0)),IF(OR($S143="Bug",$S143="Grass",$S143="Ice",$S143="Steel"),0-1,IF(OR($S143="Dragon",$S143="Fire",$S143="Rock",$S143="Water"),1,0)))</f>
        <v>-2</v>
      </c>
      <c r="AJ143" s="507" t="n">
        <f aca="false">SUM(IF(OR($R143="Bug",$R143="Grass",$R143="Fighting"),0-1,IF(OR($R143="Electric",$R143="Rock",$R143="Steel"),1,0)),IF(OR($S143="Bug",$S143="Grass",$S143="Fighting"),0-1,IF(OR($S143="Electric",$S143="Rock",$S143="Steel"),1,0)))</f>
        <v>0</v>
      </c>
      <c r="AK143" s="507" t="n">
        <f aca="false">IF(OR($R143="Normal",$S143="Normal"),4,SUM(IF(OR($R143="Ghost",$R143="Psychic"),0-1,IF($R143="Dark",1,0)),IF(OR($S143="Ghost",$S143="Psychic"),0-1,IF($S143="Dark",1,0))))</f>
        <v>0</v>
      </c>
      <c r="AL143" s="507" t="n">
        <f aca="false">SUM(IF(OR($R143="Ground",$R143="Rock",$R143="Water"),0-1,IF(OR($R143="Bug",$R143="Flying",$R143="Fire",$R143="Dragon",$R143="Poison",$R143="Steel",$R143="Grass"),1,0)),IF(OR($S143="Ground",$S143="Rock",$S143="Water"),0-1,IF(OR($S143="Bug",$S143="Flying",$S143="Fire",$S143="Dragon",$S143="Poison",$S143="Steel",$S143="Grass"),1,0)))</f>
        <v>2</v>
      </c>
      <c r="AM143" s="507" t="n">
        <f aca="false">IF(OR($R143="Flying",$S143="Flying"),4,SUM(IF(OR($R143="Electric",$R143="Fire",$R143="Rock",$R143="Steel",$R143="Poison"),0-1,IF(OR($R143="Bug",$R143="Grass"),1,0)),IF(OR($S143="Electric",$S143="Fire",$S143="Rock",$S143="Steel",$S143="Poison"),0-1,IF(OR($S143="Bug",$S143="Grass"),1,0))))</f>
        <v>0</v>
      </c>
      <c r="AN143" s="507" t="n">
        <f aca="false">SUM(IF(OR($R143="Flying",$R143="Dragon",$R143="Grass",$R143="Ground"),0-1,IF(OR($R143="Steel",$R143="Ice",$R143="Fire",$R143="Water"),1,0)),IF(OR($S143="Flying",$S143="Dragon",$S143="Grass",$S143="Ground"),0-1,IF(OR($S143="Steel",$S143="Ice",$S143="Fire",$S143="Water"),1,0)))</f>
        <v>0</v>
      </c>
      <c r="AO143" s="507" t="n">
        <f aca="false">IF(OR($R143="Ghost",$S143="Ghost"),4,SUM(IF(OR($R143="Steel",$R143="Rock"),1,0),IF(OR($S143="Steel",$S143="Rock"),1,0)))</f>
        <v>1</v>
      </c>
      <c r="AP143" s="507" t="n">
        <f aca="false">IF(OR($R143="Steel",$S143="Steel"),4,SUM(IF(OR($R143="Fairy",$R143="Grass"),0-1,IF(OR($R143="Ghost",$R143="Rock",$R143="Ground",$R143="Poison"),1,0)),IF(OR($S143="Fairy",$S143="Grass"),0-1,IF(OR($S143="Ghost",$S143="Rock",$S143="Ground",$S143="Poison"),1,0))))</f>
        <v>4</v>
      </c>
      <c r="AQ143" s="507" t="n">
        <f aca="false">IF(OR($R143="Dark",$S143="Dark"),4,SUM(IF(OR($R143="Fighting",$R143="Poison"),0-1,IF(OR($R143="Psychic",$R143="Steel"),1,0)),IF(OR($S143="Fighting",$S143="Poison"),0-1,IF(OR($S143="Psychic",$S143="Steel"),1,0))))</f>
        <v>1</v>
      </c>
      <c r="AR143" s="507" t="n">
        <f aca="false">SUM(IF(OR($R143="Bug",$R143="Fire",$R143="Flying",$R143="Ice"),0-1,IF(OR($R143="Steel",$R143="Fighting",$R143="Ground"),1,0)),IF(OR($S143="Bug",$S143="Fire",$S143="Flying",$S143="Ice"),0-1,IF(OR($S143="Steel",$S143="Fighting",$S143="Ground"),1,0)))</f>
        <v>1</v>
      </c>
      <c r="AS143" s="507" t="n">
        <f aca="false">SUM(IF(OR($R143="Fairy",$R143="Ice",$R143="Rock"),0-1,IF(OR($R143="Steel",$R143="Electric",$R143="Fire",$R143="Water"),1,0)),IF(OR($S143="Fairy",$S143="Ice",$S143="Rock"),0-1,IF(OR($S143="Steel",$S143="Electric",$S143="Fire",$S143="Water"),1,0)))</f>
        <v>1</v>
      </c>
      <c r="AT143" s="508" t="n">
        <f aca="false">SUM(IF(OR($R143="Fire",$R143="Ground",$R143="Rock"),0-1,IF(OR($R143="Dragon",$R143="Grass",$R143="Water"),1,0)),IF(OR($S143="Fire",$S143="Ground",$S143="Rock"),0-1,IF(OR($S143="Dragon",$S143="Grass",$S143="Water"),1,0)))</f>
        <v>1</v>
      </c>
      <c r="AU143" s="518"/>
    </row>
    <row r="144" customFormat="false" ht="15.75" hidden="false" customHeight="false" outlineLevel="0" collapsed="false">
      <c r="A144" s="515" t="str">
        <f aca="false" t="array" ref="A144:A144">IF(ISNA(INDEX(Source!$U$7:$U$95,MATCH(B144,Source!$V$7:$V$95,0))),"FREE",INDEX(Source!$U$7:$U$95,MATCH(B144,Source!$V$7:$V$95,0)))</f>
        <v>FREE</v>
      </c>
      <c r="B144" s="511" t="s">
        <v>560</v>
      </c>
      <c r="C144" s="511"/>
      <c r="D144" s="511"/>
      <c r="E144" s="499" t="str">
        <f aca="false">IF(SUM($W144:$X144)&gt;0,SUM($W144:$X144),IF($H144&gt;0,0,IF($H144&gt;0,0,"-")))</f>
        <v>-</v>
      </c>
      <c r="F144" s="499" t="str">
        <f aca="false">IF(SUM($Y144:$Z144)&gt;0,SUM($Y144:$Z144),IF($H144&gt;0,0,"-"))</f>
        <v>-</v>
      </c>
      <c r="G144" s="499" t="str">
        <f aca="false">IF($H144&gt;0,minus(E144,F144),"-")</f>
        <v>-</v>
      </c>
      <c r="H144" s="500" t="n">
        <f aca="false">SUM(COUNTIF(MatchSource!$A:$A,$B144),COUNTIF(MatchSource!$H:$H,$B144))</f>
        <v>0</v>
      </c>
      <c r="I144" s="501" t="n">
        <f aca="false">SUM($AA144:$AB144)</f>
        <v>0</v>
      </c>
      <c r="J144" s="501" t="s">
        <v>702</v>
      </c>
      <c r="K144" s="512" t="str">
        <f aca="false" t="array" ref="K144:K144">IF(ISNA(INDEX(DraftRosters!$AA$3:$AA$199,MATCH($B144,DraftRosters!$AB$3:$AB$199,0))),"FA",IF(INDEX(DraftRosters!$AA$3:$AA$199,MATCH($B144,DraftRosters!$AB$3:$AB$199,0))="Franchise","Franch",INDEX(DraftRosters!$AA$3:$AA$199,MATCH($B144,DraftRosters!$AB$3:$AB$199,0))))</f>
        <v>FA</v>
      </c>
      <c r="L144" s="499" t="n">
        <v>65</v>
      </c>
      <c r="M144" s="499" t="n">
        <v>130</v>
      </c>
      <c r="N144" s="499" t="n">
        <v>60</v>
      </c>
      <c r="O144" s="499" t="n">
        <v>95</v>
      </c>
      <c r="P144" s="499" t="n">
        <v>110</v>
      </c>
      <c r="Q144" s="501" t="n">
        <v>65</v>
      </c>
      <c r="R144" s="499" t="s">
        <v>800</v>
      </c>
      <c r="S144" s="501"/>
      <c r="T144" s="504" t="s">
        <v>853</v>
      </c>
      <c r="U144" s="505" t="s">
        <v>930</v>
      </c>
      <c r="V144" s="506"/>
      <c r="W144" s="500" t="str">
        <f aca="false">IFERROR(__xludf.dummyfunction("if(isna(SUM(FILTER(MatchSource!$A:$D,MatchSource!$A:$A=$B144))),0,SUM(FILTER(MatchSource!$A:$D,MatchSource!$A:$A=$B144)))"),"0")</f>
        <v>0</v>
      </c>
      <c r="X144" s="499" t="str">
        <f aca="false">IFERROR(__xludf.dummyfunction("if(isna(SUM(FILTER(MatchSource!$H:$K,MatchSource!$H:$H=$B144))),0,SUM(FILTER(MatchSource!$H:$K,MatchSource!$H:$H=$B144)))"),"0")</f>
        <v>0</v>
      </c>
      <c r="Y144" s="499" t="str">
        <f aca="false">IFERROR(__xludf.dummyfunction("if(isna(ABS(MINUS(SUM(FILTER(MatchSource!$A:$E,MatchSource!$A:$A=$B144)),SUM($W144)))),0,ABS(MINUS(SUM(FILTER(MatchSource!$A:$E,MatchSource!$A:$A=$B144)),SUM($W144))))"),"0")</f>
        <v>0</v>
      </c>
      <c r="Z144" s="499" t="str">
        <f aca="false">IFERROR(__xludf.dummyfunction("if(isna(ABS(MINUS(SUM(FILTER(MatchSource!$H:$L,MatchSource!$H:$H=$B144)),SUM($X144)))),0,ABS(MINUS(SUM(FILTER(MatchSource!$H:$L,MatchSource!$H:$H=$B144)),SUM($X144))))"),"0")</f>
        <v>0</v>
      </c>
      <c r="AA144" s="499" t="str">
        <f aca="false">IFERROR(__xludf.dummyfunction("if(isna(ABS(MINUS(SUM(FILTER(MatchSource!$A:$F,MatchSource!$A:$A=$B144)),SUM($W144,$Y144)))),0,ABS(MINUS(SUM(FILTER(MatchSource!$A:$F,MatchSource!$A:$A=$B144)),SUM($W144, $Y144,))))"),"0")</f>
        <v>0</v>
      </c>
      <c r="AB144" s="501" t="str">
        <f aca="false">IFERROR(__xludf.dummyfunction("if(isna(ABS(MINUS(SUM(FILTER(MatchSource!$H:$M,MatchSource!$H:$H=$B144)),SUM($X144,$Z144)))),0,ABS(MINUS(SUM(FILTER(MatchSource!$H:$M,MatchSource!$H:$H=$B144)),SUM($X144,$Z144))))"),"0")</f>
        <v>0</v>
      </c>
      <c r="AC144" s="507" t="n">
        <f aca="false">SUM(IF(OR($R144="Grass",$R144="Psychic",$R144="Dark"),0-1,IF(OR($R144="Fighting",$R144="Flying",$R144="Fire",$R144="Ghost",$R144="Poison",$R144="Steel",$R144="Fairy"),1,0)),IF(OR($S144="Grass",$S144="Psychic",$S144="Dark"),0-1,IF(OR($S144="Fighting",$S144="Flying",$S144="Fire",$S144="Ghost",$S144="Poison",$S144="Steel",$S144="Fairy"),1,0)))</f>
        <v>1</v>
      </c>
      <c r="AD144" s="507" t="n">
        <f aca="false">SUM(IF(OR($R144="Ghost",$R144="Psychic"),0-1,IF(OR($R144="Fighting",$R144="Dark",$R144="Fairy"),1,0)),IF(OR($S144="Ghost",$S144="Psychic"),0-1,IF(OR($S144="Fighting",$S144="Dark",$S144="Fairy"),1,0)))</f>
        <v>0</v>
      </c>
      <c r="AE144" s="507" t="n">
        <f aca="false">IF(OR($R144="Fairy",$S144="Fairy"),4,SUM(IF($R144="Dragon",0-1,IF($R144="Steel",1,0)),IF($S144="Dragon",0-1,IF($S144="Steel",1,0))))</f>
        <v>0</v>
      </c>
      <c r="AF144" s="507" t="n">
        <f aca="false">IF(OR($R144="Ground",$S144="Ground"),4,SUM(IF(OR($R144="Flying",$R144="Water"),0-1,IF(OR($R144="Dragon",$R144="Electric",$R144="Grass"),1,0)),IF(OR($S144="Flying",$S144="Water"),0-1,IF(OR($S144="Dragon",$S144="Electric",$S144="Grass"),1,0))))</f>
        <v>0</v>
      </c>
      <c r="AG144" s="507" t="n">
        <f aca="false">SUM(IF(OR($R144="Dark",$R144="Dragon",$R144="Fighting"),0-1,IF(OR($R144="Steel",$R144="Poison",$R144="Fire"),1,0)),IF(OR($S144="Dark",$S144="Dragon",$S144="Fighting"),0-1,IF(OR($S144="Steel",$S144="Poison",$S144="Fire"),1,0)))</f>
        <v>1</v>
      </c>
      <c r="AH144" s="507" t="n">
        <f aca="false">IF(OR($R144="Ghost",$S144="Ghost"),4,SUM(IF(OR($R144="Dark",$R144="Ice",$R144="Normal",$R144="Rock",$R144="Steel"),0-1,IF(OR($R144="Bug",$R144="Fairy",$R144="Flying",$R144="Poison",$R144="Psychic"),1,0)),IF(OR($S144="Dark",$S144="Ice",$S144="Normal",$S144="Rock",$S144="Steel"),0-1,IF(OR($S144="Bug",$S144="Fairy",$S144="Flying",$S144="Poison",$S144="Psychic"),1,0))))</f>
        <v>0</v>
      </c>
      <c r="AI144" s="507" t="n">
        <f aca="false">SUM(IF(OR($R144="Bug",$R144="Grass",$R144="Ice",$R144="Steel"),0-1,IF(OR($R144="Dragon",$R144="Fire",$R144="Rock",$R144="Water"),1,0)),IF(OR($S144="Bug",$S144="Grass",$S144="Ice",$S144="Steel"),0-1,IF(OR($S144="Dragon",$S144="Fire",$S144="Rock",$S144="Water"),1,0)))</f>
        <v>1</v>
      </c>
      <c r="AJ144" s="507" t="n">
        <f aca="false">SUM(IF(OR($R144="Bug",$R144="Grass",$R144="Fighting"),0-1,IF(OR($R144="Electric",$R144="Rock",$R144="Steel"),1,0)),IF(OR($S144="Bug",$S144="Grass",$S144="Fighting"),0-1,IF(OR($S144="Electric",$S144="Rock",$S144="Steel"),1,0)))</f>
        <v>0</v>
      </c>
      <c r="AK144" s="507" t="n">
        <f aca="false">IF(OR($R144="Normal",$S144="Normal"),4,SUM(IF(OR($R144="Ghost",$R144="Psychic"),0-1,IF($R144="Dark",1,0)),IF(OR($S144="Ghost",$S144="Psychic"),0-1,IF($S144="Dark",1,0))))</f>
        <v>0</v>
      </c>
      <c r="AL144" s="507" t="n">
        <f aca="false">SUM(IF(OR($R144="Ground",$R144="Rock",$R144="Water"),0-1,IF(OR($R144="Bug",$R144="Flying",$R144="Fire",$R144="Dragon",$R144="Poison",$R144="Steel",$R144="Grass"),1,0)),IF(OR($S144="Ground",$S144="Rock",$S144="Water"),0-1,IF(OR($S144="Bug",$S144="Flying",$S144="Fire",$S144="Dragon",$S144="Poison",$S144="Steel",$S144="Grass"),1,0)))</f>
        <v>1</v>
      </c>
      <c r="AM144" s="507" t="n">
        <f aca="false">IF(OR($R144="Flying",$S144="Flying"),4,SUM(IF(OR($R144="Electric",$R144="Fire",$R144="Rock",$R144="Steel",$R144="Poison"),0-1,IF(OR($R144="Bug",$R144="Grass"),1,0)),IF(OR($S144="Electric",$S144="Fire",$S144="Rock",$S144="Steel",$S144="Poison"),0-1,IF(OR($S144="Bug",$S144="Grass"),1,0))))</f>
        <v>-1</v>
      </c>
      <c r="AN144" s="507" t="n">
        <f aca="false">SUM(IF(OR($R144="Flying",$R144="Dragon",$R144="Grass",$R144="Ground"),0-1,IF(OR($R144="Steel",$R144="Ice",$R144="Fire",$R144="Water"),1,0)),IF(OR($S144="Flying",$S144="Dragon",$S144="Grass",$S144="Ground"),0-1,IF(OR($S144="Steel",$S144="Ice",$S144="Fire",$S144="Water"),1,0)))</f>
        <v>1</v>
      </c>
      <c r="AO144" s="507" t="n">
        <f aca="false">IF(OR($R144="Ghost",$S144="Ghost"),4,SUM(IF(OR($R144="Steel",$R144="Rock"),1,0),IF(OR($S144="Steel",$S144="Rock"),1,0)))</f>
        <v>0</v>
      </c>
      <c r="AP144" s="507" t="n">
        <f aca="false">IF(OR($R144="Steel",$S144="Steel"),4,SUM(IF(OR($R144="Fairy",$R144="Grass"),0-1,IF(OR($R144="Ghost",$R144="Rock",$R144="Ground",$R144="Poison"),1,0)),IF(OR($S144="Fairy",$S144="Grass"),0-1,IF(OR($S144="Ghost",$S144="Rock",$S144="Ground",$S144="Poison"),1,0))))</f>
        <v>0</v>
      </c>
      <c r="AQ144" s="507" t="n">
        <f aca="false">IF(OR($R144="Dark",$S144="Dark"),4,SUM(IF(OR($R144="Fighting",$R144="Poison"),0-1,IF(OR($R144="Psychic",$R144="Steel"),1,0)),IF(OR($S144="Fighting",$S144="Poison"),0-1,IF(OR($S144="Psychic",$S144="Steel"),1,0))))</f>
        <v>0</v>
      </c>
      <c r="AR144" s="507" t="n">
        <f aca="false">SUM(IF(OR($R144="Bug",$R144="Fire",$R144="Flying",$R144="Ice"),0-1,IF(OR($R144="Steel",$R144="Fighting",$R144="Ground"),1,0)),IF(OR($S144="Bug",$S144="Fire",$S144="Flying",$S144="Ice"),0-1,IF(OR($S144="Steel",$S144="Fighting",$S144="Ground"),1,0)))</f>
        <v>-1</v>
      </c>
      <c r="AS144" s="507" t="n">
        <f aca="false">SUM(IF(OR($R144="Fairy",$R144="Ice",$R144="Rock"),0-1,IF(OR($R144="Steel",$R144="Electric",$R144="Fire",$R144="Water"),1,0)),IF(OR($S144="Fairy",$S144="Ice",$S144="Rock"),0-1,IF(OR($S144="Steel",$S144="Electric",$S144="Fire",$S144="Water"),1,0)))</f>
        <v>1</v>
      </c>
      <c r="AT144" s="508" t="n">
        <f aca="false">SUM(IF(OR($R144="Fire",$R144="Ground",$R144="Rock"),0-1,IF(OR($R144="Dragon",$R144="Grass",$R144="Water"),1,0)),IF(OR($S144="Fire",$S144="Ground",$S144="Rock"),0-1,IF(OR($S144="Dragon",$S144="Grass",$S144="Water"),1,0)))</f>
        <v>-1</v>
      </c>
      <c r="AU144" s="518"/>
    </row>
    <row r="145" customFormat="false" ht="15.75" hidden="false" customHeight="false" outlineLevel="0" collapsed="false">
      <c r="A145" s="510" t="str">
        <f aca="false" t="array" ref="A145:A145">IF(ISNA(INDEX(Source!$U$7:$U$95,MATCH(B145,Source!$V$7:$V$95,0))),"FREE",INDEX(Source!$U$7:$U$95,MATCH(B145,Source!$V$7:$V$95,0)))</f>
        <v>FREE</v>
      </c>
      <c r="B145" s="511" t="s">
        <v>564</v>
      </c>
      <c r="C145" s="511"/>
      <c r="D145" s="511"/>
      <c r="E145" s="499" t="str">
        <f aca="false">IF(SUM($W145:$X145)&gt;0,SUM($W145:$X145),IF($H145&gt;0,0,IF($H145&gt;0,0,"-")))</f>
        <v>-</v>
      </c>
      <c r="F145" s="499" t="str">
        <f aca="false">IF(SUM($Y145:$Z145)&gt;0,SUM($Y145:$Z145),IF($H145&gt;0,0,"-"))</f>
        <v>-</v>
      </c>
      <c r="G145" s="499" t="str">
        <f aca="false">IF($H145&gt;0,minus(E145,F145),"-")</f>
        <v>-</v>
      </c>
      <c r="H145" s="500" t="n">
        <f aca="false">SUM(COUNTIF(MatchSource!$A:$A,$B145),COUNTIF(MatchSource!$H:$H,$B145))</f>
        <v>0</v>
      </c>
      <c r="I145" s="501" t="n">
        <f aca="false">SUM($AA145:$AB145)</f>
        <v>0</v>
      </c>
      <c r="J145" s="501" t="s">
        <v>702</v>
      </c>
      <c r="K145" s="512" t="str">
        <f aca="false" t="array" ref="K145:K145">IF(ISNA(INDEX(DraftRosters!$AA$3:$AA$199,MATCH($B145,DraftRosters!$AB$3:$AB$199,0))),"FA",IF(INDEX(DraftRosters!$AA$3:$AA$199,MATCH($B145,DraftRosters!$AB$3:$AB$199,0))="Franchise","Franch",INDEX(DraftRosters!$AA$3:$AA$199,MATCH($B145,DraftRosters!$AB$3:$AB$199,0))))</f>
        <v>FA</v>
      </c>
      <c r="L145" s="499" t="n">
        <v>62</v>
      </c>
      <c r="M145" s="499" t="n">
        <v>73</v>
      </c>
      <c r="N145" s="499" t="n">
        <v>55</v>
      </c>
      <c r="O145" s="499" t="n">
        <v>56</v>
      </c>
      <c r="P145" s="499" t="n">
        <v>52</v>
      </c>
      <c r="Q145" s="501" t="n">
        <v>84</v>
      </c>
      <c r="R145" s="499" t="s">
        <v>800</v>
      </c>
      <c r="S145" s="501" t="s">
        <v>801</v>
      </c>
      <c r="T145" s="504" t="s">
        <v>913</v>
      </c>
      <c r="U145" s="505" t="s">
        <v>972</v>
      </c>
      <c r="V145" s="506"/>
      <c r="W145" s="500" t="str">
        <f aca="false">IFERROR(__xludf.dummyfunction("if(isna(SUM(FILTER(MatchSource!$A:$D,MatchSource!$A:$A=$B145))),0,SUM(FILTER(MatchSource!$A:$D,MatchSource!$A:$A=$B145)))"),"0")</f>
        <v>0</v>
      </c>
      <c r="X145" s="499" t="str">
        <f aca="false">IFERROR(__xludf.dummyfunction("if(isna(SUM(FILTER(MatchSource!$H:$K,MatchSource!$H:$H=$B145))),0,SUM(FILTER(MatchSource!$H:$K,MatchSource!$H:$H=$B145)))"),"0")</f>
        <v>0</v>
      </c>
      <c r="Y145" s="499" t="str">
        <f aca="false">IFERROR(__xludf.dummyfunction("if(isna(ABS(MINUS(SUM(FILTER(MatchSource!$A:$E,MatchSource!$A:$A=$B145)),SUM($W145)))),0,ABS(MINUS(SUM(FILTER(MatchSource!$A:$E,MatchSource!$A:$A=$B145)),SUM($W145))))"),"0")</f>
        <v>0</v>
      </c>
      <c r="Z145" s="499" t="str">
        <f aca="false">IFERROR(__xludf.dummyfunction("if(isna(ABS(MINUS(SUM(FILTER(MatchSource!$H:$L,MatchSource!$H:$H=$B145)),SUM($X145)))),0,ABS(MINUS(SUM(FILTER(MatchSource!$H:$L,MatchSource!$H:$H=$B145)),SUM($X145))))"),"0")</f>
        <v>0</v>
      </c>
      <c r="AA145" s="499" t="str">
        <f aca="false">IFERROR(__xludf.dummyfunction("if(isna(ABS(MINUS(SUM(FILTER(MatchSource!$A:$F,MatchSource!$A:$A=$B145)),SUM($W145,$Y145)))),0,ABS(MINUS(SUM(FILTER(MatchSource!$A:$F,MatchSource!$A:$A=$B145)),SUM($W145, $Y145,))))"),"0")</f>
        <v>0</v>
      </c>
      <c r="AB145" s="501" t="str">
        <f aca="false">IFERROR(__xludf.dummyfunction("if(isna(ABS(MINUS(SUM(FILTER(MatchSource!$H:$M,MatchSource!$H:$H=$B145)),SUM($X145,$Z145)))),0,ABS(MINUS(SUM(FILTER(MatchSource!$H:$M,MatchSource!$H:$H=$B145)),SUM($X145,$Z145))))"),"0")</f>
        <v>0</v>
      </c>
      <c r="AC145" s="507" t="n">
        <f aca="false">SUM(IF(OR($R145="Grass",$R145="Psychic",$R145="Dark"),0-1,IF(OR($R145="Fighting",$R145="Flying",$R145="Fire",$R145="Ghost",$R145="Poison",$R145="Steel",$R145="Fairy"),1,0)),IF(OR($S145="Grass",$S145="Psychic",$S145="Dark"),0-1,IF(OR($S145="Fighting",$S145="Flying",$S145="Fire",$S145="Ghost",$S145="Poison",$S145="Steel",$S145="Fairy"),1,0)))</f>
        <v>2</v>
      </c>
      <c r="AD145" s="507" t="n">
        <f aca="false">SUM(IF(OR($R145="Ghost",$R145="Psychic"),0-1,IF(OR($R145="Fighting",$R145="Dark",$R145="Fairy"),1,0)),IF(OR($S145="Ghost",$S145="Psychic"),0-1,IF(OR($S145="Fighting",$S145="Dark",$S145="Fairy"),1,0)))</f>
        <v>0</v>
      </c>
      <c r="AE145" s="507" t="n">
        <f aca="false">IF(OR($R145="Fairy",$S145="Fairy"),4,SUM(IF($R145="Dragon",0-1,IF($R145="Steel",1,0)),IF($S145="Dragon",0-1,IF($S145="Steel",1,0))))</f>
        <v>0</v>
      </c>
      <c r="AF145" s="507" t="n">
        <f aca="false">IF(OR($R145="Ground",$S145="Ground"),4,SUM(IF(OR($R145="Flying",$R145="Water"),0-1,IF(OR($R145="Dragon",$R145="Electric",$R145="Grass"),1,0)),IF(OR($S145="Flying",$S145="Water"),0-1,IF(OR($S145="Dragon",$S145="Electric",$S145="Grass"),1,0))))</f>
        <v>-1</v>
      </c>
      <c r="AG145" s="507" t="n">
        <f aca="false">SUM(IF(OR($R145="Dark",$R145="Dragon",$R145="Fighting"),0-1,IF(OR($R145="Steel",$R145="Poison",$R145="Fire"),1,0)),IF(OR($S145="Dark",$S145="Dragon",$S145="Fighting"),0-1,IF(OR($S145="Steel",$S145="Poison",$S145="Fire"),1,0)))</f>
        <v>1</v>
      </c>
      <c r="AH145" s="507" t="n">
        <f aca="false">IF(OR($R145="Ghost",$S145="Ghost"),4,SUM(IF(OR($R145="Dark",$R145="Ice",$R145="Normal",$R145="Rock",$R145="Steel"),0-1,IF(OR($R145="Bug",$R145="Fairy",$R145="Flying",$R145="Poison",$R145="Psychic"),1,0)),IF(OR($S145="Dark",$S145="Ice",$S145="Normal",$S145="Rock",$S145="Steel"),0-1,IF(OR($S145="Bug",$S145="Fairy",$S145="Flying",$S145="Poison",$S145="Psychic"),1,0))))</f>
        <v>1</v>
      </c>
      <c r="AI145" s="507" t="n">
        <f aca="false">SUM(IF(OR($R145="Bug",$R145="Grass",$R145="Ice",$R145="Steel"),0-1,IF(OR($R145="Dragon",$R145="Fire",$R145="Rock",$R145="Water"),1,0)),IF(OR($S145="Bug",$S145="Grass",$S145="Ice",$S145="Steel"),0-1,IF(OR($S145="Dragon",$S145="Fire",$S145="Rock",$S145="Water"),1,0)))</f>
        <v>1</v>
      </c>
      <c r="AJ145" s="507" t="n">
        <f aca="false">SUM(IF(OR($R145="Bug",$R145="Grass",$R145="Fighting"),0-1,IF(OR($R145="Electric",$R145="Rock",$R145="Steel"),1,0)),IF(OR($S145="Bug",$S145="Grass",$S145="Fighting"),0-1,IF(OR($S145="Electric",$S145="Rock",$S145="Steel"),1,0)))</f>
        <v>0</v>
      </c>
      <c r="AK145" s="507" t="n">
        <f aca="false">IF(OR($R145="Normal",$S145="Normal"),4,SUM(IF(OR($R145="Ghost",$R145="Psychic"),0-1,IF($R145="Dark",1,0)),IF(OR($S145="Ghost",$S145="Psychic"),0-1,IF($S145="Dark",1,0))))</f>
        <v>0</v>
      </c>
      <c r="AL145" s="507" t="n">
        <f aca="false">SUM(IF(OR($R145="Ground",$R145="Rock",$R145="Water"),0-1,IF(OR($R145="Bug",$R145="Flying",$R145="Fire",$R145="Dragon",$R145="Poison",$R145="Steel",$R145="Grass"),1,0)),IF(OR($S145="Ground",$S145="Rock",$S145="Water"),0-1,IF(OR($S145="Bug",$S145="Flying",$S145="Fire",$S145="Dragon",$S145="Poison",$S145="Steel",$S145="Grass"),1,0)))</f>
        <v>2</v>
      </c>
      <c r="AM145" s="507" t="n">
        <f aca="false">IF(OR($R145="Flying",$S145="Flying"),4,SUM(IF(OR($R145="Electric",$R145="Fire",$R145="Rock",$R145="Steel",$R145="Poison"),0-1,IF(OR($R145="Bug",$R145="Grass"),1,0)),IF(OR($S145="Electric",$S145="Fire",$S145="Rock",$S145="Steel",$S145="Poison"),0-1,IF(OR($S145="Bug",$S145="Grass"),1,0))))</f>
        <v>4</v>
      </c>
      <c r="AN145" s="507" t="n">
        <f aca="false">SUM(IF(OR($R145="Flying",$R145="Dragon",$R145="Grass",$R145="Ground"),0-1,IF(OR($R145="Steel",$R145="Ice",$R145="Fire",$R145="Water"),1,0)),IF(OR($S145="Flying",$S145="Dragon",$S145="Grass",$S145="Ground"),0-1,IF(OR($S145="Steel",$S145="Ice",$S145="Fire",$S145="Water"),1,0)))</f>
        <v>0</v>
      </c>
      <c r="AO145" s="507" t="n">
        <f aca="false">IF(OR($R145="Ghost",$S145="Ghost"),4,SUM(IF(OR($R145="Steel",$R145="Rock"),1,0),IF(OR($S145="Steel",$S145="Rock"),1,0)))</f>
        <v>0</v>
      </c>
      <c r="AP145" s="507" t="n">
        <f aca="false">IF(OR($R145="Steel",$S145="Steel"),4,SUM(IF(OR($R145="Fairy",$R145="Grass"),0-1,IF(OR($R145="Ghost",$R145="Rock",$R145="Ground",$R145="Poison"),1,0)),IF(OR($S145="Fairy",$S145="Grass"),0-1,IF(OR($S145="Ghost",$S145="Rock",$S145="Ground",$S145="Poison"),1,0))))</f>
        <v>0</v>
      </c>
      <c r="AQ145" s="507" t="n">
        <f aca="false">IF(OR($R145="Dark",$S145="Dark"),4,SUM(IF(OR($R145="Fighting",$R145="Poison"),0-1,IF(OR($R145="Psychic",$R145="Steel"),1,0)),IF(OR($S145="Fighting",$S145="Poison"),0-1,IF(OR($S145="Psychic",$S145="Steel"),1,0))))</f>
        <v>0</v>
      </c>
      <c r="AR145" s="507" t="n">
        <f aca="false">SUM(IF(OR($R145="Bug",$R145="Fire",$R145="Flying",$R145="Ice"),0-1,IF(OR($R145="Steel",$R145="Fighting",$R145="Ground"),1,0)),IF(OR($S145="Bug",$S145="Fire",$S145="Flying",$S145="Ice"),0-1,IF(OR($S145="Steel",$S145="Fighting",$S145="Ground"),1,0)))</f>
        <v>-2</v>
      </c>
      <c r="AS145" s="507" t="n">
        <f aca="false">SUM(IF(OR($R145="Fairy",$R145="Ice",$R145="Rock"),0-1,IF(OR($R145="Steel",$R145="Electric",$R145="Fire",$R145="Water"),1,0)),IF(OR($S145="Fairy",$S145="Ice",$S145="Rock"),0-1,IF(OR($S145="Steel",$S145="Electric",$S145="Fire",$S145="Water"),1,0)))</f>
        <v>1</v>
      </c>
      <c r="AT145" s="508" t="n">
        <f aca="false">SUM(IF(OR($R145="Fire",$R145="Ground",$R145="Rock"),0-1,IF(OR($R145="Dragon",$R145="Grass",$R145="Water"),1,0)),IF(OR($S145="Fire",$S145="Ground",$S145="Rock"),0-1,IF(OR($S145="Dragon",$S145="Grass",$S145="Water"),1,0)))</f>
        <v>-1</v>
      </c>
      <c r="AU145" s="518"/>
    </row>
    <row r="146" customFormat="false" ht="15.75" hidden="false" customHeight="false" outlineLevel="0" collapsed="false">
      <c r="A146" s="510" t="str">
        <f aca="false" t="array" ref="A146:A146">IF(ISNA(INDEX(Source!$U$7:$U$95,MATCH(B146,Source!$V$7:$V$95,0))),"FREE",INDEX(Source!$U$7:$U$95,MATCH(B146,Source!$V$7:$V$95,0)))</f>
        <v>FREE</v>
      </c>
      <c r="B146" s="511" t="s">
        <v>568</v>
      </c>
      <c r="C146" s="511"/>
      <c r="D146" s="511"/>
      <c r="E146" s="499" t="str">
        <f aca="false">IF(SUM($W146:$X146)&gt;0,SUM($W146:$X146),IF($H146&gt;0,0,IF($H146&gt;0,0,"-")))</f>
        <v>-</v>
      </c>
      <c r="F146" s="499" t="str">
        <f aca="false">IF(SUM($Y146:$Z146)&gt;0,SUM($Y146:$Z146),IF($H146&gt;0,0,"-"))</f>
        <v>-</v>
      </c>
      <c r="G146" s="499" t="str">
        <f aca="false">IF($H146&gt;0,minus(E146,F146),"-")</f>
        <v>-</v>
      </c>
      <c r="H146" s="500" t="n">
        <f aca="false">SUM(COUNTIF(MatchSource!$A:$A,$B146),COUNTIF(MatchSource!$H:$H,$B146))</f>
        <v>0</v>
      </c>
      <c r="I146" s="501" t="n">
        <f aca="false">SUM($AA146:$AB146)</f>
        <v>0</v>
      </c>
      <c r="J146" s="501" t="s">
        <v>702</v>
      </c>
      <c r="K146" s="512" t="str">
        <f aca="false" t="array" ref="K146:K146">IF(ISNA(INDEX(DraftRosters!$AA$3:$AA$199,MATCH($B146,DraftRosters!$AB$3:$AB$199,0))),"FA",IF(INDEX(DraftRosters!$AA$3:$AA$199,MATCH($B146,DraftRosters!$AB$3:$AB$199,0))="Franchise","Franch",INDEX(DraftRosters!$AA$3:$AA$199,MATCH($B146,DraftRosters!$AB$3:$AB$199,0))))</f>
        <v>FA</v>
      </c>
      <c r="L146" s="499" t="n">
        <v>85</v>
      </c>
      <c r="M146" s="499" t="n">
        <v>105</v>
      </c>
      <c r="N146" s="499" t="n">
        <v>55</v>
      </c>
      <c r="O146" s="499" t="n">
        <v>85</v>
      </c>
      <c r="P146" s="499" t="n">
        <v>50</v>
      </c>
      <c r="Q146" s="501" t="n">
        <v>115</v>
      </c>
      <c r="R146" s="499" t="s">
        <v>811</v>
      </c>
      <c r="S146" s="501"/>
      <c r="T146" s="504" t="s">
        <v>859</v>
      </c>
      <c r="U146" s="505" t="s">
        <v>973</v>
      </c>
      <c r="V146" s="506"/>
      <c r="W146" s="500" t="str">
        <f aca="false">IFERROR(__xludf.dummyfunction("if(isna(SUM(FILTER(MatchSource!$A:$D,MatchSource!$A:$A=$B146))),0,SUM(FILTER(MatchSource!$A:$D,MatchSource!$A:$A=$B146)))"),"0")</f>
        <v>0</v>
      </c>
      <c r="X146" s="499" t="str">
        <f aca="false">IFERROR(__xludf.dummyfunction("if(isna(SUM(FILTER(MatchSource!$H:$K,MatchSource!$H:$H=$B146))),0,SUM(FILTER(MatchSource!$H:$K,MatchSource!$H:$H=$B146)))"),"0")</f>
        <v>0</v>
      </c>
      <c r="Y146" s="499" t="str">
        <f aca="false">IFERROR(__xludf.dummyfunction("if(isna(ABS(MINUS(SUM(FILTER(MatchSource!$A:$E,MatchSource!$A:$A=$B146)),SUM($W146)))),0,ABS(MINUS(SUM(FILTER(MatchSource!$A:$E,MatchSource!$A:$A=$B146)),SUM($W146))))"),"0")</f>
        <v>0</v>
      </c>
      <c r="Z146" s="499" t="str">
        <f aca="false">IFERROR(__xludf.dummyfunction("if(isna(ABS(MINUS(SUM(FILTER(MatchSource!$H:$L,MatchSource!$H:$H=$B146)),SUM($X146)))),0,ABS(MINUS(SUM(FILTER(MatchSource!$H:$L,MatchSource!$H:$H=$B146)),SUM($X146))))"),"0")</f>
        <v>0</v>
      </c>
      <c r="AA146" s="499" t="str">
        <f aca="false">IFERROR(__xludf.dummyfunction("if(isna(ABS(MINUS(SUM(FILTER(MatchSource!$A:$F,MatchSource!$A:$A=$B146)),SUM($W146,$Y146)))),0,ABS(MINUS(SUM(FILTER(MatchSource!$A:$F,MatchSource!$A:$A=$B146)),SUM($W146, $Y146,))))"),"0")</f>
        <v>0</v>
      </c>
      <c r="AB146" s="501" t="str">
        <f aca="false">IFERROR(__xludf.dummyfunction("if(isna(ABS(MINUS(SUM(FILTER(MatchSource!$H:$M,MatchSource!$H:$H=$B146)),SUM($X146,$Z146)))),0,ABS(MINUS(SUM(FILTER(MatchSource!$H:$M,MatchSource!$H:$H=$B146)),SUM($X146,$Z146))))"),"0")</f>
        <v>0</v>
      </c>
      <c r="AC146" s="507" t="n">
        <f aca="false">SUM(IF(OR($R146="Grass",$R146="Psychic",$R146="Dark"),0-1,IF(OR($R146="Fighting",$R146="Flying",$R146="Fire",$R146="Ghost",$R146="Poison",$R146="Steel",$R146="Fairy"),1,0)),IF(OR($S146="Grass",$S146="Psychic",$S146="Dark"),0-1,IF(OR($S146="Fighting",$S146="Flying",$S146="Fire",$S146="Ghost",$S146="Poison",$S146="Steel",$S146="Fairy"),1,0)))</f>
        <v>0</v>
      </c>
      <c r="AD146" s="507" t="n">
        <f aca="false">SUM(IF(OR($R146="Ghost",$R146="Psychic"),0-1,IF(OR($R146="Fighting",$R146="Dark",$R146="Fairy"),1,0)),IF(OR($S146="Ghost",$S146="Psychic"),0-1,IF(OR($S146="Fighting",$S146="Dark",$S146="Fairy"),1,0)))</f>
        <v>0</v>
      </c>
      <c r="AE146" s="507" t="n">
        <f aca="false">IF(OR($R146="Fairy",$S146="Fairy"),4,SUM(IF($R146="Dragon",0-1,IF($R146="Steel",1,0)),IF($S146="Dragon",0-1,IF($S146="Steel",1,0))))</f>
        <v>0</v>
      </c>
      <c r="AF146" s="507" t="n">
        <f aca="false">IF(OR($R146="Ground",$S146="Ground"),4,SUM(IF(OR($R146="Flying",$R146="Water"),0-1,IF(OR($R146="Dragon",$R146="Electric",$R146="Grass"),1,0)),IF(OR($S146="Flying",$S146="Water"),0-1,IF(OR($S146="Dragon",$S146="Electric",$S146="Grass"),1,0))))</f>
        <v>-1</v>
      </c>
      <c r="AG146" s="507" t="n">
        <f aca="false">SUM(IF(OR($R146="Dark",$R146="Dragon",$R146="Fighting"),0-1,IF(OR($R146="Steel",$R146="Poison",$R146="Fire"),1,0)),IF(OR($S146="Dark",$S146="Dragon",$S146="Fighting"),0-1,IF(OR($S146="Steel",$S146="Poison",$S146="Fire"),1,0)))</f>
        <v>0</v>
      </c>
      <c r="AH146" s="507" t="n">
        <f aca="false">IF(OR($R146="Ghost",$S146="Ghost"),4,SUM(IF(OR($R146="Dark",$R146="Ice",$R146="Normal",$R146="Rock",$R146="Steel"),0-1,IF(OR($R146="Bug",$R146="Fairy",$R146="Flying",$R146="Poison",$R146="Psychic"),1,0)),IF(OR($S146="Dark",$S146="Ice",$S146="Normal",$S146="Rock",$S146="Steel"),0-1,IF(OR($S146="Bug",$S146="Fairy",$S146="Flying",$S146="Poison",$S146="Psychic"),1,0))))</f>
        <v>0</v>
      </c>
      <c r="AI146" s="507" t="n">
        <f aca="false">SUM(IF(OR($R146="Bug",$R146="Grass",$R146="Ice",$R146="Steel"),0-1,IF(OR($R146="Dragon",$R146="Fire",$R146="Rock",$R146="Water"),1,0)),IF(OR($S146="Bug",$S146="Grass",$S146="Ice",$S146="Steel"),0-1,IF(OR($S146="Dragon",$S146="Fire",$S146="Rock",$S146="Water"),1,0)))</f>
        <v>1</v>
      </c>
      <c r="AJ146" s="507" t="n">
        <f aca="false">SUM(IF(OR($R146="Bug",$R146="Grass",$R146="Fighting"),0-1,IF(OR($R146="Electric",$R146="Rock",$R146="Steel"),1,0)),IF(OR($S146="Bug",$S146="Grass",$S146="Fighting"),0-1,IF(OR($S146="Electric",$S146="Rock",$S146="Steel"),1,0)))</f>
        <v>0</v>
      </c>
      <c r="AK146" s="507" t="n">
        <f aca="false">IF(OR($R146="Normal",$S146="Normal"),4,SUM(IF(OR($R146="Ghost",$R146="Psychic"),0-1,IF($R146="Dark",1,0)),IF(OR($S146="Ghost",$S146="Psychic"),0-1,IF($S146="Dark",1,0))))</f>
        <v>0</v>
      </c>
      <c r="AL146" s="507" t="n">
        <f aca="false">SUM(IF(OR($R146="Ground",$R146="Rock",$R146="Water"),0-1,IF(OR($R146="Bug",$R146="Flying",$R146="Fire",$R146="Dragon",$R146="Poison",$R146="Steel",$R146="Grass"),1,0)),IF(OR($S146="Ground",$S146="Rock",$S146="Water"),0-1,IF(OR($S146="Bug",$S146="Flying",$S146="Fire",$S146="Dragon",$S146="Poison",$S146="Steel",$S146="Grass"),1,0)))</f>
        <v>-1</v>
      </c>
      <c r="AM146" s="507" t="n">
        <f aca="false">IF(OR($R146="Flying",$S146="Flying"),4,SUM(IF(OR($R146="Electric",$R146="Fire",$R146="Rock",$R146="Steel",$R146="Poison"),0-1,IF(OR($R146="Bug",$R146="Grass"),1,0)),IF(OR($S146="Electric",$S146="Fire",$S146="Rock",$S146="Steel",$S146="Poison"),0-1,IF(OR($S146="Bug",$S146="Grass"),1,0))))</f>
        <v>0</v>
      </c>
      <c r="AN146" s="507" t="n">
        <f aca="false">SUM(IF(OR($R146="Flying",$R146="Dragon",$R146="Grass",$R146="Ground"),0-1,IF(OR($R146="Steel",$R146="Ice",$R146="Fire",$R146="Water"),1,0)),IF(OR($S146="Flying",$S146="Dragon",$S146="Grass",$S146="Ground"),0-1,IF(OR($S146="Steel",$S146="Ice",$S146="Fire",$S146="Water"),1,0)))</f>
        <v>1</v>
      </c>
      <c r="AO146" s="507" t="n">
        <f aca="false">IF(OR($R146="Ghost",$S146="Ghost"),4,SUM(IF(OR($R146="Steel",$R146="Rock"),1,0),IF(OR($S146="Steel",$S146="Rock"),1,0)))</f>
        <v>0</v>
      </c>
      <c r="AP146" s="507" t="n">
        <f aca="false">IF(OR($R146="Steel",$S146="Steel"),4,SUM(IF(OR($R146="Fairy",$R146="Grass"),0-1,IF(OR($R146="Ghost",$R146="Rock",$R146="Ground",$R146="Poison"),1,0)),IF(OR($S146="Fairy",$S146="Grass"),0-1,IF(OR($S146="Ghost",$S146="Rock",$S146="Ground",$S146="Poison"),1,0))))</f>
        <v>0</v>
      </c>
      <c r="AQ146" s="507" t="n">
        <f aca="false">IF(OR($R146="Dark",$S146="Dark"),4,SUM(IF(OR($R146="Fighting",$R146="Poison"),0-1,IF(OR($R146="Psychic",$R146="Steel"),1,0)),IF(OR($S146="Fighting",$S146="Poison"),0-1,IF(OR($S146="Psychic",$S146="Steel"),1,0))))</f>
        <v>0</v>
      </c>
      <c r="AR146" s="507" t="n">
        <f aca="false">SUM(IF(OR($R146="Bug",$R146="Fire",$R146="Flying",$R146="Ice"),0-1,IF(OR($R146="Steel",$R146="Fighting",$R146="Ground"),1,0)),IF(OR($S146="Bug",$S146="Fire",$S146="Flying",$S146="Ice"),0-1,IF(OR($S146="Steel",$S146="Fighting",$S146="Ground"),1,0)))</f>
        <v>0</v>
      </c>
      <c r="AS146" s="507" t="n">
        <f aca="false">SUM(IF(OR($R146="Fairy",$R146="Ice",$R146="Rock"),0-1,IF(OR($R146="Steel",$R146="Electric",$R146="Fire",$R146="Water"),1,0)),IF(OR($S146="Fairy",$S146="Ice",$S146="Rock"),0-1,IF(OR($S146="Steel",$S146="Electric",$S146="Fire",$S146="Water"),1,0)))</f>
        <v>1</v>
      </c>
      <c r="AT146" s="508" t="n">
        <f aca="false">SUM(IF(OR($R146="Fire",$R146="Ground",$R146="Rock"),0-1,IF(OR($R146="Dragon",$R146="Grass",$R146="Water"),1,0)),IF(OR($S146="Fire",$S146="Ground",$S146="Rock"),0-1,IF(OR($S146="Dragon",$S146="Grass",$S146="Water"),1,0)))</f>
        <v>1</v>
      </c>
      <c r="AU146" s="518"/>
    </row>
    <row r="147" customFormat="false" ht="15.75" hidden="false" customHeight="false" outlineLevel="0" collapsed="false">
      <c r="A147" s="510" t="str">
        <f aca="false" t="array" ref="A147:A147">IF(ISNA(INDEX(Source!$U$7:$U$95,MATCH(B147,Source!$V$7:$V$95,0))),"FREE",INDEX(Source!$U$7:$U$95,MATCH(B147,Source!$V$7:$V$95,0)))</f>
        <v>SEA</v>
      </c>
      <c r="B147" s="511" t="s">
        <v>49</v>
      </c>
      <c r="C147" s="511"/>
      <c r="D147" s="511"/>
      <c r="E147" s="499" t="n">
        <f aca="false">IF(SUM($W147:$X147)&gt;0,SUM($W147:$X147),IF($H147&gt;0,0,IF($H147&gt;0,0,"-")))</f>
        <v>0</v>
      </c>
      <c r="F147" s="499" t="n">
        <f aca="false">IF(SUM($Y147:$Z147)&gt;0,SUM($Y147:$Z147),IF($H147&gt;0,0,"-"))</f>
        <v>0</v>
      </c>
      <c r="G147" s="499" t="e">
        <f aca="false">IF($H147&gt;0,minus(E147,F147),"-")</f>
        <v>#NAME?</v>
      </c>
      <c r="H147" s="500" t="n">
        <f aca="false">SUM(COUNTIF(MatchSource!$A:$A,$B147),COUNTIF(MatchSource!$H:$H,$B147))</f>
        <v>7</v>
      </c>
      <c r="I147" s="501" t="n">
        <f aca="false">SUM($AA147:$AB147)</f>
        <v>0</v>
      </c>
      <c r="J147" s="501" t="s">
        <v>699</v>
      </c>
      <c r="K147" s="512" t="n">
        <f aca="false" t="array" ref="K147:K147">IF(ISNA(INDEX(DraftRosters!$AA$3:$AA$199,MATCH($B147,DraftRosters!$AB$3:$AB$199,0))),"FA",IF(INDEX(DraftRosters!$AA$3:$AA$199,MATCH($B147,DraftRosters!$AB$3:$AB$199,0))="Franchise","Franch",INDEX(DraftRosters!$AA$3:$AA$199,MATCH($B147,DraftRosters!$AB$3:$AB$199,0))))</f>
        <v>63</v>
      </c>
      <c r="L147" s="499" t="n">
        <v>78</v>
      </c>
      <c r="M147" s="499" t="n">
        <v>65</v>
      </c>
      <c r="N147" s="499" t="n">
        <v>68</v>
      </c>
      <c r="O147" s="499" t="n">
        <v>112</v>
      </c>
      <c r="P147" s="499" t="n">
        <v>154</v>
      </c>
      <c r="Q147" s="501" t="n">
        <v>75</v>
      </c>
      <c r="R147" s="499" t="s">
        <v>798</v>
      </c>
      <c r="S147" s="501"/>
      <c r="T147" s="504" t="s">
        <v>929</v>
      </c>
      <c r="U147" s="505" t="s">
        <v>974</v>
      </c>
      <c r="V147" s="506"/>
      <c r="W147" s="500" t="str">
        <f aca="false">IFERROR(__xludf.dummyfunction("if(isna(SUM(FILTER(MatchSource!$A:$D,MatchSource!$A:$A=$B147))),0,SUM(FILTER(MatchSource!$A:$D,MatchSource!$A:$A=$B147)))"),"4")</f>
        <v>4</v>
      </c>
      <c r="X147" s="499" t="str">
        <f aca="false">IFERROR(__xludf.dummyfunction("if(isna(SUM(FILTER(MatchSource!$H:$K,MatchSource!$H:$H=$B147))),0,SUM(FILTER(MatchSource!$H:$K,MatchSource!$H:$H=$B147)))"),"2")</f>
        <v>2</v>
      </c>
      <c r="Y147" s="499" t="str">
        <f aca="false">IFERROR(__xludf.dummyfunction("if(isna(ABS(MINUS(SUM(FILTER(MatchSource!$A:$E,MatchSource!$A:$A=$B147)),SUM($W147)))),0,ABS(MINUS(SUM(FILTER(MatchSource!$A:$E,MatchSource!$A:$A=$B147)),SUM($W147))))"),"2")</f>
        <v>2</v>
      </c>
      <c r="Z147" s="499" t="str">
        <f aca="false">IFERROR(__xludf.dummyfunction("if(isna(ABS(MINUS(SUM(FILTER(MatchSource!$H:$L,MatchSource!$H:$H=$B147)),SUM($X147)))),0,ABS(MINUS(SUM(FILTER(MatchSource!$H:$L,MatchSource!$H:$H=$B147)),SUM($X147))))"),"2")</f>
        <v>2</v>
      </c>
      <c r="AA147" s="499" t="str">
        <f aca="false">IFERROR(__xludf.dummyfunction("if(isna(ABS(MINUS(SUM(FILTER(MatchSource!$A:$F,MatchSource!$A:$A=$B147)),SUM($W147,$Y147)))),0,ABS(MINUS(SUM(FILTER(MatchSource!$A:$F,MatchSource!$A:$A=$B147)),SUM($W147, $Y147,))))"),"2")</f>
        <v>2</v>
      </c>
      <c r="AB147" s="501" t="str">
        <f aca="false">IFERROR(__xludf.dummyfunction("if(isna(ABS(MINUS(SUM(FILTER(MatchSource!$H:$M,MatchSource!$H:$H=$B147)),SUM($X147,$Z147)))),0,ABS(MINUS(SUM(FILTER(MatchSource!$H:$M,MatchSource!$H:$H=$B147)),SUM($X147,$Z147))))"),"4")</f>
        <v>4</v>
      </c>
      <c r="AC147" s="507" t="n">
        <f aca="false">SUM(IF(OR($R147="Grass",$R147="Psychic",$R147="Dark"),0-1,IF(OR($R147="Fighting",$R147="Flying",$R147="Fire",$R147="Ghost",$R147="Poison",$R147="Steel",$R147="Fairy"),1,0)),IF(OR($S147="Grass",$S147="Psychic",$S147="Dark"),0-1,IF(OR($S147="Fighting",$S147="Flying",$S147="Fire",$S147="Ghost",$S147="Poison",$S147="Steel",$S147="Fairy"),1,0)))</f>
        <v>1</v>
      </c>
      <c r="AD147" s="507" t="n">
        <f aca="false">SUM(IF(OR($R147="Ghost",$R147="Psychic"),0-1,IF(OR($R147="Fighting",$R147="Dark",$R147="Fairy"),1,0)),IF(OR($S147="Ghost",$S147="Psychic"),0-1,IF(OR($S147="Fighting",$S147="Dark",$S147="Fairy"),1,0)))</f>
        <v>1</v>
      </c>
      <c r="AE147" s="507" t="n">
        <f aca="false">IF(OR($R147="Fairy",$S147="Fairy"),4,SUM(IF($R147="Dragon",0-1,IF($R147="Steel",1,0)),IF($S147="Dragon",0-1,IF($S147="Steel",1,0))))</f>
        <v>4</v>
      </c>
      <c r="AF147" s="507" t="n">
        <f aca="false">IF(OR($R147="Ground",$S147="Ground"),4,SUM(IF(OR($R147="Flying",$R147="Water"),0-1,IF(OR($R147="Dragon",$R147="Electric",$R147="Grass"),1,0)),IF(OR($S147="Flying",$S147="Water"),0-1,IF(OR($S147="Dragon",$S147="Electric",$S147="Grass"),1,0))))</f>
        <v>0</v>
      </c>
      <c r="AG147" s="507" t="n">
        <f aca="false">SUM(IF(OR($R147="Dark",$R147="Dragon",$R147="Fighting"),0-1,IF(OR($R147="Steel",$R147="Poison",$R147="Fire"),1,0)),IF(OR($S147="Dark",$S147="Dragon",$S147="Fighting"),0-1,IF(OR($S147="Steel",$S147="Poison",$S147="Fire"),1,0)))</f>
        <v>0</v>
      </c>
      <c r="AH147" s="507" t="n">
        <f aca="false">IF(OR($R147="Ghost",$S147="Ghost"),4,SUM(IF(OR($R147="Dark",$R147="Ice",$R147="Normal",$R147="Rock",$R147="Steel"),0-1,IF(OR($R147="Bug",$R147="Fairy",$R147="Flying",$R147="Poison",$R147="Psychic"),1,0)),IF(OR($S147="Dark",$S147="Ice",$S147="Normal",$S147="Rock",$S147="Steel"),0-1,IF(OR($S147="Bug",$S147="Fairy",$S147="Flying",$S147="Poison",$S147="Psychic"),1,0))))</f>
        <v>1</v>
      </c>
      <c r="AI147" s="507" t="n">
        <f aca="false">SUM(IF(OR($R147="Bug",$R147="Grass",$R147="Ice",$R147="Steel"),0-1,IF(OR($R147="Dragon",$R147="Fire",$R147="Rock",$R147="Water"),1,0)),IF(OR($S147="Bug",$S147="Grass",$S147="Ice",$S147="Steel"),0-1,IF(OR($S147="Dragon",$S147="Fire",$S147="Rock",$S147="Water"),1,0)))</f>
        <v>0</v>
      </c>
      <c r="AJ147" s="507" t="n">
        <f aca="false">SUM(IF(OR($R147="Bug",$R147="Grass",$R147="Fighting"),0-1,IF(OR($R147="Electric",$R147="Rock",$R147="Steel"),1,0)),IF(OR($S147="Bug",$S147="Grass",$S147="Fighting"),0-1,IF(OR($S147="Electric",$S147="Rock",$S147="Steel"),1,0)))</f>
        <v>0</v>
      </c>
      <c r="AK147" s="507" t="n">
        <f aca="false">IF(OR($R147="Normal",$S147="Normal"),4,SUM(IF(OR($R147="Ghost",$R147="Psychic"),0-1,IF($R147="Dark",1,0)),IF(OR($S147="Ghost",$S147="Psychic"),0-1,IF($S147="Dark",1,0))))</f>
        <v>0</v>
      </c>
      <c r="AL147" s="507" t="n">
        <f aca="false">SUM(IF(OR($R147="Ground",$R147="Rock",$R147="Water"),0-1,IF(OR($R147="Bug",$R147="Flying",$R147="Fire",$R147="Dragon",$R147="Poison",$R147="Steel",$R147="Grass"),1,0)),IF(OR($S147="Ground",$S147="Rock",$S147="Water"),0-1,IF(OR($S147="Bug",$S147="Flying",$S147="Fire",$S147="Dragon",$S147="Poison",$S147="Steel",$S147="Grass"),1,0)))</f>
        <v>0</v>
      </c>
      <c r="AM147" s="507" t="n">
        <f aca="false">IF(OR($R147="Flying",$S147="Flying"),4,SUM(IF(OR($R147="Electric",$R147="Fire",$R147="Rock",$R147="Steel",$R147="Poison"),0-1,IF(OR($R147="Bug",$R147="Grass"),1,0)),IF(OR($S147="Electric",$S147="Fire",$S147="Rock",$S147="Steel",$S147="Poison"),0-1,IF(OR($S147="Bug",$S147="Grass"),1,0))))</f>
        <v>0</v>
      </c>
      <c r="AN147" s="507" t="n">
        <f aca="false">SUM(IF(OR($R147="Flying",$R147="Dragon",$R147="Grass",$R147="Ground"),0-1,IF(OR($R147="Steel",$R147="Ice",$R147="Fire",$R147="Water"),1,0)),IF(OR($S147="Flying",$S147="Dragon",$S147="Grass",$S147="Ground"),0-1,IF(OR($S147="Steel",$S147="Ice",$S147="Fire",$S147="Water"),1,0)))</f>
        <v>0</v>
      </c>
      <c r="AO147" s="507" t="n">
        <f aca="false">IF(OR($R147="Ghost",$S147="Ghost"),4,SUM(IF(OR($R147="Steel",$R147="Rock"),1,0),IF(OR($S147="Steel",$S147="Rock"),1,0)))</f>
        <v>0</v>
      </c>
      <c r="AP147" s="507" t="n">
        <f aca="false">IF(OR($R147="Steel",$S147="Steel"),4,SUM(IF(OR($R147="Fairy",$R147="Grass"),0-1,IF(OR($R147="Ghost",$R147="Rock",$R147="Ground",$R147="Poison"),1,0)),IF(OR($S147="Fairy",$S147="Grass"),0-1,IF(OR($S147="Ghost",$S147="Rock",$S147="Ground",$S147="Poison"),1,0))))</f>
        <v>-1</v>
      </c>
      <c r="AQ147" s="507" t="n">
        <f aca="false">IF(OR($R147="Dark",$S147="Dark"),4,SUM(IF(OR($R147="Fighting",$R147="Poison"),0-1,IF(OR($R147="Psychic",$R147="Steel"),1,0)),IF(OR($S147="Fighting",$S147="Poison"),0-1,IF(OR($S147="Psychic",$S147="Steel"),1,0))))</f>
        <v>0</v>
      </c>
      <c r="AR147" s="507" t="n">
        <f aca="false">SUM(IF(OR($R147="Bug",$R147="Fire",$R147="Flying",$R147="Ice"),0-1,IF(OR($R147="Steel",$R147="Fighting",$R147="Ground"),1,0)),IF(OR($S147="Bug",$S147="Fire",$S147="Flying",$S147="Ice"),0-1,IF(OR($S147="Steel",$S147="Fighting",$S147="Ground"),1,0)))</f>
        <v>0</v>
      </c>
      <c r="AS147" s="507" t="n">
        <f aca="false">SUM(IF(OR($R147="Fairy",$R147="Ice",$R147="Rock"),0-1,IF(OR($R147="Steel",$R147="Electric",$R147="Fire",$R147="Water"),1,0)),IF(OR($S147="Fairy",$S147="Ice",$S147="Rock"),0-1,IF(OR($S147="Steel",$S147="Electric",$S147="Fire",$S147="Water"),1,0)))</f>
        <v>-1</v>
      </c>
      <c r="AT147" s="508" t="n">
        <f aca="false">SUM(IF(OR($R147="Fire",$R147="Ground",$R147="Rock"),0-1,IF(OR($R147="Dragon",$R147="Grass",$R147="Water"),1,0)),IF(OR($S147="Fire",$S147="Ground",$S147="Rock"),0-1,IF(OR($S147="Dragon",$S147="Grass",$S147="Water"),1,0)))</f>
        <v>0</v>
      </c>
      <c r="AU147" s="518"/>
    </row>
    <row r="148" customFormat="false" ht="15.75" hidden="false" customHeight="false" outlineLevel="0" collapsed="false">
      <c r="A148" s="510" t="str">
        <f aca="false" t="array" ref="A148:A148">IF(ISNA(INDEX(Source!$U$7:$U$95,MATCH(B148,Source!$V$7:$V$95,0))),"FREE",INDEX(Source!$U$7:$U$95,MATCH(B148,Source!$V$7:$V$95,0)))</f>
        <v>FREE</v>
      </c>
      <c r="B148" s="511" t="s">
        <v>411</v>
      </c>
      <c r="C148" s="511"/>
      <c r="D148" s="511"/>
      <c r="E148" s="499" t="str">
        <f aca="false">IF(SUM($W148:$X148)&gt;0,SUM($W148:$X148),IF($H148&gt;0,0,IF($H148&gt;0,0,"-")))</f>
        <v>-</v>
      </c>
      <c r="F148" s="499" t="str">
        <f aca="false">IF(SUM($Y148:$Z148)&gt;0,SUM($Y148:$Z148),IF($H148&gt;0,0,"-"))</f>
        <v>-</v>
      </c>
      <c r="G148" s="499" t="str">
        <f aca="false">IF($H148&gt;0,minus(E148,F148),"-")</f>
        <v>-</v>
      </c>
      <c r="H148" s="500" t="n">
        <f aca="false">SUM(COUNTIF(MatchSource!$A:$A,$B148),COUNTIF(MatchSource!$H:$H,$B148))</f>
        <v>0</v>
      </c>
      <c r="I148" s="501" t="n">
        <f aca="false">SUM($AA148:$AB148)</f>
        <v>0</v>
      </c>
      <c r="J148" s="501" t="s">
        <v>700</v>
      </c>
      <c r="K148" s="512" t="str">
        <f aca="false" t="array" ref="K148:K148">IF(ISNA(INDEX(DraftRosters!$AA$3:$AA$199,MATCH($B148,DraftRosters!$AB$3:$AB$199,0))),"FA",IF(INDEX(DraftRosters!$AA$3:$AA$199,MATCH($B148,DraftRosters!$AB$3:$AB$199,0))="Franchise","Franch",INDEX(DraftRosters!$AA$3:$AA$199,MATCH($B148,DraftRosters!$AB$3:$AB$199,0))))</f>
        <v>FA</v>
      </c>
      <c r="L148" s="507" t="n">
        <v>80</v>
      </c>
      <c r="M148" s="507" t="n">
        <v>100</v>
      </c>
      <c r="N148" s="507" t="n">
        <v>80</v>
      </c>
      <c r="O148" s="507" t="n">
        <v>80</v>
      </c>
      <c r="P148" s="507" t="n">
        <v>80</v>
      </c>
      <c r="Q148" s="508" t="n">
        <v>100</v>
      </c>
      <c r="R148" s="499" t="s">
        <v>835</v>
      </c>
      <c r="S148" s="501" t="s">
        <v>907</v>
      </c>
      <c r="T148" s="504" t="s">
        <v>866</v>
      </c>
      <c r="U148" s="505"/>
      <c r="V148" s="506"/>
      <c r="W148" s="500" t="str">
        <f aca="false">IFERROR(__xludf.dummyfunction("if(isna(SUM(FILTER(MatchSource!$A:$D,MatchSource!$A:$A=$B148))),0,SUM(FILTER(MatchSource!$A:$D,MatchSource!$A:$A=$B148)))"),"0")</f>
        <v>0</v>
      </c>
      <c r="X148" s="499" t="str">
        <f aca="false">IFERROR(__xludf.dummyfunction("if(isna(SUM(FILTER(MatchSource!$H:$K,MatchSource!$H:$H=$B148))),0,SUM(FILTER(MatchSource!$H:$K,MatchSource!$H:$H=$B148)))"),"0")</f>
        <v>0</v>
      </c>
      <c r="Y148" s="499" t="str">
        <f aca="false">IFERROR(__xludf.dummyfunction("if(isna(ABS(MINUS(SUM(FILTER(MatchSource!$A:$E,MatchSource!$A:$A=$B148)),SUM($W148)))),0,ABS(MINUS(SUM(FILTER(MatchSource!$A:$E,MatchSource!$A:$A=$B148)),SUM($W148))))"),"0")</f>
        <v>0</v>
      </c>
      <c r="Z148" s="499" t="str">
        <f aca="false">IFERROR(__xludf.dummyfunction("if(isna(ABS(MINUS(SUM(FILTER(MatchSource!$H:$L,MatchSource!$H:$H=$B148)),SUM($X148)))),0,ABS(MINUS(SUM(FILTER(MatchSource!$H:$L,MatchSource!$H:$H=$B148)),SUM($X148))))"),"0")</f>
        <v>0</v>
      </c>
      <c r="AA148" s="499" t="str">
        <f aca="false">IFERROR(__xludf.dummyfunction("if(isna(ABS(MINUS(SUM(FILTER(MatchSource!$A:$F,MatchSource!$A:$A=$B148)),SUM($W148,$Y148)))),0,ABS(MINUS(SUM(FILTER(MatchSource!$A:$F,MatchSource!$A:$A=$B148)),SUM($W148, $Y148,))))"),"0")</f>
        <v>0</v>
      </c>
      <c r="AB148" s="501" t="str">
        <f aca="false">IFERROR(__xludf.dummyfunction("if(isna(ABS(MINUS(SUM(FILTER(MatchSource!$H:$M,MatchSource!$H:$H=$B148)),SUM($X148,$Z148)))),0,ABS(MINUS(SUM(FILTER(MatchSource!$H:$M,MatchSource!$H:$H=$B148)),SUM($X148,$Z148))))"),"0")</f>
        <v>0</v>
      </c>
      <c r="AC148" s="507" t="n">
        <f aca="false">SUM(IF(OR($R148="Grass",$R148="Psychic",$R148="Dark"),0-1,IF(OR($R148="Fighting",$R148="Flying",$R148="Fire",$R148="Ghost",$R148="Poison",$R148="Steel",$R148="Fairy"),1,0)),IF(OR($S148="Grass",$S148="Psychic",$S148="Dark"),0-1,IF(OR($S148="Fighting",$S148="Flying",$S148="Fire",$S148="Ghost",$S148="Poison",$S148="Steel",$S148="Fairy"),1,0)))</f>
        <v>0</v>
      </c>
      <c r="AD148" s="507" t="n">
        <f aca="false">SUM(IF(OR($R148="Ghost",$R148="Psychic"),0-1,IF(OR($R148="Fighting",$R148="Dark",$R148="Fairy"),1,0)),IF(OR($S148="Ghost",$S148="Psychic"),0-1,IF(OR($S148="Fighting",$S148="Dark",$S148="Fairy"),1,0)))</f>
        <v>0</v>
      </c>
      <c r="AE148" s="507" t="n">
        <f aca="false">IF(OR($R148="Fairy",$S148="Fairy"),4,SUM(IF($R148="Dragon",0-1,IF($R148="Steel",1,0)),IF($S148="Dragon",0-1,IF($S148="Steel",1,0))))</f>
        <v>-1</v>
      </c>
      <c r="AF148" s="507" t="n">
        <f aca="false">IF(OR($R148="Ground",$S148="Ground"),4,SUM(IF(OR($R148="Flying",$R148="Water"),0-1,IF(OR($R148="Dragon",$R148="Electric",$R148="Grass"),1,0)),IF(OR($S148="Flying",$S148="Water"),0-1,IF(OR($S148="Dragon",$S148="Electric",$S148="Grass"),1,0))))</f>
        <v>4</v>
      </c>
      <c r="AG148" s="507" t="n">
        <f aca="false">SUM(IF(OR($R148="Dark",$R148="Dragon",$R148="Fighting"),0-1,IF(OR($R148="Steel",$R148="Poison",$R148="Fire"),1,0)),IF(OR($S148="Dark",$S148="Dragon",$S148="Fighting"),0-1,IF(OR($S148="Steel",$S148="Poison",$S148="Fire"),1,0)))</f>
        <v>-1</v>
      </c>
      <c r="AH148" s="507" t="n">
        <f aca="false">IF(OR($R148="Ghost",$S148="Ghost"),4,SUM(IF(OR($R148="Dark",$R148="Ice",$R148="Normal",$R148="Rock",$R148="Steel"),0-1,IF(OR($R148="Bug",$R148="Fairy",$R148="Flying",$R148="Poison",$R148="Psychic"),1,0)),IF(OR($S148="Dark",$S148="Ice",$S148="Normal",$S148="Rock",$S148="Steel"),0-1,IF(OR($S148="Bug",$S148="Fairy",$S148="Flying",$S148="Poison",$S148="Psychic"),1,0))))</f>
        <v>0</v>
      </c>
      <c r="AI148" s="507" t="n">
        <f aca="false">SUM(IF(OR($R148="Bug",$R148="Grass",$R148="Ice",$R148="Steel"),0-1,IF(OR($R148="Dragon",$R148="Fire",$R148="Rock",$R148="Water"),1,0)),IF(OR($S148="Bug",$S148="Grass",$S148="Ice",$S148="Steel"),0-1,IF(OR($S148="Dragon",$S148="Fire",$S148="Rock",$S148="Water"),1,0)))</f>
        <v>1</v>
      </c>
      <c r="AJ148" s="507" t="n">
        <f aca="false">SUM(IF(OR($R148="Bug",$R148="Grass",$R148="Fighting"),0-1,IF(OR($R148="Electric",$R148="Rock",$R148="Steel"),1,0)),IF(OR($S148="Bug",$S148="Grass",$S148="Fighting"),0-1,IF(OR($S148="Electric",$S148="Rock",$S148="Steel"),1,0)))</f>
        <v>0</v>
      </c>
      <c r="AK148" s="507" t="n">
        <f aca="false">IF(OR($R148="Normal",$S148="Normal"),4,SUM(IF(OR($R148="Ghost",$R148="Psychic"),0-1,IF($R148="Dark",1,0)),IF(OR($S148="Ghost",$S148="Psychic"),0-1,IF($S148="Dark",1,0))))</f>
        <v>0</v>
      </c>
      <c r="AL148" s="507" t="n">
        <f aca="false">SUM(IF(OR($R148="Ground",$R148="Rock",$R148="Water"),0-1,IF(OR($R148="Bug",$R148="Flying",$R148="Fire",$R148="Dragon",$R148="Poison",$R148="Steel",$R148="Grass"),1,0)),IF(OR($S148="Ground",$S148="Rock",$S148="Water"),0-1,IF(OR($S148="Bug",$S148="Flying",$S148="Fire",$S148="Dragon",$S148="Poison",$S148="Steel",$S148="Grass"),1,0)))</f>
        <v>0</v>
      </c>
      <c r="AM148" s="507" t="n">
        <f aca="false">IF(OR($R148="Flying",$S148="Flying"),4,SUM(IF(OR($R148="Electric",$R148="Fire",$R148="Rock",$R148="Steel",$R148="Poison"),0-1,IF(OR($R148="Bug",$R148="Grass"),1,0)),IF(OR($S148="Electric",$S148="Fire",$S148="Rock",$S148="Steel",$S148="Poison"),0-1,IF(OR($S148="Bug",$S148="Grass"),1,0))))</f>
        <v>0</v>
      </c>
      <c r="AN148" s="507" t="n">
        <f aca="false">SUM(IF(OR($R148="Flying",$R148="Dragon",$R148="Grass",$R148="Ground"),0-1,IF(OR($R148="Steel",$R148="Ice",$R148="Fire",$R148="Water"),1,0)),IF(OR($S148="Flying",$S148="Dragon",$S148="Grass",$S148="Ground"),0-1,IF(OR($S148="Steel",$S148="Ice",$S148="Fire",$S148="Water"),1,0)))</f>
        <v>-2</v>
      </c>
      <c r="AO148" s="507" t="n">
        <f aca="false">IF(OR($R148="Ghost",$S148="Ghost"),4,SUM(IF(OR($R148="Steel",$R148="Rock"),1,0),IF(OR($S148="Steel",$S148="Rock"),1,0)))</f>
        <v>0</v>
      </c>
      <c r="AP148" s="507" t="n">
        <f aca="false">IF(OR($R148="Steel",$S148="Steel"),4,SUM(IF(OR($R148="Fairy",$R148="Grass"),0-1,IF(OR($R148="Ghost",$R148="Rock",$R148="Ground",$R148="Poison"),1,0)),IF(OR($S148="Fairy",$S148="Grass"),0-1,IF(OR($S148="Ghost",$S148="Rock",$S148="Ground",$S148="Poison"),1,0))))</f>
        <v>1</v>
      </c>
      <c r="AQ148" s="507" t="n">
        <f aca="false">IF(OR($R148="Dark",$S148="Dark"),4,SUM(IF(OR($R148="Fighting",$R148="Poison"),0-1,IF(OR($R148="Psychic",$R148="Steel"),1,0)),IF(OR($S148="Fighting",$S148="Poison"),0-1,IF(OR($S148="Psychic",$S148="Steel"),1,0))))</f>
        <v>0</v>
      </c>
      <c r="AR148" s="507" t="n">
        <f aca="false">SUM(IF(OR($R148="Bug",$R148="Fire",$R148="Flying",$R148="Ice"),0-1,IF(OR($R148="Steel",$R148="Fighting",$R148="Ground"),1,0)),IF(OR($S148="Bug",$S148="Fire",$S148="Flying",$S148="Ice"),0-1,IF(OR($S148="Steel",$S148="Fighting",$S148="Ground"),1,0)))</f>
        <v>1</v>
      </c>
      <c r="AS148" s="507" t="n">
        <f aca="false">SUM(IF(OR($R148="Fairy",$R148="Ice",$R148="Rock"),0-1,IF(OR($R148="Steel",$R148="Electric",$R148="Fire",$R148="Water"),1,0)),IF(OR($S148="Fairy",$S148="Ice",$S148="Rock"),0-1,IF(OR($S148="Steel",$S148="Electric",$S148="Fire",$S148="Water"),1,0)))</f>
        <v>0</v>
      </c>
      <c r="AT148" s="508" t="n">
        <f aca="false">SUM(IF(OR($R148="Fire",$R148="Ground",$R148="Rock"),0-1,IF(OR($R148="Dragon",$R148="Grass",$R148="Water"),1,0)),IF(OR($S148="Fire",$S148="Ground",$S148="Rock"),0-1,IF(OR($S148="Dragon",$S148="Grass",$S148="Water"),1,0)))</f>
        <v>0</v>
      </c>
      <c r="AU148" s="518"/>
    </row>
    <row r="149" customFormat="false" ht="15.75" hidden="false" customHeight="false" outlineLevel="0" collapsed="false">
      <c r="A149" s="510" t="str">
        <f aca="false" t="array" ref="A149:A149">IF(ISNA(INDEX(Source!$U$7:$U$95,MATCH(B149,Source!$V$7:$V$95,0))),"FREE",INDEX(Source!$U$7:$U$95,MATCH(B149,Source!$V$7:$V$95,0)))</f>
        <v>LVC</v>
      </c>
      <c r="B149" s="511" t="s">
        <v>68</v>
      </c>
      <c r="C149" s="511"/>
      <c r="D149" s="511"/>
      <c r="E149" s="499" t="n">
        <f aca="false">IF(SUM($W149:$X149)&gt;0,SUM($W149:$X149),IF($H149&gt;0,0,IF($H149&gt;0,0,"-")))</f>
        <v>0</v>
      </c>
      <c r="F149" s="499" t="n">
        <f aca="false">IF(SUM($Y149:$Z149)&gt;0,SUM($Y149:$Z149),IF($H149&gt;0,0,"-"))</f>
        <v>0</v>
      </c>
      <c r="G149" s="499" t="e">
        <f aca="false">IF($H149&gt;0,minus(E149,F149),"-")</f>
        <v>#NAME?</v>
      </c>
      <c r="H149" s="500" t="n">
        <f aca="false">SUM(COUNTIF(MatchSource!$A:$A,$B149),COUNTIF(MatchSource!$H:$H,$B149))</f>
        <v>3</v>
      </c>
      <c r="I149" s="501" t="n">
        <f aca="false">SUM($AA149:$AB149)</f>
        <v>0</v>
      </c>
      <c r="J149" s="501" t="s">
        <v>700</v>
      </c>
      <c r="K149" s="512" t="n">
        <f aca="false" t="array" ref="K149:K149">IF(ISNA(INDEX(DraftRosters!$AA$3:$AA$199,MATCH($B149,DraftRosters!$AB$3:$AB$199,0))),"FA",IF(INDEX(DraftRosters!$AA$3:$AA$199,MATCH($B149,DraftRosters!$AB$3:$AB$199,0))="Franchise","Franch",INDEX(DraftRosters!$AA$3:$AA$199,MATCH($B149,DraftRosters!$AB$3:$AB$199,0))))</f>
        <v>56</v>
      </c>
      <c r="L149" s="507" t="n">
        <v>75</v>
      </c>
      <c r="M149" s="507" t="n">
        <v>90</v>
      </c>
      <c r="N149" s="507" t="n">
        <v>140</v>
      </c>
      <c r="O149" s="507" t="n">
        <v>60</v>
      </c>
      <c r="P149" s="507" t="n">
        <v>60</v>
      </c>
      <c r="Q149" s="508" t="n">
        <v>40</v>
      </c>
      <c r="R149" s="499" t="s">
        <v>794</v>
      </c>
      <c r="S149" s="501" t="s">
        <v>810</v>
      </c>
      <c r="T149" s="504" t="s">
        <v>924</v>
      </c>
      <c r="U149" s="505" t="s">
        <v>826</v>
      </c>
      <c r="V149" s="506"/>
      <c r="W149" s="500" t="str">
        <f aca="false">IFERROR(__xludf.dummyfunction("if(isna(SUM(FILTER(MatchSource!$A:$D,MatchSource!$A:$A=$B149))),0,SUM(FILTER(MatchSource!$A:$D,MatchSource!$A:$A=$B149)))"),"0")</f>
        <v>0</v>
      </c>
      <c r="X149" s="499" t="str">
        <f aca="false">IFERROR(__xludf.dummyfunction("if(isna(SUM(FILTER(MatchSource!$H:$K,MatchSource!$H:$H=$B149))),0,SUM(FILTER(MatchSource!$H:$K,MatchSource!$H:$H=$B149)))"),"2")</f>
        <v>2</v>
      </c>
      <c r="Y149" s="499" t="str">
        <f aca="false">IFERROR(__xludf.dummyfunction("if(isna(ABS(MINUS(SUM(FILTER(MatchSource!$A:$E,MatchSource!$A:$A=$B149)),SUM($W149)))),0,ABS(MINUS(SUM(FILTER(MatchSource!$A:$E,MatchSource!$A:$A=$B149)),SUM($W149))))"),"0")</f>
        <v>0</v>
      </c>
      <c r="Z149" s="499" t="str">
        <f aca="false">IFERROR(__xludf.dummyfunction("if(isna(ABS(MINUS(SUM(FILTER(MatchSource!$H:$L,MatchSource!$H:$H=$B149)),SUM($X149)))),0,ABS(MINUS(SUM(FILTER(MatchSource!$H:$L,MatchSource!$H:$H=$B149)),SUM($X149))))"),"2")</f>
        <v>2</v>
      </c>
      <c r="AA149" s="499" t="str">
        <f aca="false">IFERROR(__xludf.dummyfunction("if(isna(ABS(MINUS(SUM(FILTER(MatchSource!$A:$F,MatchSource!$A:$A=$B149)),SUM($W149,$Y149)))),0,ABS(MINUS(SUM(FILTER(MatchSource!$A:$F,MatchSource!$A:$A=$B149)),SUM($W149, $Y149,))))"),"1")</f>
        <v>1</v>
      </c>
      <c r="AB149" s="501" t="str">
        <f aca="false">IFERROR(__xludf.dummyfunction("if(isna(ABS(MINUS(SUM(FILTER(MatchSource!$H:$M,MatchSource!$H:$H=$B149)),SUM($X149,$Z149)))),0,ABS(MINUS(SUM(FILTER(MatchSource!$H:$M,MatchSource!$H:$H=$B149)),SUM($X149,$Z149))))"),"1")</f>
        <v>1</v>
      </c>
      <c r="AC149" s="507" t="n">
        <f aca="false">SUM(IF(OR($R149="Grass",$R149="Psychic",$R149="Dark"),0-1,IF(OR($R149="Fighting",$R149="Flying",$R149="Fire",$R149="Ghost",$R149="Poison",$R149="Steel",$R149="Fairy"),1,0)),IF(OR($S149="Grass",$S149="Psychic",$S149="Dark"),0-1,IF(OR($S149="Fighting",$S149="Flying",$S149="Fire",$S149="Ghost",$S149="Poison",$S149="Steel",$S149="Fairy"),1,0)))</f>
        <v>1</v>
      </c>
      <c r="AD149" s="507" t="n">
        <f aca="false">SUM(IF(OR($R149="Ghost",$R149="Psychic"),0-1,IF(OR($R149="Fighting",$R149="Dark",$R149="Fairy"),1,0)),IF(OR($S149="Ghost",$S149="Psychic"),0-1,IF(OR($S149="Fighting",$S149="Dark",$S149="Fairy"),1,0)))</f>
        <v>0</v>
      </c>
      <c r="AE149" s="507" t="n">
        <f aca="false">IF(OR($R149="Fairy",$S149="Fairy"),4,SUM(IF($R149="Dragon",0-1,IF($R149="Steel",1,0)),IF($S149="Dragon",0-1,IF($S149="Steel",1,0))))</f>
        <v>1</v>
      </c>
      <c r="AF149" s="507" t="n">
        <f aca="false">IF(OR($R149="Ground",$S149="Ground"),4,SUM(IF(OR($R149="Flying",$R149="Water"),0-1,IF(OR($R149="Dragon",$R149="Electric",$R149="Grass"),1,0)),IF(OR($S149="Flying",$S149="Water"),0-1,IF(OR($S149="Dragon",$S149="Electric",$S149="Grass"),1,0))))</f>
        <v>0</v>
      </c>
      <c r="AG149" s="507" t="n">
        <f aca="false">SUM(IF(OR($R149="Dark",$R149="Dragon",$R149="Fighting"),0-1,IF(OR($R149="Steel",$R149="Poison",$R149="Fire"),1,0)),IF(OR($S149="Dark",$S149="Dragon",$S149="Fighting"),0-1,IF(OR($S149="Steel",$S149="Poison",$S149="Fire"),1,0)))</f>
        <v>1</v>
      </c>
      <c r="AH149" s="507" t="n">
        <f aca="false">IF(OR($R149="Ghost",$S149="Ghost"),4,SUM(IF(OR($R149="Dark",$R149="Ice",$R149="Normal",$R149="Rock",$R149="Steel"),0-1,IF(OR($R149="Bug",$R149="Fairy",$R149="Flying",$R149="Poison",$R149="Psychic"),1,0)),IF(OR($S149="Dark",$S149="Ice",$S149="Normal",$S149="Rock",$S149="Steel"),0-1,IF(OR($S149="Bug",$S149="Fairy",$S149="Flying",$S149="Poison",$S149="Psychic"),1,0))))</f>
        <v>0</v>
      </c>
      <c r="AI149" s="507" t="n">
        <f aca="false">SUM(IF(OR($R149="Bug",$R149="Grass",$R149="Ice",$R149="Steel"),0-1,IF(OR($R149="Dragon",$R149="Fire",$R149="Rock",$R149="Water"),1,0)),IF(OR($S149="Bug",$S149="Grass",$S149="Ice",$S149="Steel"),0-1,IF(OR($S149="Dragon",$S149="Fire",$S149="Rock",$S149="Water"),1,0)))</f>
        <v>-2</v>
      </c>
      <c r="AJ149" s="507" t="n">
        <f aca="false">SUM(IF(OR($R149="Bug",$R149="Grass",$R149="Fighting"),0-1,IF(OR($R149="Electric",$R149="Rock",$R149="Steel"),1,0)),IF(OR($S149="Bug",$S149="Grass",$S149="Fighting"),0-1,IF(OR($S149="Electric",$S149="Rock",$S149="Steel"),1,0)))</f>
        <v>0</v>
      </c>
      <c r="AK149" s="507" t="n">
        <f aca="false">IF(OR($R149="Normal",$S149="Normal"),4,SUM(IF(OR($R149="Ghost",$R149="Psychic"),0-1,IF($R149="Dark",1,0)),IF(OR($S149="Ghost",$S149="Psychic"),0-1,IF($S149="Dark",1,0))))</f>
        <v>0</v>
      </c>
      <c r="AL149" s="507" t="n">
        <f aca="false">SUM(IF(OR($R149="Ground",$R149="Rock",$R149="Water"),0-1,IF(OR($R149="Bug",$R149="Flying",$R149="Fire",$R149="Dragon",$R149="Poison",$R149="Steel",$R149="Grass"),1,0)),IF(OR($S149="Ground",$S149="Rock",$S149="Water"),0-1,IF(OR($S149="Bug",$S149="Flying",$S149="Fire",$S149="Dragon",$S149="Poison",$S149="Steel",$S149="Grass"),1,0)))</f>
        <v>2</v>
      </c>
      <c r="AM149" s="507" t="n">
        <f aca="false">IF(OR($R149="Flying",$S149="Flying"),4,SUM(IF(OR($R149="Electric",$R149="Fire",$R149="Rock",$R149="Steel",$R149="Poison"),0-1,IF(OR($R149="Bug",$R149="Grass"),1,0)),IF(OR($S149="Electric",$S149="Fire",$S149="Rock",$S149="Steel",$S149="Poison"),0-1,IF(OR($S149="Bug",$S149="Grass"),1,0))))</f>
        <v>0</v>
      </c>
      <c r="AN149" s="507" t="n">
        <f aca="false">SUM(IF(OR($R149="Flying",$R149="Dragon",$R149="Grass",$R149="Ground"),0-1,IF(OR($R149="Steel",$R149="Ice",$R149="Fire",$R149="Water"),1,0)),IF(OR($S149="Flying",$S149="Dragon",$S149="Grass",$S149="Ground"),0-1,IF(OR($S149="Steel",$S149="Ice",$S149="Fire",$S149="Water"),1,0)))</f>
        <v>1</v>
      </c>
      <c r="AO149" s="507" t="n">
        <f aca="false">IF(OR($R149="Ghost",$S149="Ghost"),4,SUM(IF(OR($R149="Steel",$R149="Rock"),1,0),IF(OR($S149="Steel",$S149="Rock"),1,0)))</f>
        <v>1</v>
      </c>
      <c r="AP149" s="507" t="n">
        <f aca="false">IF(OR($R149="Steel",$S149="Steel"),4,SUM(IF(OR($R149="Fairy",$R149="Grass"),0-1,IF(OR($R149="Ghost",$R149="Rock",$R149="Ground",$R149="Poison"),1,0)),IF(OR($S149="Fairy",$S149="Grass"),0-1,IF(OR($S149="Ghost",$S149="Rock",$S149="Ground",$S149="Poison"),1,0))))</f>
        <v>4</v>
      </c>
      <c r="AQ149" s="507" t="n">
        <f aca="false">IF(OR($R149="Dark",$S149="Dark"),4,SUM(IF(OR($R149="Fighting",$R149="Poison"),0-1,IF(OR($R149="Psychic",$R149="Steel"),1,0)),IF(OR($S149="Fighting",$S149="Poison"),0-1,IF(OR($S149="Psychic",$S149="Steel"),1,0))))</f>
        <v>1</v>
      </c>
      <c r="AR149" s="507" t="n">
        <f aca="false">SUM(IF(OR($R149="Bug",$R149="Fire",$R149="Flying",$R149="Ice"),0-1,IF(OR($R149="Steel",$R149="Fighting",$R149="Ground"),1,0)),IF(OR($S149="Bug",$S149="Fire",$S149="Flying",$S149="Ice"),0-1,IF(OR($S149="Steel",$S149="Fighting",$S149="Ground"),1,0)))</f>
        <v>0</v>
      </c>
      <c r="AS149" s="507" t="n">
        <f aca="false">SUM(IF(OR($R149="Fairy",$R149="Ice",$R149="Rock"),0-1,IF(OR($R149="Steel",$R149="Electric",$R149="Fire",$R149="Water"),1,0)),IF(OR($S149="Fairy",$S149="Ice",$S149="Rock"),0-1,IF(OR($S149="Steel",$S149="Electric",$S149="Fire",$S149="Water"),1,0)))</f>
        <v>1</v>
      </c>
      <c r="AT149" s="508" t="n">
        <f aca="false">SUM(IF(OR($R149="Fire",$R149="Ground",$R149="Rock"),0-1,IF(OR($R149="Dragon",$R149="Grass",$R149="Water"),1,0)),IF(OR($S149="Fire",$S149="Ground",$S149="Rock"),0-1,IF(OR($S149="Dragon",$S149="Grass",$S149="Water"),1,0)))</f>
        <v>0</v>
      </c>
      <c r="AU149" s="518"/>
    </row>
    <row r="150" customFormat="false" ht="15.75" hidden="false" customHeight="false" outlineLevel="0" collapsed="false">
      <c r="A150" s="510" t="str">
        <f aca="false" t="array" ref="A150:A150">IF(ISNA(INDEX(Source!$U$7:$U$95,MATCH(B150,Source!$V$7:$V$95,0))),"FREE",INDEX(Source!$U$7:$U$95,MATCH(B150,Source!$V$7:$V$95,0)))</f>
        <v>FREE</v>
      </c>
      <c r="B150" s="511" t="s">
        <v>268</v>
      </c>
      <c r="C150" s="511"/>
      <c r="D150" s="511"/>
      <c r="E150" s="499" t="str">
        <f aca="false">IF(SUM($W150:$X150)&gt;0,SUM($W150:$X150),IF($H150&gt;0,0,IF($H150&gt;0,0,"-")))</f>
        <v>-</v>
      </c>
      <c r="F150" s="499" t="str">
        <f aca="false">IF(SUM($Y150:$Z150)&gt;0,SUM($Y150:$Z150),IF($H150&gt;0,0,"-"))</f>
        <v>-</v>
      </c>
      <c r="G150" s="499" t="str">
        <f aca="false">IF($H150&gt;0,minus(E150,F150),"-")</f>
        <v>-</v>
      </c>
      <c r="H150" s="500" t="n">
        <f aca="false">SUM(COUNTIF(MatchSource!$A:$A,$B150),COUNTIF(MatchSource!$H:$H,$B150))</f>
        <v>0</v>
      </c>
      <c r="I150" s="501" t="n">
        <f aca="false">SUM($AA150:$AB150)</f>
        <v>0</v>
      </c>
      <c r="J150" s="501" t="s">
        <v>701</v>
      </c>
      <c r="K150" s="512" t="n">
        <f aca="false" t="array" ref="K150:K150">IF(ISNA(INDEX(DraftRosters!$AA$3:$AA$199,MATCH($B150,DraftRosters!$AB$3:$AB$199,0))),"FA",IF(INDEX(DraftRosters!$AA$3:$AA$199,MATCH($B150,DraftRosters!$AB$3:$AB$199,0))="Franchise","Franch",INDEX(DraftRosters!$AA$3:$AA$199,MATCH($B150,DraftRosters!$AB$3:$AB$199,0))))</f>
        <v>33</v>
      </c>
      <c r="L150" s="499" t="n">
        <v>70</v>
      </c>
      <c r="M150" s="499" t="n">
        <v>80</v>
      </c>
      <c r="N150" s="499" t="n">
        <v>70</v>
      </c>
      <c r="O150" s="499" t="n">
        <v>80</v>
      </c>
      <c r="P150" s="499" t="n">
        <v>70</v>
      </c>
      <c r="Q150" s="501" t="n">
        <v>110</v>
      </c>
      <c r="R150" s="499" t="s">
        <v>802</v>
      </c>
      <c r="S150" s="501" t="s">
        <v>805</v>
      </c>
      <c r="T150" s="504" t="s">
        <v>870</v>
      </c>
      <c r="U150" s="505" t="s">
        <v>861</v>
      </c>
      <c r="V150" s="506"/>
      <c r="W150" s="500" t="str">
        <f aca="false">IFERROR(__xludf.dummyfunction("if(isna(SUM(FILTER(MatchSource!$A:$D,MatchSource!$A:$A=$B150))),0,SUM(FILTER(MatchSource!$A:$D,MatchSource!$A:$A=$B150)))"),"0")</f>
        <v>0</v>
      </c>
      <c r="X150" s="499" t="str">
        <f aca="false">IFERROR(__xludf.dummyfunction("if(isna(SUM(FILTER(MatchSource!$H:$K,MatchSource!$H:$H=$B150))),0,SUM(FILTER(MatchSource!$H:$K,MatchSource!$H:$H=$B150)))"),"0")</f>
        <v>0</v>
      </c>
      <c r="Y150" s="499" t="str">
        <f aca="false">IFERROR(__xludf.dummyfunction("if(isna(ABS(MINUS(SUM(FILTER(MatchSource!$A:$E,MatchSource!$A:$A=$B150)),SUM($W150)))),0,ABS(MINUS(SUM(FILTER(MatchSource!$A:$E,MatchSource!$A:$A=$B150)),SUM($W150))))"),"0")</f>
        <v>0</v>
      </c>
      <c r="Z150" s="499" t="str">
        <f aca="false">IFERROR(__xludf.dummyfunction("if(isna(ABS(MINUS(SUM(FILTER(MatchSource!$H:$L,MatchSource!$H:$H=$B150)),SUM($X150)))),0,ABS(MINUS(SUM(FILTER(MatchSource!$H:$L,MatchSource!$H:$H=$B150)),SUM($X150))))"),"0")</f>
        <v>0</v>
      </c>
      <c r="AA150" s="499" t="str">
        <f aca="false">IFERROR(__xludf.dummyfunction("if(isna(ABS(MINUS(SUM(FILTER(MatchSource!$A:$F,MatchSource!$A:$A=$B150)),SUM($W150,$Y150)))),0,ABS(MINUS(SUM(FILTER(MatchSource!$A:$F,MatchSource!$A:$A=$B150)),SUM($W150, $Y150,))))"),"0")</f>
        <v>0</v>
      </c>
      <c r="AB150" s="501" t="str">
        <f aca="false">IFERROR(__xludf.dummyfunction("if(isna(ABS(MINUS(SUM(FILTER(MatchSource!$H:$M,MatchSource!$H:$H=$B150)),SUM($X150,$Z150)))),0,ABS(MINUS(SUM(FILTER(MatchSource!$H:$M,MatchSource!$H:$H=$B150)),SUM($X150,$Z150))))"),"0")</f>
        <v>0</v>
      </c>
      <c r="AC150" s="507" t="n">
        <f aca="false">SUM(IF(OR($R150="Grass",$R150="Psychic",$R150="Dark"),0-1,IF(OR($R150="Fighting",$R150="Flying",$R150="Fire",$R150="Ghost",$R150="Poison",$R150="Steel",$R150="Fairy"),1,0)),IF(OR($S150="Grass",$S150="Psychic",$S150="Dark"),0-1,IF(OR($S150="Fighting",$S150="Flying",$S150="Fire",$S150="Ghost",$S150="Poison",$S150="Steel",$S150="Fairy"),1,0)))</f>
        <v>1</v>
      </c>
      <c r="AD150" s="507" t="n">
        <f aca="false">SUM(IF(OR($R150="Ghost",$R150="Psychic"),0-1,IF(OR($R150="Fighting",$R150="Dark",$R150="Fairy"),1,0)),IF(OR($S150="Ghost",$S150="Psychic"),0-1,IF(OR($S150="Fighting",$S150="Dark",$S150="Fairy"),1,0)))</f>
        <v>-1</v>
      </c>
      <c r="AE150" s="507" t="n">
        <f aca="false">IF(OR($R150="Fairy",$S150="Fairy"),4,SUM(IF($R150="Dragon",0-1,IF($R150="Steel",1,0)),IF($S150="Dragon",0-1,IF($S150="Steel",1,0))))</f>
        <v>0</v>
      </c>
      <c r="AF150" s="507" t="n">
        <f aca="false">IF(OR($R150="Ground",$S150="Ground"),4,SUM(IF(OR($R150="Flying",$R150="Water"),0-1,IF(OR($R150="Dragon",$R150="Electric",$R150="Grass"),1,0)),IF(OR($S150="Flying",$S150="Water"),0-1,IF(OR($S150="Dragon",$S150="Electric",$S150="Grass"),1,0))))</f>
        <v>0</v>
      </c>
      <c r="AG150" s="507" t="n">
        <f aca="false">SUM(IF(OR($R150="Dark",$R150="Dragon",$R150="Fighting"),0-1,IF(OR($R150="Steel",$R150="Poison",$R150="Fire"),1,0)),IF(OR($S150="Dark",$S150="Dragon",$S150="Fighting"),0-1,IF(OR($S150="Steel",$S150="Poison",$S150="Fire"),1,0)))</f>
        <v>0</v>
      </c>
      <c r="AH150" s="507" t="n">
        <f aca="false">IF(OR($R150="Ghost",$S150="Ghost"),4,SUM(IF(OR($R150="Dark",$R150="Ice",$R150="Normal",$R150="Rock",$R150="Steel"),0-1,IF(OR($R150="Bug",$R150="Fairy",$R150="Flying",$R150="Poison",$R150="Psychic"),1,0)),IF(OR($S150="Dark",$S150="Ice",$S150="Normal",$S150="Rock",$S150="Steel"),0-1,IF(OR($S150="Bug",$S150="Fairy",$S150="Flying",$S150="Poison",$S150="Psychic"),1,0))))</f>
        <v>4</v>
      </c>
      <c r="AI150" s="507" t="n">
        <f aca="false">SUM(IF(OR($R150="Bug",$R150="Grass",$R150="Ice",$R150="Steel"),0-1,IF(OR($R150="Dragon",$R150="Fire",$R150="Rock",$R150="Water"),1,0)),IF(OR($S150="Bug",$S150="Grass",$S150="Ice",$S150="Steel"),0-1,IF(OR($S150="Dragon",$S150="Fire",$S150="Rock",$S150="Water"),1,0)))</f>
        <v>-1</v>
      </c>
      <c r="AJ150" s="507" t="n">
        <f aca="false">SUM(IF(OR($R150="Bug",$R150="Grass",$R150="Fighting"),0-1,IF(OR($R150="Electric",$R150="Rock",$R150="Steel"),1,0)),IF(OR($S150="Bug",$S150="Grass",$S150="Fighting"),0-1,IF(OR($S150="Electric",$S150="Rock",$S150="Steel"),1,0)))</f>
        <v>0</v>
      </c>
      <c r="AK150" s="507" t="n">
        <f aca="false">IF(OR($R150="Normal",$S150="Normal"),4,SUM(IF(OR($R150="Ghost",$R150="Psychic"),0-1,IF($R150="Dark",1,0)),IF(OR($S150="Ghost",$S150="Psychic"),0-1,IF($S150="Dark",1,0))))</f>
        <v>-1</v>
      </c>
      <c r="AL150" s="507" t="n">
        <f aca="false">SUM(IF(OR($R150="Ground",$R150="Rock",$R150="Water"),0-1,IF(OR($R150="Bug",$R150="Flying",$R150="Fire",$R150="Dragon",$R150="Poison",$R150="Steel",$R150="Grass"),1,0)),IF(OR($S150="Ground",$S150="Rock",$S150="Water"),0-1,IF(OR($S150="Bug",$S150="Flying",$S150="Fire",$S150="Dragon",$S150="Poison",$S150="Steel",$S150="Grass"),1,0)))</f>
        <v>0</v>
      </c>
      <c r="AM150" s="507" t="n">
        <f aca="false">IF(OR($R150="Flying",$S150="Flying"),4,SUM(IF(OR($R150="Electric",$R150="Fire",$R150="Rock",$R150="Steel",$R150="Poison"),0-1,IF(OR($R150="Bug",$R150="Grass"),1,0)),IF(OR($S150="Electric",$S150="Fire",$S150="Rock",$S150="Steel",$S150="Poison"),0-1,IF(OR($S150="Bug",$S150="Grass"),1,0))))</f>
        <v>0</v>
      </c>
      <c r="AN150" s="507" t="n">
        <f aca="false">SUM(IF(OR($R150="Flying",$R150="Dragon",$R150="Grass",$R150="Ground"),0-1,IF(OR($R150="Steel",$R150="Ice",$R150="Fire",$R150="Water"),1,0)),IF(OR($S150="Flying",$S150="Dragon",$S150="Grass",$S150="Ground"),0-1,IF(OR($S150="Steel",$S150="Ice",$S150="Fire",$S150="Water"),1,0)))</f>
        <v>1</v>
      </c>
      <c r="AO150" s="507" t="n">
        <f aca="false">IF(OR($R150="Ghost",$S150="Ghost"),4,SUM(IF(OR($R150="Steel",$R150="Rock"),1,0),IF(OR($S150="Steel",$S150="Rock"),1,0)))</f>
        <v>4</v>
      </c>
      <c r="AP150" s="507" t="n">
        <f aca="false">IF(OR($R150="Steel",$S150="Steel"),4,SUM(IF(OR($R150="Fairy",$R150="Grass"),0-1,IF(OR($R150="Ghost",$R150="Rock",$R150="Ground",$R150="Poison"),1,0)),IF(OR($S150="Fairy",$S150="Grass"),0-1,IF(OR($S150="Ghost",$S150="Rock",$S150="Ground",$S150="Poison"),1,0))))</f>
        <v>1</v>
      </c>
      <c r="AQ150" s="507" t="n">
        <f aca="false">IF(OR($R150="Dark",$S150="Dark"),4,SUM(IF(OR($R150="Fighting",$R150="Poison"),0-1,IF(OR($R150="Psychic",$R150="Steel"),1,0)),IF(OR($S150="Fighting",$S150="Poison"),0-1,IF(OR($S150="Psychic",$S150="Steel"),1,0))))</f>
        <v>0</v>
      </c>
      <c r="AR150" s="507" t="n">
        <f aca="false">SUM(IF(OR($R150="Bug",$R150="Fire",$R150="Flying",$R150="Ice"),0-1,IF(OR($R150="Steel",$R150="Fighting",$R150="Ground"),1,0)),IF(OR($S150="Bug",$S150="Fire",$S150="Flying",$S150="Ice"),0-1,IF(OR($S150="Steel",$S150="Fighting",$S150="Ground"),1,0)))</f>
        <v>-1</v>
      </c>
      <c r="AS150" s="507" t="n">
        <f aca="false">SUM(IF(OR($R150="Fairy",$R150="Ice",$R150="Rock"),0-1,IF(OR($R150="Steel",$R150="Electric",$R150="Fire",$R150="Water"),1,0)),IF(OR($S150="Fairy",$S150="Ice",$S150="Rock"),0-1,IF(OR($S150="Steel",$S150="Electric",$S150="Fire",$S150="Water"),1,0)))</f>
        <v>-1</v>
      </c>
      <c r="AT150" s="508" t="n">
        <f aca="false">SUM(IF(OR($R150="Fire",$R150="Ground",$R150="Rock"),0-1,IF(OR($R150="Dragon",$R150="Grass",$R150="Water"),1,0)),IF(OR($S150="Fire",$S150="Ground",$S150="Rock"),0-1,IF(OR($S150="Dragon",$S150="Grass",$S150="Water"),1,0)))</f>
        <v>0</v>
      </c>
      <c r="AU150" s="518"/>
    </row>
    <row r="151" customFormat="false" ht="15.75" hidden="false" customHeight="false" outlineLevel="0" collapsed="false">
      <c r="A151" s="515" t="str">
        <f aca="false" t="array" ref="A151:A151">IF(ISNA(INDEX(Source!$U$7:$U$95,MATCH(B151,Source!$V$7:$V$95,0))),"FREE",INDEX(Source!$U$7:$U$95,MATCH(B151,Source!$V$7:$V$95,0)))</f>
        <v>FREE</v>
      </c>
      <c r="B151" s="511" t="s">
        <v>580</v>
      </c>
      <c r="C151" s="511"/>
      <c r="D151" s="511"/>
      <c r="E151" s="499" t="str">
        <f aca="false">IF(SUM($W151:$X151)&gt;0,SUM($W151:$X151),IF($H151&gt;0,0,IF($H151&gt;0,0,"-")))</f>
        <v>-</v>
      </c>
      <c r="F151" s="499" t="str">
        <f aca="false">IF(SUM($Y151:$Z151)&gt;0,SUM($Y151:$Z151),IF($H151&gt;0,0,"-"))</f>
        <v>-</v>
      </c>
      <c r="G151" s="499" t="str">
        <f aca="false">IF($H151&gt;0,minus(E151,F151),"-")</f>
        <v>-</v>
      </c>
      <c r="H151" s="500" t="n">
        <f aca="false">SUM(COUNTIF(MatchSource!$A:$A,$B151),COUNTIF(MatchSource!$H:$H,$B151))</f>
        <v>0</v>
      </c>
      <c r="I151" s="501" t="n">
        <f aca="false">SUM($AA151:$AB151)</f>
        <v>0</v>
      </c>
      <c r="J151" s="501" t="s">
        <v>702</v>
      </c>
      <c r="K151" s="512" t="str">
        <f aca="false" t="array" ref="K151:K151">IF(ISNA(INDEX(DraftRosters!$AA$3:$AA$199,MATCH($B151,DraftRosters!$AB$3:$AB$199,0))),"FA",IF(INDEX(DraftRosters!$AA$3:$AA$199,MATCH($B151,DraftRosters!$AB$3:$AB$199,0))="Franchise","Franch",INDEX(DraftRosters!$AA$3:$AA$199,MATCH($B151,DraftRosters!$AB$3:$AB$199,0))))</f>
        <v>FA</v>
      </c>
      <c r="L151" s="499" t="n">
        <v>75</v>
      </c>
      <c r="M151" s="499" t="n">
        <v>80</v>
      </c>
      <c r="N151" s="499" t="n">
        <v>60</v>
      </c>
      <c r="O151" s="499" t="n">
        <v>65</v>
      </c>
      <c r="P151" s="499" t="n">
        <v>90</v>
      </c>
      <c r="Q151" s="501" t="n">
        <v>102</v>
      </c>
      <c r="R151" s="499" t="s">
        <v>839</v>
      </c>
      <c r="S151" s="501"/>
      <c r="T151" s="504" t="s">
        <v>975</v>
      </c>
      <c r="U151" s="505"/>
      <c r="V151" s="506"/>
      <c r="W151" s="500" t="str">
        <f aca="false">IFERROR(__xludf.dummyfunction("if(isna(SUM(FILTER(MatchSource!$A:$D,MatchSource!$A:$A=$B151))),0,SUM(FILTER(MatchSource!$A:$D,MatchSource!$A:$A=$B151)))"),"0")</f>
        <v>0</v>
      </c>
      <c r="X151" s="499" t="str">
        <f aca="false">IFERROR(__xludf.dummyfunction("if(isna(SUM(FILTER(MatchSource!$H:$K,MatchSource!$H:$H=$B151))),0,SUM(FILTER(MatchSource!$H:$K,MatchSource!$H:$H=$B151)))"),"0")</f>
        <v>0</v>
      </c>
      <c r="Y151" s="499" t="str">
        <f aca="false">IFERROR(__xludf.dummyfunction("if(isna(ABS(MINUS(SUM(FILTER(MatchSource!$A:$E,MatchSource!$A:$A=$B151)),SUM($W151)))),0,ABS(MINUS(SUM(FILTER(MatchSource!$A:$E,MatchSource!$A:$A=$B151)),SUM($W151))))"),"0")</f>
        <v>0</v>
      </c>
      <c r="Z151" s="499" t="str">
        <f aca="false">IFERROR(__xludf.dummyfunction("if(isna(ABS(MINUS(SUM(FILTER(MatchSource!$H:$L,MatchSource!$H:$H=$B151)),SUM($X151)))),0,ABS(MINUS(SUM(FILTER(MatchSource!$H:$L,MatchSource!$H:$H=$B151)),SUM($X151))))"),"0")</f>
        <v>0</v>
      </c>
      <c r="AA151" s="499" t="str">
        <f aca="false">IFERROR(__xludf.dummyfunction("if(isna(ABS(MINUS(SUM(FILTER(MatchSource!$A:$F,MatchSource!$A:$A=$B151)),SUM($W151,$Y151)))),0,ABS(MINUS(SUM(FILTER(MatchSource!$A:$F,MatchSource!$A:$A=$B151)),SUM($W151, $Y151,))))"),"0")</f>
        <v>0</v>
      </c>
      <c r="AB151" s="501" t="str">
        <f aca="false">IFERROR(__xludf.dummyfunction("if(isna(ABS(MINUS(SUM(FILTER(MatchSource!$H:$M,MatchSource!$H:$H=$B151)),SUM($X151,$Z151)))),0,ABS(MINUS(SUM(FILTER(MatchSource!$H:$M,MatchSource!$H:$H=$B151)),SUM($X151,$Z151))))"),"0")</f>
        <v>0</v>
      </c>
      <c r="AC151" s="507" t="n">
        <f aca="false">SUM(IF(OR($R151="Grass",$R151="Psychic",$R151="Dark"),0-1,IF(OR($R151="Fighting",$R151="Flying",$R151="Fire",$R151="Ghost",$R151="Poison",$R151="Steel",$R151="Fairy"),1,0)),IF(OR($S151="Grass",$S151="Psychic",$S151="Dark"),0-1,IF(OR($S151="Fighting",$S151="Flying",$S151="Fire",$S151="Ghost",$S151="Poison",$S151="Steel",$S151="Fairy"),1,0)))</f>
        <v>0</v>
      </c>
      <c r="AD151" s="507" t="n">
        <f aca="false">SUM(IF(OR($R151="Ghost",$R151="Psychic"),0-1,IF(OR($R151="Fighting",$R151="Dark",$R151="Fairy"),1,0)),IF(OR($S151="Ghost",$S151="Psychic"),0-1,IF(OR($S151="Fighting",$S151="Dark",$S151="Fairy"),1,0)))</f>
        <v>0</v>
      </c>
      <c r="AE151" s="507" t="n">
        <f aca="false">IF(OR($R151="Fairy",$S151="Fairy"),4,SUM(IF($R151="Dragon",0-1,IF($R151="Steel",1,0)),IF($S151="Dragon",0-1,IF($S151="Steel",1,0))))</f>
        <v>0</v>
      </c>
      <c r="AF151" s="507" t="n">
        <f aca="false">IF(OR($R151="Ground",$S151="Ground"),4,SUM(IF(OR($R151="Flying",$R151="Water"),0-1,IF(OR($R151="Dragon",$R151="Electric",$R151="Grass"),1,0)),IF(OR($S151="Flying",$S151="Water"),0-1,IF(OR($S151="Dragon",$S151="Electric",$S151="Grass"),1,0))))</f>
        <v>0</v>
      </c>
      <c r="AG151" s="507" t="n">
        <f aca="false">SUM(IF(OR($R151="Dark",$R151="Dragon",$R151="Fighting"),0-1,IF(OR($R151="Steel",$R151="Poison",$R151="Fire"),1,0)),IF(OR($S151="Dark",$S151="Dragon",$S151="Fighting"),0-1,IF(OR($S151="Steel",$S151="Poison",$S151="Fire"),1,0)))</f>
        <v>0</v>
      </c>
      <c r="AH151" s="507" t="n">
        <f aca="false">IF(OR($R151="Ghost",$S151="Ghost"),4,SUM(IF(OR($R151="Dark",$R151="Ice",$R151="Normal",$R151="Rock",$R151="Steel"),0-1,IF(OR($R151="Bug",$R151="Fairy",$R151="Flying",$R151="Poison",$R151="Psychic"),1,0)),IF(OR($S151="Dark",$S151="Ice",$S151="Normal",$S151="Rock",$S151="Steel"),0-1,IF(OR($S151="Bug",$S151="Fairy",$S151="Flying",$S151="Poison",$S151="Psychic"),1,0))))</f>
        <v>-1</v>
      </c>
      <c r="AI151" s="507" t="n">
        <f aca="false">SUM(IF(OR($R151="Bug",$R151="Grass",$R151="Ice",$R151="Steel"),0-1,IF(OR($R151="Dragon",$R151="Fire",$R151="Rock",$R151="Water"),1,0)),IF(OR($S151="Bug",$S151="Grass",$S151="Ice",$S151="Steel"),0-1,IF(OR($S151="Dragon",$S151="Fire",$S151="Rock",$S151="Water"),1,0)))</f>
        <v>0</v>
      </c>
      <c r="AJ151" s="507" t="n">
        <f aca="false">SUM(IF(OR($R151="Bug",$R151="Grass",$R151="Fighting"),0-1,IF(OR($R151="Electric",$R151="Rock",$R151="Steel"),1,0)),IF(OR($S151="Bug",$S151="Grass",$S151="Fighting"),0-1,IF(OR($S151="Electric",$S151="Rock",$S151="Steel"),1,0)))</f>
        <v>0</v>
      </c>
      <c r="AK151" s="507" t="n">
        <f aca="false">IF(OR($R151="Normal",$S151="Normal"),4,SUM(IF(OR($R151="Ghost",$R151="Psychic"),0-1,IF($R151="Dark",1,0)),IF(OR($S151="Ghost",$S151="Psychic"),0-1,IF($S151="Dark",1,0))))</f>
        <v>4</v>
      </c>
      <c r="AL151" s="507" t="n">
        <f aca="false">SUM(IF(OR($R151="Ground",$R151="Rock",$R151="Water"),0-1,IF(OR($R151="Bug",$R151="Flying",$R151="Fire",$R151="Dragon",$R151="Poison",$R151="Steel",$R151="Grass"),1,0)),IF(OR($S151="Ground",$S151="Rock",$S151="Water"),0-1,IF(OR($S151="Bug",$S151="Flying",$S151="Fire",$S151="Dragon",$S151="Poison",$S151="Steel",$S151="Grass"),1,0)))</f>
        <v>0</v>
      </c>
      <c r="AM151" s="507" t="n">
        <f aca="false">IF(OR($R151="Flying",$S151="Flying"),4,SUM(IF(OR($R151="Electric",$R151="Fire",$R151="Rock",$R151="Steel",$R151="Poison"),0-1,IF(OR($R151="Bug",$R151="Grass"),1,0)),IF(OR($S151="Electric",$S151="Fire",$S151="Rock",$S151="Steel",$S151="Poison"),0-1,IF(OR($S151="Bug",$S151="Grass"),1,0))))</f>
        <v>0</v>
      </c>
      <c r="AN151" s="507" t="n">
        <f aca="false">SUM(IF(OR($R151="Flying",$R151="Dragon",$R151="Grass",$R151="Ground"),0-1,IF(OR($R151="Steel",$R151="Ice",$R151="Fire",$R151="Water"),1,0)),IF(OR($S151="Flying",$S151="Dragon",$S151="Grass",$S151="Ground"),0-1,IF(OR($S151="Steel",$S151="Ice",$S151="Fire",$S151="Water"),1,0)))</f>
        <v>0</v>
      </c>
      <c r="AO151" s="507" t="n">
        <f aca="false">IF(OR($R151="Ghost",$S151="Ghost"),4,SUM(IF(OR($R151="Steel",$R151="Rock"),1,0),IF(OR($S151="Steel",$S151="Rock"),1,0)))</f>
        <v>0</v>
      </c>
      <c r="AP151" s="507" t="n">
        <f aca="false">IF(OR($R151="Steel",$S151="Steel"),4,SUM(IF(OR($R151="Fairy",$R151="Grass"),0-1,IF(OR($R151="Ghost",$R151="Rock",$R151="Ground",$R151="Poison"),1,0)),IF(OR($S151="Fairy",$S151="Grass"),0-1,IF(OR($S151="Ghost",$S151="Rock",$S151="Ground",$S151="Poison"),1,0))))</f>
        <v>0</v>
      </c>
      <c r="AQ151" s="507" t="n">
        <f aca="false">IF(OR($R151="Dark",$S151="Dark"),4,SUM(IF(OR($R151="Fighting",$R151="Poison"),0-1,IF(OR($R151="Psychic",$R151="Steel"),1,0)),IF(OR($S151="Fighting",$S151="Poison"),0-1,IF(OR($S151="Psychic",$S151="Steel"),1,0))))</f>
        <v>0</v>
      </c>
      <c r="AR151" s="507" t="n">
        <f aca="false">SUM(IF(OR($R151="Bug",$R151="Fire",$R151="Flying",$R151="Ice"),0-1,IF(OR($R151="Steel",$R151="Fighting",$R151="Ground"),1,0)),IF(OR($S151="Bug",$S151="Fire",$S151="Flying",$S151="Ice"),0-1,IF(OR($S151="Steel",$S151="Fighting",$S151="Ground"),1,0)))</f>
        <v>0</v>
      </c>
      <c r="AS151" s="507" t="n">
        <f aca="false">SUM(IF(OR($R151="Fairy",$R151="Ice",$R151="Rock"),0-1,IF(OR($R151="Steel",$R151="Electric",$R151="Fire",$R151="Water"),1,0)),IF(OR($S151="Fairy",$S151="Ice",$S151="Rock"),0-1,IF(OR($S151="Steel",$S151="Electric",$S151="Fire",$S151="Water"),1,0)))</f>
        <v>0</v>
      </c>
      <c r="AT151" s="508" t="n">
        <f aca="false">SUM(IF(OR($R151="Fire",$R151="Ground",$R151="Rock"),0-1,IF(OR($R151="Dragon",$R151="Grass",$R151="Water"),1,0)),IF(OR($S151="Fire",$S151="Ground",$S151="Rock"),0-1,IF(OR($S151="Dragon",$S151="Grass",$S151="Water"),1,0)))</f>
        <v>0</v>
      </c>
      <c r="AU151" s="518"/>
    </row>
    <row r="152" customFormat="false" ht="15.75" hidden="false" customHeight="false" outlineLevel="0" collapsed="false">
      <c r="A152" s="515" t="str">
        <f aca="false" t="array" ref="A152:A152">IF(ISNA(INDEX(Source!$U$7:$U$95,MATCH(B152,Source!$V$7:$V$95,0))),"FREE",INDEX(Source!$U$7:$U$95,MATCH(B152,Source!$V$7:$V$95,0)))</f>
        <v>FREE</v>
      </c>
      <c r="B152" s="511" t="s">
        <v>584</v>
      </c>
      <c r="C152" s="511"/>
      <c r="D152" s="511"/>
      <c r="E152" s="499" t="str">
        <f aca="false">IF(SUM($W152:$X152)&gt;0,SUM($W152:$X152),IF($H152&gt;0,0,IF($H152&gt;0,0,"-")))</f>
        <v>-</v>
      </c>
      <c r="F152" s="499" t="str">
        <f aca="false">IF(SUM($Y152:$Z152)&gt;0,SUM($Y152:$Z152),IF($H152&gt;0,0,"-"))</f>
        <v>-</v>
      </c>
      <c r="G152" s="499" t="str">
        <f aca="false">IF($H152&gt;0,minus(E152,F152),"-")</f>
        <v>-</v>
      </c>
      <c r="H152" s="500" t="n">
        <f aca="false">SUM(COUNTIF(MatchSource!$A:$A,$B152),COUNTIF(MatchSource!$H:$H,$B152))</f>
        <v>0</v>
      </c>
      <c r="I152" s="501" t="n">
        <f aca="false">SUM($AA152:$AB152)</f>
        <v>0</v>
      </c>
      <c r="J152" s="501" t="s">
        <v>702</v>
      </c>
      <c r="K152" s="512" t="str">
        <f aca="false" t="array" ref="K152:K152">IF(ISNA(INDEX(DraftRosters!$AA$3:$AA$199,MATCH($B152,DraftRosters!$AB$3:$AB$199,0))),"FA",IF(INDEX(DraftRosters!$AA$3:$AA$199,MATCH($B152,DraftRosters!$AB$3:$AB$199,0))="Franchise","Franch",INDEX(DraftRosters!$AA$3:$AA$199,MATCH($B152,DraftRosters!$AB$3:$AB$199,0))))</f>
        <v>FA</v>
      </c>
      <c r="L152" s="499" t="n">
        <v>85</v>
      </c>
      <c r="M152" s="499" t="n">
        <v>76</v>
      </c>
      <c r="N152" s="499" t="n">
        <v>64</v>
      </c>
      <c r="O152" s="499" t="n">
        <v>45</v>
      </c>
      <c r="P152" s="499" t="n">
        <v>55</v>
      </c>
      <c r="Q152" s="501" t="n">
        <v>90</v>
      </c>
      <c r="R152" s="499" t="s">
        <v>839</v>
      </c>
      <c r="S152" s="501"/>
      <c r="T152" s="504" t="s">
        <v>871</v>
      </c>
      <c r="U152" s="505" t="s">
        <v>949</v>
      </c>
      <c r="V152" s="506" t="s">
        <v>897</v>
      </c>
      <c r="W152" s="500" t="str">
        <f aca="false">IFERROR(__xludf.dummyfunction("if(isna(SUM(FILTER(MatchSource!$A:$D,MatchSource!$A:$A=$B152))),0,SUM(FILTER(MatchSource!$A:$D,MatchSource!$A:$A=$B152)))"),"0")</f>
        <v>0</v>
      </c>
      <c r="X152" s="499" t="str">
        <f aca="false">IFERROR(__xludf.dummyfunction("if(isna(SUM(FILTER(MatchSource!$H:$K,MatchSource!$H:$H=$B152))),0,SUM(FILTER(MatchSource!$H:$K,MatchSource!$H:$H=$B152)))"),"0")</f>
        <v>0</v>
      </c>
      <c r="Y152" s="499" t="str">
        <f aca="false">IFERROR(__xludf.dummyfunction("if(isna(ABS(MINUS(SUM(FILTER(MatchSource!$A:$E,MatchSource!$A:$A=$B152)),SUM($W152)))),0,ABS(MINUS(SUM(FILTER(MatchSource!$A:$E,MatchSource!$A:$A=$B152)),SUM($W152))))"),"0")</f>
        <v>0</v>
      </c>
      <c r="Z152" s="499" t="str">
        <f aca="false">IFERROR(__xludf.dummyfunction("if(isna(ABS(MINUS(SUM(FILTER(MatchSource!$H:$L,MatchSource!$H:$H=$B152)),SUM($X152)))),0,ABS(MINUS(SUM(FILTER(MatchSource!$H:$L,MatchSource!$H:$H=$B152)),SUM($X152))))"),"0")</f>
        <v>0</v>
      </c>
      <c r="AA152" s="499" t="str">
        <f aca="false">IFERROR(__xludf.dummyfunction("if(isna(ABS(MINUS(SUM(FILTER(MatchSource!$A:$F,MatchSource!$A:$A=$B152)),SUM($W152,$Y152)))),0,ABS(MINUS(SUM(FILTER(MatchSource!$A:$F,MatchSource!$A:$A=$B152)),SUM($W152, $Y152,))))"),"0")</f>
        <v>0</v>
      </c>
      <c r="AB152" s="501" t="str">
        <f aca="false">IFERROR(__xludf.dummyfunction("if(isna(ABS(MINUS(SUM(FILTER(MatchSource!$H:$M,MatchSource!$H:$H=$B152)),SUM($X152,$Z152)))),0,ABS(MINUS(SUM(FILTER(MatchSource!$H:$M,MatchSource!$H:$H=$B152)),SUM($X152,$Z152))))"),"0")</f>
        <v>0</v>
      </c>
      <c r="AC152" s="507" t="n">
        <f aca="false">SUM(IF(OR($R152="Grass",$R152="Psychic",$R152="Dark"),0-1,IF(OR($R152="Fighting",$R152="Flying",$R152="Fire",$R152="Ghost",$R152="Poison",$R152="Steel",$R152="Fairy"),1,0)),IF(OR($S152="Grass",$S152="Psychic",$S152="Dark"),0-1,IF(OR($S152="Fighting",$S152="Flying",$S152="Fire",$S152="Ghost",$S152="Poison",$S152="Steel",$S152="Fairy"),1,0)))</f>
        <v>0</v>
      </c>
      <c r="AD152" s="507" t="n">
        <f aca="false">SUM(IF(OR($R152="Ghost",$R152="Psychic"),0-1,IF(OR($R152="Fighting",$R152="Dark",$R152="Fairy"),1,0)),IF(OR($S152="Ghost",$S152="Psychic"),0-1,IF(OR($S152="Fighting",$S152="Dark",$S152="Fairy"),1,0)))</f>
        <v>0</v>
      </c>
      <c r="AE152" s="507" t="n">
        <f aca="false">IF(OR($R152="Fairy",$S152="Fairy"),4,SUM(IF($R152="Dragon",0-1,IF($R152="Steel",1,0)),IF($S152="Dragon",0-1,IF($S152="Steel",1,0))))</f>
        <v>0</v>
      </c>
      <c r="AF152" s="507" t="n">
        <f aca="false">IF(OR($R152="Ground",$S152="Ground"),4,SUM(IF(OR($R152="Flying",$R152="Water"),0-1,IF(OR($R152="Dragon",$R152="Electric",$R152="Grass"),1,0)),IF(OR($S152="Flying",$S152="Water"),0-1,IF(OR($S152="Dragon",$S152="Electric",$S152="Grass"),1,0))))</f>
        <v>0</v>
      </c>
      <c r="AG152" s="507" t="n">
        <f aca="false">SUM(IF(OR($R152="Dark",$R152="Dragon",$R152="Fighting"),0-1,IF(OR($R152="Steel",$R152="Poison",$R152="Fire"),1,0)),IF(OR($S152="Dark",$S152="Dragon",$S152="Fighting"),0-1,IF(OR($S152="Steel",$S152="Poison",$S152="Fire"),1,0)))</f>
        <v>0</v>
      </c>
      <c r="AH152" s="507" t="n">
        <f aca="false">IF(OR($R152="Ghost",$S152="Ghost"),4,SUM(IF(OR($R152="Dark",$R152="Ice",$R152="Normal",$R152="Rock",$R152="Steel"),0-1,IF(OR($R152="Bug",$R152="Fairy",$R152="Flying",$R152="Poison",$R152="Psychic"),1,0)),IF(OR($S152="Dark",$S152="Ice",$S152="Normal",$S152="Rock",$S152="Steel"),0-1,IF(OR($S152="Bug",$S152="Fairy",$S152="Flying",$S152="Poison",$S152="Psychic"),1,0))))</f>
        <v>-1</v>
      </c>
      <c r="AI152" s="507" t="n">
        <f aca="false">SUM(IF(OR($R152="Bug",$R152="Grass",$R152="Ice",$R152="Steel"),0-1,IF(OR($R152="Dragon",$R152="Fire",$R152="Rock",$R152="Water"),1,0)),IF(OR($S152="Bug",$S152="Grass",$S152="Ice",$S152="Steel"),0-1,IF(OR($S152="Dragon",$S152="Fire",$S152="Rock",$S152="Water"),1,0)))</f>
        <v>0</v>
      </c>
      <c r="AJ152" s="507" t="n">
        <f aca="false">SUM(IF(OR($R152="Bug",$R152="Grass",$R152="Fighting"),0-1,IF(OR($R152="Electric",$R152="Rock",$R152="Steel"),1,0)),IF(OR($S152="Bug",$S152="Grass",$S152="Fighting"),0-1,IF(OR($S152="Electric",$S152="Rock",$S152="Steel"),1,0)))</f>
        <v>0</v>
      </c>
      <c r="AK152" s="507" t="n">
        <f aca="false">IF(OR($R152="Normal",$S152="Normal"),4,SUM(IF(OR($R152="Ghost",$R152="Psychic"),0-1,IF($R152="Dark",1,0)),IF(OR($S152="Ghost",$S152="Psychic"),0-1,IF($S152="Dark",1,0))))</f>
        <v>4</v>
      </c>
      <c r="AL152" s="507" t="n">
        <f aca="false">SUM(IF(OR($R152="Ground",$R152="Rock",$R152="Water"),0-1,IF(OR($R152="Bug",$R152="Flying",$R152="Fire",$R152="Dragon",$R152="Poison",$R152="Steel",$R152="Grass"),1,0)),IF(OR($S152="Ground",$S152="Rock",$S152="Water"),0-1,IF(OR($S152="Bug",$S152="Flying",$S152="Fire",$S152="Dragon",$S152="Poison",$S152="Steel",$S152="Grass"),1,0)))</f>
        <v>0</v>
      </c>
      <c r="AM152" s="507" t="n">
        <f aca="false">IF(OR($R152="Flying",$S152="Flying"),4,SUM(IF(OR($R152="Electric",$R152="Fire",$R152="Rock",$R152="Steel",$R152="Poison"),0-1,IF(OR($R152="Bug",$R152="Grass"),1,0)),IF(OR($S152="Electric",$S152="Fire",$S152="Rock",$S152="Steel",$S152="Poison"),0-1,IF(OR($S152="Bug",$S152="Grass"),1,0))))</f>
        <v>0</v>
      </c>
      <c r="AN152" s="507" t="n">
        <f aca="false">SUM(IF(OR($R152="Flying",$R152="Dragon",$R152="Grass",$R152="Ground"),0-1,IF(OR($R152="Steel",$R152="Ice",$R152="Fire",$R152="Water"),1,0)),IF(OR($S152="Flying",$S152="Dragon",$S152="Grass",$S152="Ground"),0-1,IF(OR($S152="Steel",$S152="Ice",$S152="Fire",$S152="Water"),1,0)))</f>
        <v>0</v>
      </c>
      <c r="AO152" s="507" t="n">
        <f aca="false">IF(OR($R152="Ghost",$S152="Ghost"),4,SUM(IF(OR($R152="Steel",$R152="Rock"),1,0),IF(OR($S152="Steel",$S152="Rock"),1,0)))</f>
        <v>0</v>
      </c>
      <c r="AP152" s="507" t="n">
        <f aca="false">IF(OR($R152="Steel",$S152="Steel"),4,SUM(IF(OR($R152="Fairy",$R152="Grass"),0-1,IF(OR($R152="Ghost",$R152="Rock",$R152="Ground",$R152="Poison"),1,0)),IF(OR($S152="Fairy",$S152="Grass"),0-1,IF(OR($S152="Ghost",$S152="Rock",$S152="Ground",$S152="Poison"),1,0))))</f>
        <v>0</v>
      </c>
      <c r="AQ152" s="507" t="n">
        <f aca="false">IF(OR($R152="Dark",$S152="Dark"),4,SUM(IF(OR($R152="Fighting",$R152="Poison"),0-1,IF(OR($R152="Psychic",$R152="Steel"),1,0)),IF(OR($S152="Fighting",$S152="Poison"),0-1,IF(OR($S152="Psychic",$S152="Steel"),1,0))))</f>
        <v>0</v>
      </c>
      <c r="AR152" s="507" t="n">
        <f aca="false">SUM(IF(OR($R152="Bug",$R152="Fire",$R152="Flying",$R152="Ice"),0-1,IF(OR($R152="Steel",$R152="Fighting",$R152="Ground"),1,0)),IF(OR($S152="Bug",$S152="Fire",$S152="Flying",$S152="Ice"),0-1,IF(OR($S152="Steel",$S152="Fighting",$S152="Ground"),1,0)))</f>
        <v>0</v>
      </c>
      <c r="AS152" s="507" t="n">
        <f aca="false">SUM(IF(OR($R152="Fairy",$R152="Ice",$R152="Rock"),0-1,IF(OR($R152="Steel",$R152="Electric",$R152="Fire",$R152="Water"),1,0)),IF(OR($S152="Fairy",$S152="Ice",$S152="Rock"),0-1,IF(OR($S152="Steel",$S152="Electric",$S152="Fire",$S152="Water"),1,0)))</f>
        <v>0</v>
      </c>
      <c r="AT152" s="508" t="n">
        <f aca="false">SUM(IF(OR($R152="Fire",$R152="Ground",$R152="Rock"),0-1,IF(OR($R152="Dragon",$R152="Grass",$R152="Water"),1,0)),IF(OR($S152="Fire",$S152="Ground",$S152="Rock"),0-1,IF(OR($S152="Dragon",$S152="Grass",$S152="Water"),1,0)))</f>
        <v>0</v>
      </c>
      <c r="AU152" s="518"/>
    </row>
    <row r="153" customFormat="false" ht="15.75" hidden="false" customHeight="false" outlineLevel="0" collapsed="false">
      <c r="A153" s="515" t="str">
        <f aca="false" t="array" ref="A153:A153">IF(ISNA(INDEX(Source!$U$7:$U$95,MATCH(B153,Source!$V$7:$V$95,0))),"FREE",INDEX(Source!$U$7:$U$95,MATCH(B153,Source!$V$7:$V$95,0)))</f>
        <v>FREE</v>
      </c>
      <c r="B153" s="511" t="s">
        <v>588</v>
      </c>
      <c r="C153" s="511"/>
      <c r="D153" s="511"/>
      <c r="E153" s="499" t="str">
        <f aca="false">IF(SUM($W153:$X153)&gt;0,SUM($W153:$X153),IF($H153&gt;0,0,IF($H153&gt;0,0,"-")))</f>
        <v>-</v>
      </c>
      <c r="F153" s="499" t="str">
        <f aca="false">IF(SUM($Y153:$Z153)&gt;0,SUM($Y153:$Z153),IF($H153&gt;0,0,"-"))</f>
        <v>-</v>
      </c>
      <c r="G153" s="499" t="str">
        <f aca="false">IF($H153&gt;0,minus(E153,F153),"-")</f>
        <v>-</v>
      </c>
      <c r="H153" s="500" t="n">
        <f aca="false">SUM(COUNTIF(MatchSource!$A:$A,$B153),COUNTIF(MatchSource!$H:$H,$B153))</f>
        <v>0</v>
      </c>
      <c r="I153" s="501" t="n">
        <f aca="false">SUM($AA153:$AB153)</f>
        <v>0</v>
      </c>
      <c r="J153" s="501" t="s">
        <v>702</v>
      </c>
      <c r="K153" s="512" t="str">
        <f aca="false" t="array" ref="K153:K153">IF(ISNA(INDEX(DraftRosters!$AA$3:$AA$199,MATCH($B153,DraftRosters!$AB$3:$AB$199,0))),"FA",IF(INDEX(DraftRosters!$AA$3:$AA$199,MATCH($B153,DraftRosters!$AB$3:$AB$199,0))="Franchise","Franch",INDEX(DraftRosters!$AA$3:$AA$199,MATCH($B153,DraftRosters!$AB$3:$AB$199,0))))</f>
        <v>FA</v>
      </c>
      <c r="L153" s="499" t="n">
        <v>68</v>
      </c>
      <c r="M153" s="499" t="n">
        <v>90</v>
      </c>
      <c r="N153" s="499" t="n">
        <v>65</v>
      </c>
      <c r="O153" s="499" t="n">
        <v>50</v>
      </c>
      <c r="P153" s="499" t="n">
        <v>55</v>
      </c>
      <c r="Q153" s="501" t="n">
        <v>82</v>
      </c>
      <c r="R153" s="499" t="s">
        <v>835</v>
      </c>
      <c r="S153" s="501" t="s">
        <v>907</v>
      </c>
      <c r="T153" s="504" t="s">
        <v>957</v>
      </c>
      <c r="U153" s="505" t="s">
        <v>906</v>
      </c>
      <c r="V153" s="506"/>
      <c r="W153" s="500" t="str">
        <f aca="false">IFERROR(__xludf.dummyfunction("if(isna(SUM(FILTER(MatchSource!$A:$D,MatchSource!$A:$A=$B153))),0,SUM(FILTER(MatchSource!$A:$D,MatchSource!$A:$A=$B153)))"),"0")</f>
        <v>0</v>
      </c>
      <c r="X153" s="499" t="str">
        <f aca="false">IFERROR(__xludf.dummyfunction("if(isna(SUM(FILTER(MatchSource!$H:$K,MatchSource!$H:$H=$B153))),0,SUM(FILTER(MatchSource!$H:$K,MatchSource!$H:$H=$B153)))"),"0")</f>
        <v>0</v>
      </c>
      <c r="Y153" s="499" t="str">
        <f aca="false">IFERROR(__xludf.dummyfunction("if(isna(ABS(MINUS(SUM(FILTER(MatchSource!$A:$E,MatchSource!$A:$A=$B153)),SUM($W153)))),0,ABS(MINUS(SUM(FILTER(MatchSource!$A:$E,MatchSource!$A:$A=$B153)),SUM($W153))))"),"0")</f>
        <v>0</v>
      </c>
      <c r="Z153" s="499" t="str">
        <f aca="false">IFERROR(__xludf.dummyfunction("if(isna(ABS(MINUS(SUM(FILTER(MatchSource!$H:$L,MatchSource!$H:$H=$B153)),SUM($X153)))),0,ABS(MINUS(SUM(FILTER(MatchSource!$H:$L,MatchSource!$H:$H=$B153)),SUM($X153))))"),"0")</f>
        <v>0</v>
      </c>
      <c r="AA153" s="499" t="str">
        <f aca="false">IFERROR(__xludf.dummyfunction("if(isna(ABS(MINUS(SUM(FILTER(MatchSource!$A:$F,MatchSource!$A:$A=$B153)),SUM($W153,$Y153)))),0,ABS(MINUS(SUM(FILTER(MatchSource!$A:$F,MatchSource!$A:$A=$B153)),SUM($W153, $Y153,))))"),"0")</f>
        <v>0</v>
      </c>
      <c r="AB153" s="501" t="str">
        <f aca="false">IFERROR(__xludf.dummyfunction("if(isna(ABS(MINUS(SUM(FILTER(MatchSource!$H:$M,MatchSource!$H:$H=$B153)),SUM($X153,$Z153)))),0,ABS(MINUS(SUM(FILTER(MatchSource!$H:$M,MatchSource!$H:$H=$B153)),SUM($X153,$Z153))))"),"0")</f>
        <v>0</v>
      </c>
      <c r="AC153" s="507" t="n">
        <f aca="false">SUM(IF(OR($R153="Grass",$R153="Psychic",$R153="Dark"),0-1,IF(OR($R153="Fighting",$R153="Flying",$R153="Fire",$R153="Ghost",$R153="Poison",$R153="Steel",$R153="Fairy"),1,0)),IF(OR($S153="Grass",$S153="Psychic",$S153="Dark"),0-1,IF(OR($S153="Fighting",$S153="Flying",$S153="Fire",$S153="Ghost",$S153="Poison",$S153="Steel",$S153="Fairy"),1,0)))</f>
        <v>0</v>
      </c>
      <c r="AD153" s="507" t="n">
        <f aca="false">SUM(IF(OR($R153="Ghost",$R153="Psychic"),0-1,IF(OR($R153="Fighting",$R153="Dark",$R153="Fairy"),1,0)),IF(OR($S153="Ghost",$S153="Psychic"),0-1,IF(OR($S153="Fighting",$S153="Dark",$S153="Fairy"),1,0)))</f>
        <v>0</v>
      </c>
      <c r="AE153" s="507" t="n">
        <f aca="false">IF(OR($R153="Fairy",$S153="Fairy"),4,SUM(IF($R153="Dragon",0-1,IF($R153="Steel",1,0)),IF($S153="Dragon",0-1,IF($S153="Steel",1,0))))</f>
        <v>-1</v>
      </c>
      <c r="AF153" s="507" t="n">
        <f aca="false">IF(OR($R153="Ground",$S153="Ground"),4,SUM(IF(OR($R153="Flying",$R153="Water"),0-1,IF(OR($R153="Dragon",$R153="Electric",$R153="Grass"),1,0)),IF(OR($S153="Flying",$S153="Water"),0-1,IF(OR($S153="Dragon",$S153="Electric",$S153="Grass"),1,0))))</f>
        <v>4</v>
      </c>
      <c r="AG153" s="507" t="n">
        <f aca="false">SUM(IF(OR($R153="Dark",$R153="Dragon",$R153="Fighting"),0-1,IF(OR($R153="Steel",$R153="Poison",$R153="Fire"),1,0)),IF(OR($S153="Dark",$S153="Dragon",$S153="Fighting"),0-1,IF(OR($S153="Steel",$S153="Poison",$S153="Fire"),1,0)))</f>
        <v>-1</v>
      </c>
      <c r="AH153" s="507" t="n">
        <f aca="false">IF(OR($R153="Ghost",$S153="Ghost"),4,SUM(IF(OR($R153="Dark",$R153="Ice",$R153="Normal",$R153="Rock",$R153="Steel"),0-1,IF(OR($R153="Bug",$R153="Fairy",$R153="Flying",$R153="Poison",$R153="Psychic"),1,0)),IF(OR($S153="Dark",$S153="Ice",$S153="Normal",$S153="Rock",$S153="Steel"),0-1,IF(OR($S153="Bug",$S153="Fairy",$S153="Flying",$S153="Poison",$S153="Psychic"),1,0))))</f>
        <v>0</v>
      </c>
      <c r="AI153" s="507" t="n">
        <f aca="false">SUM(IF(OR($R153="Bug",$R153="Grass",$R153="Ice",$R153="Steel"),0-1,IF(OR($R153="Dragon",$R153="Fire",$R153="Rock",$R153="Water"),1,0)),IF(OR($S153="Bug",$S153="Grass",$S153="Ice",$S153="Steel"),0-1,IF(OR($S153="Dragon",$S153="Fire",$S153="Rock",$S153="Water"),1,0)))</f>
        <v>1</v>
      </c>
      <c r="AJ153" s="507" t="n">
        <f aca="false">SUM(IF(OR($R153="Bug",$R153="Grass",$R153="Fighting"),0-1,IF(OR($R153="Electric",$R153="Rock",$R153="Steel"),1,0)),IF(OR($S153="Bug",$S153="Grass",$S153="Fighting"),0-1,IF(OR($S153="Electric",$S153="Rock",$S153="Steel"),1,0)))</f>
        <v>0</v>
      </c>
      <c r="AK153" s="507" t="n">
        <f aca="false">IF(OR($R153="Normal",$S153="Normal"),4,SUM(IF(OR($R153="Ghost",$R153="Psychic"),0-1,IF($R153="Dark",1,0)),IF(OR($S153="Ghost",$S153="Psychic"),0-1,IF($S153="Dark",1,0))))</f>
        <v>0</v>
      </c>
      <c r="AL153" s="507" t="n">
        <f aca="false">SUM(IF(OR($R153="Ground",$R153="Rock",$R153="Water"),0-1,IF(OR($R153="Bug",$R153="Flying",$R153="Fire",$R153="Dragon",$R153="Poison",$R153="Steel",$R153="Grass"),1,0)),IF(OR($S153="Ground",$S153="Rock",$S153="Water"),0-1,IF(OR($S153="Bug",$S153="Flying",$S153="Fire",$S153="Dragon",$S153="Poison",$S153="Steel",$S153="Grass"),1,0)))</f>
        <v>0</v>
      </c>
      <c r="AM153" s="507" t="n">
        <f aca="false">IF(OR($R153="Flying",$S153="Flying"),4,SUM(IF(OR($R153="Electric",$R153="Fire",$R153="Rock",$R153="Steel",$R153="Poison"),0-1,IF(OR($R153="Bug",$R153="Grass"),1,0)),IF(OR($S153="Electric",$S153="Fire",$S153="Rock",$S153="Steel",$S153="Poison"),0-1,IF(OR($S153="Bug",$S153="Grass"),1,0))))</f>
        <v>0</v>
      </c>
      <c r="AN153" s="507" t="n">
        <f aca="false">SUM(IF(OR($R153="Flying",$R153="Dragon",$R153="Grass",$R153="Ground"),0-1,IF(OR($R153="Steel",$R153="Ice",$R153="Fire",$R153="Water"),1,0)),IF(OR($S153="Flying",$S153="Dragon",$S153="Grass",$S153="Ground"),0-1,IF(OR($S153="Steel",$S153="Ice",$S153="Fire",$S153="Water"),1,0)))</f>
        <v>-2</v>
      </c>
      <c r="AO153" s="507" t="n">
        <f aca="false">IF(OR($R153="Ghost",$S153="Ghost"),4,SUM(IF(OR($R153="Steel",$R153="Rock"),1,0),IF(OR($S153="Steel",$S153="Rock"),1,0)))</f>
        <v>0</v>
      </c>
      <c r="AP153" s="507" t="n">
        <f aca="false">IF(OR($R153="Steel",$S153="Steel"),4,SUM(IF(OR($R153="Fairy",$R153="Grass"),0-1,IF(OR($R153="Ghost",$R153="Rock",$R153="Ground",$R153="Poison"),1,0)),IF(OR($S153="Fairy",$S153="Grass"),0-1,IF(OR($S153="Ghost",$S153="Rock",$S153="Ground",$S153="Poison"),1,0))))</f>
        <v>1</v>
      </c>
      <c r="AQ153" s="507" t="n">
        <f aca="false">IF(OR($R153="Dark",$S153="Dark"),4,SUM(IF(OR($R153="Fighting",$R153="Poison"),0-1,IF(OR($R153="Psychic",$R153="Steel"),1,0)),IF(OR($S153="Fighting",$S153="Poison"),0-1,IF(OR($S153="Psychic",$S153="Steel"),1,0))))</f>
        <v>0</v>
      </c>
      <c r="AR153" s="507" t="n">
        <f aca="false">SUM(IF(OR($R153="Bug",$R153="Fire",$R153="Flying",$R153="Ice"),0-1,IF(OR($R153="Steel",$R153="Fighting",$R153="Ground"),1,0)),IF(OR($S153="Bug",$S153="Fire",$S153="Flying",$S153="Ice"),0-1,IF(OR($S153="Steel",$S153="Fighting",$S153="Ground"),1,0)))</f>
        <v>1</v>
      </c>
      <c r="AS153" s="507" t="n">
        <f aca="false">SUM(IF(OR($R153="Fairy",$R153="Ice",$R153="Rock"),0-1,IF(OR($R153="Steel",$R153="Electric",$R153="Fire",$R153="Water"),1,0)),IF(OR($S153="Fairy",$S153="Ice",$S153="Rock"),0-1,IF(OR($S153="Steel",$S153="Electric",$S153="Fire",$S153="Water"),1,0)))</f>
        <v>0</v>
      </c>
      <c r="AT153" s="508" t="n">
        <f aca="false">SUM(IF(OR($R153="Fire",$R153="Ground",$R153="Rock"),0-1,IF(OR($R153="Dragon",$R153="Grass",$R153="Water"),1,0)),IF(OR($S153="Fire",$S153="Ground",$S153="Rock"),0-1,IF(OR($S153="Dragon",$S153="Grass",$S153="Water"),1,0)))</f>
        <v>0</v>
      </c>
      <c r="AU153" s="518"/>
    </row>
    <row r="154" customFormat="false" ht="15.75" hidden="false" customHeight="false" outlineLevel="0" collapsed="false">
      <c r="A154" s="510" t="str">
        <f aca="false" t="array" ref="A154:A154">IF(ISNA(INDEX(Source!$U$7:$U$95,MATCH(B154,Source!$V$7:$V$95,0))),"FREE",INDEX(Source!$U$7:$U$95,MATCH(B154,Source!$V$7:$V$95,0)))</f>
        <v>JVJ</v>
      </c>
      <c r="B154" s="511" t="s">
        <v>28</v>
      </c>
      <c r="C154" s="511"/>
      <c r="D154" s="511"/>
      <c r="E154" s="499" t="n">
        <f aca="false">IF(SUM($W154:$X154)&gt;0,SUM($W154:$X154),IF($H154&gt;0,0,IF($H154&gt;0,0,"-")))</f>
        <v>0</v>
      </c>
      <c r="F154" s="499" t="n">
        <f aca="false">IF(SUM($Y154:$Z154)&gt;0,SUM($Y154:$Z154),IF($H154&gt;0,0,"-"))</f>
        <v>0</v>
      </c>
      <c r="G154" s="499" t="e">
        <f aca="false">IF($H154&gt;0,minus(E154,F154),"-")</f>
        <v>#NAME?</v>
      </c>
      <c r="H154" s="500" t="n">
        <f aca="false">SUM(COUNTIF(MatchSource!$A:$A,$B154),COUNTIF(MatchSource!$H:$H,$B154))</f>
        <v>7</v>
      </c>
      <c r="I154" s="501" t="n">
        <f aca="false">SUM($AA154:$AB154)</f>
        <v>0</v>
      </c>
      <c r="J154" s="501" t="s">
        <v>701</v>
      </c>
      <c r="K154" s="512" t="n">
        <f aca="false" t="array" ref="K154:K154">IF(ISNA(INDEX(DraftRosters!$AA$3:$AA$199,MATCH($B154,DraftRosters!$AB$3:$AB$199,0))),"FA",IF(INDEX(DraftRosters!$AA$3:$AA$199,MATCH($B154,DraftRosters!$AB$3:$AB$199,0))="Franchise","Franch",INDEX(DraftRosters!$AA$3:$AA$199,MATCH($B154,DraftRosters!$AB$3:$AB$199,0))))</f>
        <v>72</v>
      </c>
      <c r="L154" s="499" t="n">
        <v>68</v>
      </c>
      <c r="M154" s="499" t="n">
        <v>125</v>
      </c>
      <c r="N154" s="499" t="n">
        <v>65</v>
      </c>
      <c r="O154" s="499" t="n">
        <v>65</v>
      </c>
      <c r="P154" s="499" t="n">
        <v>115</v>
      </c>
      <c r="Q154" s="501" t="n">
        <v>80</v>
      </c>
      <c r="R154" s="499" t="s">
        <v>881</v>
      </c>
      <c r="S154" s="501" t="s">
        <v>828</v>
      </c>
      <c r="T154" s="504" t="s">
        <v>815</v>
      </c>
      <c r="U154" s="505" t="s">
        <v>976</v>
      </c>
      <c r="V154" s="506"/>
      <c r="W154" s="500" t="str">
        <f aca="false">IFERROR(__xludf.dummyfunction("if(isna(SUM(FILTER(MatchSource!$A:$D,MatchSource!$A:$A=$B154))),0,SUM(FILTER(MatchSource!$A:$D,MatchSource!$A:$A=$B154)))"),"3")</f>
        <v>3</v>
      </c>
      <c r="X154" s="499" t="str">
        <f aca="false">IFERROR(__xludf.dummyfunction("if(isna(SUM(FILTER(MatchSource!$H:$K,MatchSource!$H:$H=$B154))),0,SUM(FILTER(MatchSource!$H:$K,MatchSource!$H:$H=$B154)))"),"2")</f>
        <v>2</v>
      </c>
      <c r="Y154" s="499" t="str">
        <f aca="false">IFERROR(__xludf.dummyfunction("if(isna(ABS(MINUS(SUM(FILTER(MatchSource!$A:$E,MatchSource!$A:$A=$B154)),SUM($W154)))),0,ABS(MINUS(SUM(FILTER(MatchSource!$A:$E,MatchSource!$A:$A=$B154)),SUM($W154))))"),"2")</f>
        <v>2</v>
      </c>
      <c r="Z154" s="499" t="str">
        <f aca="false">IFERROR(__xludf.dummyfunction("if(isna(ABS(MINUS(SUM(FILTER(MatchSource!$H:$L,MatchSource!$H:$H=$B154)),SUM($X154)))),0,ABS(MINUS(SUM(FILTER(MatchSource!$H:$L,MatchSource!$H:$H=$B154)),SUM($X154))))"),"1")</f>
        <v>1</v>
      </c>
      <c r="AA154" s="499" t="str">
        <f aca="false">IFERROR(__xludf.dummyfunction("if(isna(ABS(MINUS(SUM(FILTER(MatchSource!$A:$F,MatchSource!$A:$A=$B154)),SUM($W154,$Y154)))),0,ABS(MINUS(SUM(FILTER(MatchSource!$A:$F,MatchSource!$A:$A=$B154)),SUM($W154, $Y154,))))"),"1")</f>
        <v>1</v>
      </c>
      <c r="AB154" s="501" t="str">
        <f aca="false">IFERROR(__xludf.dummyfunction("if(isna(ABS(MINUS(SUM(FILTER(MatchSource!$H:$M,MatchSource!$H:$H=$B154)),SUM($X154,$Z154)))),0,ABS(MINUS(SUM(FILTER(MatchSource!$H:$M,MatchSource!$H:$H=$B154)),SUM($X154,$Z154))))"),"3")</f>
        <v>3</v>
      </c>
      <c r="AC154" s="507" t="n">
        <f aca="false">SUM(IF(OR($R154="Grass",$R154="Psychic",$R154="Dark"),0-1,IF(OR($R154="Fighting",$R154="Flying",$R154="Fire",$R154="Ghost",$R154="Poison",$R154="Steel",$R154="Fairy"),1,0)),IF(OR($S154="Grass",$S154="Psychic",$S154="Dark"),0-1,IF(OR($S154="Fighting",$S154="Flying",$S154="Fire",$S154="Ghost",$S154="Poison",$S154="Steel",$S154="Fairy"),1,0)))</f>
        <v>0</v>
      </c>
      <c r="AD154" s="507" t="n">
        <f aca="false">SUM(IF(OR($R154="Ghost",$R154="Psychic"),0-1,IF(OR($R154="Fighting",$R154="Dark",$R154="Fairy"),1,0)),IF(OR($S154="Ghost",$S154="Psychic"),0-1,IF(OR($S154="Fighting",$S154="Dark",$S154="Fairy"),1,0)))</f>
        <v>0</v>
      </c>
      <c r="AE154" s="507" t="n">
        <f aca="false">IF(OR($R154="Fairy",$S154="Fairy"),4,SUM(IF($R154="Dragon",0-1,IF($R154="Steel",1,0)),IF($S154="Dragon",0-1,IF($S154="Steel",1,0))))</f>
        <v>0</v>
      </c>
      <c r="AF154" s="507" t="n">
        <f aca="false">IF(OR($R154="Ground",$S154="Ground"),4,SUM(IF(OR($R154="Flying",$R154="Water"),0-1,IF(OR($R154="Dragon",$R154="Electric",$R154="Grass"),1,0)),IF(OR($S154="Flying",$S154="Water"),0-1,IF(OR($S154="Dragon",$S154="Electric",$S154="Grass"),1,0))))</f>
        <v>0</v>
      </c>
      <c r="AG154" s="507" t="n">
        <f aca="false">SUM(IF(OR($R154="Dark",$R154="Dragon",$R154="Fighting"),0-1,IF(OR($R154="Steel",$R154="Poison",$R154="Fire"),1,0)),IF(OR($S154="Dark",$S154="Dragon",$S154="Fighting"),0-1,IF(OR($S154="Steel",$S154="Poison",$S154="Fire"),1,0)))</f>
        <v>-1</v>
      </c>
      <c r="AH154" s="507" t="n">
        <f aca="false">IF(OR($R154="Ghost",$S154="Ghost"),4,SUM(IF(OR($R154="Dark",$R154="Ice",$R154="Normal",$R154="Rock",$R154="Steel"),0-1,IF(OR($R154="Bug",$R154="Fairy",$R154="Flying",$R154="Poison",$R154="Psychic"),1,0)),IF(OR($S154="Dark",$S154="Ice",$S154="Normal",$S154="Rock",$S154="Steel"),0-1,IF(OR($S154="Bug",$S154="Fairy",$S154="Flying",$S154="Poison",$S154="Psychic"),1,0))))</f>
        <v>1</v>
      </c>
      <c r="AI154" s="507" t="n">
        <f aca="false">SUM(IF(OR($R154="Bug",$R154="Grass",$R154="Ice",$R154="Steel"),0-1,IF(OR($R154="Dragon",$R154="Fire",$R154="Rock",$R154="Water"),1,0)),IF(OR($S154="Bug",$S154="Grass",$S154="Ice",$S154="Steel"),0-1,IF(OR($S154="Dragon",$S154="Fire",$S154="Rock",$S154="Water"),1,0)))</f>
        <v>0</v>
      </c>
      <c r="AJ154" s="507" t="n">
        <f aca="false">SUM(IF(OR($R154="Bug",$R154="Grass",$R154="Fighting"),0-1,IF(OR($R154="Electric",$R154="Rock",$R154="Steel"),1,0)),IF(OR($S154="Bug",$S154="Grass",$S154="Fighting"),0-1,IF(OR($S154="Electric",$S154="Rock",$S154="Steel"),1,0)))</f>
        <v>-1</v>
      </c>
      <c r="AK154" s="507" t="n">
        <f aca="false">IF(OR($R154="Normal",$S154="Normal"),4,SUM(IF(OR($R154="Ghost",$R154="Psychic"),0-1,IF($R154="Dark",1,0)),IF(OR($S154="Ghost",$S154="Psychic"),0-1,IF($S154="Dark",1,0))))</f>
        <v>-1</v>
      </c>
      <c r="AL154" s="507" t="n">
        <f aca="false">SUM(IF(OR($R154="Ground",$R154="Rock",$R154="Water"),0-1,IF(OR($R154="Bug",$R154="Flying",$R154="Fire",$R154="Dragon",$R154="Poison",$R154="Steel",$R154="Grass"),1,0)),IF(OR($S154="Ground",$S154="Rock",$S154="Water"),0-1,IF(OR($S154="Bug",$S154="Flying",$S154="Fire",$S154="Dragon",$S154="Poison",$S154="Steel",$S154="Grass"),1,0)))</f>
        <v>0</v>
      </c>
      <c r="AM154" s="507" t="n">
        <f aca="false">IF(OR($R154="Flying",$S154="Flying"),4,SUM(IF(OR($R154="Electric",$R154="Fire",$R154="Rock",$R154="Steel",$R154="Poison"),0-1,IF(OR($R154="Bug",$R154="Grass"),1,0)),IF(OR($S154="Electric",$S154="Fire",$S154="Rock",$S154="Steel",$S154="Poison"),0-1,IF(OR($S154="Bug",$S154="Grass"),1,0))))</f>
        <v>0</v>
      </c>
      <c r="AN154" s="507" t="n">
        <f aca="false">SUM(IF(OR($R154="Flying",$R154="Dragon",$R154="Grass",$R154="Ground"),0-1,IF(OR($R154="Steel",$R154="Ice",$R154="Fire",$R154="Water"),1,0)),IF(OR($S154="Flying",$S154="Dragon",$S154="Grass",$S154="Ground"),0-1,IF(OR($S154="Steel",$S154="Ice",$S154="Fire",$S154="Water"),1,0)))</f>
        <v>0</v>
      </c>
      <c r="AO154" s="507" t="n">
        <f aca="false">IF(OR($R154="Ghost",$S154="Ghost"),4,SUM(IF(OR($R154="Steel",$R154="Rock"),1,0),IF(OR($S154="Steel",$S154="Rock"),1,0)))</f>
        <v>0</v>
      </c>
      <c r="AP154" s="507" t="n">
        <f aca="false">IF(OR($R154="Steel",$S154="Steel"),4,SUM(IF(OR($R154="Fairy",$R154="Grass"),0-1,IF(OR($R154="Ghost",$R154="Rock",$R154="Ground",$R154="Poison"),1,0)),IF(OR($S154="Fairy",$S154="Grass"),0-1,IF(OR($S154="Ghost",$S154="Rock",$S154="Ground",$S154="Poison"),1,0))))</f>
        <v>0</v>
      </c>
      <c r="AQ154" s="507" t="n">
        <f aca="false">IF(OR($R154="Dark",$S154="Dark"),4,SUM(IF(OR($R154="Fighting",$R154="Poison"),0-1,IF(OR($R154="Psychic",$R154="Steel"),1,0)),IF(OR($S154="Fighting",$S154="Poison"),0-1,IF(OR($S154="Psychic",$S154="Steel"),1,0))))</f>
        <v>0</v>
      </c>
      <c r="AR154" s="507" t="n">
        <f aca="false">SUM(IF(OR($R154="Bug",$R154="Fire",$R154="Flying",$R154="Ice"),0-1,IF(OR($R154="Steel",$R154="Fighting",$R154="Ground"),1,0)),IF(OR($S154="Bug",$S154="Fire",$S154="Flying",$S154="Ice"),0-1,IF(OR($S154="Steel",$S154="Fighting",$S154="Ground"),1,0)))</f>
        <v>1</v>
      </c>
      <c r="AS154" s="507" t="n">
        <f aca="false">SUM(IF(OR($R154="Fairy",$R154="Ice",$R154="Rock"),0-1,IF(OR($R154="Steel",$R154="Electric",$R154="Fire",$R154="Water"),1,0)),IF(OR($S154="Fairy",$S154="Ice",$S154="Rock"),0-1,IF(OR($S154="Steel",$S154="Electric",$S154="Fire",$S154="Water"),1,0)))</f>
        <v>0</v>
      </c>
      <c r="AT154" s="508" t="n">
        <f aca="false">SUM(IF(OR($R154="Fire",$R154="Ground",$R154="Rock"),0-1,IF(OR($R154="Dragon",$R154="Grass",$R154="Water"),1,0)),IF(OR($S154="Fire",$S154="Ground",$S154="Rock"),0-1,IF(OR($S154="Dragon",$S154="Grass",$S154="Water"),1,0)))</f>
        <v>0</v>
      </c>
      <c r="AU154" s="518"/>
    </row>
    <row r="155" customFormat="false" ht="15.75" hidden="false" customHeight="false" outlineLevel="0" collapsed="false">
      <c r="A155" s="510" t="str">
        <f aca="false" t="array" ref="A155:A155">IF(ISNA(INDEX(Source!$U$7:$U$95,MATCH(B155,Source!$V$7:$V$95,0))),"FREE",INDEX(Source!$U$7:$U$95,MATCH(B155,Source!$V$7:$V$95,0)))</f>
        <v>FREE</v>
      </c>
      <c r="B155" s="511" t="s">
        <v>720</v>
      </c>
      <c r="C155" s="511"/>
      <c r="D155" s="511"/>
      <c r="E155" s="499" t="str">
        <f aca="false">IF(SUM($W155:$X155)&gt;0,SUM($W155:$X155),IF($H155&gt;0,0,IF($H155&gt;0,0,"-")))</f>
        <v>-</v>
      </c>
      <c r="F155" s="499" t="str">
        <f aca="false">IF(SUM($Y155:$Z155)&gt;0,SUM($Y155:$Z155),IF($H155&gt;0,0,"-"))</f>
        <v>-</v>
      </c>
      <c r="G155" s="499" t="str">
        <f aca="false">IF($H155&gt;0,minus(E155,F155),"-")</f>
        <v>-</v>
      </c>
      <c r="H155" s="500" t="n">
        <f aca="false">SUM(COUNTIF(MatchSource!$A:$A,$B155),COUNTIF(MatchSource!$H:$H,$B155))</f>
        <v>0</v>
      </c>
      <c r="I155" s="501" t="n">
        <f aca="false">SUM($AA155:$AB155)</f>
        <v>0</v>
      </c>
      <c r="J155" s="501" t="s">
        <v>278</v>
      </c>
      <c r="K155" s="512" t="str">
        <f aca="false" t="array" ref="K155:K155">IF(ISNA(INDEX(DraftRosters!$AA$3:$AA$199,MATCH($B155,DraftRosters!$AB$3:$AB$199,0))),"FA",IF(INDEX(DraftRosters!$AA$3:$AA$199,MATCH($B155,DraftRosters!$AB$3:$AB$199,0))="Franchise","Franch",INDEX(DraftRosters!$AA$3:$AA$199,MATCH($B155,DraftRosters!$AB$3:$AB$199,0))))</f>
        <v>FA</v>
      </c>
      <c r="L155" s="507" t="n">
        <v>68</v>
      </c>
      <c r="M155" s="507" t="n">
        <v>165</v>
      </c>
      <c r="N155" s="507" t="n">
        <v>95</v>
      </c>
      <c r="O155" s="507" t="n">
        <v>65</v>
      </c>
      <c r="P155" s="507" t="n">
        <v>115</v>
      </c>
      <c r="Q155" s="508" t="n">
        <v>110</v>
      </c>
      <c r="R155" s="499" t="s">
        <v>881</v>
      </c>
      <c r="S155" s="501" t="s">
        <v>828</v>
      </c>
      <c r="T155" s="504" t="s">
        <v>829</v>
      </c>
      <c r="U155" s="513"/>
      <c r="V155" s="514"/>
      <c r="W155" s="500" t="str">
        <f aca="false">IFERROR(__xludf.dummyfunction("if(isna(SUM(FILTER(MatchSource!$A:$D,MatchSource!$A:$A=$B155))),0,SUM(FILTER(MatchSource!$A:$D,MatchSource!$A:$A=$B155)))"),"0")</f>
        <v>0</v>
      </c>
      <c r="X155" s="499" t="str">
        <f aca="false">IFERROR(__xludf.dummyfunction("if(isna(SUM(FILTER(MatchSource!$H:$K,MatchSource!$H:$H=$B155))),0,SUM(FILTER(MatchSource!$H:$K,MatchSource!$H:$H=$B155)))"),"0")</f>
        <v>0</v>
      </c>
      <c r="Y155" s="499" t="str">
        <f aca="false">IFERROR(__xludf.dummyfunction("if(isna(ABS(MINUS(SUM(FILTER(MatchSource!$A:$E,MatchSource!$A:$A=$B155)),SUM($W155)))),0,ABS(MINUS(SUM(FILTER(MatchSource!$A:$E,MatchSource!$A:$A=$B155)),SUM($W155))))"),"0")</f>
        <v>0</v>
      </c>
      <c r="Z155" s="499" t="str">
        <f aca="false">IFERROR(__xludf.dummyfunction("if(isna(ABS(MINUS(SUM(FILTER(MatchSource!$H:$L,MatchSource!$H:$H=$B155)),SUM($X155)))),0,ABS(MINUS(SUM(FILTER(MatchSource!$H:$L,MatchSource!$H:$H=$B155)),SUM($X155))))"),"0")</f>
        <v>0</v>
      </c>
      <c r="AA155" s="499" t="str">
        <f aca="false">IFERROR(__xludf.dummyfunction("if(isna(ABS(MINUS(SUM(FILTER(MatchSource!$A:$F,MatchSource!$A:$A=$B155)),SUM($W155,$Y155)))),0,ABS(MINUS(SUM(FILTER(MatchSource!$A:$F,MatchSource!$A:$A=$B155)),SUM($W155, $Y155,))))"),"0")</f>
        <v>0</v>
      </c>
      <c r="AB155" s="501" t="str">
        <f aca="false">IFERROR(__xludf.dummyfunction("if(isna(ABS(MINUS(SUM(FILTER(MatchSource!$H:$M,MatchSource!$H:$H=$B155)),SUM($X155,$Z155)))),0,ABS(MINUS(SUM(FILTER(MatchSource!$H:$M,MatchSource!$H:$H=$B155)),SUM($X155,$Z155))))"),"0")</f>
        <v>0</v>
      </c>
      <c r="AC155" s="507" t="n">
        <f aca="false">SUM(IF(OR($R155="Grass",$R155="Psychic",$R155="Dark"),0-1,IF(OR($R155="Fighting",$R155="Flying",$R155="Fire",$R155="Ghost",$R155="Poison",$R155="Steel",$R155="Fairy"),1,0)),IF(OR($S155="Grass",$S155="Psychic",$S155="Dark"),0-1,IF(OR($S155="Fighting",$S155="Flying",$S155="Fire",$S155="Ghost",$S155="Poison",$S155="Steel",$S155="Fairy"),1,0)))</f>
        <v>0</v>
      </c>
      <c r="AD155" s="507" t="n">
        <f aca="false">SUM(IF(OR($R155="Ghost",$R155="Psychic"),0-1,IF(OR($R155="Fighting",$R155="Dark",$R155="Fairy"),1,0)),IF(OR($S155="Ghost",$S155="Psychic"),0-1,IF(OR($S155="Fighting",$S155="Dark",$S155="Fairy"),1,0)))</f>
        <v>0</v>
      </c>
      <c r="AE155" s="507" t="n">
        <f aca="false">IF(OR($R155="Fairy",$S155="Fairy"),4,SUM(IF($R155="Dragon",0-1,IF($R155="Steel",1,0)),IF($S155="Dragon",0-1,IF($S155="Steel",1,0))))</f>
        <v>0</v>
      </c>
      <c r="AF155" s="507" t="n">
        <f aca="false">IF(OR($R155="Ground",$S155="Ground"),4,SUM(IF(OR($R155="Flying",$R155="Water"),0-1,IF(OR($R155="Dragon",$R155="Electric",$R155="Grass"),1,0)),IF(OR($S155="Flying",$S155="Water"),0-1,IF(OR($S155="Dragon",$S155="Electric",$S155="Grass"),1,0))))</f>
        <v>0</v>
      </c>
      <c r="AG155" s="507" t="n">
        <f aca="false">SUM(IF(OR($R155="Dark",$R155="Dragon",$R155="Fighting"),0-1,IF(OR($R155="Steel",$R155="Poison",$R155="Fire"),1,0)),IF(OR($S155="Dark",$S155="Dragon",$S155="Fighting"),0-1,IF(OR($S155="Steel",$S155="Poison",$S155="Fire"),1,0)))</f>
        <v>-1</v>
      </c>
      <c r="AH155" s="507" t="n">
        <f aca="false">IF(OR($R155="Ghost",$S155="Ghost"),4,SUM(IF(OR($R155="Dark",$R155="Ice",$R155="Normal",$R155="Rock",$R155="Steel"),0-1,IF(OR($R155="Bug",$R155="Fairy",$R155="Flying",$R155="Poison",$R155="Psychic"),1,0)),IF(OR($S155="Dark",$S155="Ice",$S155="Normal",$S155="Rock",$S155="Steel"),0-1,IF(OR($S155="Bug",$S155="Fairy",$S155="Flying",$S155="Poison",$S155="Psychic"),1,0))))</f>
        <v>1</v>
      </c>
      <c r="AI155" s="507" t="n">
        <f aca="false">SUM(IF(OR($R155="Bug",$R155="Grass",$R155="Ice",$R155="Steel"),0-1,IF(OR($R155="Dragon",$R155="Fire",$R155="Rock",$R155="Water"),1,0)),IF(OR($S155="Bug",$S155="Grass",$S155="Ice",$S155="Steel"),0-1,IF(OR($S155="Dragon",$S155="Fire",$S155="Rock",$S155="Water"),1,0)))</f>
        <v>0</v>
      </c>
      <c r="AJ155" s="507" t="n">
        <f aca="false">SUM(IF(OR($R155="Bug",$R155="Grass",$R155="Fighting"),0-1,IF(OR($R155="Electric",$R155="Rock",$R155="Steel"),1,0)),IF(OR($S155="Bug",$S155="Grass",$S155="Fighting"),0-1,IF(OR($S155="Electric",$S155="Rock",$S155="Steel"),1,0)))</f>
        <v>-1</v>
      </c>
      <c r="AK155" s="507" t="n">
        <f aca="false">IF(OR($R155="Normal",$S155="Normal"),4,SUM(IF(OR($R155="Ghost",$R155="Psychic"),0-1,IF($R155="Dark",1,0)),IF(OR($S155="Ghost",$S155="Psychic"),0-1,IF($S155="Dark",1,0))))</f>
        <v>-1</v>
      </c>
      <c r="AL155" s="507" t="n">
        <f aca="false">SUM(IF(OR($R155="Ground",$R155="Rock",$R155="Water"),0-1,IF(OR($R155="Bug",$R155="Flying",$R155="Fire",$R155="Dragon",$R155="Poison",$R155="Steel",$R155="Grass"),1,0)),IF(OR($S155="Ground",$S155="Rock",$S155="Water"),0-1,IF(OR($S155="Bug",$S155="Flying",$S155="Fire",$S155="Dragon",$S155="Poison",$S155="Steel",$S155="Grass"),1,0)))</f>
        <v>0</v>
      </c>
      <c r="AM155" s="507" t="n">
        <f aca="false">IF(OR($R155="Flying",$S155="Flying"),4,SUM(IF(OR($R155="Electric",$R155="Fire",$R155="Rock",$R155="Steel",$R155="Poison"),0-1,IF(OR($R155="Bug",$R155="Grass"),1,0)),IF(OR($S155="Electric",$S155="Fire",$S155="Rock",$S155="Steel",$S155="Poison"),0-1,IF(OR($S155="Bug",$S155="Grass"),1,0))))</f>
        <v>0</v>
      </c>
      <c r="AN155" s="507" t="n">
        <f aca="false">SUM(IF(OR($R155="Flying",$R155="Dragon",$R155="Grass",$R155="Ground"),0-1,IF(OR($R155="Steel",$R155="Ice",$R155="Fire",$R155="Water"),1,0)),IF(OR($S155="Flying",$S155="Dragon",$S155="Grass",$S155="Ground"),0-1,IF(OR($S155="Steel",$S155="Ice",$S155="Fire",$S155="Water"),1,0)))</f>
        <v>0</v>
      </c>
      <c r="AO155" s="507" t="n">
        <f aca="false">IF(OR($R155="Ghost",$S155="Ghost"),4,SUM(IF(OR($R155="Steel",$R155="Rock"),1,0),IF(OR($S155="Steel",$S155="Rock"),1,0)))</f>
        <v>0</v>
      </c>
      <c r="AP155" s="507" t="n">
        <f aca="false">IF(OR($R155="Steel",$S155="Steel"),4,SUM(IF(OR($R155="Fairy",$R155="Grass"),0-1,IF(OR($R155="Ghost",$R155="Rock",$R155="Ground",$R155="Poison"),1,0)),IF(OR($S155="Fairy",$S155="Grass"),0-1,IF(OR($S155="Ghost",$S155="Rock",$S155="Ground",$S155="Poison"),1,0))))</f>
        <v>0</v>
      </c>
      <c r="AQ155" s="507" t="n">
        <f aca="false">IF(OR($R155="Dark",$S155="Dark"),4,SUM(IF(OR($R155="Fighting",$R155="Poison"),0-1,IF(OR($R155="Psychic",$R155="Steel"),1,0)),IF(OR($S155="Fighting",$S155="Poison"),0-1,IF(OR($S155="Psychic",$S155="Steel"),1,0))))</f>
        <v>0</v>
      </c>
      <c r="AR155" s="507" t="n">
        <f aca="false">SUM(IF(OR($R155="Bug",$R155="Fire",$R155="Flying",$R155="Ice"),0-1,IF(OR($R155="Steel",$R155="Fighting",$R155="Ground"),1,0)),IF(OR($S155="Bug",$S155="Fire",$S155="Flying",$S155="Ice"),0-1,IF(OR($S155="Steel",$S155="Fighting",$S155="Ground"),1,0)))</f>
        <v>1</v>
      </c>
      <c r="AS155" s="507" t="n">
        <f aca="false">SUM(IF(OR($R155="Fairy",$R155="Ice",$R155="Rock"),0-1,IF(OR($R155="Steel",$R155="Electric",$R155="Fire",$R155="Water"),1,0)),IF(OR($S155="Fairy",$S155="Ice",$S155="Rock"),0-1,IF(OR($S155="Steel",$S155="Electric",$S155="Fire",$S155="Water"),1,0)))</f>
        <v>0</v>
      </c>
      <c r="AT155" s="508" t="n">
        <f aca="false">SUM(IF(OR($R155="Fire",$R155="Ground",$R155="Rock"),0-1,IF(OR($R155="Dragon",$R155="Grass",$R155="Water"),1,0)),IF(OR($S155="Fire",$S155="Ground",$S155="Rock"),0-1,IF(OR($S155="Dragon",$S155="Grass",$S155="Water"),1,0)))</f>
        <v>0</v>
      </c>
      <c r="AU155" s="518"/>
    </row>
    <row r="156" customFormat="false" ht="15.75" hidden="false" customHeight="false" outlineLevel="0" collapsed="false">
      <c r="A156" s="510" t="str">
        <f aca="false" t="array" ref="A156:A156">IF(ISNA(INDEX(Source!$U$7:$U$95,MATCH(B156,Source!$V$7:$V$95,0))),"FREE",INDEX(Source!$U$7:$U$95,MATCH(B156,Source!$V$7:$V$95,0)))</f>
        <v>KKS</v>
      </c>
      <c r="B156" s="511" t="s">
        <v>19</v>
      </c>
      <c r="C156" s="511"/>
      <c r="D156" s="511"/>
      <c r="E156" s="499" t="n">
        <f aca="false">IF(SUM($W156:$X156)&gt;0,SUM($W156:$X156),IF($H156&gt;0,0,IF($H156&gt;0,0,"-")))</f>
        <v>0</v>
      </c>
      <c r="F156" s="499" t="n">
        <f aca="false">IF(SUM($Y156:$Z156)&gt;0,SUM($Y156:$Z156),IF($H156&gt;0,0,"-"))</f>
        <v>0</v>
      </c>
      <c r="G156" s="499" t="e">
        <f aca="false">IF($H156&gt;0,minus(E156,F156),"-")</f>
        <v>#NAME?</v>
      </c>
      <c r="H156" s="500" t="n">
        <f aca="false">SUM(COUNTIF(MatchSource!$A:$A,$B156),COUNTIF(MatchSource!$H:$H,$B156))</f>
        <v>9</v>
      </c>
      <c r="I156" s="501" t="n">
        <f aca="false">SUM($AA156:$AB156)</f>
        <v>0</v>
      </c>
      <c r="J156" s="501" t="s">
        <v>700</v>
      </c>
      <c r="K156" s="512" t="n">
        <f aca="false" t="array" ref="K156:K156">IF(ISNA(INDEX(DraftRosters!$AA$3:$AA$199,MATCH($B156,DraftRosters!$AB$3:$AB$199,0))),"FA",IF(INDEX(DraftRosters!$AA$3:$AA$199,MATCH($B156,DraftRosters!$AB$3:$AB$199,0))="Franchise","Franch",INDEX(DraftRosters!$AA$3:$AA$199,MATCH($B156,DraftRosters!$AB$3:$AB$199,0))))</f>
        <v>34</v>
      </c>
      <c r="L156" s="499" t="n">
        <v>70</v>
      </c>
      <c r="M156" s="499" t="n">
        <v>77</v>
      </c>
      <c r="N156" s="499" t="n">
        <v>60</v>
      </c>
      <c r="O156" s="499" t="n">
        <v>97</v>
      </c>
      <c r="P156" s="499" t="n">
        <v>60</v>
      </c>
      <c r="Q156" s="501" t="n">
        <v>108</v>
      </c>
      <c r="R156" s="499" t="s">
        <v>794</v>
      </c>
      <c r="S156" s="501" t="s">
        <v>845</v>
      </c>
      <c r="T156" s="504" t="s">
        <v>904</v>
      </c>
      <c r="U156" s="505" t="s">
        <v>822</v>
      </c>
      <c r="V156" s="506" t="s">
        <v>857</v>
      </c>
      <c r="W156" s="500" t="str">
        <f aca="false">IFERROR(__xludf.dummyfunction("if(isna(SUM(FILTER(MatchSource!$A:$D,MatchSource!$A:$A=$B156))),0,SUM(FILTER(MatchSource!$A:$D,MatchSource!$A:$A=$B156)))"),"4")</f>
        <v>4</v>
      </c>
      <c r="X156" s="499" t="str">
        <f aca="false">IFERROR(__xludf.dummyfunction("if(isna(SUM(FILTER(MatchSource!$H:$K,MatchSource!$H:$H=$B156))),0,SUM(FILTER(MatchSource!$H:$K,MatchSource!$H:$H=$B156)))"),"2")</f>
        <v>2</v>
      </c>
      <c r="Y156" s="499" t="str">
        <f aca="false">IFERROR(__xludf.dummyfunction("if(isna(ABS(MINUS(SUM(FILTER(MatchSource!$A:$E,MatchSource!$A:$A=$B156)),SUM($W156)))),0,ABS(MINUS(SUM(FILTER(MatchSource!$A:$E,MatchSource!$A:$A=$B156)),SUM($W156))))"),"4")</f>
        <v>4</v>
      </c>
      <c r="Z156" s="499" t="str">
        <f aca="false">IFERROR(__xludf.dummyfunction("if(isna(ABS(MINUS(SUM(FILTER(MatchSource!$H:$L,MatchSource!$H:$H=$B156)),SUM($X156)))),0,ABS(MINUS(SUM(FILTER(MatchSource!$H:$L,MatchSource!$H:$H=$B156)),SUM($X156))))"),"1")</f>
        <v>1</v>
      </c>
      <c r="AA156" s="499" t="str">
        <f aca="false">IFERROR(__xludf.dummyfunction("if(isna(ABS(MINUS(SUM(FILTER(MatchSource!$A:$F,MatchSource!$A:$A=$B156)),SUM($W156,$Y156)))),0,ABS(MINUS(SUM(FILTER(MatchSource!$A:$F,MatchSource!$A:$A=$B156)),SUM($W156, $Y156,))))"),"5")</f>
        <v>5</v>
      </c>
      <c r="AB156" s="501" t="str">
        <f aca="false">IFERROR(__xludf.dummyfunction("if(isna(ABS(MINUS(SUM(FILTER(MatchSource!$H:$M,MatchSource!$H:$H=$B156)),SUM($X156,$Z156)))),0,ABS(MINUS(SUM(FILTER(MatchSource!$H:$M,MatchSource!$H:$H=$B156)),SUM($X156,$Z156))))"),"3")</f>
        <v>3</v>
      </c>
      <c r="AC156" s="507" t="n">
        <f aca="false">SUM(IF(OR($R156="Grass",$R156="Psychic",$R156="Dark"),0-1,IF(OR($R156="Fighting",$R156="Flying",$R156="Fire",$R156="Ghost",$R156="Poison",$R156="Steel",$R156="Fairy"),1,0)),IF(OR($S156="Grass",$S156="Psychic",$S156="Dark"),0-1,IF(OR($S156="Fighting",$S156="Flying",$S156="Fire",$S156="Ghost",$S156="Poison",$S156="Steel",$S156="Fairy"),1,0)))</f>
        <v>0</v>
      </c>
      <c r="AD156" s="507" t="n">
        <f aca="false">SUM(IF(OR($R156="Ghost",$R156="Psychic"),0-1,IF(OR($R156="Fighting",$R156="Dark",$R156="Fairy"),1,0)),IF(OR($S156="Ghost",$S156="Psychic"),0-1,IF(OR($S156="Fighting",$S156="Dark",$S156="Fairy"),1,0)))</f>
        <v>0</v>
      </c>
      <c r="AE156" s="507" t="n">
        <f aca="false">IF(OR($R156="Fairy",$S156="Fairy"),4,SUM(IF($R156="Dragon",0-1,IF($R156="Steel",1,0)),IF($S156="Dragon",0-1,IF($S156="Steel",1,0))))</f>
        <v>0</v>
      </c>
      <c r="AF156" s="507" t="n">
        <f aca="false">IF(OR($R156="Ground",$S156="Ground"),4,SUM(IF(OR($R156="Flying",$R156="Water"),0-1,IF(OR($R156="Dragon",$R156="Electric",$R156="Grass"),1,0)),IF(OR($S156="Flying",$S156="Water"),0-1,IF(OR($S156="Dragon",$S156="Electric",$S156="Grass"),1,0))))</f>
        <v>1</v>
      </c>
      <c r="AG156" s="507" t="n">
        <f aca="false">SUM(IF(OR($R156="Dark",$R156="Dragon",$R156="Fighting"),0-1,IF(OR($R156="Steel",$R156="Poison",$R156="Fire"),1,0)),IF(OR($S156="Dark",$S156="Dragon",$S156="Fighting"),0-1,IF(OR($S156="Steel",$S156="Poison",$S156="Fire"),1,0)))</f>
        <v>0</v>
      </c>
      <c r="AH156" s="507" t="n">
        <f aca="false">IF(OR($R156="Ghost",$S156="Ghost"),4,SUM(IF(OR($R156="Dark",$R156="Ice",$R156="Normal",$R156="Rock",$R156="Steel"),0-1,IF(OR($R156="Bug",$R156="Fairy",$R156="Flying",$R156="Poison",$R156="Psychic"),1,0)),IF(OR($S156="Dark",$S156="Ice",$S156="Normal",$S156="Rock",$S156="Steel"),0-1,IF(OR($S156="Bug",$S156="Fairy",$S156="Flying",$S156="Poison",$S156="Psychic"),1,0))))</f>
        <v>1</v>
      </c>
      <c r="AI156" s="507" t="n">
        <f aca="false">SUM(IF(OR($R156="Bug",$R156="Grass",$R156="Ice",$R156="Steel"),0-1,IF(OR($R156="Dragon",$R156="Fire",$R156="Rock",$R156="Water"),1,0)),IF(OR($S156="Bug",$S156="Grass",$S156="Ice",$S156="Steel"),0-1,IF(OR($S156="Dragon",$S156="Fire",$S156="Rock",$S156="Water"),1,0)))</f>
        <v>-1</v>
      </c>
      <c r="AJ156" s="507" t="n">
        <f aca="false">SUM(IF(OR($R156="Bug",$R156="Grass",$R156="Fighting"),0-1,IF(OR($R156="Electric",$R156="Rock",$R156="Steel"),1,0)),IF(OR($S156="Bug",$S156="Grass",$S156="Fighting"),0-1,IF(OR($S156="Electric",$S156="Rock",$S156="Steel"),1,0)))</f>
        <v>0</v>
      </c>
      <c r="AK156" s="507" t="n">
        <f aca="false">IF(OR($R156="Normal",$S156="Normal"),4,SUM(IF(OR($R156="Ghost",$R156="Psychic"),0-1,IF($R156="Dark",1,0)),IF(OR($S156="Ghost",$S156="Psychic"),0-1,IF($S156="Dark",1,0))))</f>
        <v>0</v>
      </c>
      <c r="AL156" s="507" t="n">
        <f aca="false">SUM(IF(OR($R156="Ground",$R156="Rock",$R156="Water"),0-1,IF(OR($R156="Bug",$R156="Flying",$R156="Fire",$R156="Dragon",$R156="Poison",$R156="Steel",$R156="Grass"),1,0)),IF(OR($S156="Ground",$S156="Rock",$S156="Water"),0-1,IF(OR($S156="Bug",$S156="Flying",$S156="Fire",$S156="Dragon",$S156="Poison",$S156="Steel",$S156="Grass"),1,0)))</f>
        <v>1</v>
      </c>
      <c r="AM156" s="507" t="n">
        <f aca="false">IF(OR($R156="Flying",$S156="Flying"),4,SUM(IF(OR($R156="Electric",$R156="Fire",$R156="Rock",$R156="Steel",$R156="Poison"),0-1,IF(OR($R156="Bug",$R156="Grass"),1,0)),IF(OR($S156="Electric",$S156="Fire",$S156="Rock",$S156="Steel",$S156="Poison"),0-1,IF(OR($S156="Bug",$S156="Grass"),1,0))))</f>
        <v>0</v>
      </c>
      <c r="AN156" s="507" t="n">
        <f aca="false">SUM(IF(OR($R156="Flying",$R156="Dragon",$R156="Grass",$R156="Ground"),0-1,IF(OR($R156="Steel",$R156="Ice",$R156="Fire",$R156="Water"),1,0)),IF(OR($S156="Flying",$S156="Dragon",$S156="Grass",$S156="Ground"),0-1,IF(OR($S156="Steel",$S156="Ice",$S156="Fire",$S156="Water"),1,0)))</f>
        <v>0</v>
      </c>
      <c r="AO156" s="507" t="n">
        <f aca="false">IF(OR($R156="Ghost",$S156="Ghost"),4,SUM(IF(OR($R156="Steel",$R156="Rock"),1,0),IF(OR($S156="Steel",$S156="Rock"),1,0)))</f>
        <v>0</v>
      </c>
      <c r="AP156" s="507" t="n">
        <f aca="false">IF(OR($R156="Steel",$S156="Steel"),4,SUM(IF(OR($R156="Fairy",$R156="Grass"),0-1,IF(OR($R156="Ghost",$R156="Rock",$R156="Ground",$R156="Poison"),1,0)),IF(OR($S156="Fairy",$S156="Grass"),0-1,IF(OR($S156="Ghost",$S156="Rock",$S156="Ground",$S156="Poison"),1,0))))</f>
        <v>0</v>
      </c>
      <c r="AQ156" s="507" t="n">
        <f aca="false">IF(OR($R156="Dark",$S156="Dark"),4,SUM(IF(OR($R156="Fighting",$R156="Poison"),0-1,IF(OR($R156="Psychic",$R156="Steel"),1,0)),IF(OR($S156="Fighting",$S156="Poison"),0-1,IF(OR($S156="Psychic",$S156="Steel"),1,0))))</f>
        <v>0</v>
      </c>
      <c r="AR156" s="507" t="n">
        <f aca="false">SUM(IF(OR($R156="Bug",$R156="Fire",$R156="Flying",$R156="Ice"),0-1,IF(OR($R156="Steel",$R156="Fighting",$R156="Ground"),1,0)),IF(OR($S156="Bug",$S156="Fire",$S156="Flying",$S156="Ice"),0-1,IF(OR($S156="Steel",$S156="Fighting",$S156="Ground"),1,0)))</f>
        <v>-1</v>
      </c>
      <c r="AS156" s="507" t="n">
        <f aca="false">SUM(IF(OR($R156="Fairy",$R156="Ice",$R156="Rock"),0-1,IF(OR($R156="Steel",$R156="Electric",$R156="Fire",$R156="Water"),1,0)),IF(OR($S156="Fairy",$S156="Ice",$S156="Rock"),0-1,IF(OR($S156="Steel",$S156="Electric",$S156="Fire",$S156="Water"),1,0)))</f>
        <v>1</v>
      </c>
      <c r="AT156" s="508" t="n">
        <f aca="false">SUM(IF(OR($R156="Fire",$R156="Ground",$R156="Rock"),0-1,IF(OR($R156="Dragon",$R156="Grass",$R156="Water"),1,0)),IF(OR($S156="Fire",$S156="Ground",$S156="Rock"),0-1,IF(OR($S156="Dragon",$S156="Grass",$S156="Water"),1,0)))</f>
        <v>0</v>
      </c>
      <c r="AU156" s="518"/>
    </row>
    <row r="157" customFormat="false" ht="15.75" hidden="false" customHeight="false" outlineLevel="0" collapsed="false">
      <c r="A157" s="510" t="str">
        <f aca="false" t="array" ref="A157:A157">IF(ISNA(INDEX(Source!$U$7:$U$95,MATCH(B157,Source!$V$7:$V$95,0))),"FREE",INDEX(Source!$U$7:$U$95,MATCH(B157,Source!$V$7:$V$95,0)))</f>
        <v>FREE</v>
      </c>
      <c r="B157" s="511" t="s">
        <v>482</v>
      </c>
      <c r="C157" s="511"/>
      <c r="D157" s="511"/>
      <c r="E157" s="499" t="str">
        <f aca="false">IF(SUM($W157:$X157)&gt;0,SUM($W157:$X157),IF($H157&gt;0,0,IF($H157&gt;0,0,"-")))</f>
        <v>-</v>
      </c>
      <c r="F157" s="499" t="str">
        <f aca="false">IF(SUM($Y157:$Z157)&gt;0,SUM($Y157:$Z157),IF($H157&gt;0,0,"-"))</f>
        <v>-</v>
      </c>
      <c r="G157" s="499" t="str">
        <f aca="false">IF($H157&gt;0,minus(E157,F157),"-")</f>
        <v>-</v>
      </c>
      <c r="H157" s="500" t="n">
        <f aca="false">SUM(COUNTIF(MatchSource!$A:$A,$B157),COUNTIF(MatchSource!$H:$H,$B157))</f>
        <v>0</v>
      </c>
      <c r="I157" s="501" t="n">
        <f aca="false">SUM($AA157:$AB157)</f>
        <v>0</v>
      </c>
      <c r="J157" s="501" t="s">
        <v>701</v>
      </c>
      <c r="K157" s="512" t="str">
        <f aca="false" t="array" ref="K157:K157">IF(ISNA(INDEX(DraftRosters!$AA$3:$AA$199,MATCH($B157,DraftRosters!$AB$3:$AB$199,0))),"FA",IF(INDEX(DraftRosters!$AA$3:$AA$199,MATCH($B157,DraftRosters!$AB$3:$AB$199,0))="Franchise","Franch",INDEX(DraftRosters!$AA$3:$AA$199,MATCH($B157,DraftRosters!$AB$3:$AB$199,0))))</f>
        <v>FA</v>
      </c>
      <c r="L157" s="499" t="n">
        <v>80</v>
      </c>
      <c r="M157" s="499" t="n">
        <v>95</v>
      </c>
      <c r="N157" s="499" t="n">
        <v>82</v>
      </c>
      <c r="O157" s="499" t="n">
        <v>60</v>
      </c>
      <c r="P157" s="499" t="n">
        <v>82</v>
      </c>
      <c r="Q157" s="501" t="n">
        <v>75</v>
      </c>
      <c r="R157" s="499" t="s">
        <v>843</v>
      </c>
      <c r="S157" s="501"/>
      <c r="T157" s="504" t="s">
        <v>955</v>
      </c>
      <c r="U157" s="505" t="s">
        <v>937</v>
      </c>
      <c r="V157" s="506" t="s">
        <v>977</v>
      </c>
      <c r="W157" s="500" t="str">
        <f aca="false">IFERROR(__xludf.dummyfunction("if(isna(SUM(FILTER(MatchSource!$A:$D,MatchSource!$A:$A=$B157))),0,SUM(FILTER(MatchSource!$A:$D,MatchSource!$A:$A=$B157)))"),"0")</f>
        <v>0</v>
      </c>
      <c r="X157" s="499" t="str">
        <f aca="false">IFERROR(__xludf.dummyfunction("if(isna(SUM(FILTER(MatchSource!$H:$K,MatchSource!$H:$H=$B157))),0,SUM(FILTER(MatchSource!$H:$K,MatchSource!$H:$H=$B157)))"),"0")</f>
        <v>0</v>
      </c>
      <c r="Y157" s="499" t="str">
        <f aca="false">IFERROR(__xludf.dummyfunction("if(isna(ABS(MINUS(SUM(FILTER(MatchSource!$A:$E,MatchSource!$A:$A=$B157)),SUM($W157)))),0,ABS(MINUS(SUM(FILTER(MatchSource!$A:$E,MatchSource!$A:$A=$B157)),SUM($W157))))"),"0")</f>
        <v>0</v>
      </c>
      <c r="Z157" s="499" t="str">
        <f aca="false">IFERROR(__xludf.dummyfunction("if(isna(ABS(MINUS(SUM(FILTER(MatchSource!$H:$L,MatchSource!$H:$H=$B157)),SUM($X157)))),0,ABS(MINUS(SUM(FILTER(MatchSource!$H:$L,MatchSource!$H:$H=$B157)),SUM($X157))))"),"0")</f>
        <v>0</v>
      </c>
      <c r="AA157" s="499" t="str">
        <f aca="false">IFERROR(__xludf.dummyfunction("if(isna(ABS(MINUS(SUM(FILTER(MatchSource!$A:$F,MatchSource!$A:$A=$B157)),SUM($W157,$Y157)))),0,ABS(MINUS(SUM(FILTER(MatchSource!$A:$F,MatchSource!$A:$A=$B157)),SUM($W157, $Y157,))))"),"0")</f>
        <v>0</v>
      </c>
      <c r="AB157" s="501" t="str">
        <f aca="false">IFERROR(__xludf.dummyfunction("if(isna(ABS(MINUS(SUM(FILTER(MatchSource!$H:$M,MatchSource!$H:$H=$B157)),SUM($X157,$Z157)))),0,ABS(MINUS(SUM(FILTER(MatchSource!$H:$M,MatchSource!$H:$H=$B157)),SUM($X157,$Z157))))"),"0")</f>
        <v>0</v>
      </c>
      <c r="AC157" s="507" t="n">
        <f aca="false">SUM(IF(OR($R157="Grass",$R157="Psychic",$R157="Dark"),0-1,IF(OR($R157="Fighting",$R157="Flying",$R157="Fire",$R157="Ghost",$R157="Poison",$R157="Steel",$R157="Fairy"),1,0)),IF(OR($S157="Grass",$S157="Psychic",$S157="Dark"),0-1,IF(OR($S157="Fighting",$S157="Flying",$S157="Fire",$S157="Ghost",$S157="Poison",$S157="Steel",$S157="Fairy"),1,0)))</f>
        <v>1</v>
      </c>
      <c r="AD157" s="507" t="n">
        <f aca="false">SUM(IF(OR($R157="Ghost",$R157="Psychic"),0-1,IF(OR($R157="Fighting",$R157="Dark",$R157="Fairy"),1,0)),IF(OR($S157="Ghost",$S157="Psychic"),0-1,IF(OR($S157="Fighting",$S157="Dark",$S157="Fairy"),1,0)))</f>
        <v>0</v>
      </c>
      <c r="AE157" s="507" t="n">
        <f aca="false">IF(OR($R157="Fairy",$S157="Fairy"),4,SUM(IF($R157="Dragon",0-1,IF($R157="Steel",1,0)),IF($S157="Dragon",0-1,IF($S157="Steel",1,0))))</f>
        <v>0</v>
      </c>
      <c r="AF157" s="507" t="n">
        <f aca="false">IF(OR($R157="Ground",$S157="Ground"),4,SUM(IF(OR($R157="Flying",$R157="Water"),0-1,IF(OR($R157="Dragon",$R157="Electric",$R157="Grass"),1,0)),IF(OR($S157="Flying",$S157="Water"),0-1,IF(OR($S157="Dragon",$S157="Electric",$S157="Grass"),1,0))))</f>
        <v>0</v>
      </c>
      <c r="AG157" s="507" t="n">
        <f aca="false">SUM(IF(OR($R157="Dark",$R157="Dragon",$R157="Fighting"),0-1,IF(OR($R157="Steel",$R157="Poison",$R157="Fire"),1,0)),IF(OR($S157="Dark",$S157="Dragon",$S157="Fighting"),0-1,IF(OR($S157="Steel",$S157="Poison",$S157="Fire"),1,0)))</f>
        <v>1</v>
      </c>
      <c r="AH157" s="507" t="n">
        <f aca="false">IF(OR($R157="Ghost",$S157="Ghost"),4,SUM(IF(OR($R157="Dark",$R157="Ice",$R157="Normal",$R157="Rock",$R157="Steel"),0-1,IF(OR($R157="Bug",$R157="Fairy",$R157="Flying",$R157="Poison",$R157="Psychic"),1,0)),IF(OR($S157="Dark",$S157="Ice",$S157="Normal",$S157="Rock",$S157="Steel"),0-1,IF(OR($S157="Bug",$S157="Fairy",$S157="Flying",$S157="Poison",$S157="Psychic"),1,0))))</f>
        <v>1</v>
      </c>
      <c r="AI157" s="507" t="n">
        <f aca="false">SUM(IF(OR($R157="Bug",$R157="Grass",$R157="Ice",$R157="Steel"),0-1,IF(OR($R157="Dragon",$R157="Fire",$R157="Rock",$R157="Water"),1,0)),IF(OR($S157="Bug",$S157="Grass",$S157="Ice",$S157="Steel"),0-1,IF(OR($S157="Dragon",$S157="Fire",$S157="Rock",$S157="Water"),1,0)))</f>
        <v>0</v>
      </c>
      <c r="AJ157" s="507" t="n">
        <f aca="false">SUM(IF(OR($R157="Bug",$R157="Grass",$R157="Fighting"),0-1,IF(OR($R157="Electric",$R157="Rock",$R157="Steel"),1,0)),IF(OR($S157="Bug",$S157="Grass",$S157="Fighting"),0-1,IF(OR($S157="Electric",$S157="Rock",$S157="Steel"),1,0)))</f>
        <v>0</v>
      </c>
      <c r="AK157" s="507" t="n">
        <f aca="false">IF(OR($R157="Normal",$S157="Normal"),4,SUM(IF(OR($R157="Ghost",$R157="Psychic"),0-1,IF($R157="Dark",1,0)),IF(OR($S157="Ghost",$S157="Psychic"),0-1,IF($S157="Dark",1,0))))</f>
        <v>0</v>
      </c>
      <c r="AL157" s="507" t="n">
        <f aca="false">SUM(IF(OR($R157="Ground",$R157="Rock",$R157="Water"),0-1,IF(OR($R157="Bug",$R157="Flying",$R157="Fire",$R157="Dragon",$R157="Poison",$R157="Steel",$R157="Grass"),1,0)),IF(OR($S157="Ground",$S157="Rock",$S157="Water"),0-1,IF(OR($S157="Bug",$S157="Flying",$S157="Fire",$S157="Dragon",$S157="Poison",$S157="Steel",$S157="Grass"),1,0)))</f>
        <v>1</v>
      </c>
      <c r="AM157" s="507" t="n">
        <f aca="false">IF(OR($R157="Flying",$S157="Flying"),4,SUM(IF(OR($R157="Electric",$R157="Fire",$R157="Rock",$R157="Steel",$R157="Poison"),0-1,IF(OR($R157="Bug",$R157="Grass"),1,0)),IF(OR($S157="Electric",$S157="Fire",$S157="Rock",$S157="Steel",$S157="Poison"),0-1,IF(OR($S157="Bug",$S157="Grass"),1,0))))</f>
        <v>-1</v>
      </c>
      <c r="AN157" s="507" t="n">
        <f aca="false">SUM(IF(OR($R157="Flying",$R157="Dragon",$R157="Grass",$R157="Ground"),0-1,IF(OR($R157="Steel",$R157="Ice",$R157="Fire",$R157="Water"),1,0)),IF(OR($S157="Flying",$S157="Dragon",$S157="Grass",$S157="Ground"),0-1,IF(OR($S157="Steel",$S157="Ice",$S157="Fire",$S157="Water"),1,0)))</f>
        <v>0</v>
      </c>
      <c r="AO157" s="507" t="n">
        <f aca="false">IF(OR($R157="Ghost",$S157="Ghost"),4,SUM(IF(OR($R157="Steel",$R157="Rock"),1,0),IF(OR($S157="Steel",$S157="Rock"),1,0)))</f>
        <v>0</v>
      </c>
      <c r="AP157" s="507" t="n">
        <f aca="false">IF(OR($R157="Steel",$S157="Steel"),4,SUM(IF(OR($R157="Fairy",$R157="Grass"),0-1,IF(OR($R157="Ghost",$R157="Rock",$R157="Ground",$R157="Poison"),1,0)),IF(OR($S157="Fairy",$S157="Grass"),0-1,IF(OR($S157="Ghost",$S157="Rock",$S157="Ground",$S157="Poison"),1,0))))</f>
        <v>1</v>
      </c>
      <c r="AQ157" s="507" t="n">
        <f aca="false">IF(OR($R157="Dark",$S157="Dark"),4,SUM(IF(OR($R157="Fighting",$R157="Poison"),0-1,IF(OR($R157="Psychic",$R157="Steel"),1,0)),IF(OR($S157="Fighting",$S157="Poison"),0-1,IF(OR($S157="Psychic",$S157="Steel"),1,0))))</f>
        <v>-1</v>
      </c>
      <c r="AR157" s="507" t="n">
        <f aca="false">SUM(IF(OR($R157="Bug",$R157="Fire",$R157="Flying",$R157="Ice"),0-1,IF(OR($R157="Steel",$R157="Fighting",$R157="Ground"),1,0)),IF(OR($S157="Bug",$S157="Fire",$S157="Flying",$S157="Ice"),0-1,IF(OR($S157="Steel",$S157="Fighting",$S157="Ground"),1,0)))</f>
        <v>0</v>
      </c>
      <c r="AS157" s="507" t="n">
        <f aca="false">SUM(IF(OR($R157="Fairy",$R157="Ice",$R157="Rock"),0-1,IF(OR($R157="Steel",$R157="Electric",$R157="Fire",$R157="Water"),1,0)),IF(OR($S157="Fairy",$S157="Ice",$S157="Rock"),0-1,IF(OR($S157="Steel",$S157="Electric",$S157="Fire",$S157="Water"),1,0)))</f>
        <v>0</v>
      </c>
      <c r="AT157" s="508" t="n">
        <f aca="false">SUM(IF(OR($R157="Fire",$R157="Ground",$R157="Rock"),0-1,IF(OR($R157="Dragon",$R157="Grass",$R157="Water"),1,0)),IF(OR($S157="Fire",$S157="Ground",$S157="Rock"),0-1,IF(OR($S157="Dragon",$S157="Grass",$S157="Water"),1,0)))</f>
        <v>0</v>
      </c>
      <c r="AU157" s="518"/>
    </row>
    <row r="158" customFormat="false" ht="15.75" hidden="false" customHeight="false" outlineLevel="0" collapsed="false">
      <c r="A158" s="510" t="str">
        <f aca="false" t="array" ref="A158:A158">IF(ISNA(INDEX(Source!$U$7:$U$95,MATCH(B158,Source!$V$7:$V$95,0))),"FREE",INDEX(Source!$U$7:$U$95,MATCH(B158,Source!$V$7:$V$95,0)))</f>
        <v>BTB</v>
      </c>
      <c r="B158" s="511" t="s">
        <v>58</v>
      </c>
      <c r="C158" s="511"/>
      <c r="D158" s="511"/>
      <c r="E158" s="499" t="n">
        <f aca="false">IF(SUM($W158:$X158)&gt;0,SUM($W158:$X158),IF($H158&gt;0,0,IF($H158&gt;0,0,"-")))</f>
        <v>0</v>
      </c>
      <c r="F158" s="499" t="n">
        <f aca="false">IF(SUM($Y158:$Z158)&gt;0,SUM($Y158:$Z158),IF($H158&gt;0,0,"-"))</f>
        <v>0</v>
      </c>
      <c r="G158" s="499" t="e">
        <f aca="false">IF($H158&gt;0,minus(E158,F158),"-")</f>
        <v>#NAME?</v>
      </c>
      <c r="H158" s="500" t="n">
        <f aca="false">SUM(COUNTIF(MatchSource!$A:$A,$B158),COUNTIF(MatchSource!$H:$H,$B158))</f>
        <v>7</v>
      </c>
      <c r="I158" s="501" t="n">
        <f aca="false">SUM($AA158:$AB158)</f>
        <v>0</v>
      </c>
      <c r="J158" s="501" t="s">
        <v>698</v>
      </c>
      <c r="K158" s="512" t="n">
        <f aca="false" t="array" ref="K158:K158">IF(ISNA(INDEX(DraftRosters!$AA$3:$AA$199,MATCH($B158,DraftRosters!$AB$3:$AB$199,0))),"FA",IF(INDEX(DraftRosters!$AA$3:$AA$199,MATCH($B158,DraftRosters!$AB$3:$AB$199,0))="Franchise","Franch",INDEX(DraftRosters!$AA$3:$AA$199,MATCH($B158,DraftRosters!$AB$3:$AB$199,0))))</f>
        <v>4</v>
      </c>
      <c r="L158" s="499" t="n">
        <v>108</v>
      </c>
      <c r="M158" s="499" t="n">
        <v>130</v>
      </c>
      <c r="N158" s="499" t="n">
        <v>95</v>
      </c>
      <c r="O158" s="499" t="n">
        <v>80</v>
      </c>
      <c r="P158" s="499" t="n">
        <v>85</v>
      </c>
      <c r="Q158" s="501" t="n">
        <v>102</v>
      </c>
      <c r="R158" s="499" t="s">
        <v>835</v>
      </c>
      <c r="S158" s="501" t="s">
        <v>907</v>
      </c>
      <c r="T158" s="504" t="s">
        <v>957</v>
      </c>
      <c r="U158" s="505" t="s">
        <v>906</v>
      </c>
      <c r="V158" s="506"/>
      <c r="W158" s="500" t="str">
        <f aca="false">IFERROR(__xludf.dummyfunction("if(isna(SUM(FILTER(MatchSource!$A:$D,MatchSource!$A:$A=$B158))),0,SUM(FILTER(MatchSource!$A:$D,MatchSource!$A:$A=$B158)))"),"3")</f>
        <v>3</v>
      </c>
      <c r="X158" s="499" t="str">
        <f aca="false">IFERROR(__xludf.dummyfunction("if(isna(SUM(FILTER(MatchSource!$H:$K,MatchSource!$H:$H=$B158))),0,SUM(FILTER(MatchSource!$H:$K,MatchSource!$H:$H=$B158)))"),"5")</f>
        <v>5</v>
      </c>
      <c r="Y158" s="499" t="str">
        <f aca="false">IFERROR(__xludf.dummyfunction("if(isna(ABS(MINUS(SUM(FILTER(MatchSource!$A:$E,MatchSource!$A:$A=$B158)),SUM($W158)))),0,ABS(MINUS(SUM(FILTER(MatchSource!$A:$E,MatchSource!$A:$A=$B158)),SUM($W158))))"),"3")</f>
        <v>3</v>
      </c>
      <c r="Z158" s="499" t="str">
        <f aca="false">IFERROR(__xludf.dummyfunction("if(isna(ABS(MINUS(SUM(FILTER(MatchSource!$H:$L,MatchSource!$H:$H=$B158)),SUM($X158)))),0,ABS(MINUS(SUM(FILTER(MatchSource!$H:$L,MatchSource!$H:$H=$B158)),SUM($X158))))"),"4")</f>
        <v>4</v>
      </c>
      <c r="AA158" s="499" t="str">
        <f aca="false">IFERROR(__xludf.dummyfunction("if(isna(ABS(MINUS(SUM(FILTER(MatchSource!$A:$F,MatchSource!$A:$A=$B158)),SUM($W158,$Y158)))),0,ABS(MINUS(SUM(FILTER(MatchSource!$A:$F,MatchSource!$A:$A=$B158)),SUM($W158, $Y158,))))"),"2")</f>
        <v>2</v>
      </c>
      <c r="AB158" s="501" t="str">
        <f aca="false">IFERROR(__xludf.dummyfunction("if(isna(ABS(MINUS(SUM(FILTER(MatchSource!$H:$M,MatchSource!$H:$H=$B158)),SUM($X158,$Z158)))),0,ABS(MINUS(SUM(FILTER(MatchSource!$H:$M,MatchSource!$H:$H=$B158)),SUM($X158,$Z158))))"),"2")</f>
        <v>2</v>
      </c>
      <c r="AC158" s="507" t="n">
        <f aca="false">SUM(IF(OR($R158="Grass",$R158="Psychic",$R158="Dark"),0-1,IF(OR($R158="Fighting",$R158="Flying",$R158="Fire",$R158="Ghost",$R158="Poison",$R158="Steel",$R158="Fairy"),1,0)),IF(OR($S158="Grass",$S158="Psychic",$S158="Dark"),0-1,IF(OR($S158="Fighting",$S158="Flying",$S158="Fire",$S158="Ghost",$S158="Poison",$S158="Steel",$S158="Fairy"),1,0)))</f>
        <v>0</v>
      </c>
      <c r="AD158" s="507" t="n">
        <f aca="false">SUM(IF(OR($R158="Ghost",$R158="Psychic"),0-1,IF(OR($R158="Fighting",$R158="Dark",$R158="Fairy"),1,0)),IF(OR($S158="Ghost",$S158="Psychic"),0-1,IF(OR($S158="Fighting",$S158="Dark",$S158="Fairy"),1,0)))</f>
        <v>0</v>
      </c>
      <c r="AE158" s="507" t="n">
        <f aca="false">IF(OR($R158="Fairy",$S158="Fairy"),4,SUM(IF($R158="Dragon",0-1,IF($R158="Steel",1,0)),IF($S158="Dragon",0-1,IF($S158="Steel",1,0))))</f>
        <v>-1</v>
      </c>
      <c r="AF158" s="507" t="n">
        <f aca="false">IF(OR($R158="Ground",$S158="Ground"),4,SUM(IF(OR($R158="Flying",$R158="Water"),0-1,IF(OR($R158="Dragon",$R158="Electric",$R158="Grass"),1,0)),IF(OR($S158="Flying",$S158="Water"),0-1,IF(OR($S158="Dragon",$S158="Electric",$S158="Grass"),1,0))))</f>
        <v>4</v>
      </c>
      <c r="AG158" s="507" t="n">
        <f aca="false">SUM(IF(OR($R158="Dark",$R158="Dragon",$R158="Fighting"),0-1,IF(OR($R158="Steel",$R158="Poison",$R158="Fire"),1,0)),IF(OR($S158="Dark",$S158="Dragon",$S158="Fighting"),0-1,IF(OR($S158="Steel",$S158="Poison",$S158="Fire"),1,0)))</f>
        <v>-1</v>
      </c>
      <c r="AH158" s="507" t="n">
        <f aca="false">IF(OR($R158="Ghost",$S158="Ghost"),4,SUM(IF(OR($R158="Dark",$R158="Ice",$R158="Normal",$R158="Rock",$R158="Steel"),0-1,IF(OR($R158="Bug",$R158="Fairy",$R158="Flying",$R158="Poison",$R158="Psychic"),1,0)),IF(OR($S158="Dark",$S158="Ice",$S158="Normal",$S158="Rock",$S158="Steel"),0-1,IF(OR($S158="Bug",$S158="Fairy",$S158="Flying",$S158="Poison",$S158="Psychic"),1,0))))</f>
        <v>0</v>
      </c>
      <c r="AI158" s="507" t="n">
        <f aca="false">SUM(IF(OR($R158="Bug",$R158="Grass",$R158="Ice",$R158="Steel"),0-1,IF(OR($R158="Dragon",$R158="Fire",$R158="Rock",$R158="Water"),1,0)),IF(OR($S158="Bug",$S158="Grass",$S158="Ice",$S158="Steel"),0-1,IF(OR($S158="Dragon",$S158="Fire",$S158="Rock",$S158="Water"),1,0)))</f>
        <v>1</v>
      </c>
      <c r="AJ158" s="507" t="n">
        <f aca="false">SUM(IF(OR($R158="Bug",$R158="Grass",$R158="Fighting"),0-1,IF(OR($R158="Electric",$R158="Rock",$R158="Steel"),1,0)),IF(OR($S158="Bug",$S158="Grass",$S158="Fighting"),0-1,IF(OR($S158="Electric",$S158="Rock",$S158="Steel"),1,0)))</f>
        <v>0</v>
      </c>
      <c r="AK158" s="507" t="n">
        <f aca="false">IF(OR($R158="Normal",$S158="Normal"),4,SUM(IF(OR($R158="Ghost",$R158="Psychic"),0-1,IF($R158="Dark",1,0)),IF(OR($S158="Ghost",$S158="Psychic"),0-1,IF($S158="Dark",1,0))))</f>
        <v>0</v>
      </c>
      <c r="AL158" s="507" t="n">
        <f aca="false">SUM(IF(OR($R158="Ground",$R158="Rock",$R158="Water"),0-1,IF(OR($R158="Bug",$R158="Flying",$R158="Fire",$R158="Dragon",$R158="Poison",$R158="Steel",$R158="Grass"),1,0)),IF(OR($S158="Ground",$S158="Rock",$S158="Water"),0-1,IF(OR($S158="Bug",$S158="Flying",$S158="Fire",$S158="Dragon",$S158="Poison",$S158="Steel",$S158="Grass"),1,0)))</f>
        <v>0</v>
      </c>
      <c r="AM158" s="507" t="n">
        <f aca="false">IF(OR($R158="Flying",$S158="Flying"),4,SUM(IF(OR($R158="Electric",$R158="Fire",$R158="Rock",$R158="Steel",$R158="Poison"),0-1,IF(OR($R158="Bug",$R158="Grass"),1,0)),IF(OR($S158="Electric",$S158="Fire",$S158="Rock",$S158="Steel",$S158="Poison"),0-1,IF(OR($S158="Bug",$S158="Grass"),1,0))))</f>
        <v>0</v>
      </c>
      <c r="AN158" s="507" t="n">
        <f aca="false">SUM(IF(OR($R158="Flying",$R158="Dragon",$R158="Grass",$R158="Ground"),0-1,IF(OR($R158="Steel",$R158="Ice",$R158="Fire",$R158="Water"),1,0)),IF(OR($S158="Flying",$S158="Dragon",$S158="Grass",$S158="Ground"),0-1,IF(OR($S158="Steel",$S158="Ice",$S158="Fire",$S158="Water"),1,0)))</f>
        <v>-2</v>
      </c>
      <c r="AO158" s="507" t="n">
        <f aca="false">IF(OR($R158="Ghost",$S158="Ghost"),4,SUM(IF(OR($R158="Steel",$R158="Rock"),1,0),IF(OR($S158="Steel",$S158="Rock"),1,0)))</f>
        <v>0</v>
      </c>
      <c r="AP158" s="507" t="n">
        <f aca="false">IF(OR($R158="Steel",$S158="Steel"),4,SUM(IF(OR($R158="Fairy",$R158="Grass"),0-1,IF(OR($R158="Ghost",$R158="Rock",$R158="Ground",$R158="Poison"),1,0)),IF(OR($S158="Fairy",$S158="Grass"),0-1,IF(OR($S158="Ghost",$S158="Rock",$S158="Ground",$S158="Poison"),1,0))))</f>
        <v>1</v>
      </c>
      <c r="AQ158" s="507" t="n">
        <f aca="false">IF(OR($R158="Dark",$S158="Dark"),4,SUM(IF(OR($R158="Fighting",$R158="Poison"),0-1,IF(OR($R158="Psychic",$R158="Steel"),1,0)),IF(OR($S158="Fighting",$S158="Poison"),0-1,IF(OR($S158="Psychic",$S158="Steel"),1,0))))</f>
        <v>0</v>
      </c>
      <c r="AR158" s="507" t="n">
        <f aca="false">SUM(IF(OR($R158="Bug",$R158="Fire",$R158="Flying",$R158="Ice"),0-1,IF(OR($R158="Steel",$R158="Fighting",$R158="Ground"),1,0)),IF(OR($S158="Bug",$S158="Fire",$S158="Flying",$S158="Ice"),0-1,IF(OR($S158="Steel",$S158="Fighting",$S158="Ground"),1,0)))</f>
        <v>1</v>
      </c>
      <c r="AS158" s="507" t="n">
        <f aca="false">SUM(IF(OR($R158="Fairy",$R158="Ice",$R158="Rock"),0-1,IF(OR($R158="Steel",$R158="Electric",$R158="Fire",$R158="Water"),1,0)),IF(OR($S158="Fairy",$S158="Ice",$S158="Rock"),0-1,IF(OR($S158="Steel",$S158="Electric",$S158="Fire",$S158="Water"),1,0)))</f>
        <v>0</v>
      </c>
      <c r="AT158" s="508" t="n">
        <f aca="false">SUM(IF(OR($R158="Fire",$R158="Ground",$R158="Rock"),0-1,IF(OR($R158="Dragon",$R158="Grass",$R158="Water"),1,0)),IF(OR($S158="Fire",$S158="Ground",$S158="Rock"),0-1,IF(OR($S158="Dragon",$S158="Grass",$S158="Water"),1,0)))</f>
        <v>0</v>
      </c>
      <c r="AU158" s="518"/>
    </row>
    <row r="159" customFormat="false" ht="15.75" hidden="false" customHeight="false" outlineLevel="0" collapsed="false">
      <c r="A159" s="510" t="str">
        <f aca="false" t="array" ref="A159:A159">IF(ISNA(INDEX(Source!$U$7:$U$95,MATCH(B159,Source!$V$7:$V$95,0))),"FREE",INDEX(Source!$U$7:$U$95,MATCH(B159,Source!$V$7:$V$95,0)))</f>
        <v>FREE</v>
      </c>
      <c r="B159" s="511" t="s">
        <v>723</v>
      </c>
      <c r="C159" s="511"/>
      <c r="D159" s="511"/>
      <c r="E159" s="499" t="str">
        <f aca="false">IF(SUM($W159:$X159)&gt;0,SUM($W159:$X159),IF($H159&gt;0,0,IF($H159&gt;0,0,"-")))</f>
        <v>-</v>
      </c>
      <c r="F159" s="499" t="str">
        <f aca="false">IF(SUM($Y159:$Z159)&gt;0,SUM($Y159:$Z159),IF($H159&gt;0,0,"-"))</f>
        <v>-</v>
      </c>
      <c r="G159" s="499" t="str">
        <f aca="false">IF($H159&gt;0,minus(E159,F159),"-")</f>
        <v>-</v>
      </c>
      <c r="H159" s="500" t="n">
        <f aca="false">SUM(COUNTIF(MatchSource!$A:$A,$B159),COUNTIF(MatchSource!$H:$H,$B159))</f>
        <v>0</v>
      </c>
      <c r="I159" s="501" t="n">
        <f aca="false">SUM($AA159:$AB159)</f>
        <v>0</v>
      </c>
      <c r="J159" s="501" t="s">
        <v>278</v>
      </c>
      <c r="K159" s="512" t="str">
        <f aca="false" t="array" ref="K159:K159">IF(ISNA(INDEX(DraftRosters!$AA$3:$AA$199,MATCH($B159,DraftRosters!$AB$3:$AB$199,0))),"FA",IF(INDEX(DraftRosters!$AA$3:$AA$199,MATCH($B159,DraftRosters!$AB$3:$AB$199,0))="Franchise","Franch",INDEX(DraftRosters!$AA$3:$AA$199,MATCH($B159,DraftRosters!$AB$3:$AB$199,0))))</f>
        <v>FA</v>
      </c>
      <c r="L159" s="507" t="n">
        <v>108</v>
      </c>
      <c r="M159" s="507" t="n">
        <v>170</v>
      </c>
      <c r="N159" s="507" t="n">
        <v>115</v>
      </c>
      <c r="O159" s="507" t="n">
        <v>120</v>
      </c>
      <c r="P159" s="507" t="n">
        <v>95</v>
      </c>
      <c r="Q159" s="508" t="n">
        <v>92</v>
      </c>
      <c r="R159" s="499" t="s">
        <v>835</v>
      </c>
      <c r="S159" s="501" t="s">
        <v>907</v>
      </c>
      <c r="T159" s="504" t="s">
        <v>959</v>
      </c>
      <c r="U159" s="513"/>
      <c r="V159" s="514"/>
      <c r="W159" s="500" t="str">
        <f aca="false">IFERROR(__xludf.dummyfunction("if(isna(SUM(FILTER(MatchSource!$A:$D,MatchSource!$A:$A=$B159))),0,SUM(FILTER(MatchSource!$A:$D,MatchSource!$A:$A=$B159)))"),"0")</f>
        <v>0</v>
      </c>
      <c r="X159" s="499" t="str">
        <f aca="false">IFERROR(__xludf.dummyfunction("if(isna(SUM(FILTER(MatchSource!$H:$K,MatchSource!$H:$H=$B159))),0,SUM(FILTER(MatchSource!$H:$K,MatchSource!$H:$H=$B159)))"),"0")</f>
        <v>0</v>
      </c>
      <c r="Y159" s="499" t="str">
        <f aca="false">IFERROR(__xludf.dummyfunction("if(isna(ABS(MINUS(SUM(FILTER(MatchSource!$A:$E,MatchSource!$A:$A=$B159)),SUM($W159)))),0,ABS(MINUS(SUM(FILTER(MatchSource!$A:$E,MatchSource!$A:$A=$B159)),SUM($W159))))"),"0")</f>
        <v>0</v>
      </c>
      <c r="Z159" s="499" t="str">
        <f aca="false">IFERROR(__xludf.dummyfunction("if(isna(ABS(MINUS(SUM(FILTER(MatchSource!$H:$L,MatchSource!$H:$H=$B159)),SUM($X159)))),0,ABS(MINUS(SUM(FILTER(MatchSource!$H:$L,MatchSource!$H:$H=$B159)),SUM($X159))))"),"0")</f>
        <v>0</v>
      </c>
      <c r="AA159" s="499" t="str">
        <f aca="false">IFERROR(__xludf.dummyfunction("if(isna(ABS(MINUS(SUM(FILTER(MatchSource!$A:$F,MatchSource!$A:$A=$B159)),SUM($W159,$Y159)))),0,ABS(MINUS(SUM(FILTER(MatchSource!$A:$F,MatchSource!$A:$A=$B159)),SUM($W159, $Y159,))))"),"0")</f>
        <v>0</v>
      </c>
      <c r="AB159" s="501" t="str">
        <f aca="false">IFERROR(__xludf.dummyfunction("if(isna(ABS(MINUS(SUM(FILTER(MatchSource!$H:$M,MatchSource!$H:$H=$B159)),SUM($X159,$Z159)))),0,ABS(MINUS(SUM(FILTER(MatchSource!$H:$M,MatchSource!$H:$H=$B159)),SUM($X159,$Z159))))"),"0")</f>
        <v>0</v>
      </c>
      <c r="AC159" s="507" t="n">
        <f aca="false">SUM(IF(OR($R159="Grass",$R159="Psychic",$R159="Dark"),0-1,IF(OR($R159="Fighting",$R159="Flying",$R159="Fire",$R159="Ghost",$R159="Poison",$R159="Steel",$R159="Fairy"),1,0)),IF(OR($S159="Grass",$S159="Psychic",$S159="Dark"),0-1,IF(OR($S159="Fighting",$S159="Flying",$S159="Fire",$S159="Ghost",$S159="Poison",$S159="Steel",$S159="Fairy"),1,0)))</f>
        <v>0</v>
      </c>
      <c r="AD159" s="507" t="n">
        <f aca="false">SUM(IF(OR($R159="Ghost",$R159="Psychic"),0-1,IF(OR($R159="Fighting",$R159="Dark",$R159="Fairy"),1,0)),IF(OR($S159="Ghost",$S159="Psychic"),0-1,IF(OR($S159="Fighting",$S159="Dark",$S159="Fairy"),1,0)))</f>
        <v>0</v>
      </c>
      <c r="AE159" s="507" t="n">
        <f aca="false">IF(OR($R159="Fairy",$S159="Fairy"),4,SUM(IF($R159="Dragon",0-1,IF($R159="Steel",1,0)),IF($S159="Dragon",0-1,IF($S159="Steel",1,0))))</f>
        <v>-1</v>
      </c>
      <c r="AF159" s="507" t="n">
        <f aca="false">IF(OR($R159="Ground",$S159="Ground"),4,SUM(IF(OR($R159="Flying",$R159="Water"),0-1,IF(OR($R159="Dragon",$R159="Electric",$R159="Grass"),1,0)),IF(OR($S159="Flying",$S159="Water"),0-1,IF(OR($S159="Dragon",$S159="Electric",$S159="Grass"),1,0))))</f>
        <v>4</v>
      </c>
      <c r="AG159" s="507" t="n">
        <f aca="false">SUM(IF(OR($R159="Dark",$R159="Dragon",$R159="Fighting"),0-1,IF(OR($R159="Steel",$R159="Poison",$R159="Fire"),1,0)),IF(OR($S159="Dark",$S159="Dragon",$S159="Fighting"),0-1,IF(OR($S159="Steel",$S159="Poison",$S159="Fire"),1,0)))</f>
        <v>-1</v>
      </c>
      <c r="AH159" s="507" t="n">
        <f aca="false">IF(OR($R159="Ghost",$S159="Ghost"),4,SUM(IF(OR($R159="Dark",$R159="Ice",$R159="Normal",$R159="Rock",$R159="Steel"),0-1,IF(OR($R159="Bug",$R159="Fairy",$R159="Flying",$R159="Poison",$R159="Psychic"),1,0)),IF(OR($S159="Dark",$S159="Ice",$S159="Normal",$S159="Rock",$S159="Steel"),0-1,IF(OR($S159="Bug",$S159="Fairy",$S159="Flying",$S159="Poison",$S159="Psychic"),1,0))))</f>
        <v>0</v>
      </c>
      <c r="AI159" s="507" t="n">
        <f aca="false">SUM(IF(OR($R159="Bug",$R159="Grass",$R159="Ice",$R159="Steel"),0-1,IF(OR($R159="Dragon",$R159="Fire",$R159="Rock",$R159="Water"),1,0)),IF(OR($S159="Bug",$S159="Grass",$S159="Ice",$S159="Steel"),0-1,IF(OR($S159="Dragon",$S159="Fire",$S159="Rock",$S159="Water"),1,0)))</f>
        <v>1</v>
      </c>
      <c r="AJ159" s="507" t="n">
        <f aca="false">SUM(IF(OR($R159="Bug",$R159="Grass",$R159="Fighting"),0-1,IF(OR($R159="Electric",$R159="Rock",$R159="Steel"),1,0)),IF(OR($S159="Bug",$S159="Grass",$S159="Fighting"),0-1,IF(OR($S159="Electric",$S159="Rock",$S159="Steel"),1,0)))</f>
        <v>0</v>
      </c>
      <c r="AK159" s="507" t="n">
        <f aca="false">IF(OR($R159="Normal",$S159="Normal"),4,SUM(IF(OR($R159="Ghost",$R159="Psychic"),0-1,IF($R159="Dark",1,0)),IF(OR($S159="Ghost",$S159="Psychic"),0-1,IF($S159="Dark",1,0))))</f>
        <v>0</v>
      </c>
      <c r="AL159" s="507" t="n">
        <f aca="false">SUM(IF(OR($R159="Ground",$R159="Rock",$R159="Water"),0-1,IF(OR($R159="Bug",$R159="Flying",$R159="Fire",$R159="Dragon",$R159="Poison",$R159="Steel",$R159="Grass"),1,0)),IF(OR($S159="Ground",$S159="Rock",$S159="Water"),0-1,IF(OR($S159="Bug",$S159="Flying",$S159="Fire",$S159="Dragon",$S159="Poison",$S159="Steel",$S159="Grass"),1,0)))</f>
        <v>0</v>
      </c>
      <c r="AM159" s="507" t="n">
        <f aca="false">IF(OR($R159="Flying",$S159="Flying"),4,SUM(IF(OR($R159="Electric",$R159="Fire",$R159="Rock",$R159="Steel",$R159="Poison"),0-1,IF(OR($R159="Bug",$R159="Grass"),1,0)),IF(OR($S159="Electric",$S159="Fire",$S159="Rock",$S159="Steel",$S159="Poison"),0-1,IF(OR($S159="Bug",$S159="Grass"),1,0))))</f>
        <v>0</v>
      </c>
      <c r="AN159" s="507" t="n">
        <f aca="false">SUM(IF(OR($R159="Flying",$R159="Dragon",$R159="Grass",$R159="Ground"),0-1,IF(OR($R159="Steel",$R159="Ice",$R159="Fire",$R159="Water"),1,0)),IF(OR($S159="Flying",$S159="Dragon",$S159="Grass",$S159="Ground"),0-1,IF(OR($S159="Steel",$S159="Ice",$S159="Fire",$S159="Water"),1,0)))</f>
        <v>-2</v>
      </c>
      <c r="AO159" s="507" t="n">
        <f aca="false">IF(OR($R159="Ghost",$S159="Ghost"),4,SUM(IF(OR($R159="Steel",$R159="Rock"),1,0),IF(OR($S159="Steel",$S159="Rock"),1,0)))</f>
        <v>0</v>
      </c>
      <c r="AP159" s="507" t="n">
        <f aca="false">IF(OR($R159="Steel",$S159="Steel"),4,SUM(IF(OR($R159="Fairy",$R159="Grass"),0-1,IF(OR($R159="Ghost",$R159="Rock",$R159="Ground",$R159="Poison"),1,0)),IF(OR($S159="Fairy",$S159="Grass"),0-1,IF(OR($S159="Ghost",$S159="Rock",$S159="Ground",$S159="Poison"),1,0))))</f>
        <v>1</v>
      </c>
      <c r="AQ159" s="507" t="n">
        <f aca="false">IF(OR($R159="Dark",$S159="Dark"),4,SUM(IF(OR($R159="Fighting",$R159="Poison"),0-1,IF(OR($R159="Psychic",$R159="Steel"),1,0)),IF(OR($S159="Fighting",$S159="Poison"),0-1,IF(OR($S159="Psychic",$S159="Steel"),1,0))))</f>
        <v>0</v>
      </c>
      <c r="AR159" s="507" t="n">
        <f aca="false">SUM(IF(OR($R159="Bug",$R159="Fire",$R159="Flying",$R159="Ice"),0-1,IF(OR($R159="Steel",$R159="Fighting",$R159="Ground"),1,0)),IF(OR($S159="Bug",$S159="Fire",$S159="Flying",$S159="Ice"),0-1,IF(OR($S159="Steel",$S159="Fighting",$S159="Ground"),1,0)))</f>
        <v>1</v>
      </c>
      <c r="AS159" s="507" t="n">
        <f aca="false">SUM(IF(OR($R159="Fairy",$R159="Ice",$R159="Rock"),0-1,IF(OR($R159="Steel",$R159="Electric",$R159="Fire",$R159="Water"),1,0)),IF(OR($S159="Fairy",$S159="Ice",$S159="Rock"),0-1,IF(OR($S159="Steel",$S159="Electric",$S159="Fire",$S159="Water"),1,0)))</f>
        <v>0</v>
      </c>
      <c r="AT159" s="508" t="n">
        <f aca="false">SUM(IF(OR($R159="Fire",$R159="Ground",$R159="Rock"),0-1,IF(OR($R159="Dragon",$R159="Grass",$R159="Water"),1,0)),IF(OR($S159="Fire",$S159="Ground",$S159="Rock"),0-1,IF(OR($S159="Dragon",$S159="Grass",$S159="Water"),1,0)))</f>
        <v>0</v>
      </c>
      <c r="AU159" s="518"/>
    </row>
    <row r="160" customFormat="false" ht="15.75" hidden="false" customHeight="false" outlineLevel="0" collapsed="false">
      <c r="A160" s="510" t="str">
        <f aca="false" t="array" ref="A160:A160">IF(ISNA(INDEX(Source!$U$7:$U$95,MATCH(B160,Source!$V$7:$V$95,0))),"FREE",INDEX(Source!$U$7:$U$95,MATCH(B160,Source!$V$7:$V$95,0)))</f>
        <v>FREE</v>
      </c>
      <c r="B160" s="511" t="s">
        <v>422</v>
      </c>
      <c r="C160" s="511"/>
      <c r="D160" s="511"/>
      <c r="E160" s="499" t="str">
        <f aca="false">IF(SUM($W160:$X160)&gt;0,SUM($W160:$X160),IF($H160&gt;0,0,IF($H160&gt;0,0,"-")))</f>
        <v>-</v>
      </c>
      <c r="F160" s="499" t="str">
        <f aca="false">IF(SUM($Y160:$Z160)&gt;0,SUM($Y160:$Z160),IF($H160&gt;0,0,"-"))</f>
        <v>-</v>
      </c>
      <c r="G160" s="499" t="str">
        <f aca="false">IF($H160&gt;0,minus(E160,F160),"-")</f>
        <v>-</v>
      </c>
      <c r="H160" s="500" t="n">
        <f aca="false">SUM(COUNTIF(MatchSource!$A:$A,$B160),COUNTIF(MatchSource!$H:$H,$B160))</f>
        <v>0</v>
      </c>
      <c r="I160" s="501" t="n">
        <f aca="false">SUM($AA160:$AB160)</f>
        <v>0</v>
      </c>
      <c r="J160" s="501" t="s">
        <v>700</v>
      </c>
      <c r="K160" s="512" t="str">
        <f aca="false" t="array" ref="K160:K160">IF(ISNA(INDEX(DraftRosters!$AA$3:$AA$199,MATCH($B160,DraftRosters!$AB$3:$AB$199,0))),"FA",IF(INDEX(DraftRosters!$AA$3:$AA$199,MATCH($B160,DraftRosters!$AB$3:$AB$199,0))="Franchise","Franch",INDEX(DraftRosters!$AA$3:$AA$199,MATCH($B160,DraftRosters!$AB$3:$AB$199,0))))</f>
        <v>FA</v>
      </c>
      <c r="L160" s="499" t="n">
        <v>68</v>
      </c>
      <c r="M160" s="499" t="n">
        <v>65</v>
      </c>
      <c r="N160" s="499" t="n">
        <v>65</v>
      </c>
      <c r="O160" s="499" t="n">
        <v>125</v>
      </c>
      <c r="P160" s="499" t="n">
        <v>115</v>
      </c>
      <c r="Q160" s="501" t="n">
        <v>80</v>
      </c>
      <c r="R160" s="499" t="s">
        <v>798</v>
      </c>
      <c r="S160" s="501" t="s">
        <v>828</v>
      </c>
      <c r="T160" s="504" t="s">
        <v>966</v>
      </c>
      <c r="U160" s="505" t="s">
        <v>832</v>
      </c>
      <c r="V160" s="506" t="s">
        <v>879</v>
      </c>
      <c r="W160" s="500" t="str">
        <f aca="false">IFERROR(__xludf.dummyfunction("if(isna(SUM(FILTER(MatchSource!$A:$D,MatchSource!$A:$A=$B160))),0,SUM(FILTER(MatchSource!$A:$D,MatchSource!$A:$A=$B160)))"),"0")</f>
        <v>0</v>
      </c>
      <c r="X160" s="499" t="str">
        <f aca="false">IFERROR(__xludf.dummyfunction("if(isna(SUM(FILTER(MatchSource!$H:$K,MatchSource!$H:$H=$B160))),0,SUM(FILTER(MatchSource!$H:$K,MatchSource!$H:$H=$B160)))"),"0")</f>
        <v>0</v>
      </c>
      <c r="Y160" s="499" t="str">
        <f aca="false">IFERROR(__xludf.dummyfunction("if(isna(ABS(MINUS(SUM(FILTER(MatchSource!$A:$E,MatchSource!$A:$A=$B160)),SUM($W160)))),0,ABS(MINUS(SUM(FILTER(MatchSource!$A:$E,MatchSource!$A:$A=$B160)),SUM($W160))))"),"0")</f>
        <v>0</v>
      </c>
      <c r="Z160" s="499" t="str">
        <f aca="false">IFERROR(__xludf.dummyfunction("if(isna(ABS(MINUS(SUM(FILTER(MatchSource!$H:$L,MatchSource!$H:$H=$B160)),SUM($X160)))),0,ABS(MINUS(SUM(FILTER(MatchSource!$H:$L,MatchSource!$H:$H=$B160)),SUM($X160))))"),"0")</f>
        <v>0</v>
      </c>
      <c r="AA160" s="499" t="str">
        <f aca="false">IFERROR(__xludf.dummyfunction("if(isna(ABS(MINUS(SUM(FILTER(MatchSource!$A:$F,MatchSource!$A:$A=$B160)),SUM($W160,$Y160)))),0,ABS(MINUS(SUM(FILTER(MatchSource!$A:$F,MatchSource!$A:$A=$B160)),SUM($W160, $Y160,))))"),"0")</f>
        <v>0</v>
      </c>
      <c r="AB160" s="501" t="str">
        <f aca="false">IFERROR(__xludf.dummyfunction("if(isna(ABS(MINUS(SUM(FILTER(MatchSource!$H:$M,MatchSource!$H:$H=$B160)),SUM($X160,$Z160)))),0,ABS(MINUS(SUM(FILTER(MatchSource!$H:$M,MatchSource!$H:$H=$B160)),SUM($X160,$Z160))))"),"0")</f>
        <v>0</v>
      </c>
      <c r="AC160" s="507" t="n">
        <f aca="false">SUM(IF(OR($R160="Grass",$R160="Psychic",$R160="Dark"),0-1,IF(OR($R160="Fighting",$R160="Flying",$R160="Fire",$R160="Ghost",$R160="Poison",$R160="Steel",$R160="Fairy"),1,0)),IF(OR($S160="Grass",$S160="Psychic",$S160="Dark"),0-1,IF(OR($S160="Fighting",$S160="Flying",$S160="Fire",$S160="Ghost",$S160="Poison",$S160="Steel",$S160="Fairy"),1,0)))</f>
        <v>0</v>
      </c>
      <c r="AD160" s="507" t="n">
        <f aca="false">SUM(IF(OR($R160="Ghost",$R160="Psychic"),0-1,IF(OR($R160="Fighting",$R160="Dark",$R160="Fairy"),1,0)),IF(OR($S160="Ghost",$S160="Psychic"),0-1,IF(OR($S160="Fighting",$S160="Dark",$S160="Fairy"),1,0)))</f>
        <v>0</v>
      </c>
      <c r="AE160" s="507" t="n">
        <f aca="false">IF(OR($R160="Fairy",$S160="Fairy"),4,SUM(IF($R160="Dragon",0-1,IF($R160="Steel",1,0)),IF($S160="Dragon",0-1,IF($S160="Steel",1,0))))</f>
        <v>4</v>
      </c>
      <c r="AF160" s="507" t="n">
        <f aca="false">IF(OR($R160="Ground",$S160="Ground"),4,SUM(IF(OR($R160="Flying",$R160="Water"),0-1,IF(OR($R160="Dragon",$R160="Electric",$R160="Grass"),1,0)),IF(OR($S160="Flying",$S160="Water"),0-1,IF(OR($S160="Dragon",$S160="Electric",$S160="Grass"),1,0))))</f>
        <v>0</v>
      </c>
      <c r="AG160" s="507" t="n">
        <f aca="false">SUM(IF(OR($R160="Dark",$R160="Dragon",$R160="Fighting"),0-1,IF(OR($R160="Steel",$R160="Poison",$R160="Fire"),1,0)),IF(OR($S160="Dark",$S160="Dragon",$S160="Fighting"),0-1,IF(OR($S160="Steel",$S160="Poison",$S160="Fire"),1,0)))</f>
        <v>0</v>
      </c>
      <c r="AH160" s="507" t="n">
        <f aca="false">IF(OR($R160="Ghost",$S160="Ghost"),4,SUM(IF(OR($R160="Dark",$R160="Ice",$R160="Normal",$R160="Rock",$R160="Steel"),0-1,IF(OR($R160="Bug",$R160="Fairy",$R160="Flying",$R160="Poison",$R160="Psychic"),1,0)),IF(OR($S160="Dark",$S160="Ice",$S160="Normal",$S160="Rock",$S160="Steel"),0-1,IF(OR($S160="Bug",$S160="Fairy",$S160="Flying",$S160="Poison",$S160="Psychic"),1,0))))</f>
        <v>2</v>
      </c>
      <c r="AI160" s="507" t="n">
        <f aca="false">SUM(IF(OR($R160="Bug",$R160="Grass",$R160="Ice",$R160="Steel"),0-1,IF(OR($R160="Dragon",$R160="Fire",$R160="Rock",$R160="Water"),1,0)),IF(OR($S160="Bug",$S160="Grass",$S160="Ice",$S160="Steel"),0-1,IF(OR($S160="Dragon",$S160="Fire",$S160="Rock",$S160="Water"),1,0)))</f>
        <v>0</v>
      </c>
      <c r="AJ160" s="507" t="n">
        <f aca="false">SUM(IF(OR($R160="Bug",$R160="Grass",$R160="Fighting"),0-1,IF(OR($R160="Electric",$R160="Rock",$R160="Steel"),1,0)),IF(OR($S160="Bug",$S160="Grass",$S160="Fighting"),0-1,IF(OR($S160="Electric",$S160="Rock",$S160="Steel"),1,0)))</f>
        <v>0</v>
      </c>
      <c r="AK160" s="507" t="n">
        <f aca="false">IF(OR($R160="Normal",$S160="Normal"),4,SUM(IF(OR($R160="Ghost",$R160="Psychic"),0-1,IF($R160="Dark",1,0)),IF(OR($S160="Ghost",$S160="Psychic"),0-1,IF($S160="Dark",1,0))))</f>
        <v>-1</v>
      </c>
      <c r="AL160" s="507" t="n">
        <f aca="false">SUM(IF(OR($R160="Ground",$R160="Rock",$R160="Water"),0-1,IF(OR($R160="Bug",$R160="Flying",$R160="Fire",$R160="Dragon",$R160="Poison",$R160="Steel",$R160="Grass"),1,0)),IF(OR($S160="Ground",$S160="Rock",$S160="Water"),0-1,IF(OR($S160="Bug",$S160="Flying",$S160="Fire",$S160="Dragon",$S160="Poison",$S160="Steel",$S160="Grass"),1,0)))</f>
        <v>0</v>
      </c>
      <c r="AM160" s="507" t="n">
        <f aca="false">IF(OR($R160="Flying",$S160="Flying"),4,SUM(IF(OR($R160="Electric",$R160="Fire",$R160="Rock",$R160="Steel",$R160="Poison"),0-1,IF(OR($R160="Bug",$R160="Grass"),1,0)),IF(OR($S160="Electric",$S160="Fire",$S160="Rock",$S160="Steel",$S160="Poison"),0-1,IF(OR($S160="Bug",$S160="Grass"),1,0))))</f>
        <v>0</v>
      </c>
      <c r="AN160" s="507" t="n">
        <f aca="false">SUM(IF(OR($R160="Flying",$R160="Dragon",$R160="Grass",$R160="Ground"),0-1,IF(OR($R160="Steel",$R160="Ice",$R160="Fire",$R160="Water"),1,0)),IF(OR($S160="Flying",$S160="Dragon",$S160="Grass",$S160="Ground"),0-1,IF(OR($S160="Steel",$S160="Ice",$S160="Fire",$S160="Water"),1,0)))</f>
        <v>0</v>
      </c>
      <c r="AO160" s="507" t="n">
        <f aca="false">IF(OR($R160="Ghost",$S160="Ghost"),4,SUM(IF(OR($R160="Steel",$R160="Rock"),1,0),IF(OR($S160="Steel",$S160="Rock"),1,0)))</f>
        <v>0</v>
      </c>
      <c r="AP160" s="507" t="n">
        <f aca="false">IF(OR($R160="Steel",$S160="Steel"),4,SUM(IF(OR($R160="Fairy",$R160="Grass"),0-1,IF(OR($R160="Ghost",$R160="Rock",$R160="Ground",$R160="Poison"),1,0)),IF(OR($S160="Fairy",$S160="Grass"),0-1,IF(OR($S160="Ghost",$S160="Rock",$S160="Ground",$S160="Poison"),1,0))))</f>
        <v>-1</v>
      </c>
      <c r="AQ160" s="507" t="n">
        <f aca="false">IF(OR($R160="Dark",$S160="Dark"),4,SUM(IF(OR($R160="Fighting",$R160="Poison"),0-1,IF(OR($R160="Psychic",$R160="Steel"),1,0)),IF(OR($S160="Fighting",$S160="Poison"),0-1,IF(OR($S160="Psychic",$S160="Steel"),1,0))))</f>
        <v>1</v>
      </c>
      <c r="AR160" s="507" t="n">
        <f aca="false">SUM(IF(OR($R160="Bug",$R160="Fire",$R160="Flying",$R160="Ice"),0-1,IF(OR($R160="Steel",$R160="Fighting",$R160="Ground"),1,0)),IF(OR($S160="Bug",$S160="Fire",$S160="Flying",$S160="Ice"),0-1,IF(OR($S160="Steel",$S160="Fighting",$S160="Ground"),1,0)))</f>
        <v>0</v>
      </c>
      <c r="AS160" s="507" t="n">
        <f aca="false">SUM(IF(OR($R160="Fairy",$R160="Ice",$R160="Rock"),0-1,IF(OR($R160="Steel",$R160="Electric",$R160="Fire",$R160="Water"),1,0)),IF(OR($S160="Fairy",$S160="Ice",$S160="Rock"),0-1,IF(OR($S160="Steel",$S160="Electric",$S160="Fire",$S160="Water"),1,0)))</f>
        <v>-1</v>
      </c>
      <c r="AT160" s="508" t="n">
        <f aca="false">SUM(IF(OR($R160="Fire",$R160="Ground",$R160="Rock"),0-1,IF(OR($R160="Dragon",$R160="Grass",$R160="Water"),1,0)),IF(OR($S160="Fire",$S160="Ground",$S160="Rock"),0-1,IF(OR($S160="Dragon",$S160="Grass",$S160="Water"),1,0)))</f>
        <v>0</v>
      </c>
      <c r="AU160" s="518"/>
    </row>
    <row r="161" customFormat="false" ht="15.75" hidden="false" customHeight="false" outlineLevel="0" collapsed="false">
      <c r="A161" s="510" t="str">
        <f aca="false" t="array" ref="A161:A161">IF(ISNA(INDEX(Source!$U$7:$U$95,MATCH(B161,Source!$V$7:$V$95,0))),"FREE",INDEX(Source!$U$7:$U$95,MATCH(B161,Source!$V$7:$V$95,0)))</f>
        <v>FREE</v>
      </c>
      <c r="B161" s="511" t="s">
        <v>716</v>
      </c>
      <c r="C161" s="511"/>
      <c r="D161" s="511"/>
      <c r="E161" s="499" t="str">
        <f aca="false">IF(SUM($W161:$X161)&gt;0,SUM($W161:$X161),IF($H161&gt;0,0,IF($H161&gt;0,0,"-")))</f>
        <v>-</v>
      </c>
      <c r="F161" s="499" t="str">
        <f aca="false">IF(SUM($Y161:$Z161)&gt;0,SUM($Y161:$Z161),IF($H161&gt;0,0,"-"))</f>
        <v>-</v>
      </c>
      <c r="G161" s="499" t="str">
        <f aca="false">IF($H161&gt;0,minus(E161,F161),"-")</f>
        <v>-</v>
      </c>
      <c r="H161" s="500" t="n">
        <f aca="false">SUM(COUNTIF(MatchSource!$A:$A,$B161),COUNTIF(MatchSource!$H:$H,$B161))</f>
        <v>0</v>
      </c>
      <c r="I161" s="501" t="n">
        <f aca="false">SUM($AA161:$AB161)</f>
        <v>0</v>
      </c>
      <c r="J161" s="501" t="s">
        <v>276</v>
      </c>
      <c r="K161" s="512" t="str">
        <f aca="false" t="array" ref="K161:K161">IF(ISNA(INDEX(DraftRosters!$AA$3:$AA$199,MATCH($B161,DraftRosters!$AB$3:$AB$199,0))),"FA",IF(INDEX(DraftRosters!$AA$3:$AA$199,MATCH($B161,DraftRosters!$AB$3:$AB$199,0))="Franchise","Franch",INDEX(DraftRosters!$AA$3:$AA$199,MATCH($B161,DraftRosters!$AB$3:$AB$199,0))))</f>
        <v>FA</v>
      </c>
      <c r="L161" s="507" t="n">
        <v>68</v>
      </c>
      <c r="M161" s="507" t="n">
        <v>85</v>
      </c>
      <c r="N161" s="507" t="n">
        <v>65</v>
      </c>
      <c r="O161" s="507" t="n">
        <v>165</v>
      </c>
      <c r="P161" s="507" t="n">
        <v>135</v>
      </c>
      <c r="Q161" s="508" t="n">
        <v>100</v>
      </c>
      <c r="R161" s="499" t="s">
        <v>798</v>
      </c>
      <c r="S161" s="501" t="s">
        <v>828</v>
      </c>
      <c r="T161" s="504" t="s">
        <v>838</v>
      </c>
      <c r="U161" s="513"/>
      <c r="V161" s="514"/>
      <c r="W161" s="500" t="str">
        <f aca="false">IFERROR(__xludf.dummyfunction("if(isna(SUM(FILTER(MatchSource!$A:$D,MatchSource!$A:$A=$B161))),0,SUM(FILTER(MatchSource!$A:$D,MatchSource!$A:$A=$B161)))"),"0")</f>
        <v>0</v>
      </c>
      <c r="X161" s="499" t="str">
        <f aca="false">IFERROR(__xludf.dummyfunction("if(isna(SUM(FILTER(MatchSource!$H:$K,MatchSource!$H:$H=$B161))),0,SUM(FILTER(MatchSource!$H:$K,MatchSource!$H:$H=$B161)))"),"0")</f>
        <v>0</v>
      </c>
      <c r="Y161" s="499" t="str">
        <f aca="false">IFERROR(__xludf.dummyfunction("if(isna(ABS(MINUS(SUM(FILTER(MatchSource!$A:$E,MatchSource!$A:$A=$B161)),SUM($W161)))),0,ABS(MINUS(SUM(FILTER(MatchSource!$A:$E,MatchSource!$A:$A=$B161)),SUM($W161))))"),"0")</f>
        <v>0</v>
      </c>
      <c r="Z161" s="499" t="str">
        <f aca="false">IFERROR(__xludf.dummyfunction("if(isna(ABS(MINUS(SUM(FILTER(MatchSource!$H:$L,MatchSource!$H:$H=$B161)),SUM($X161)))),0,ABS(MINUS(SUM(FILTER(MatchSource!$H:$L,MatchSource!$H:$H=$B161)),SUM($X161))))"),"0")</f>
        <v>0</v>
      </c>
      <c r="AA161" s="499" t="str">
        <f aca="false">IFERROR(__xludf.dummyfunction("if(isna(ABS(MINUS(SUM(FILTER(MatchSource!$A:$F,MatchSource!$A:$A=$B161)),SUM($W161,$Y161)))),0,ABS(MINUS(SUM(FILTER(MatchSource!$A:$F,MatchSource!$A:$A=$B161)),SUM($W161, $Y161,))))"),"0")</f>
        <v>0</v>
      </c>
      <c r="AB161" s="501" t="str">
        <f aca="false">IFERROR(__xludf.dummyfunction("if(isna(ABS(MINUS(SUM(FILTER(MatchSource!$H:$M,MatchSource!$H:$H=$B161)),SUM($X161,$Z161)))),0,ABS(MINUS(SUM(FILTER(MatchSource!$H:$M,MatchSource!$H:$H=$B161)),SUM($X161,$Z161))))"),"0")</f>
        <v>0</v>
      </c>
      <c r="AC161" s="507" t="n">
        <f aca="false">SUM(IF(OR($R161="Grass",$R161="Psychic",$R161="Dark"),0-1,IF(OR($R161="Fighting",$R161="Flying",$R161="Fire",$R161="Ghost",$R161="Poison",$R161="Steel",$R161="Fairy"),1,0)),IF(OR($S161="Grass",$S161="Psychic",$S161="Dark"),0-1,IF(OR($S161="Fighting",$S161="Flying",$S161="Fire",$S161="Ghost",$S161="Poison",$S161="Steel",$S161="Fairy"),1,0)))</f>
        <v>0</v>
      </c>
      <c r="AD161" s="507" t="n">
        <f aca="false">SUM(IF(OR($R161="Ghost",$R161="Psychic"),0-1,IF(OR($R161="Fighting",$R161="Dark",$R161="Fairy"),1,0)),IF(OR($S161="Ghost",$S161="Psychic"),0-1,IF(OR($S161="Fighting",$S161="Dark",$S161="Fairy"),1,0)))</f>
        <v>0</v>
      </c>
      <c r="AE161" s="507" t="n">
        <f aca="false">IF(OR($R161="Fairy",$S161="Fairy"),4,SUM(IF($R161="Dragon",0-1,IF($R161="Steel",1,0)),IF($S161="Dragon",0-1,IF($S161="Steel",1,0))))</f>
        <v>4</v>
      </c>
      <c r="AF161" s="507" t="n">
        <f aca="false">IF(OR($R161="Ground",$S161="Ground"),4,SUM(IF(OR($R161="Flying",$R161="Water"),0-1,IF(OR($R161="Dragon",$R161="Electric",$R161="Grass"),1,0)),IF(OR($S161="Flying",$S161="Water"),0-1,IF(OR($S161="Dragon",$S161="Electric",$S161="Grass"),1,0))))</f>
        <v>0</v>
      </c>
      <c r="AG161" s="507" t="n">
        <f aca="false">SUM(IF(OR($R161="Dark",$R161="Dragon",$R161="Fighting"),0-1,IF(OR($R161="Steel",$R161="Poison",$R161="Fire"),1,0)),IF(OR($S161="Dark",$S161="Dragon",$S161="Fighting"),0-1,IF(OR($S161="Steel",$S161="Poison",$S161="Fire"),1,0)))</f>
        <v>0</v>
      </c>
      <c r="AH161" s="507" t="n">
        <f aca="false">IF(OR($R161="Ghost",$S161="Ghost"),4,SUM(IF(OR($R161="Dark",$R161="Ice",$R161="Normal",$R161="Rock",$R161="Steel"),0-1,IF(OR($R161="Bug",$R161="Fairy",$R161="Flying",$R161="Poison",$R161="Psychic"),1,0)),IF(OR($S161="Dark",$S161="Ice",$S161="Normal",$S161="Rock",$S161="Steel"),0-1,IF(OR($S161="Bug",$S161="Fairy",$S161="Flying",$S161="Poison",$S161="Psychic"),1,0))))</f>
        <v>2</v>
      </c>
      <c r="AI161" s="507" t="n">
        <f aca="false">SUM(IF(OR($R161="Bug",$R161="Grass",$R161="Ice",$R161="Steel"),0-1,IF(OR($R161="Dragon",$R161="Fire",$R161="Rock",$R161="Water"),1,0)),IF(OR($S161="Bug",$S161="Grass",$S161="Ice",$S161="Steel"),0-1,IF(OR($S161="Dragon",$S161="Fire",$S161="Rock",$S161="Water"),1,0)))</f>
        <v>0</v>
      </c>
      <c r="AJ161" s="507" t="n">
        <f aca="false">SUM(IF(OR($R161="Bug",$R161="Grass",$R161="Fighting"),0-1,IF(OR($R161="Electric",$R161="Rock",$R161="Steel"),1,0)),IF(OR($S161="Bug",$S161="Grass",$S161="Fighting"),0-1,IF(OR($S161="Electric",$S161="Rock",$S161="Steel"),1,0)))</f>
        <v>0</v>
      </c>
      <c r="AK161" s="507" t="n">
        <f aca="false">IF(OR($R161="Normal",$S161="Normal"),4,SUM(IF(OR($R161="Ghost",$R161="Psychic"),0-1,IF($R161="Dark",1,0)),IF(OR($S161="Ghost",$S161="Psychic"),0-1,IF($S161="Dark",1,0))))</f>
        <v>-1</v>
      </c>
      <c r="AL161" s="507" t="n">
        <f aca="false">SUM(IF(OR($R161="Ground",$R161="Rock",$R161="Water"),0-1,IF(OR($R161="Bug",$R161="Flying",$R161="Fire",$R161="Dragon",$R161="Poison",$R161="Steel",$R161="Grass"),1,0)),IF(OR($S161="Ground",$S161="Rock",$S161="Water"),0-1,IF(OR($S161="Bug",$S161="Flying",$S161="Fire",$S161="Dragon",$S161="Poison",$S161="Steel",$S161="Grass"),1,0)))</f>
        <v>0</v>
      </c>
      <c r="AM161" s="507" t="n">
        <f aca="false">IF(OR($R161="Flying",$S161="Flying"),4,SUM(IF(OR($R161="Electric",$R161="Fire",$R161="Rock",$R161="Steel",$R161="Poison"),0-1,IF(OR($R161="Bug",$R161="Grass"),1,0)),IF(OR($S161="Electric",$S161="Fire",$S161="Rock",$S161="Steel",$S161="Poison"),0-1,IF(OR($S161="Bug",$S161="Grass"),1,0))))</f>
        <v>0</v>
      </c>
      <c r="AN161" s="507" t="n">
        <f aca="false">SUM(IF(OR($R161="Flying",$R161="Dragon",$R161="Grass",$R161="Ground"),0-1,IF(OR($R161="Steel",$R161="Ice",$R161="Fire",$R161="Water"),1,0)),IF(OR($S161="Flying",$S161="Dragon",$S161="Grass",$S161="Ground"),0-1,IF(OR($S161="Steel",$S161="Ice",$S161="Fire",$S161="Water"),1,0)))</f>
        <v>0</v>
      </c>
      <c r="AO161" s="507" t="n">
        <f aca="false">IF(OR($R161="Ghost",$S161="Ghost"),4,SUM(IF(OR($R161="Steel",$R161="Rock"),1,0),IF(OR($S161="Steel",$S161="Rock"),1,0)))</f>
        <v>0</v>
      </c>
      <c r="AP161" s="507" t="n">
        <f aca="false">IF(OR($R161="Steel",$S161="Steel"),4,SUM(IF(OR($R161="Fairy",$R161="Grass"),0-1,IF(OR($R161="Ghost",$R161="Rock",$R161="Ground",$R161="Poison"),1,0)),IF(OR($S161="Fairy",$S161="Grass"),0-1,IF(OR($S161="Ghost",$S161="Rock",$S161="Ground",$S161="Poison"),1,0))))</f>
        <v>-1</v>
      </c>
      <c r="AQ161" s="507" t="n">
        <f aca="false">IF(OR($R161="Dark",$S161="Dark"),4,SUM(IF(OR($R161="Fighting",$R161="Poison"),0-1,IF(OR($R161="Psychic",$R161="Steel"),1,0)),IF(OR($S161="Fighting",$S161="Poison"),0-1,IF(OR($S161="Psychic",$S161="Steel"),1,0))))</f>
        <v>1</v>
      </c>
      <c r="AR161" s="507" t="n">
        <f aca="false">SUM(IF(OR($R161="Bug",$R161="Fire",$R161="Flying",$R161="Ice"),0-1,IF(OR($R161="Steel",$R161="Fighting",$R161="Ground"),1,0)),IF(OR($S161="Bug",$S161="Fire",$S161="Flying",$S161="Ice"),0-1,IF(OR($S161="Steel",$S161="Fighting",$S161="Ground"),1,0)))</f>
        <v>0</v>
      </c>
      <c r="AS161" s="507" t="n">
        <f aca="false">SUM(IF(OR($R161="Fairy",$R161="Ice",$R161="Rock"),0-1,IF(OR($R161="Steel",$R161="Electric",$R161="Fire",$R161="Water"),1,0)),IF(OR($S161="Fairy",$S161="Ice",$S161="Rock"),0-1,IF(OR($S161="Steel",$S161="Electric",$S161="Fire",$S161="Water"),1,0)))</f>
        <v>-1</v>
      </c>
      <c r="AT161" s="508" t="n">
        <f aca="false">SUM(IF(OR($R161="Fire",$R161="Ground",$R161="Rock"),0-1,IF(OR($R161="Dragon",$R161="Grass",$R161="Water"),1,0)),IF(OR($S161="Fire",$S161="Ground",$S161="Rock"),0-1,IF(OR($S161="Dragon",$S161="Grass",$S161="Water"),1,0)))</f>
        <v>0</v>
      </c>
      <c r="AU161" s="518"/>
    </row>
    <row r="162" customFormat="false" ht="15.75" hidden="false" customHeight="false" outlineLevel="0" collapsed="false">
      <c r="A162" s="510" t="str">
        <f aca="false" t="array" ref="A162:A162">IF(ISNA(INDEX(Source!$U$7:$U$95,MATCH(B162,Source!$V$7:$V$95,0))),"FREE",INDEX(Source!$U$7:$U$95,MATCH(B162,Source!$V$7:$V$95,0)))</f>
        <v>FREE</v>
      </c>
      <c r="B162" s="511" t="s">
        <v>427</v>
      </c>
      <c r="C162" s="511"/>
      <c r="D162" s="511"/>
      <c r="E162" s="499" t="str">
        <f aca="false">IF(SUM($W162:$X162)&gt;0,SUM($W162:$X162),IF($H162&gt;0,0,IF($H162&gt;0,0,"-")))</f>
        <v>-</v>
      </c>
      <c r="F162" s="499" t="str">
        <f aca="false">IF(SUM($Y162:$Z162)&gt;0,SUM($Y162:$Z162),IF($H162&gt;0,0,"-"))</f>
        <v>-</v>
      </c>
      <c r="G162" s="499" t="str">
        <f aca="false">IF($H162&gt;0,minus(E162,F162),"-")</f>
        <v>-</v>
      </c>
      <c r="H162" s="500" t="n">
        <f aca="false">SUM(COUNTIF(MatchSource!$A:$A,$B162),COUNTIF(MatchSource!$H:$H,$B162))</f>
        <v>0</v>
      </c>
      <c r="I162" s="501" t="n">
        <f aca="false">SUM($AA162:$AB162)</f>
        <v>0</v>
      </c>
      <c r="J162" s="501" t="s">
        <v>700</v>
      </c>
      <c r="K162" s="512" t="str">
        <f aca="false" t="array" ref="K162:K162">IF(ISNA(INDEX(DraftRosters!$AA$3:$AA$199,MATCH($B162,DraftRosters!$AB$3:$AB$199,0))),"FA",IF(INDEX(DraftRosters!$AA$3:$AA$199,MATCH($B162,DraftRosters!$AB$3:$AB$199,0))="Franchise","Franch",INDEX(DraftRosters!$AA$3:$AA$199,MATCH($B162,DraftRosters!$AB$3:$AB$199,0))))</f>
        <v>FA</v>
      </c>
      <c r="L162" s="507" t="n">
        <v>111</v>
      </c>
      <c r="M162" s="507" t="n">
        <v>83</v>
      </c>
      <c r="N162" s="507" t="n">
        <v>68</v>
      </c>
      <c r="O162" s="507" t="n">
        <v>92</v>
      </c>
      <c r="P162" s="507" t="n">
        <v>82</v>
      </c>
      <c r="Q162" s="508" t="n">
        <v>39</v>
      </c>
      <c r="R162" s="499" t="s">
        <v>907</v>
      </c>
      <c r="S162" s="501" t="s">
        <v>811</v>
      </c>
      <c r="T162" s="504" t="s">
        <v>959</v>
      </c>
      <c r="U162" s="505" t="s">
        <v>820</v>
      </c>
      <c r="V162" s="506" t="s">
        <v>934</v>
      </c>
      <c r="W162" s="500" t="str">
        <f aca="false">IFERROR(__xludf.dummyfunction("if(isna(SUM(FILTER(MatchSource!$A:$D,MatchSource!$A:$A=$B162))),0,SUM(FILTER(MatchSource!$A:$D,MatchSource!$A:$A=$B162)))"),"0")</f>
        <v>0</v>
      </c>
      <c r="X162" s="499" t="str">
        <f aca="false">IFERROR(__xludf.dummyfunction("if(isna(SUM(FILTER(MatchSource!$H:$K,MatchSource!$H:$H=$B162))),0,SUM(FILTER(MatchSource!$H:$K,MatchSource!$H:$H=$B162)))"),"0")</f>
        <v>0</v>
      </c>
      <c r="Y162" s="499" t="str">
        <f aca="false">IFERROR(__xludf.dummyfunction("if(isna(ABS(MINUS(SUM(FILTER(MatchSource!$A:$E,MatchSource!$A:$A=$B162)),SUM($W162)))),0,ABS(MINUS(SUM(FILTER(MatchSource!$A:$E,MatchSource!$A:$A=$B162)),SUM($W162))))"),"0")</f>
        <v>0</v>
      </c>
      <c r="Z162" s="499" t="str">
        <f aca="false">IFERROR(__xludf.dummyfunction("if(isna(ABS(MINUS(SUM(FILTER(MatchSource!$H:$L,MatchSource!$H:$H=$B162)),SUM($X162)))),0,ABS(MINUS(SUM(FILTER(MatchSource!$H:$L,MatchSource!$H:$H=$B162)),SUM($X162))))"),"0")</f>
        <v>0</v>
      </c>
      <c r="AA162" s="499" t="str">
        <f aca="false">IFERROR(__xludf.dummyfunction("if(isna(ABS(MINUS(SUM(FILTER(MatchSource!$A:$F,MatchSource!$A:$A=$B162)),SUM($W162,$Y162)))),0,ABS(MINUS(SUM(FILTER(MatchSource!$A:$F,MatchSource!$A:$A=$B162)),SUM($W162, $Y162,))))"),"0")</f>
        <v>0</v>
      </c>
      <c r="AB162" s="501" t="str">
        <f aca="false">IFERROR(__xludf.dummyfunction("if(isna(ABS(MINUS(SUM(FILTER(MatchSource!$H:$M,MatchSource!$H:$H=$B162)),SUM($X162,$Z162)))),0,ABS(MINUS(SUM(FILTER(MatchSource!$H:$M,MatchSource!$H:$H=$B162)),SUM($X162,$Z162))))"),"0")</f>
        <v>0</v>
      </c>
      <c r="AC162" s="507" t="n">
        <f aca="false">SUM(IF(OR($R162="Grass",$R162="Psychic",$R162="Dark"),0-1,IF(OR($R162="Fighting",$R162="Flying",$R162="Fire",$R162="Ghost",$R162="Poison",$R162="Steel",$R162="Fairy"),1,0)),IF(OR($S162="Grass",$S162="Psychic",$S162="Dark"),0-1,IF(OR($S162="Fighting",$S162="Flying",$S162="Fire",$S162="Ghost",$S162="Poison",$S162="Steel",$S162="Fairy"),1,0)))</f>
        <v>0</v>
      </c>
      <c r="AD162" s="507" t="n">
        <f aca="false">SUM(IF(OR($R162="Ghost",$R162="Psychic"),0-1,IF(OR($R162="Fighting",$R162="Dark",$R162="Fairy"),1,0)),IF(OR($S162="Ghost",$S162="Psychic"),0-1,IF(OR($S162="Fighting",$S162="Dark",$S162="Fairy"),1,0)))</f>
        <v>0</v>
      </c>
      <c r="AE162" s="507" t="n">
        <f aca="false">IF(OR($R162="Fairy",$S162="Fairy"),4,SUM(IF($R162="Dragon",0-1,IF($R162="Steel",1,0)),IF($S162="Dragon",0-1,IF($S162="Steel",1,0))))</f>
        <v>0</v>
      </c>
      <c r="AF162" s="507" t="n">
        <f aca="false">IF(OR($R162="Ground",$S162="Ground"),4,SUM(IF(OR($R162="Flying",$R162="Water"),0-1,IF(OR($R162="Dragon",$R162="Electric",$R162="Grass"),1,0)),IF(OR($S162="Flying",$S162="Water"),0-1,IF(OR($S162="Dragon",$S162="Electric",$S162="Grass"),1,0))))</f>
        <v>4</v>
      </c>
      <c r="AG162" s="507" t="n">
        <f aca="false">SUM(IF(OR($R162="Dark",$R162="Dragon",$R162="Fighting"),0-1,IF(OR($R162="Steel",$R162="Poison",$R162="Fire"),1,0)),IF(OR($S162="Dark",$S162="Dragon",$S162="Fighting"),0-1,IF(OR($S162="Steel",$S162="Poison",$S162="Fire"),1,0)))</f>
        <v>0</v>
      </c>
      <c r="AH162" s="507" t="n">
        <f aca="false">IF(OR($R162="Ghost",$S162="Ghost"),4,SUM(IF(OR($R162="Dark",$R162="Ice",$R162="Normal",$R162="Rock",$R162="Steel"),0-1,IF(OR($R162="Bug",$R162="Fairy",$R162="Flying",$R162="Poison",$R162="Psychic"),1,0)),IF(OR($S162="Dark",$S162="Ice",$S162="Normal",$S162="Rock",$S162="Steel"),0-1,IF(OR($S162="Bug",$S162="Fairy",$S162="Flying",$S162="Poison",$S162="Psychic"),1,0))))</f>
        <v>0</v>
      </c>
      <c r="AI162" s="507" t="n">
        <f aca="false">SUM(IF(OR($R162="Bug",$R162="Grass",$R162="Ice",$R162="Steel"),0-1,IF(OR($R162="Dragon",$R162="Fire",$R162="Rock",$R162="Water"),1,0)),IF(OR($S162="Bug",$S162="Grass",$S162="Ice",$S162="Steel"),0-1,IF(OR($S162="Dragon",$S162="Fire",$S162="Rock",$S162="Water"),1,0)))</f>
        <v>1</v>
      </c>
      <c r="AJ162" s="507" t="n">
        <f aca="false">SUM(IF(OR($R162="Bug",$R162="Grass",$R162="Fighting"),0-1,IF(OR($R162="Electric",$R162="Rock",$R162="Steel"),1,0)),IF(OR($S162="Bug",$S162="Grass",$S162="Fighting"),0-1,IF(OR($S162="Electric",$S162="Rock",$S162="Steel"),1,0)))</f>
        <v>0</v>
      </c>
      <c r="AK162" s="507" t="n">
        <f aca="false">IF(OR($R162="Normal",$S162="Normal"),4,SUM(IF(OR($R162="Ghost",$R162="Psychic"),0-1,IF($R162="Dark",1,0)),IF(OR($S162="Ghost",$S162="Psychic"),0-1,IF($S162="Dark",1,0))))</f>
        <v>0</v>
      </c>
      <c r="AL162" s="507" t="n">
        <f aca="false">SUM(IF(OR($R162="Ground",$R162="Rock",$R162="Water"),0-1,IF(OR($R162="Bug",$R162="Flying",$R162="Fire",$R162="Dragon",$R162="Poison",$R162="Steel",$R162="Grass"),1,0)),IF(OR($S162="Ground",$S162="Rock",$S162="Water"),0-1,IF(OR($S162="Bug",$S162="Flying",$S162="Fire",$S162="Dragon",$S162="Poison",$S162="Steel",$S162="Grass"),1,0)))</f>
        <v>-2</v>
      </c>
      <c r="AM162" s="507" t="n">
        <f aca="false">IF(OR($R162="Flying",$S162="Flying"),4,SUM(IF(OR($R162="Electric",$R162="Fire",$R162="Rock",$R162="Steel",$R162="Poison"),0-1,IF(OR($R162="Bug",$R162="Grass"),1,0)),IF(OR($S162="Electric",$S162="Fire",$S162="Rock",$S162="Steel",$S162="Poison"),0-1,IF(OR($S162="Bug",$S162="Grass"),1,0))))</f>
        <v>0</v>
      </c>
      <c r="AN162" s="507" t="n">
        <f aca="false">SUM(IF(OR($R162="Flying",$R162="Dragon",$R162="Grass",$R162="Ground"),0-1,IF(OR($R162="Steel",$R162="Ice",$R162="Fire",$R162="Water"),1,0)),IF(OR($S162="Flying",$S162="Dragon",$S162="Grass",$S162="Ground"),0-1,IF(OR($S162="Steel",$S162="Ice",$S162="Fire",$S162="Water"),1,0)))</f>
        <v>0</v>
      </c>
      <c r="AO162" s="507" t="n">
        <f aca="false">IF(OR($R162="Ghost",$S162="Ghost"),4,SUM(IF(OR($R162="Steel",$R162="Rock"),1,0),IF(OR($S162="Steel",$S162="Rock"),1,0)))</f>
        <v>0</v>
      </c>
      <c r="AP162" s="507" t="n">
        <f aca="false">IF(OR($R162="Steel",$S162="Steel"),4,SUM(IF(OR($R162="Fairy",$R162="Grass"),0-1,IF(OR($R162="Ghost",$R162="Rock",$R162="Ground",$R162="Poison"),1,0)),IF(OR($S162="Fairy",$S162="Grass"),0-1,IF(OR($S162="Ghost",$S162="Rock",$S162="Ground",$S162="Poison"),1,0))))</f>
        <v>1</v>
      </c>
      <c r="AQ162" s="507" t="n">
        <f aca="false">IF(OR($R162="Dark",$S162="Dark"),4,SUM(IF(OR($R162="Fighting",$R162="Poison"),0-1,IF(OR($R162="Psychic",$R162="Steel"),1,0)),IF(OR($S162="Fighting",$S162="Poison"),0-1,IF(OR($S162="Psychic",$S162="Steel"),1,0))))</f>
        <v>0</v>
      </c>
      <c r="AR162" s="507" t="n">
        <f aca="false">SUM(IF(OR($R162="Bug",$R162="Fire",$R162="Flying",$R162="Ice"),0-1,IF(OR($R162="Steel",$R162="Fighting",$R162="Ground"),1,0)),IF(OR($S162="Bug",$S162="Fire",$S162="Flying",$S162="Ice"),0-1,IF(OR($S162="Steel",$S162="Fighting",$S162="Ground"),1,0)))</f>
        <v>1</v>
      </c>
      <c r="AS162" s="507" t="n">
        <f aca="false">SUM(IF(OR($R162="Fairy",$R162="Ice",$R162="Rock"),0-1,IF(OR($R162="Steel",$R162="Electric",$R162="Fire",$R162="Water"),1,0)),IF(OR($S162="Fairy",$S162="Ice",$S162="Rock"),0-1,IF(OR($S162="Steel",$S162="Electric",$S162="Fire",$S162="Water"),1,0)))</f>
        <v>1</v>
      </c>
      <c r="AT162" s="508" t="n">
        <f aca="false">SUM(IF(OR($R162="Fire",$R162="Ground",$R162="Rock"),0-1,IF(OR($R162="Dragon",$R162="Grass",$R162="Water"),1,0)),IF(OR($S162="Fire",$S162="Ground",$S162="Rock"),0-1,IF(OR($S162="Dragon",$S162="Grass",$S162="Water"),1,0)))</f>
        <v>0</v>
      </c>
      <c r="AU162" s="518"/>
    </row>
    <row r="163" customFormat="false" ht="15.75" hidden="false" customHeight="false" outlineLevel="0" collapsed="false">
      <c r="A163" s="510" t="str">
        <f aca="false" t="array" ref="A163:A163">IF(ISNA(INDEX(Source!$U$7:$U$95,MATCH(B163,Source!$V$7:$V$95,0))),"FREE",INDEX(Source!$U$7:$U$95,MATCH(B163,Source!$V$7:$V$95,0)))</f>
        <v>FREE</v>
      </c>
      <c r="B163" s="511" t="s">
        <v>978</v>
      </c>
      <c r="C163" s="511"/>
      <c r="D163" s="511"/>
      <c r="E163" s="499" t="str">
        <f aca="false">IF(SUM($W163:$X163)&gt;0,SUM($W163:$X163),IF($H163&gt;0,0,IF($H163&gt;0,0,"-")))</f>
        <v>-</v>
      </c>
      <c r="F163" s="499" t="str">
        <f aca="false">IF(SUM($Y163:$Z163)&gt;0,SUM($Y163:$Z163),IF($H163&gt;0,0,"-"))</f>
        <v>-</v>
      </c>
      <c r="G163" s="499" t="str">
        <f aca="false">IF($H163&gt;0,minus(E163,F163),"-")</f>
        <v>-</v>
      </c>
      <c r="H163" s="500" t="n">
        <f aca="false">SUM(COUNTIF(MatchSource!$A:$A,$B163),COUNTIF(MatchSource!$H:$H,$B163))</f>
        <v>0</v>
      </c>
      <c r="I163" s="501" t="n">
        <f aca="false">SUM($AA163:$AB163)</f>
        <v>0</v>
      </c>
      <c r="J163" s="501" t="s">
        <v>888</v>
      </c>
      <c r="K163" s="512" t="str">
        <f aca="false" t="array" ref="K163:K163">IF(ISNA(INDEX(DraftRosters!$AA$3:$AA$199,MATCH($B163,DraftRosters!$AB$3:$AB$199,0))),"FA",IF(INDEX(DraftRosters!$AA$3:$AA$199,MATCH($B163,DraftRosters!$AB$3:$AB$199,0))="Franchise","Franch",INDEX(DraftRosters!$AA$3:$AA$199,MATCH($B163,DraftRosters!$AB$3:$AB$199,0))))</f>
        <v>FA</v>
      </c>
      <c r="L163" s="507" t="n">
        <v>71</v>
      </c>
      <c r="M163" s="507" t="n">
        <v>120</v>
      </c>
      <c r="N163" s="507" t="n">
        <v>95</v>
      </c>
      <c r="O163" s="507" t="n">
        <v>120</v>
      </c>
      <c r="P163" s="507" t="n">
        <v>95</v>
      </c>
      <c r="Q163" s="508" t="n">
        <v>99</v>
      </c>
      <c r="R163" s="499" t="s">
        <v>810</v>
      </c>
      <c r="S163" s="501" t="s">
        <v>794</v>
      </c>
      <c r="T163" s="504" t="s">
        <v>979</v>
      </c>
      <c r="U163" s="505"/>
      <c r="V163" s="506"/>
      <c r="W163" s="500" t="str">
        <f aca="false">IFERROR(__xludf.dummyfunction("if(isna(SUM(FILTER(MatchSource!$A:$D,MatchSource!$A:$A=$B163))),0,SUM(FILTER(MatchSource!$A:$D,MatchSource!$A:$A=$B163)))"),"0")</f>
        <v>0</v>
      </c>
      <c r="X163" s="499" t="str">
        <f aca="false">IFERROR(__xludf.dummyfunction("if(isna(SUM(FILTER(MatchSource!$H:$K,MatchSource!$H:$H=$B163))),0,SUM(FILTER(MatchSource!$H:$K,MatchSource!$H:$H=$B163)))"),"0")</f>
        <v>0</v>
      </c>
      <c r="Y163" s="499" t="str">
        <f aca="false">IFERROR(__xludf.dummyfunction("if(isna(ABS(MINUS(SUM(FILTER(MatchSource!$A:$E,MatchSource!$A:$A=$B163)),SUM($W163)))),0,ABS(MINUS(SUM(FILTER(MatchSource!$A:$E,MatchSource!$A:$A=$B163)),SUM($W163))))"),"0")</f>
        <v>0</v>
      </c>
      <c r="Z163" s="499" t="str">
        <f aca="false">IFERROR(__xludf.dummyfunction("if(isna(ABS(MINUS(SUM(FILTER(MatchSource!$H:$L,MatchSource!$H:$H=$B163)),SUM($X163)))),0,ABS(MINUS(SUM(FILTER(MatchSource!$H:$L,MatchSource!$H:$H=$B163)),SUM($X163))))"),"0")</f>
        <v>0</v>
      </c>
      <c r="AA163" s="499" t="str">
        <f aca="false">IFERROR(__xludf.dummyfunction("if(isna(ABS(MINUS(SUM(FILTER(MatchSource!$A:$F,MatchSource!$A:$A=$B163)),SUM($W163,$Y163)))),0,ABS(MINUS(SUM(FILTER(MatchSource!$A:$F,MatchSource!$A:$A=$B163)),SUM($W163, $Y163,))))"),"0")</f>
        <v>0</v>
      </c>
      <c r="AB163" s="501" t="str">
        <f aca="false">IFERROR(__xludf.dummyfunction("if(isna(ABS(MINUS(SUM(FILTER(MatchSource!$H:$M,MatchSource!$H:$H=$B163)),SUM($X163,$Z163)))),0,ABS(MINUS(SUM(FILTER(MatchSource!$H:$M,MatchSource!$H:$H=$B163)),SUM($X163,$Z163))))"),"0")</f>
        <v>0</v>
      </c>
      <c r="AC163" s="507" t="n">
        <f aca="false">SUM(IF(OR($R163="Grass",$R163="Psychic",$R163="Dark"),0-1,IF(OR($R163="Fighting",$R163="Flying",$R163="Fire",$R163="Ghost",$R163="Poison",$R163="Steel",$R163="Fairy"),1,0)),IF(OR($S163="Grass",$S163="Psychic",$S163="Dark"),0-1,IF(OR($S163="Fighting",$S163="Flying",$S163="Fire",$S163="Ghost",$S163="Poison",$S163="Steel",$S163="Fairy"),1,0)))</f>
        <v>1</v>
      </c>
      <c r="AD163" s="507" t="n">
        <f aca="false">SUM(IF(OR($R163="Ghost",$R163="Psychic"),0-1,IF(OR($R163="Fighting",$R163="Dark",$R163="Fairy"),1,0)),IF(OR($S163="Ghost",$S163="Psychic"),0-1,IF(OR($S163="Fighting",$S163="Dark",$S163="Fairy"),1,0)))</f>
        <v>0</v>
      </c>
      <c r="AE163" s="507" t="n">
        <f aca="false">IF(OR($R163="Fairy",$S163="Fairy"),4,SUM(IF($R163="Dragon",0-1,IF($R163="Steel",1,0)),IF($S163="Dragon",0-1,IF($S163="Steel",1,0))))</f>
        <v>1</v>
      </c>
      <c r="AF163" s="507" t="n">
        <f aca="false">IF(OR($R163="Ground",$S163="Ground"),4,SUM(IF(OR($R163="Flying",$R163="Water"),0-1,IF(OR($R163="Dragon",$R163="Electric",$R163="Grass"),1,0)),IF(OR($S163="Flying",$S163="Water"),0-1,IF(OR($S163="Dragon",$S163="Electric",$S163="Grass"),1,0))))</f>
        <v>0</v>
      </c>
      <c r="AG163" s="507" t="n">
        <f aca="false">SUM(IF(OR($R163="Dark",$R163="Dragon",$R163="Fighting"),0-1,IF(OR($R163="Steel",$R163="Poison",$R163="Fire"),1,0)),IF(OR($S163="Dark",$S163="Dragon",$S163="Fighting"),0-1,IF(OR($S163="Steel",$S163="Poison",$S163="Fire"),1,0)))</f>
        <v>1</v>
      </c>
      <c r="AH163" s="507" t="n">
        <f aca="false">IF(OR($R163="Ghost",$S163="Ghost"),4,SUM(IF(OR($R163="Dark",$R163="Ice",$R163="Normal",$R163="Rock",$R163="Steel"),0-1,IF(OR($R163="Bug",$R163="Fairy",$R163="Flying",$R163="Poison",$R163="Psychic"),1,0)),IF(OR($S163="Dark",$S163="Ice",$S163="Normal",$S163="Rock",$S163="Steel"),0-1,IF(OR($S163="Bug",$S163="Fairy",$S163="Flying",$S163="Poison",$S163="Psychic"),1,0))))</f>
        <v>0</v>
      </c>
      <c r="AI163" s="507" t="n">
        <f aca="false">SUM(IF(OR($R163="Bug",$R163="Grass",$R163="Ice",$R163="Steel"),0-1,IF(OR($R163="Dragon",$R163="Fire",$R163="Rock",$R163="Water"),1,0)),IF(OR($S163="Bug",$S163="Grass",$S163="Ice",$S163="Steel"),0-1,IF(OR($S163="Dragon",$S163="Fire",$S163="Rock",$S163="Water"),1,0)))</f>
        <v>-2</v>
      </c>
      <c r="AJ163" s="507" t="n">
        <f aca="false">SUM(IF(OR($R163="Bug",$R163="Grass",$R163="Fighting"),0-1,IF(OR($R163="Electric",$R163="Rock",$R163="Steel"),1,0)),IF(OR($S163="Bug",$S163="Grass",$S163="Fighting"),0-1,IF(OR($S163="Electric",$S163="Rock",$S163="Steel"),1,0)))</f>
        <v>0</v>
      </c>
      <c r="AK163" s="507" t="n">
        <f aca="false">IF(OR($R163="Normal",$S163="Normal"),4,SUM(IF(OR($R163="Ghost",$R163="Psychic"),0-1,IF($R163="Dark",1,0)),IF(OR($S163="Ghost",$S163="Psychic"),0-1,IF($S163="Dark",1,0))))</f>
        <v>0</v>
      </c>
      <c r="AL163" s="507" t="n">
        <f aca="false">SUM(IF(OR($R163="Ground",$R163="Rock",$R163="Water"),0-1,IF(OR($R163="Bug",$R163="Flying",$R163="Fire",$R163="Dragon",$R163="Poison",$R163="Steel",$R163="Grass"),1,0)),IF(OR($S163="Ground",$S163="Rock",$S163="Water"),0-1,IF(OR($S163="Bug",$S163="Flying",$S163="Fire",$S163="Dragon",$S163="Poison",$S163="Steel",$S163="Grass"),1,0)))</f>
        <v>2</v>
      </c>
      <c r="AM163" s="507" t="n">
        <f aca="false">IF(OR($R163="Flying",$S163="Flying"),4,SUM(IF(OR($R163="Electric",$R163="Fire",$R163="Rock",$R163="Steel",$R163="Poison"),0-1,IF(OR($R163="Bug",$R163="Grass"),1,0)),IF(OR($S163="Electric",$S163="Fire",$S163="Rock",$S163="Steel",$S163="Poison"),0-1,IF(OR($S163="Bug",$S163="Grass"),1,0))))</f>
        <v>0</v>
      </c>
      <c r="AN163" s="507" t="n">
        <f aca="false">SUM(IF(OR($R163="Flying",$R163="Dragon",$R163="Grass",$R163="Ground"),0-1,IF(OR($R163="Steel",$R163="Ice",$R163="Fire",$R163="Water"),1,0)),IF(OR($S163="Flying",$S163="Dragon",$S163="Grass",$S163="Ground"),0-1,IF(OR($S163="Steel",$S163="Ice",$S163="Fire",$S163="Water"),1,0)))</f>
        <v>1</v>
      </c>
      <c r="AO163" s="507" t="n">
        <f aca="false">IF(OR($R163="Ghost",$S163="Ghost"),4,SUM(IF(OR($R163="Steel",$R163="Rock"),1,0),IF(OR($S163="Steel",$S163="Rock"),1,0)))</f>
        <v>1</v>
      </c>
      <c r="AP163" s="507" t="n">
        <f aca="false">IF(OR($R163="Steel",$S163="Steel"),4,SUM(IF(OR($R163="Fairy",$R163="Grass"),0-1,IF(OR($R163="Ghost",$R163="Rock",$R163="Ground",$R163="Poison"),1,0)),IF(OR($S163="Fairy",$S163="Grass"),0-1,IF(OR($S163="Ghost",$S163="Rock",$S163="Ground",$S163="Poison"),1,0))))</f>
        <v>4</v>
      </c>
      <c r="AQ163" s="507" t="n">
        <f aca="false">IF(OR($R163="Dark",$S163="Dark"),4,SUM(IF(OR($R163="Fighting",$R163="Poison"),0-1,IF(OR($R163="Psychic",$R163="Steel"),1,0)),IF(OR($S163="Fighting",$S163="Poison"),0-1,IF(OR($S163="Psychic",$S163="Steel"),1,0))))</f>
        <v>1</v>
      </c>
      <c r="AR163" s="507" t="n">
        <f aca="false">SUM(IF(OR($R163="Bug",$R163="Fire",$R163="Flying",$R163="Ice"),0-1,IF(OR($R163="Steel",$R163="Fighting",$R163="Ground"),1,0)),IF(OR($S163="Bug",$S163="Fire",$S163="Flying",$S163="Ice"),0-1,IF(OR($S163="Steel",$S163="Fighting",$S163="Ground"),1,0)))</f>
        <v>0</v>
      </c>
      <c r="AS163" s="507" t="n">
        <f aca="false">SUM(IF(OR($R163="Fairy",$R163="Ice",$R163="Rock"),0-1,IF(OR($R163="Steel",$R163="Electric",$R163="Fire",$R163="Water"),1,0)),IF(OR($S163="Fairy",$S163="Ice",$S163="Rock"),0-1,IF(OR($S163="Steel",$S163="Electric",$S163="Fire",$S163="Water"),1,0)))</f>
        <v>1</v>
      </c>
      <c r="AT163" s="508" t="n">
        <f aca="false">SUM(IF(OR($R163="Fire",$R163="Ground",$R163="Rock"),0-1,IF(OR($R163="Dragon",$R163="Grass",$R163="Water"),1,0)),IF(OR($S163="Fire",$S163="Ground",$S163="Rock"),0-1,IF(OR($S163="Dragon",$S163="Grass",$S163="Water"),1,0)))</f>
        <v>0</v>
      </c>
      <c r="AU163" s="518"/>
    </row>
    <row r="164" customFormat="false" ht="15.75" hidden="false" customHeight="false" outlineLevel="0" collapsed="false">
      <c r="A164" s="515" t="str">
        <f aca="false" t="array" ref="A164:A164">IF(ISNA(INDEX(Source!$U$7:$U$95,MATCH(B164,Source!$V$7:$V$95,0))),"FREE",INDEX(Source!$U$7:$U$95,MATCH(B164,Source!$V$7:$V$95,0)))</f>
        <v>FREE</v>
      </c>
      <c r="B164" s="511" t="s">
        <v>388</v>
      </c>
      <c r="C164" s="511"/>
      <c r="D164" s="511"/>
      <c r="E164" s="499" t="str">
        <f aca="false">IF(SUM($W164:$X164)&gt;0,SUM($W164:$X164),IF($H164&gt;0,0,IF($H164&gt;0,0,"-")))</f>
        <v>-</v>
      </c>
      <c r="F164" s="499" t="str">
        <f aca="false">IF(SUM($Y164:$Z164)&gt;0,SUM($Y164:$Z164),IF($H164&gt;0,0,"-"))</f>
        <v>-</v>
      </c>
      <c r="G164" s="499" t="str">
        <f aca="false">IF($H164&gt;0,minus(E164,F164),"-")</f>
        <v>-</v>
      </c>
      <c r="H164" s="500" t="n">
        <f aca="false">SUM(COUNTIF(MatchSource!$A:$A,$B164),COUNTIF(MatchSource!$H:$H,$B164))</f>
        <v>0</v>
      </c>
      <c r="I164" s="501" t="n">
        <f aca="false">SUM($AA164:$AB164)</f>
        <v>0</v>
      </c>
      <c r="J164" s="501" t="s">
        <v>699</v>
      </c>
      <c r="K164" s="512" t="str">
        <f aca="false" t="array" ref="K164:K164">IF(ISNA(INDEX(DraftRosters!$AA$3:$AA$199,MATCH($B164,DraftRosters!$AB$3:$AB$199,0))),"FA",IF(INDEX(DraftRosters!$AA$3:$AA$199,MATCH($B164,DraftRosters!$AB$3:$AB$199,0))="Franchise","Franch",INDEX(DraftRosters!$AA$3:$AA$199,MATCH($B164,DraftRosters!$AB$3:$AB$199,0))))</f>
        <v>FA</v>
      </c>
      <c r="L164" s="507" t="n">
        <v>60</v>
      </c>
      <c r="M164" s="507" t="n">
        <v>65</v>
      </c>
      <c r="N164" s="507" t="n">
        <v>60</v>
      </c>
      <c r="O164" s="507" t="n">
        <v>130</v>
      </c>
      <c r="P164" s="507" t="n">
        <v>75</v>
      </c>
      <c r="Q164" s="508" t="n">
        <v>110</v>
      </c>
      <c r="R164" s="499" t="s">
        <v>802</v>
      </c>
      <c r="S164" s="501" t="s">
        <v>843</v>
      </c>
      <c r="T164" s="504" t="s">
        <v>870</v>
      </c>
      <c r="U164" s="505"/>
      <c r="V164" s="506"/>
      <c r="W164" s="500" t="str">
        <f aca="false">IFERROR(__xludf.dummyfunction("if(isna(SUM(FILTER(MatchSource!$A:$D,MatchSource!$A:$A=$B164))),0,SUM(FILTER(MatchSource!$A:$D,MatchSource!$A:$A=$B164)))"),"0")</f>
        <v>0</v>
      </c>
      <c r="X164" s="499" t="str">
        <f aca="false">IFERROR(__xludf.dummyfunction("if(isna(SUM(FILTER(MatchSource!$H:$K,MatchSource!$H:$H=$B164))),0,SUM(FILTER(MatchSource!$H:$K,MatchSource!$H:$H=$B164)))"),"0")</f>
        <v>0</v>
      </c>
      <c r="Y164" s="499" t="str">
        <f aca="false">IFERROR(__xludf.dummyfunction("if(isna(ABS(MINUS(SUM(FILTER(MatchSource!$A:$E,MatchSource!$A:$A=$B164)),SUM($W164)))),0,ABS(MINUS(SUM(FILTER(MatchSource!$A:$E,MatchSource!$A:$A=$B164)),SUM($W164))))"),"0")</f>
        <v>0</v>
      </c>
      <c r="Z164" s="499" t="str">
        <f aca="false">IFERROR(__xludf.dummyfunction("if(isna(ABS(MINUS(SUM(FILTER(MatchSource!$H:$L,MatchSource!$H:$H=$B164)),SUM($X164)))),0,ABS(MINUS(SUM(FILTER(MatchSource!$H:$L,MatchSource!$H:$H=$B164)),SUM($X164))))"),"0")</f>
        <v>0</v>
      </c>
      <c r="AA164" s="499" t="str">
        <f aca="false">IFERROR(__xludf.dummyfunction("if(isna(ABS(MINUS(SUM(FILTER(MatchSource!$A:$F,MatchSource!$A:$A=$B164)),SUM($W164,$Y164)))),0,ABS(MINUS(SUM(FILTER(MatchSource!$A:$F,MatchSource!$A:$A=$B164)),SUM($W164, $Y164,))))"),"0")</f>
        <v>0</v>
      </c>
      <c r="AB164" s="501" t="str">
        <f aca="false">IFERROR(__xludf.dummyfunction("if(isna(ABS(MINUS(SUM(FILTER(MatchSource!$H:$M,MatchSource!$H:$H=$B164)),SUM($X164,$Z164)))),0,ABS(MINUS(SUM(FILTER(MatchSource!$H:$M,MatchSource!$H:$H=$B164)),SUM($X164,$Z164))))"),"0")</f>
        <v>0</v>
      </c>
      <c r="AC164" s="507" t="n">
        <f aca="false">SUM(IF(OR($R164="Grass",$R164="Psychic",$R164="Dark"),0-1,IF(OR($R164="Fighting",$R164="Flying",$R164="Fire",$R164="Ghost",$R164="Poison",$R164="Steel",$R164="Fairy"),1,0)),IF(OR($S164="Grass",$S164="Psychic",$S164="Dark"),0-1,IF(OR($S164="Fighting",$S164="Flying",$S164="Fire",$S164="Ghost",$S164="Poison",$S164="Steel",$S164="Fairy"),1,0)))</f>
        <v>2</v>
      </c>
      <c r="AD164" s="507" t="n">
        <f aca="false">SUM(IF(OR($R164="Ghost",$R164="Psychic"),0-1,IF(OR($R164="Fighting",$R164="Dark",$R164="Fairy"),1,0)),IF(OR($S164="Ghost",$S164="Psychic"),0-1,IF(OR($S164="Fighting",$S164="Dark",$S164="Fairy"),1,0)))</f>
        <v>-1</v>
      </c>
      <c r="AE164" s="507" t="n">
        <f aca="false">IF(OR($R164="Fairy",$S164="Fairy"),4,SUM(IF($R164="Dragon",0-1,IF($R164="Steel",1,0)),IF($S164="Dragon",0-1,IF($S164="Steel",1,0))))</f>
        <v>0</v>
      </c>
      <c r="AF164" s="507" t="n">
        <f aca="false">IF(OR($R164="Ground",$S164="Ground"),4,SUM(IF(OR($R164="Flying",$R164="Water"),0-1,IF(OR($R164="Dragon",$R164="Electric",$R164="Grass"),1,0)),IF(OR($S164="Flying",$S164="Water"),0-1,IF(OR($S164="Dragon",$S164="Electric",$S164="Grass"),1,0))))</f>
        <v>0</v>
      </c>
      <c r="AG164" s="507" t="n">
        <f aca="false">SUM(IF(OR($R164="Dark",$R164="Dragon",$R164="Fighting"),0-1,IF(OR($R164="Steel",$R164="Poison",$R164="Fire"),1,0)),IF(OR($S164="Dark",$S164="Dragon",$S164="Fighting"),0-1,IF(OR($S164="Steel",$S164="Poison",$S164="Fire"),1,0)))</f>
        <v>1</v>
      </c>
      <c r="AH164" s="507" t="n">
        <f aca="false">IF(OR($R164="Ghost",$S164="Ghost"),4,SUM(IF(OR($R164="Dark",$R164="Ice",$R164="Normal",$R164="Rock",$R164="Steel"),0-1,IF(OR($R164="Bug",$R164="Fairy",$R164="Flying",$R164="Poison",$R164="Psychic"),1,0)),IF(OR($S164="Dark",$S164="Ice",$S164="Normal",$S164="Rock",$S164="Steel"),0-1,IF(OR($S164="Bug",$S164="Fairy",$S164="Flying",$S164="Poison",$S164="Psychic"),1,0))))</f>
        <v>4</v>
      </c>
      <c r="AI164" s="507" t="n">
        <f aca="false">SUM(IF(OR($R164="Bug",$R164="Grass",$R164="Ice",$R164="Steel"),0-1,IF(OR($R164="Dragon",$R164="Fire",$R164="Rock",$R164="Water"),1,0)),IF(OR($S164="Bug",$S164="Grass",$S164="Ice",$S164="Steel"),0-1,IF(OR($S164="Dragon",$S164="Fire",$S164="Rock",$S164="Water"),1,0)))</f>
        <v>0</v>
      </c>
      <c r="AJ164" s="507" t="n">
        <f aca="false">SUM(IF(OR($R164="Bug",$R164="Grass",$R164="Fighting"),0-1,IF(OR($R164="Electric",$R164="Rock",$R164="Steel"),1,0)),IF(OR($S164="Bug",$S164="Grass",$S164="Fighting"),0-1,IF(OR($S164="Electric",$S164="Rock",$S164="Steel"),1,0)))</f>
        <v>0</v>
      </c>
      <c r="AK164" s="507" t="n">
        <f aca="false">IF(OR($R164="Normal",$S164="Normal"),4,SUM(IF(OR($R164="Ghost",$R164="Psychic"),0-1,IF($R164="Dark",1,0)),IF(OR($S164="Ghost",$S164="Psychic"),0-1,IF($S164="Dark",1,0))))</f>
        <v>-1</v>
      </c>
      <c r="AL164" s="507" t="n">
        <f aca="false">SUM(IF(OR($R164="Ground",$R164="Rock",$R164="Water"),0-1,IF(OR($R164="Bug",$R164="Flying",$R164="Fire",$R164="Dragon",$R164="Poison",$R164="Steel",$R164="Grass"),1,0)),IF(OR($S164="Ground",$S164="Rock",$S164="Water"),0-1,IF(OR($S164="Bug",$S164="Flying",$S164="Fire",$S164="Dragon",$S164="Poison",$S164="Steel",$S164="Grass"),1,0)))</f>
        <v>1</v>
      </c>
      <c r="AM164" s="507" t="n">
        <f aca="false">IF(OR($R164="Flying",$S164="Flying"),4,SUM(IF(OR($R164="Electric",$R164="Fire",$R164="Rock",$R164="Steel",$R164="Poison"),0-1,IF(OR($R164="Bug",$R164="Grass"),1,0)),IF(OR($S164="Electric",$S164="Fire",$S164="Rock",$S164="Steel",$S164="Poison"),0-1,IF(OR($S164="Bug",$S164="Grass"),1,0))))</f>
        <v>-1</v>
      </c>
      <c r="AN164" s="507" t="n">
        <f aca="false">SUM(IF(OR($R164="Flying",$R164="Dragon",$R164="Grass",$R164="Ground"),0-1,IF(OR($R164="Steel",$R164="Ice",$R164="Fire",$R164="Water"),1,0)),IF(OR($S164="Flying",$S164="Dragon",$S164="Grass",$S164="Ground"),0-1,IF(OR($S164="Steel",$S164="Ice",$S164="Fire",$S164="Water"),1,0)))</f>
        <v>0</v>
      </c>
      <c r="AO164" s="507" t="n">
        <f aca="false">IF(OR($R164="Ghost",$S164="Ghost"),4,SUM(IF(OR($R164="Steel",$R164="Rock"),1,0),IF(OR($S164="Steel",$S164="Rock"),1,0)))</f>
        <v>4</v>
      </c>
      <c r="AP164" s="507" t="n">
        <f aca="false">IF(OR($R164="Steel",$S164="Steel"),4,SUM(IF(OR($R164="Fairy",$R164="Grass"),0-1,IF(OR($R164="Ghost",$R164="Rock",$R164="Ground",$R164="Poison"),1,0)),IF(OR($S164="Fairy",$S164="Grass"),0-1,IF(OR($S164="Ghost",$S164="Rock",$S164="Ground",$S164="Poison"),1,0))))</f>
        <v>2</v>
      </c>
      <c r="AQ164" s="507" t="n">
        <f aca="false">IF(OR($R164="Dark",$S164="Dark"),4,SUM(IF(OR($R164="Fighting",$R164="Poison"),0-1,IF(OR($R164="Psychic",$R164="Steel"),1,0)),IF(OR($S164="Fighting",$S164="Poison"),0-1,IF(OR($S164="Psychic",$S164="Steel"),1,0))))</f>
        <v>-1</v>
      </c>
      <c r="AR164" s="507" t="n">
        <f aca="false">SUM(IF(OR($R164="Bug",$R164="Fire",$R164="Flying",$R164="Ice"),0-1,IF(OR($R164="Steel",$R164="Fighting",$R164="Ground"),1,0)),IF(OR($S164="Bug",$S164="Fire",$S164="Flying",$S164="Ice"),0-1,IF(OR($S164="Steel",$S164="Fighting",$S164="Ground"),1,0)))</f>
        <v>0</v>
      </c>
      <c r="AS164" s="507" t="n">
        <f aca="false">SUM(IF(OR($R164="Fairy",$R164="Ice",$R164="Rock"),0-1,IF(OR($R164="Steel",$R164="Electric",$R164="Fire",$R164="Water"),1,0)),IF(OR($S164="Fairy",$S164="Ice",$S164="Rock"),0-1,IF(OR($S164="Steel",$S164="Electric",$S164="Fire",$S164="Water"),1,0)))</f>
        <v>0</v>
      </c>
      <c r="AT164" s="508" t="n">
        <f aca="false">SUM(IF(OR($R164="Fire",$R164="Ground",$R164="Rock"),0-1,IF(OR($R164="Dragon",$R164="Grass",$R164="Water"),1,0)),IF(OR($S164="Fire",$S164="Ground",$S164="Rock"),0-1,IF(OR($S164="Dragon",$S164="Grass",$S164="Water"),1,0)))</f>
        <v>0</v>
      </c>
      <c r="AU164" s="518"/>
    </row>
    <row r="165" customFormat="false" ht="15.75" hidden="false" customHeight="false" outlineLevel="0" collapsed="false">
      <c r="A165" s="515" t="str">
        <f aca="false" t="array" ref="A165:A165">IF(ISNA(INDEX(Source!$U$7:$U$95,MATCH(B165,Source!$V$7:$V$95,0))),"FREE",INDEX(Source!$U$7:$U$95,MATCH(B165,Source!$V$7:$V$95,0)))</f>
        <v>FREE</v>
      </c>
      <c r="B165" s="511" t="s">
        <v>433</v>
      </c>
      <c r="C165" s="511"/>
      <c r="D165" s="511"/>
      <c r="E165" s="499" t="str">
        <f aca="false">IF(SUM($W165:$X165)&gt;0,SUM($W165:$X165),IF($H165&gt;0,0,IF($H165&gt;0,0,"-")))</f>
        <v>-</v>
      </c>
      <c r="F165" s="499" t="str">
        <f aca="false">IF(SUM($Y165:$Z165)&gt;0,SUM($Y165:$Z165),IF($H165&gt;0,0,"-"))</f>
        <v>-</v>
      </c>
      <c r="G165" s="499" t="str">
        <f aca="false">IF($H165&gt;0,minus(E165,F165),"-")</f>
        <v>-</v>
      </c>
      <c r="H165" s="500" t="n">
        <f aca="false">SUM(COUNTIF(MatchSource!$A:$A,$B165),COUNTIF(MatchSource!$H:$H,$B165))</f>
        <v>0</v>
      </c>
      <c r="I165" s="501" t="n">
        <f aca="false">SUM($AA165:$AB165)</f>
        <v>0</v>
      </c>
      <c r="J165" s="501" t="s">
        <v>700</v>
      </c>
      <c r="K165" s="512" t="str">
        <f aca="false" t="array" ref="K165:K165">IF(ISNA(INDEX(DraftRosters!$AA$3:$AA$199,MATCH($B165,DraftRosters!$AB$3:$AB$199,0))),"FA",IF(INDEX(DraftRosters!$AA$3:$AA$199,MATCH($B165,DraftRosters!$AB$3:$AB$199,0))="Franchise","Franch",INDEX(DraftRosters!$AA$3:$AA$199,MATCH($B165,DraftRosters!$AB$3:$AB$199,0))))</f>
        <v>FA</v>
      </c>
      <c r="L165" s="499" t="n">
        <v>85</v>
      </c>
      <c r="M165" s="499" t="n">
        <v>135</v>
      </c>
      <c r="N165" s="499" t="n">
        <v>130</v>
      </c>
      <c r="O165" s="499" t="n">
        <v>60</v>
      </c>
      <c r="P165" s="499" t="n">
        <v>80</v>
      </c>
      <c r="Q165" s="501" t="n">
        <v>25</v>
      </c>
      <c r="R165" s="499" t="s">
        <v>809</v>
      </c>
      <c r="S165" s="501"/>
      <c r="T165" s="504" t="s">
        <v>959</v>
      </c>
      <c r="U165" s="505" t="s">
        <v>826</v>
      </c>
      <c r="V165" s="506" t="s">
        <v>980</v>
      </c>
      <c r="W165" s="500" t="str">
        <f aca="false">IFERROR(__xludf.dummyfunction("if(isna(SUM(FILTER(MatchSource!$A:$D,MatchSource!$A:$A=$B165))),0,SUM(FILTER(MatchSource!$A:$D,MatchSource!$A:$A=$B165)))"),"0")</f>
        <v>0</v>
      </c>
      <c r="X165" s="499" t="str">
        <f aca="false">IFERROR(__xludf.dummyfunction("if(isna(SUM(FILTER(MatchSource!$H:$K,MatchSource!$H:$H=$B165))),0,SUM(FILTER(MatchSource!$H:$K,MatchSource!$H:$H=$B165)))"),"0")</f>
        <v>0</v>
      </c>
      <c r="Y165" s="499" t="str">
        <f aca="false">IFERROR(__xludf.dummyfunction("if(isna(ABS(MINUS(SUM(FILTER(MatchSource!$A:$E,MatchSource!$A:$A=$B165)),SUM($W165)))),0,ABS(MINUS(SUM(FILTER(MatchSource!$A:$E,MatchSource!$A:$A=$B165)),SUM($W165))))"),"0")</f>
        <v>0</v>
      </c>
      <c r="Z165" s="499" t="str">
        <f aca="false">IFERROR(__xludf.dummyfunction("if(isna(ABS(MINUS(SUM(FILTER(MatchSource!$H:$L,MatchSource!$H:$H=$B165)),SUM($X165)))),0,ABS(MINUS(SUM(FILTER(MatchSource!$H:$L,MatchSource!$H:$H=$B165)),SUM($X165))))"),"0")</f>
        <v>0</v>
      </c>
      <c r="AA165" s="499" t="str">
        <f aca="false">IFERROR(__xludf.dummyfunction("if(isna(ABS(MINUS(SUM(FILTER(MatchSource!$A:$F,MatchSource!$A:$A=$B165)),SUM($W165,$Y165)))),0,ABS(MINUS(SUM(FILTER(MatchSource!$A:$F,MatchSource!$A:$A=$B165)),SUM($W165, $Y165,))))"),"0")</f>
        <v>0</v>
      </c>
      <c r="AB165" s="501" t="str">
        <f aca="false">IFERROR(__xludf.dummyfunction("if(isna(ABS(MINUS(SUM(FILTER(MatchSource!$H:$M,MatchSource!$H:$H=$B165)),SUM($X165,$Z165)))),0,ABS(MINUS(SUM(FILTER(MatchSource!$H:$M,MatchSource!$H:$H=$B165)),SUM($X165,$Z165))))"),"0")</f>
        <v>0</v>
      </c>
      <c r="AC165" s="507" t="n">
        <f aca="false">SUM(IF(OR($R165="Grass",$R165="Psychic",$R165="Dark"),0-1,IF(OR($R165="Fighting",$R165="Flying",$R165="Fire",$R165="Ghost",$R165="Poison",$R165="Steel",$R165="Fairy"),1,0)),IF(OR($S165="Grass",$S165="Psychic",$S165="Dark"),0-1,IF(OR($S165="Fighting",$S165="Flying",$S165="Fire",$S165="Ghost",$S165="Poison",$S165="Steel",$S165="Fairy"),1,0)))</f>
        <v>0</v>
      </c>
      <c r="AD165" s="507" t="n">
        <f aca="false">SUM(IF(OR($R165="Ghost",$R165="Psychic"),0-1,IF(OR($R165="Fighting",$R165="Dark",$R165="Fairy"),1,0)),IF(OR($S165="Ghost",$S165="Psychic"),0-1,IF(OR($S165="Fighting",$S165="Dark",$S165="Fairy"),1,0)))</f>
        <v>0</v>
      </c>
      <c r="AE165" s="507" t="n">
        <f aca="false">IF(OR($R165="Fairy",$S165="Fairy"),4,SUM(IF($R165="Dragon",0-1,IF($R165="Steel",1,0)),IF($S165="Dragon",0-1,IF($S165="Steel",1,0))))</f>
        <v>0</v>
      </c>
      <c r="AF165" s="507" t="n">
        <f aca="false">IF(OR($R165="Ground",$S165="Ground"),4,SUM(IF(OR($R165="Flying",$R165="Water"),0-1,IF(OR($R165="Dragon",$R165="Electric",$R165="Grass"),1,0)),IF(OR($S165="Flying",$S165="Water"),0-1,IF(OR($S165="Dragon",$S165="Electric",$S165="Grass"),1,0))))</f>
        <v>0</v>
      </c>
      <c r="AG165" s="507" t="n">
        <f aca="false">SUM(IF(OR($R165="Dark",$R165="Dragon",$R165="Fighting"),0-1,IF(OR($R165="Steel",$R165="Poison",$R165="Fire"),1,0)),IF(OR($S165="Dark",$S165="Dragon",$S165="Fighting"),0-1,IF(OR($S165="Steel",$S165="Poison",$S165="Fire"),1,0)))</f>
        <v>0</v>
      </c>
      <c r="AH165" s="507" t="n">
        <f aca="false">IF(OR($R165="Ghost",$S165="Ghost"),4,SUM(IF(OR($R165="Dark",$R165="Ice",$R165="Normal",$R165="Rock",$R165="Steel"),0-1,IF(OR($R165="Bug",$R165="Fairy",$R165="Flying",$R165="Poison",$R165="Psychic"),1,0)),IF(OR($S165="Dark",$S165="Ice",$S165="Normal",$S165="Rock",$S165="Steel"),0-1,IF(OR($S165="Bug",$S165="Fairy",$S165="Flying",$S165="Poison",$S165="Psychic"),1,0))))</f>
        <v>-1</v>
      </c>
      <c r="AI165" s="507" t="n">
        <f aca="false">SUM(IF(OR($R165="Bug",$R165="Grass",$R165="Ice",$R165="Steel"),0-1,IF(OR($R165="Dragon",$R165="Fire",$R165="Rock",$R165="Water"),1,0)),IF(OR($S165="Bug",$S165="Grass",$S165="Ice",$S165="Steel"),0-1,IF(OR($S165="Dragon",$S165="Fire",$S165="Rock",$S165="Water"),1,0)))</f>
        <v>1</v>
      </c>
      <c r="AJ165" s="507" t="n">
        <f aca="false">SUM(IF(OR($R165="Bug",$R165="Grass",$R165="Fighting"),0-1,IF(OR($R165="Electric",$R165="Rock",$R165="Steel"),1,0)),IF(OR($S165="Bug",$S165="Grass",$S165="Fighting"),0-1,IF(OR($S165="Electric",$S165="Rock",$S165="Steel"),1,0)))</f>
        <v>1</v>
      </c>
      <c r="AK165" s="507" t="n">
        <f aca="false">IF(OR($R165="Normal",$S165="Normal"),4,SUM(IF(OR($R165="Ghost",$R165="Psychic"),0-1,IF($R165="Dark",1,0)),IF(OR($S165="Ghost",$S165="Psychic"),0-1,IF($S165="Dark",1,0))))</f>
        <v>0</v>
      </c>
      <c r="AL165" s="507" t="n">
        <f aca="false">SUM(IF(OR($R165="Ground",$R165="Rock",$R165="Water"),0-1,IF(OR($R165="Bug",$R165="Flying",$R165="Fire",$R165="Dragon",$R165="Poison",$R165="Steel",$R165="Grass"),1,0)),IF(OR($S165="Ground",$S165="Rock",$S165="Water"),0-1,IF(OR($S165="Bug",$S165="Flying",$S165="Fire",$S165="Dragon",$S165="Poison",$S165="Steel",$S165="Grass"),1,0)))</f>
        <v>-1</v>
      </c>
      <c r="AM165" s="507" t="n">
        <f aca="false">IF(OR($R165="Flying",$S165="Flying"),4,SUM(IF(OR($R165="Electric",$R165="Fire",$R165="Rock",$R165="Steel",$R165="Poison"),0-1,IF(OR($R165="Bug",$R165="Grass"),1,0)),IF(OR($S165="Electric",$S165="Fire",$S165="Rock",$S165="Steel",$S165="Poison"),0-1,IF(OR($S165="Bug",$S165="Grass"),1,0))))</f>
        <v>-1</v>
      </c>
      <c r="AN165" s="507" t="n">
        <f aca="false">SUM(IF(OR($R165="Flying",$R165="Dragon",$R165="Grass",$R165="Ground"),0-1,IF(OR($R165="Steel",$R165="Ice",$R165="Fire",$R165="Water"),1,0)),IF(OR($S165="Flying",$S165="Dragon",$S165="Grass",$S165="Ground"),0-1,IF(OR($S165="Steel",$S165="Ice",$S165="Fire",$S165="Water"),1,0)))</f>
        <v>0</v>
      </c>
      <c r="AO165" s="507" t="n">
        <f aca="false">IF(OR($R165="Ghost",$S165="Ghost"),4,SUM(IF(OR($R165="Steel",$R165="Rock"),1,0),IF(OR($S165="Steel",$S165="Rock"),1,0)))</f>
        <v>1</v>
      </c>
      <c r="AP165" s="507" t="n">
        <f aca="false">IF(OR($R165="Steel",$S165="Steel"),4,SUM(IF(OR($R165="Fairy",$R165="Grass"),0-1,IF(OR($R165="Ghost",$R165="Rock",$R165="Ground",$R165="Poison"),1,0)),IF(OR($S165="Fairy",$S165="Grass"),0-1,IF(OR($S165="Ghost",$S165="Rock",$S165="Ground",$S165="Poison"),1,0))))</f>
        <v>1</v>
      </c>
      <c r="AQ165" s="507" t="n">
        <f aca="false">IF(OR($R165="Dark",$S165="Dark"),4,SUM(IF(OR($R165="Fighting",$R165="Poison"),0-1,IF(OR($R165="Psychic",$R165="Steel"),1,0)),IF(OR($S165="Fighting",$S165="Poison"),0-1,IF(OR($S165="Psychic",$S165="Steel"),1,0))))</f>
        <v>0</v>
      </c>
      <c r="AR165" s="507" t="n">
        <f aca="false">SUM(IF(OR($R165="Bug",$R165="Fire",$R165="Flying",$R165="Ice"),0-1,IF(OR($R165="Steel",$R165="Fighting",$R165="Ground"),1,0)),IF(OR($S165="Bug",$S165="Fire",$S165="Flying",$S165="Ice"),0-1,IF(OR($S165="Steel",$S165="Fighting",$S165="Ground"),1,0)))</f>
        <v>0</v>
      </c>
      <c r="AS165" s="507" t="n">
        <f aca="false">SUM(IF(OR($R165="Fairy",$R165="Ice",$R165="Rock"),0-1,IF(OR($R165="Steel",$R165="Electric",$R165="Fire",$R165="Water"),1,0)),IF(OR($S165="Fairy",$S165="Ice",$S165="Rock"),0-1,IF(OR($S165="Steel",$S165="Electric",$S165="Fire",$S165="Water"),1,0)))</f>
        <v>-1</v>
      </c>
      <c r="AT165" s="508" t="n">
        <f aca="false">SUM(IF(OR($R165="Fire",$R165="Ground",$R165="Rock"),0-1,IF(OR($R165="Dragon",$R165="Grass",$R165="Water"),1,0)),IF(OR($S165="Fire",$S165="Ground",$S165="Rock"),0-1,IF(OR($S165="Dragon",$S165="Grass",$S165="Water"),1,0)))</f>
        <v>-1</v>
      </c>
      <c r="AU165" s="518"/>
    </row>
    <row r="166" customFormat="false" ht="15.75" hidden="false" customHeight="false" outlineLevel="0" collapsed="false">
      <c r="A166" s="515" t="str">
        <f aca="false" t="array" ref="A166:A166">IF(ISNA(INDEX(Source!$U$7:$U$95,MATCH(B166,Source!$V$7:$V$95,0))),"FREE",INDEX(Source!$U$7:$U$95,MATCH(B166,Source!$V$7:$V$95,0)))</f>
        <v>FREE</v>
      </c>
      <c r="B166" s="511" t="s">
        <v>591</v>
      </c>
      <c r="C166" s="511"/>
      <c r="D166" s="511"/>
      <c r="E166" s="499" t="str">
        <f aca="false">IF(SUM($W166:$X166)&gt;0,SUM($W166:$X166),IF($H166&gt;0,0,IF($H166&gt;0,0,"-")))</f>
        <v>-</v>
      </c>
      <c r="F166" s="499" t="str">
        <f aca="false">IF(SUM($Y166:$Z166)&gt;0,SUM($Y166:$Z166),IF($H166&gt;0,0,"-"))</f>
        <v>-</v>
      </c>
      <c r="G166" s="499" t="str">
        <f aca="false">IF($H166&gt;0,minus(E166,F166),"-")</f>
        <v>-</v>
      </c>
      <c r="H166" s="500" t="n">
        <f aca="false">SUM(COUNTIF(MatchSource!$A:$A,$B166),COUNTIF(MatchSource!$H:$H,$B166))</f>
        <v>0</v>
      </c>
      <c r="I166" s="501" t="n">
        <f aca="false">SUM($AA166:$AB166)</f>
        <v>0</v>
      </c>
      <c r="J166" s="501" t="s">
        <v>702</v>
      </c>
      <c r="K166" s="512" t="str">
        <f aca="false" t="array" ref="K166:K166">IF(ISNA(INDEX(DraftRosters!$AA$3:$AA$199,MATCH($B166,DraftRosters!$AB$3:$AB$199,0))),"FA",IF(INDEX(DraftRosters!$AA$3:$AA$199,MATCH($B166,DraftRosters!$AB$3:$AB$199,0))="Franchise","Franch",INDEX(DraftRosters!$AA$3:$AA$199,MATCH($B166,DraftRosters!$AB$3:$AB$199,0))))</f>
        <v>FA</v>
      </c>
      <c r="L166" s="499" t="n">
        <v>70</v>
      </c>
      <c r="M166" s="499" t="n">
        <v>80</v>
      </c>
      <c r="N166" s="499" t="n">
        <v>65</v>
      </c>
      <c r="O166" s="499" t="n">
        <v>90</v>
      </c>
      <c r="P166" s="499" t="n">
        <v>65</v>
      </c>
      <c r="Q166" s="501" t="n">
        <v>85</v>
      </c>
      <c r="R166" s="499" t="s">
        <v>839</v>
      </c>
      <c r="S166" s="501" t="s">
        <v>828</v>
      </c>
      <c r="T166" s="504" t="s">
        <v>948</v>
      </c>
      <c r="U166" s="505" t="s">
        <v>869</v>
      </c>
      <c r="V166" s="506" t="s">
        <v>829</v>
      </c>
      <c r="W166" s="500" t="str">
        <f aca="false">IFERROR(__xludf.dummyfunction("if(isna(SUM(FILTER(MatchSource!$A:$D,MatchSource!$A:$A=$B166))),0,SUM(FILTER(MatchSource!$A:$D,MatchSource!$A:$A=$B166)))"),"0")</f>
        <v>0</v>
      </c>
      <c r="X166" s="499" t="str">
        <f aca="false">IFERROR(__xludf.dummyfunction("if(isna(SUM(FILTER(MatchSource!$H:$K,MatchSource!$H:$H=$B166))),0,SUM(FILTER(MatchSource!$H:$K,MatchSource!$H:$H=$B166)))"),"0")</f>
        <v>0</v>
      </c>
      <c r="Y166" s="499" t="str">
        <f aca="false">IFERROR(__xludf.dummyfunction("if(isna(ABS(MINUS(SUM(FILTER(MatchSource!$A:$E,MatchSource!$A:$A=$B166)),SUM($W166)))),0,ABS(MINUS(SUM(FILTER(MatchSource!$A:$E,MatchSource!$A:$A=$B166)),SUM($W166))))"),"0")</f>
        <v>0</v>
      </c>
      <c r="Z166" s="499" t="str">
        <f aca="false">IFERROR(__xludf.dummyfunction("if(isna(ABS(MINUS(SUM(FILTER(MatchSource!$H:$L,MatchSource!$H:$H=$B166)),SUM($X166)))),0,ABS(MINUS(SUM(FILTER(MatchSource!$H:$L,MatchSource!$H:$H=$B166)),SUM($X166))))"),"0")</f>
        <v>0</v>
      </c>
      <c r="AA166" s="499" t="str">
        <f aca="false">IFERROR(__xludf.dummyfunction("if(isna(ABS(MINUS(SUM(FILTER(MatchSource!$A:$F,MatchSource!$A:$A=$B166)),SUM($W166,$Y166)))),0,ABS(MINUS(SUM(FILTER(MatchSource!$A:$F,MatchSource!$A:$A=$B166)),SUM($W166, $Y166,))))"),"0")</f>
        <v>0</v>
      </c>
      <c r="AB166" s="501" t="str">
        <f aca="false">IFERROR(__xludf.dummyfunction("if(isna(ABS(MINUS(SUM(FILTER(MatchSource!$H:$M,MatchSource!$H:$H=$B166)),SUM($X166,$Z166)))),0,ABS(MINUS(SUM(FILTER(MatchSource!$H:$M,MatchSource!$H:$H=$B166)),SUM($X166,$Z166))))"),"0")</f>
        <v>0</v>
      </c>
      <c r="AC166" s="507" t="n">
        <f aca="false">SUM(IF(OR($R166="Grass",$R166="Psychic",$R166="Dark"),0-1,IF(OR($R166="Fighting",$R166="Flying",$R166="Fire",$R166="Ghost",$R166="Poison",$R166="Steel",$R166="Fairy"),1,0)),IF(OR($S166="Grass",$S166="Psychic",$S166="Dark"),0-1,IF(OR($S166="Fighting",$S166="Flying",$S166="Fire",$S166="Ghost",$S166="Poison",$S166="Steel",$S166="Fairy"),1,0)))</f>
        <v>-1</v>
      </c>
      <c r="AD166" s="507" t="n">
        <f aca="false">SUM(IF(OR($R166="Ghost",$R166="Psychic"),0-1,IF(OR($R166="Fighting",$R166="Dark",$R166="Fairy"),1,0)),IF(OR($S166="Ghost",$S166="Psychic"),0-1,IF(OR($S166="Fighting",$S166="Dark",$S166="Fairy"),1,0)))</f>
        <v>-1</v>
      </c>
      <c r="AE166" s="507" t="n">
        <f aca="false">IF(OR($R166="Fairy",$S166="Fairy"),4,SUM(IF($R166="Dragon",0-1,IF($R166="Steel",1,0)),IF($S166="Dragon",0-1,IF($S166="Steel",1,0))))</f>
        <v>0</v>
      </c>
      <c r="AF166" s="507" t="n">
        <f aca="false">IF(OR($R166="Ground",$S166="Ground"),4,SUM(IF(OR($R166="Flying",$R166="Water"),0-1,IF(OR($R166="Dragon",$R166="Electric",$R166="Grass"),1,0)),IF(OR($S166="Flying",$S166="Water"),0-1,IF(OR($S166="Dragon",$S166="Electric",$S166="Grass"),1,0))))</f>
        <v>0</v>
      </c>
      <c r="AG166" s="507" t="n">
        <f aca="false">SUM(IF(OR($R166="Dark",$R166="Dragon",$R166="Fighting"),0-1,IF(OR($R166="Steel",$R166="Poison",$R166="Fire"),1,0)),IF(OR($S166="Dark",$S166="Dragon",$S166="Fighting"),0-1,IF(OR($S166="Steel",$S166="Poison",$S166="Fire"),1,0)))</f>
        <v>0</v>
      </c>
      <c r="AH166" s="507" t="n">
        <f aca="false">IF(OR($R166="Ghost",$S166="Ghost"),4,SUM(IF(OR($R166="Dark",$R166="Ice",$R166="Normal",$R166="Rock",$R166="Steel"),0-1,IF(OR($R166="Bug",$R166="Fairy",$R166="Flying",$R166="Poison",$R166="Psychic"),1,0)),IF(OR($S166="Dark",$S166="Ice",$S166="Normal",$S166="Rock",$S166="Steel"),0-1,IF(OR($S166="Bug",$S166="Fairy",$S166="Flying",$S166="Poison",$S166="Psychic"),1,0))))</f>
        <v>0</v>
      </c>
      <c r="AI166" s="507" t="n">
        <f aca="false">SUM(IF(OR($R166="Bug",$R166="Grass",$R166="Ice",$R166="Steel"),0-1,IF(OR($R166="Dragon",$R166="Fire",$R166="Rock",$R166="Water"),1,0)),IF(OR($S166="Bug",$S166="Grass",$S166="Ice",$S166="Steel"),0-1,IF(OR($S166="Dragon",$S166="Fire",$S166="Rock",$S166="Water"),1,0)))</f>
        <v>0</v>
      </c>
      <c r="AJ166" s="507" t="n">
        <f aca="false">SUM(IF(OR($R166="Bug",$R166="Grass",$R166="Fighting"),0-1,IF(OR($R166="Electric",$R166="Rock",$R166="Steel"),1,0)),IF(OR($S166="Bug",$S166="Grass",$S166="Fighting"),0-1,IF(OR($S166="Electric",$S166="Rock",$S166="Steel"),1,0)))</f>
        <v>0</v>
      </c>
      <c r="AK166" s="507" t="n">
        <f aca="false">IF(OR($R166="Normal",$S166="Normal"),4,SUM(IF(OR($R166="Ghost",$R166="Psychic"),0-1,IF($R166="Dark",1,0)),IF(OR($S166="Ghost",$S166="Psychic"),0-1,IF($S166="Dark",1,0))))</f>
        <v>4</v>
      </c>
      <c r="AL166" s="507" t="n">
        <f aca="false">SUM(IF(OR($R166="Ground",$R166="Rock",$R166="Water"),0-1,IF(OR($R166="Bug",$R166="Flying",$R166="Fire",$R166="Dragon",$R166="Poison",$R166="Steel",$R166="Grass"),1,0)),IF(OR($S166="Ground",$S166="Rock",$S166="Water"),0-1,IF(OR($S166="Bug",$S166="Flying",$S166="Fire",$S166="Dragon",$S166="Poison",$S166="Steel",$S166="Grass"),1,0)))</f>
        <v>0</v>
      </c>
      <c r="AM166" s="507" t="n">
        <f aca="false">IF(OR($R166="Flying",$S166="Flying"),4,SUM(IF(OR($R166="Electric",$R166="Fire",$R166="Rock",$R166="Steel",$R166="Poison"),0-1,IF(OR($R166="Bug",$R166="Grass"),1,0)),IF(OR($S166="Electric",$S166="Fire",$S166="Rock",$S166="Steel",$S166="Poison"),0-1,IF(OR($S166="Bug",$S166="Grass"),1,0))))</f>
        <v>0</v>
      </c>
      <c r="AN166" s="507" t="n">
        <f aca="false">SUM(IF(OR($R166="Flying",$R166="Dragon",$R166="Grass",$R166="Ground"),0-1,IF(OR($R166="Steel",$R166="Ice",$R166="Fire",$R166="Water"),1,0)),IF(OR($S166="Flying",$S166="Dragon",$S166="Grass",$S166="Ground"),0-1,IF(OR($S166="Steel",$S166="Ice",$S166="Fire",$S166="Water"),1,0)))</f>
        <v>0</v>
      </c>
      <c r="AO166" s="507" t="n">
        <f aca="false">IF(OR($R166="Ghost",$S166="Ghost"),4,SUM(IF(OR($R166="Steel",$R166="Rock"),1,0),IF(OR($S166="Steel",$S166="Rock"),1,0)))</f>
        <v>0</v>
      </c>
      <c r="AP166" s="507" t="n">
        <f aca="false">IF(OR($R166="Steel",$S166="Steel"),4,SUM(IF(OR($R166="Fairy",$R166="Grass"),0-1,IF(OR($R166="Ghost",$R166="Rock",$R166="Ground",$R166="Poison"),1,0)),IF(OR($S166="Fairy",$S166="Grass"),0-1,IF(OR($S166="Ghost",$S166="Rock",$S166="Ground",$S166="Poison"),1,0))))</f>
        <v>0</v>
      </c>
      <c r="AQ166" s="507" t="n">
        <f aca="false">IF(OR($R166="Dark",$S166="Dark"),4,SUM(IF(OR($R166="Fighting",$R166="Poison"),0-1,IF(OR($R166="Psychic",$R166="Steel"),1,0)),IF(OR($S166="Fighting",$S166="Poison"),0-1,IF(OR($S166="Psychic",$S166="Steel"),1,0))))</f>
        <v>1</v>
      </c>
      <c r="AR166" s="507" t="n">
        <f aca="false">SUM(IF(OR($R166="Bug",$R166="Fire",$R166="Flying",$R166="Ice"),0-1,IF(OR($R166="Steel",$R166="Fighting",$R166="Ground"),1,0)),IF(OR($S166="Bug",$S166="Fire",$S166="Flying",$S166="Ice"),0-1,IF(OR($S166="Steel",$S166="Fighting",$S166="Ground"),1,0)))</f>
        <v>0</v>
      </c>
      <c r="AS166" s="507" t="n">
        <f aca="false">SUM(IF(OR($R166="Fairy",$R166="Ice",$R166="Rock"),0-1,IF(OR($R166="Steel",$R166="Electric",$R166="Fire",$R166="Water"),1,0)),IF(OR($S166="Fairy",$S166="Ice",$S166="Rock"),0-1,IF(OR($S166="Steel",$S166="Electric",$S166="Fire",$S166="Water"),1,0)))</f>
        <v>0</v>
      </c>
      <c r="AT166" s="508" t="n">
        <f aca="false">SUM(IF(OR($R166="Fire",$R166="Ground",$R166="Rock"),0-1,IF(OR($R166="Dragon",$R166="Grass",$R166="Water"),1,0)),IF(OR($S166="Fire",$S166="Ground",$S166="Rock"),0-1,IF(OR($S166="Dragon",$S166="Grass",$S166="Water"),1,0)))</f>
        <v>0</v>
      </c>
      <c r="AU166" s="518"/>
    </row>
    <row r="167" customFormat="false" ht="15.75" hidden="false" customHeight="false" outlineLevel="0" collapsed="false">
      <c r="A167" s="510" t="str">
        <f aca="false" t="array" ref="A167:A167">IF(ISNA(INDEX(Source!$U$7:$U$95,MATCH(B167,Source!$V$7:$V$95,0))),"FREE",INDEX(Source!$U$7:$U$95,MATCH(B167,Source!$V$7:$V$95,0)))</f>
        <v>FREE</v>
      </c>
      <c r="B167" s="511" t="s">
        <v>749</v>
      </c>
      <c r="C167" s="511"/>
      <c r="D167" s="511"/>
      <c r="E167" s="499" t="str">
        <f aca="false">IF(SUM($W167:$X167)&gt;0,SUM($W167:$X167),IF($H167&gt;0,0,IF($H167&gt;0,0,"-")))</f>
        <v>-</v>
      </c>
      <c r="F167" s="499" t="str">
        <f aca="false">IF(SUM($Y167:$Z167)&gt;0,SUM($Y167:$Z167),IF($H167&gt;0,0,"-"))</f>
        <v>-</v>
      </c>
      <c r="G167" s="499" t="str">
        <f aca="false">IF($H167&gt;0,minus(E167,F167),"-")</f>
        <v>-</v>
      </c>
      <c r="H167" s="500" t="n">
        <f aca="false">SUM(COUNTIF(MatchSource!$A:$A,$B167),COUNTIF(MatchSource!$H:$H,$B167))</f>
        <v>0</v>
      </c>
      <c r="I167" s="501" t="n">
        <f aca="false">SUM($AA167:$AB167)</f>
        <v>0</v>
      </c>
      <c r="J167" s="501" t="s">
        <v>702</v>
      </c>
      <c r="K167" s="512" t="str">
        <f aca="false" t="array" ref="K167:K167">IF(ISNA(INDEX(DraftRosters!$AA$3:$AA$199,MATCH($B167,DraftRosters!$AB$3:$AB$199,0))),"FA",IF(INDEX(DraftRosters!$AA$3:$AA$199,MATCH($B167,DraftRosters!$AB$3:$AB$199,0))="Franchise","Franch",INDEX(DraftRosters!$AA$3:$AA$199,MATCH($B167,DraftRosters!$AB$3:$AB$199,0))))</f>
        <v>FA</v>
      </c>
      <c r="L167" s="499" t="n">
        <v>65</v>
      </c>
      <c r="M167" s="499" t="n">
        <v>60</v>
      </c>
      <c r="N167" s="499" t="n">
        <v>110</v>
      </c>
      <c r="O167" s="499" t="n">
        <v>130</v>
      </c>
      <c r="P167" s="499" t="n">
        <v>95</v>
      </c>
      <c r="Q167" s="501" t="n">
        <v>65</v>
      </c>
      <c r="R167" s="499" t="s">
        <v>805</v>
      </c>
      <c r="S167" s="501"/>
      <c r="T167" s="504" t="s">
        <v>864</v>
      </c>
      <c r="U167" s="505" t="s">
        <v>861</v>
      </c>
      <c r="V167" s="506"/>
      <c r="W167" s="500" t="str">
        <f aca="false">IFERROR(__xludf.dummyfunction("if(isna(SUM(FILTER(MatchSource!$A:$D,MatchSource!$A:$A=$B167))),0,SUM(FILTER(MatchSource!$A:$D,MatchSource!$A:$A=$B167)))"),"0")</f>
        <v>0</v>
      </c>
      <c r="X167" s="499" t="str">
        <f aca="false">IFERROR(__xludf.dummyfunction("if(isna(SUM(FILTER(MatchSource!$H:$K,MatchSource!$H:$H=$B167))),0,SUM(FILTER(MatchSource!$H:$K,MatchSource!$H:$H=$B167)))"),"0")</f>
        <v>0</v>
      </c>
      <c r="Y167" s="499" t="str">
        <f aca="false">IFERROR(__xludf.dummyfunction("if(isna(ABS(MINUS(SUM(FILTER(MatchSource!$A:$E,MatchSource!$A:$A=$B167)),SUM($W167)))),0,ABS(MINUS(SUM(FILTER(MatchSource!$A:$E,MatchSource!$A:$A=$B167)),SUM($W167))))"),"0")</f>
        <v>0</v>
      </c>
      <c r="Z167" s="499" t="str">
        <f aca="false">IFERROR(__xludf.dummyfunction("if(isna(ABS(MINUS(SUM(FILTER(MatchSource!$H:$L,MatchSource!$H:$H=$B167)),SUM($X167)))),0,ABS(MINUS(SUM(FILTER(MatchSource!$H:$L,MatchSource!$H:$H=$B167)),SUM($X167))))"),"0")</f>
        <v>0</v>
      </c>
      <c r="AA167" s="499" t="str">
        <f aca="false">IFERROR(__xludf.dummyfunction("if(isna(ABS(MINUS(SUM(FILTER(MatchSource!$A:$F,MatchSource!$A:$A=$B167)),SUM($W167,$Y167)))),0,ABS(MINUS(SUM(FILTER(MatchSource!$A:$F,MatchSource!$A:$A=$B167)),SUM($W167, $Y167,))))"),"0")</f>
        <v>0</v>
      </c>
      <c r="AB167" s="501" t="str">
        <f aca="false">IFERROR(__xludf.dummyfunction("if(isna(ABS(MINUS(SUM(FILTER(MatchSource!$H:$M,MatchSource!$H:$H=$B167)),SUM($X167,$Z167)))),0,ABS(MINUS(SUM(FILTER(MatchSource!$H:$M,MatchSource!$H:$H=$B167)),SUM($X167,$Z167))))"),"0")</f>
        <v>0</v>
      </c>
      <c r="AC167" s="507" t="n">
        <f aca="false">SUM(IF(OR($R167="Grass",$R167="Psychic",$R167="Dark"),0-1,IF(OR($R167="Fighting",$R167="Flying",$R167="Fire",$R167="Ghost",$R167="Poison",$R167="Steel",$R167="Fairy"),1,0)),IF(OR($S167="Grass",$S167="Psychic",$S167="Dark"),0-1,IF(OR($S167="Fighting",$S167="Flying",$S167="Fire",$S167="Ghost",$S167="Poison",$S167="Steel",$S167="Fairy"),1,0)))</f>
        <v>0</v>
      </c>
      <c r="AD167" s="507" t="n">
        <f aca="false">SUM(IF(OR($R167="Ghost",$R167="Psychic"),0-1,IF(OR($R167="Fighting",$R167="Dark",$R167="Fairy"),1,0)),IF(OR($S167="Ghost",$S167="Psychic"),0-1,IF(OR($S167="Fighting",$S167="Dark",$S167="Fairy"),1,0)))</f>
        <v>0</v>
      </c>
      <c r="AE167" s="507" t="n">
        <f aca="false">IF(OR($R167="Fairy",$S167="Fairy"),4,SUM(IF($R167="Dragon",0-1,IF($R167="Steel",1,0)),IF($S167="Dragon",0-1,IF($S167="Steel",1,0))))</f>
        <v>0</v>
      </c>
      <c r="AF167" s="507" t="n">
        <f aca="false">IF(OR($R167="Ground",$S167="Ground"),4,SUM(IF(OR($R167="Flying",$R167="Water"),0-1,IF(OR($R167="Dragon",$R167="Electric",$R167="Grass"),1,0)),IF(OR($S167="Flying",$S167="Water"),0-1,IF(OR($S167="Dragon",$S167="Electric",$S167="Grass"),1,0))))</f>
        <v>0</v>
      </c>
      <c r="AG167" s="507" t="n">
        <f aca="false">SUM(IF(OR($R167="Dark",$R167="Dragon",$R167="Fighting"),0-1,IF(OR($R167="Steel",$R167="Poison",$R167="Fire"),1,0)),IF(OR($S167="Dark",$S167="Dragon",$S167="Fighting"),0-1,IF(OR($S167="Steel",$S167="Poison",$S167="Fire"),1,0)))</f>
        <v>0</v>
      </c>
      <c r="AH167" s="507" t="n">
        <f aca="false">IF(OR($R167="Ghost",$S167="Ghost"),4,SUM(IF(OR($R167="Dark",$R167="Ice",$R167="Normal",$R167="Rock",$R167="Steel"),0-1,IF(OR($R167="Bug",$R167="Fairy",$R167="Flying",$R167="Poison",$R167="Psychic"),1,0)),IF(OR($S167="Dark",$S167="Ice",$S167="Normal",$S167="Rock",$S167="Steel"),0-1,IF(OR($S167="Bug",$S167="Fairy",$S167="Flying",$S167="Poison",$S167="Psychic"),1,0))))</f>
        <v>-1</v>
      </c>
      <c r="AI167" s="507" t="n">
        <f aca="false">SUM(IF(OR($R167="Bug",$R167="Grass",$R167="Ice",$R167="Steel"),0-1,IF(OR($R167="Dragon",$R167="Fire",$R167="Rock",$R167="Water"),1,0)),IF(OR($S167="Bug",$S167="Grass",$S167="Ice",$S167="Steel"),0-1,IF(OR($S167="Dragon",$S167="Fire",$S167="Rock",$S167="Water"),1,0)))</f>
        <v>-1</v>
      </c>
      <c r="AJ167" s="507" t="n">
        <f aca="false">SUM(IF(OR($R167="Bug",$R167="Grass",$R167="Fighting"),0-1,IF(OR($R167="Electric",$R167="Rock",$R167="Steel"),1,0)),IF(OR($S167="Bug",$S167="Grass",$S167="Fighting"),0-1,IF(OR($S167="Electric",$S167="Rock",$S167="Steel"),1,0)))</f>
        <v>0</v>
      </c>
      <c r="AK167" s="507" t="n">
        <f aca="false">IF(OR($R167="Normal",$S167="Normal"),4,SUM(IF(OR($R167="Ghost",$R167="Psychic"),0-1,IF($R167="Dark",1,0)),IF(OR($S167="Ghost",$S167="Psychic"),0-1,IF($S167="Dark",1,0))))</f>
        <v>0</v>
      </c>
      <c r="AL167" s="507" t="n">
        <f aca="false">SUM(IF(OR($R167="Ground",$R167="Rock",$R167="Water"),0-1,IF(OR($R167="Bug",$R167="Flying",$R167="Fire",$R167="Dragon",$R167="Poison",$R167="Steel",$R167="Grass"),1,0)),IF(OR($S167="Ground",$S167="Rock",$S167="Water"),0-1,IF(OR($S167="Bug",$S167="Flying",$S167="Fire",$S167="Dragon",$S167="Poison",$S167="Steel",$S167="Grass"),1,0)))</f>
        <v>0</v>
      </c>
      <c r="AM167" s="507" t="n">
        <f aca="false">IF(OR($R167="Flying",$S167="Flying"),4,SUM(IF(OR($R167="Electric",$R167="Fire",$R167="Rock",$R167="Steel",$R167="Poison"),0-1,IF(OR($R167="Bug",$R167="Grass"),1,0)),IF(OR($S167="Electric",$S167="Fire",$S167="Rock",$S167="Steel",$S167="Poison"),0-1,IF(OR($S167="Bug",$S167="Grass"),1,0))))</f>
        <v>0</v>
      </c>
      <c r="AN167" s="507" t="n">
        <f aca="false">SUM(IF(OR($R167="Flying",$R167="Dragon",$R167="Grass",$R167="Ground"),0-1,IF(OR($R167="Steel",$R167="Ice",$R167="Fire",$R167="Water"),1,0)),IF(OR($S167="Flying",$S167="Dragon",$S167="Grass",$S167="Ground"),0-1,IF(OR($S167="Steel",$S167="Ice",$S167="Fire",$S167="Water"),1,0)))</f>
        <v>1</v>
      </c>
      <c r="AO167" s="507" t="n">
        <f aca="false">IF(OR($R167="Ghost",$S167="Ghost"),4,SUM(IF(OR($R167="Steel",$R167="Rock"),1,0),IF(OR($S167="Steel",$S167="Rock"),1,0)))</f>
        <v>0</v>
      </c>
      <c r="AP167" s="507" t="n">
        <f aca="false">IF(OR($R167="Steel",$S167="Steel"),4,SUM(IF(OR($R167="Fairy",$R167="Grass"),0-1,IF(OR($R167="Ghost",$R167="Rock",$R167="Ground",$R167="Poison"),1,0)),IF(OR($S167="Fairy",$S167="Grass"),0-1,IF(OR($S167="Ghost",$S167="Rock",$S167="Ground",$S167="Poison"),1,0))))</f>
        <v>0</v>
      </c>
      <c r="AQ167" s="507" t="n">
        <f aca="false">IF(OR($R167="Dark",$S167="Dark"),4,SUM(IF(OR($R167="Fighting",$R167="Poison"),0-1,IF(OR($R167="Psychic",$R167="Steel"),1,0)),IF(OR($S167="Fighting",$S167="Poison"),0-1,IF(OR($S167="Psychic",$S167="Steel"),1,0))))</f>
        <v>0</v>
      </c>
      <c r="AR167" s="507" t="n">
        <f aca="false">SUM(IF(OR($R167="Bug",$R167="Fire",$R167="Flying",$R167="Ice"),0-1,IF(OR($R167="Steel",$R167="Fighting",$R167="Ground"),1,0)),IF(OR($S167="Bug",$S167="Fire",$S167="Flying",$S167="Ice"),0-1,IF(OR($S167="Steel",$S167="Fighting",$S167="Ground"),1,0)))</f>
        <v>-1</v>
      </c>
      <c r="AS167" s="507" t="n">
        <f aca="false">SUM(IF(OR($R167="Fairy",$R167="Ice",$R167="Rock"),0-1,IF(OR($R167="Steel",$R167="Electric",$R167="Fire",$R167="Water"),1,0)),IF(OR($S167="Fairy",$S167="Ice",$S167="Rock"),0-1,IF(OR($S167="Steel",$S167="Electric",$S167="Fire",$S167="Water"),1,0)))</f>
        <v>-1</v>
      </c>
      <c r="AT167" s="508" t="n">
        <f aca="false">SUM(IF(OR($R167="Fire",$R167="Ground",$R167="Rock"),0-1,IF(OR($R167="Dragon",$R167="Grass",$R167="Water"),1,0)),IF(OR($S167="Fire",$S167="Ground",$S167="Rock"),0-1,IF(OR($S167="Dragon",$S167="Grass",$S167="Water"),1,0)))</f>
        <v>0</v>
      </c>
      <c r="AU167" s="518"/>
    </row>
    <row r="168" customFormat="false" ht="15.75" hidden="false" customHeight="false" outlineLevel="0" collapsed="false">
      <c r="A168" s="510" t="str">
        <f aca="false" t="array" ref="A168:A168">IF(ISNA(INDEX(Source!$U$7:$U$95,MATCH(B168,Source!$V$7:$V$95,0))),"FREE",INDEX(Source!$U$7:$U$95,MATCH(B168,Source!$V$7:$V$95,0)))</f>
        <v>FREE</v>
      </c>
      <c r="B168" s="511" t="s">
        <v>750</v>
      </c>
      <c r="C168" s="511"/>
      <c r="D168" s="511"/>
      <c r="E168" s="499" t="str">
        <f aca="false">IF(SUM($W168:$X168)&gt;0,SUM($W168:$X168),IF($H168&gt;0,0,IF($H168&gt;0,0,"-")))</f>
        <v>-</v>
      </c>
      <c r="F168" s="499" t="str">
        <f aca="false">IF(SUM($Y168:$Z168)&gt;0,SUM($Y168:$Z168),IF($H168&gt;0,0,"-"))</f>
        <v>-</v>
      </c>
      <c r="G168" s="499" t="str">
        <f aca="false">IF($H168&gt;0,minus(E168,F168),"-")</f>
        <v>-</v>
      </c>
      <c r="H168" s="500" t="n">
        <f aca="false">SUM(COUNTIF(MatchSource!$A:$A,$B168),COUNTIF(MatchSource!$H:$H,$B168))</f>
        <v>0</v>
      </c>
      <c r="I168" s="501" t="n">
        <f aca="false">SUM($AA168:$AB168)</f>
        <v>0</v>
      </c>
      <c r="J168" s="501" t="s">
        <v>702</v>
      </c>
      <c r="K168" s="512" t="str">
        <f aca="false" t="array" ref="K168:K168">IF(ISNA(INDEX(DraftRosters!$AA$3:$AA$199,MATCH($B168,DraftRosters!$AB$3:$AB$199,0))),"FA",IF(INDEX(DraftRosters!$AA$3:$AA$199,MATCH($B168,DraftRosters!$AB$3:$AB$199,0))="Franchise","Franch",INDEX(DraftRosters!$AA$3:$AA$199,MATCH($B168,DraftRosters!$AB$3:$AB$199,0))))</f>
        <v>FA</v>
      </c>
      <c r="L168" s="499" t="n">
        <v>80</v>
      </c>
      <c r="M168" s="499" t="n">
        <v>80</v>
      </c>
      <c r="N168" s="499" t="n">
        <v>80</v>
      </c>
      <c r="O168" s="499" t="n">
        <v>80</v>
      </c>
      <c r="P168" s="499" t="n">
        <v>80</v>
      </c>
      <c r="Q168" s="501" t="n">
        <v>80</v>
      </c>
      <c r="R168" s="499" t="s">
        <v>805</v>
      </c>
      <c r="S168" s="501"/>
      <c r="T168" s="504" t="s">
        <v>864</v>
      </c>
      <c r="U168" s="505" t="s">
        <v>829</v>
      </c>
      <c r="V168" s="506" t="s">
        <v>885</v>
      </c>
      <c r="W168" s="500" t="str">
        <f aca="false">IFERROR(__xludf.dummyfunction("if(isna(SUM(FILTER(MatchSource!$A:$D,MatchSource!$A:$A=$B168))),0,SUM(FILTER(MatchSource!$A:$D,MatchSource!$A:$A=$B168)))"),"0")</f>
        <v>0</v>
      </c>
      <c r="X168" s="499" t="str">
        <f aca="false">IFERROR(__xludf.dummyfunction("if(isna(SUM(FILTER(MatchSource!$H:$K,MatchSource!$H:$H=$B168))),0,SUM(FILTER(MatchSource!$H:$K,MatchSource!$H:$H=$B168)))"),"0")</f>
        <v>0</v>
      </c>
      <c r="Y168" s="499" t="str">
        <f aca="false">IFERROR(__xludf.dummyfunction("if(isna(ABS(MINUS(SUM(FILTER(MatchSource!$A:$E,MatchSource!$A:$A=$B168)),SUM($W168)))),0,ABS(MINUS(SUM(FILTER(MatchSource!$A:$E,MatchSource!$A:$A=$B168)),SUM($W168))))"),"0")</f>
        <v>0</v>
      </c>
      <c r="Z168" s="499" t="str">
        <f aca="false">IFERROR(__xludf.dummyfunction("if(isna(ABS(MINUS(SUM(FILTER(MatchSource!$H:$L,MatchSource!$H:$H=$B168)),SUM($X168)))),0,ABS(MINUS(SUM(FILTER(MatchSource!$H:$L,MatchSource!$H:$H=$B168)),SUM($X168))))"),"0")</f>
        <v>0</v>
      </c>
      <c r="AA168" s="499" t="str">
        <f aca="false">IFERROR(__xludf.dummyfunction("if(isna(ABS(MINUS(SUM(FILTER(MatchSource!$A:$F,MatchSource!$A:$A=$B168)),SUM($W168,$Y168)))),0,ABS(MINUS(SUM(FILTER(MatchSource!$A:$F,MatchSource!$A:$A=$B168)),SUM($W168, $Y168,))))"),"0")</f>
        <v>0</v>
      </c>
      <c r="AB168" s="501" t="str">
        <f aca="false">IFERROR(__xludf.dummyfunction("if(isna(ABS(MINUS(SUM(FILTER(MatchSource!$H:$M,MatchSource!$H:$H=$B168)),SUM($X168,$Z168)))),0,ABS(MINUS(SUM(FILTER(MatchSource!$H:$M,MatchSource!$H:$H=$B168)),SUM($X168,$Z168))))"),"0")</f>
        <v>0</v>
      </c>
      <c r="AC168" s="507" t="n">
        <f aca="false">SUM(IF(OR($R168="Grass",$R168="Psychic",$R168="Dark"),0-1,IF(OR($R168="Fighting",$R168="Flying",$R168="Fire",$R168="Ghost",$R168="Poison",$R168="Steel",$R168="Fairy"),1,0)),IF(OR($S168="Grass",$S168="Psychic",$S168="Dark"),0-1,IF(OR($S168="Fighting",$S168="Flying",$S168="Fire",$S168="Ghost",$S168="Poison",$S168="Steel",$S168="Fairy"),1,0)))</f>
        <v>0</v>
      </c>
      <c r="AD168" s="507" t="n">
        <f aca="false">SUM(IF(OR($R168="Ghost",$R168="Psychic"),0-1,IF(OR($R168="Fighting",$R168="Dark",$R168="Fairy"),1,0)),IF(OR($S168="Ghost",$S168="Psychic"),0-1,IF(OR($S168="Fighting",$S168="Dark",$S168="Fairy"),1,0)))</f>
        <v>0</v>
      </c>
      <c r="AE168" s="507" t="n">
        <f aca="false">IF(OR($R168="Fairy",$S168="Fairy"),4,SUM(IF($R168="Dragon",0-1,IF($R168="Steel",1,0)),IF($S168="Dragon",0-1,IF($S168="Steel",1,0))))</f>
        <v>0</v>
      </c>
      <c r="AF168" s="507" t="n">
        <f aca="false">IF(OR($R168="Ground",$S168="Ground"),4,SUM(IF(OR($R168="Flying",$R168="Water"),0-1,IF(OR($R168="Dragon",$R168="Electric",$R168="Grass"),1,0)),IF(OR($S168="Flying",$S168="Water"),0-1,IF(OR($S168="Dragon",$S168="Electric",$S168="Grass"),1,0))))</f>
        <v>0</v>
      </c>
      <c r="AG168" s="507" t="n">
        <f aca="false">SUM(IF(OR($R168="Dark",$R168="Dragon",$R168="Fighting"),0-1,IF(OR($R168="Steel",$R168="Poison",$R168="Fire"),1,0)),IF(OR($S168="Dark",$S168="Dragon",$S168="Fighting"),0-1,IF(OR($S168="Steel",$S168="Poison",$S168="Fire"),1,0)))</f>
        <v>0</v>
      </c>
      <c r="AH168" s="507" t="n">
        <f aca="false">IF(OR($R168="Ghost",$S168="Ghost"),4,SUM(IF(OR($R168="Dark",$R168="Ice",$R168="Normal",$R168="Rock",$R168="Steel"),0-1,IF(OR($R168="Bug",$R168="Fairy",$R168="Flying",$R168="Poison",$R168="Psychic"),1,0)),IF(OR($S168="Dark",$S168="Ice",$S168="Normal",$S168="Rock",$S168="Steel"),0-1,IF(OR($S168="Bug",$S168="Fairy",$S168="Flying",$S168="Poison",$S168="Psychic"),1,0))))</f>
        <v>-1</v>
      </c>
      <c r="AI168" s="507" t="n">
        <f aca="false">SUM(IF(OR($R168="Bug",$R168="Grass",$R168="Ice",$R168="Steel"),0-1,IF(OR($R168="Dragon",$R168="Fire",$R168="Rock",$R168="Water"),1,0)),IF(OR($S168="Bug",$S168="Grass",$S168="Ice",$S168="Steel"),0-1,IF(OR($S168="Dragon",$S168="Fire",$S168="Rock",$S168="Water"),1,0)))</f>
        <v>-1</v>
      </c>
      <c r="AJ168" s="507" t="n">
        <f aca="false">SUM(IF(OR($R168="Bug",$R168="Grass",$R168="Fighting"),0-1,IF(OR($R168="Electric",$R168="Rock",$R168="Steel"),1,0)),IF(OR($S168="Bug",$S168="Grass",$S168="Fighting"),0-1,IF(OR($S168="Electric",$S168="Rock",$S168="Steel"),1,0)))</f>
        <v>0</v>
      </c>
      <c r="AK168" s="507" t="n">
        <f aca="false">IF(OR($R168="Normal",$S168="Normal"),4,SUM(IF(OR($R168="Ghost",$R168="Psychic"),0-1,IF($R168="Dark",1,0)),IF(OR($S168="Ghost",$S168="Psychic"),0-1,IF($S168="Dark",1,0))))</f>
        <v>0</v>
      </c>
      <c r="AL168" s="507" t="n">
        <f aca="false">SUM(IF(OR($R168="Ground",$R168="Rock",$R168="Water"),0-1,IF(OR($R168="Bug",$R168="Flying",$R168="Fire",$R168="Dragon",$R168="Poison",$R168="Steel",$R168="Grass"),1,0)),IF(OR($S168="Ground",$S168="Rock",$S168="Water"),0-1,IF(OR($S168="Bug",$S168="Flying",$S168="Fire",$S168="Dragon",$S168="Poison",$S168="Steel",$S168="Grass"),1,0)))</f>
        <v>0</v>
      </c>
      <c r="AM168" s="507" t="n">
        <f aca="false">IF(OR($R168="Flying",$S168="Flying"),4,SUM(IF(OR($R168="Electric",$R168="Fire",$R168="Rock",$R168="Steel",$R168="Poison"),0-1,IF(OR($R168="Bug",$R168="Grass"),1,0)),IF(OR($S168="Electric",$S168="Fire",$S168="Rock",$S168="Steel",$S168="Poison"),0-1,IF(OR($S168="Bug",$S168="Grass"),1,0))))</f>
        <v>0</v>
      </c>
      <c r="AN168" s="507" t="n">
        <f aca="false">SUM(IF(OR($R168="Flying",$R168="Dragon",$R168="Grass",$R168="Ground"),0-1,IF(OR($R168="Steel",$R168="Ice",$R168="Fire",$R168="Water"),1,0)),IF(OR($S168="Flying",$S168="Dragon",$S168="Grass",$S168="Ground"),0-1,IF(OR($S168="Steel",$S168="Ice",$S168="Fire",$S168="Water"),1,0)))</f>
        <v>1</v>
      </c>
      <c r="AO168" s="507" t="n">
        <f aca="false">IF(OR($R168="Ghost",$S168="Ghost"),4,SUM(IF(OR($R168="Steel",$R168="Rock"),1,0),IF(OR($S168="Steel",$S168="Rock"),1,0)))</f>
        <v>0</v>
      </c>
      <c r="AP168" s="507" t="n">
        <f aca="false">IF(OR($R168="Steel",$S168="Steel"),4,SUM(IF(OR($R168="Fairy",$R168="Grass"),0-1,IF(OR($R168="Ghost",$R168="Rock",$R168="Ground",$R168="Poison"),1,0)),IF(OR($S168="Fairy",$S168="Grass"),0-1,IF(OR($S168="Ghost",$S168="Rock",$S168="Ground",$S168="Poison"),1,0))))</f>
        <v>0</v>
      </c>
      <c r="AQ168" s="507" t="n">
        <f aca="false">IF(OR($R168="Dark",$S168="Dark"),4,SUM(IF(OR($R168="Fighting",$R168="Poison"),0-1,IF(OR($R168="Psychic",$R168="Steel"),1,0)),IF(OR($S168="Fighting",$S168="Poison"),0-1,IF(OR($S168="Psychic",$S168="Steel"),1,0))))</f>
        <v>0</v>
      </c>
      <c r="AR168" s="507" t="n">
        <f aca="false">SUM(IF(OR($R168="Bug",$R168="Fire",$R168="Flying",$R168="Ice"),0-1,IF(OR($R168="Steel",$R168="Fighting",$R168="Ground"),1,0)),IF(OR($S168="Bug",$S168="Fire",$S168="Flying",$S168="Ice"),0-1,IF(OR($S168="Steel",$S168="Fighting",$S168="Ground"),1,0)))</f>
        <v>-1</v>
      </c>
      <c r="AS168" s="507" t="n">
        <f aca="false">SUM(IF(OR($R168="Fairy",$R168="Ice",$R168="Rock"),0-1,IF(OR($R168="Steel",$R168="Electric",$R168="Fire",$R168="Water"),1,0)),IF(OR($S168="Fairy",$S168="Ice",$S168="Rock"),0-1,IF(OR($S168="Steel",$S168="Electric",$S168="Fire",$S168="Water"),1,0)))</f>
        <v>-1</v>
      </c>
      <c r="AT168" s="508" t="n">
        <f aca="false">SUM(IF(OR($R168="Fire",$R168="Ground",$R168="Rock"),0-1,IF(OR($R168="Dragon",$R168="Grass",$R168="Water"),1,0)),IF(OR($S168="Fire",$S168="Ground",$S168="Rock"),0-1,IF(OR($S168="Dragon",$S168="Grass",$S168="Water"),1,0)))</f>
        <v>0</v>
      </c>
      <c r="AU168" s="518"/>
    </row>
    <row r="169" customFormat="false" ht="15.75" hidden="false" customHeight="false" outlineLevel="0" collapsed="false">
      <c r="A169" s="510" t="str">
        <f aca="false" t="array" ref="A169:A169">IF(ISNA(INDEX(Source!$U$7:$U$95,MATCH(B169,Source!$V$7:$V$95,0))),"FREE",INDEX(Source!$U$7:$U$95,MATCH(B169,Source!$V$7:$V$95,0)))</f>
        <v>FREE</v>
      </c>
      <c r="B169" s="511" t="s">
        <v>721</v>
      </c>
      <c r="C169" s="511"/>
      <c r="D169" s="511"/>
      <c r="E169" s="499" t="str">
        <f aca="false">IF(SUM($W169:$X169)&gt;0,SUM($W169:$X169),IF($H169&gt;0,0,IF($H169&gt;0,0,"-")))</f>
        <v>-</v>
      </c>
      <c r="F169" s="499" t="str">
        <f aca="false">IF(SUM($Y169:$Z169)&gt;0,SUM($Y169:$Z169),IF($H169&gt;0,0,"-"))</f>
        <v>-</v>
      </c>
      <c r="G169" s="499" t="str">
        <f aca="false">IF($H169&gt;0,minus(E169,F169),"-")</f>
        <v>-</v>
      </c>
      <c r="H169" s="500" t="n">
        <f aca="false">SUM(COUNTIF(MatchSource!$A:$A,$B169),COUNTIF(MatchSource!$H:$H,$B169))</f>
        <v>0</v>
      </c>
      <c r="I169" s="501" t="n">
        <f aca="false">SUM($AA169:$AB169)</f>
        <v>0</v>
      </c>
      <c r="J169" s="501" t="s">
        <v>279</v>
      </c>
      <c r="K169" s="512" t="str">
        <f aca="false" t="array" ref="K169:K169">IF(ISNA(INDEX(DraftRosters!$AA$3:$AA$199,MATCH($B169,DraftRosters!$AB$3:$AB$199,0))),"FA",IF(INDEX(DraftRosters!$AA$3:$AA$199,MATCH($B169,DraftRosters!$AB$3:$AB$199,0))="Franchise","Franch",INDEX(DraftRosters!$AA$3:$AA$199,MATCH($B169,DraftRosters!$AB$3:$AB$199,0))))</f>
        <v>FA</v>
      </c>
      <c r="L169" s="499" t="n">
        <v>80</v>
      </c>
      <c r="M169" s="499" t="n">
        <v>120</v>
      </c>
      <c r="N169" s="499" t="n">
        <v>80</v>
      </c>
      <c r="O169" s="499" t="n">
        <v>120</v>
      </c>
      <c r="P169" s="499" t="n">
        <v>80</v>
      </c>
      <c r="Q169" s="501" t="n">
        <v>100</v>
      </c>
      <c r="R169" s="499" t="s">
        <v>805</v>
      </c>
      <c r="S169" s="501"/>
      <c r="T169" s="504" t="s">
        <v>863</v>
      </c>
      <c r="U169" s="513"/>
      <c r="V169" s="514"/>
      <c r="W169" s="500" t="str">
        <f aca="false">IFERROR(__xludf.dummyfunction("if(isna(SUM(FILTER(MatchSource!$A:$D,MatchSource!$A:$A=$B169))),0,SUM(FILTER(MatchSource!$A:$D,MatchSource!$A:$A=$B169)))"),"0")</f>
        <v>0</v>
      </c>
      <c r="X169" s="499" t="str">
        <f aca="false">IFERROR(__xludf.dummyfunction("if(isna(SUM(FILTER(MatchSource!$H:$K,MatchSource!$H:$H=$B169))),0,SUM(FILTER(MatchSource!$H:$K,MatchSource!$H:$H=$B169)))"),"0")</f>
        <v>0</v>
      </c>
      <c r="Y169" s="499" t="str">
        <f aca="false">IFERROR(__xludf.dummyfunction("if(isna(ABS(MINUS(SUM(FILTER(MatchSource!$A:$E,MatchSource!$A:$A=$B169)),SUM($W169)))),0,ABS(MINUS(SUM(FILTER(MatchSource!$A:$E,MatchSource!$A:$A=$B169)),SUM($W169))))"),"0")</f>
        <v>0</v>
      </c>
      <c r="Z169" s="499" t="str">
        <f aca="false">IFERROR(__xludf.dummyfunction("if(isna(ABS(MINUS(SUM(FILTER(MatchSource!$H:$L,MatchSource!$H:$H=$B169)),SUM($X169)))),0,ABS(MINUS(SUM(FILTER(MatchSource!$H:$L,MatchSource!$H:$H=$B169)),SUM($X169))))"),"0")</f>
        <v>0</v>
      </c>
      <c r="AA169" s="499" t="str">
        <f aca="false">IFERROR(__xludf.dummyfunction("if(isna(ABS(MINUS(SUM(FILTER(MatchSource!$A:$F,MatchSource!$A:$A=$B169)),SUM($W169,$Y169)))),0,ABS(MINUS(SUM(FILTER(MatchSource!$A:$F,MatchSource!$A:$A=$B169)),SUM($W169, $Y169,))))"),"0")</f>
        <v>0</v>
      </c>
      <c r="AB169" s="501" t="str">
        <f aca="false">IFERROR(__xludf.dummyfunction("if(isna(ABS(MINUS(SUM(FILTER(MatchSource!$H:$M,MatchSource!$H:$H=$B169)),SUM($X169,$Z169)))),0,ABS(MINUS(SUM(FILTER(MatchSource!$H:$M,MatchSource!$H:$H=$B169)),SUM($X169,$Z169))))"),"0")</f>
        <v>0</v>
      </c>
      <c r="AC169" s="507" t="n">
        <f aca="false">SUM(IF(OR($R169="Grass",$R169="Psychic",$R169="Dark"),0-1,IF(OR($R169="Fighting",$R169="Flying",$R169="Fire",$R169="Ghost",$R169="Poison",$R169="Steel",$R169="Fairy"),1,0)),IF(OR($S169="Grass",$S169="Psychic",$S169="Dark"),0-1,IF(OR($S169="Fighting",$S169="Flying",$S169="Fire",$S169="Ghost",$S169="Poison",$S169="Steel",$S169="Fairy"),1,0)))</f>
        <v>0</v>
      </c>
      <c r="AD169" s="507" t="n">
        <f aca="false">SUM(IF(OR($R169="Ghost",$R169="Psychic"),0-1,IF(OR($R169="Fighting",$R169="Dark",$R169="Fairy"),1,0)),IF(OR($S169="Ghost",$S169="Psychic"),0-1,IF(OR($S169="Fighting",$S169="Dark",$S169="Fairy"),1,0)))</f>
        <v>0</v>
      </c>
      <c r="AE169" s="507" t="n">
        <f aca="false">IF(OR($R169="Fairy",$S169="Fairy"),4,SUM(IF($R169="Dragon",0-1,IF($R169="Steel",1,0)),IF($S169="Dragon",0-1,IF($S169="Steel",1,0))))</f>
        <v>0</v>
      </c>
      <c r="AF169" s="507" t="n">
        <f aca="false">IF(OR($R169="Ground",$S169="Ground"),4,SUM(IF(OR($R169="Flying",$R169="Water"),0-1,IF(OR($R169="Dragon",$R169="Electric",$R169="Grass"),1,0)),IF(OR($S169="Flying",$S169="Water"),0-1,IF(OR($S169="Dragon",$S169="Electric",$S169="Grass"),1,0))))</f>
        <v>0</v>
      </c>
      <c r="AG169" s="507" t="n">
        <f aca="false">SUM(IF(OR($R169="Dark",$R169="Dragon",$R169="Fighting"),0-1,IF(OR($R169="Steel",$R169="Poison",$R169="Fire"),1,0)),IF(OR($S169="Dark",$S169="Dragon",$S169="Fighting"),0-1,IF(OR($S169="Steel",$S169="Poison",$S169="Fire"),1,0)))</f>
        <v>0</v>
      </c>
      <c r="AH169" s="507" t="n">
        <f aca="false">IF(OR($R169="Ghost",$S169="Ghost"),4,SUM(IF(OR($R169="Dark",$R169="Ice",$R169="Normal",$R169="Rock",$R169="Steel"),0-1,IF(OR($R169="Bug",$R169="Fairy",$R169="Flying",$R169="Poison",$R169="Psychic"),1,0)),IF(OR($S169="Dark",$S169="Ice",$S169="Normal",$S169="Rock",$S169="Steel"),0-1,IF(OR($S169="Bug",$S169="Fairy",$S169="Flying",$S169="Poison",$S169="Psychic"),1,0))))</f>
        <v>-1</v>
      </c>
      <c r="AI169" s="507" t="n">
        <f aca="false">SUM(IF(OR($R169="Bug",$R169="Grass",$R169="Ice",$R169="Steel"),0-1,IF(OR($R169="Dragon",$R169="Fire",$R169="Rock",$R169="Water"),1,0)),IF(OR($S169="Bug",$S169="Grass",$S169="Ice",$S169="Steel"),0-1,IF(OR($S169="Dragon",$S169="Fire",$S169="Rock",$S169="Water"),1,0)))</f>
        <v>-1</v>
      </c>
      <c r="AJ169" s="507" t="n">
        <f aca="false">SUM(IF(OR($R169="Bug",$R169="Grass",$R169="Fighting"),0-1,IF(OR($R169="Electric",$R169="Rock",$R169="Steel"),1,0)),IF(OR($S169="Bug",$S169="Grass",$S169="Fighting"),0-1,IF(OR($S169="Electric",$S169="Rock",$S169="Steel"),1,0)))</f>
        <v>0</v>
      </c>
      <c r="AK169" s="507" t="n">
        <f aca="false">IF(OR($R169="Normal",$S169="Normal"),4,SUM(IF(OR($R169="Ghost",$R169="Psychic"),0-1,IF($R169="Dark",1,0)),IF(OR($S169="Ghost",$S169="Psychic"),0-1,IF($S169="Dark",1,0))))</f>
        <v>0</v>
      </c>
      <c r="AL169" s="507" t="n">
        <f aca="false">SUM(IF(OR($R169="Ground",$R169="Rock",$R169="Water"),0-1,IF(OR($R169="Bug",$R169="Flying",$R169="Fire",$R169="Dragon",$R169="Poison",$R169="Steel",$R169="Grass"),1,0)),IF(OR($S169="Ground",$S169="Rock",$S169="Water"),0-1,IF(OR($S169="Bug",$S169="Flying",$S169="Fire",$S169="Dragon",$S169="Poison",$S169="Steel",$S169="Grass"),1,0)))</f>
        <v>0</v>
      </c>
      <c r="AM169" s="507" t="n">
        <f aca="false">IF(OR($R169="Flying",$S169="Flying"),4,SUM(IF(OR($R169="Electric",$R169="Fire",$R169="Rock",$R169="Steel",$R169="Poison"),0-1,IF(OR($R169="Bug",$R169="Grass"),1,0)),IF(OR($S169="Electric",$S169="Fire",$S169="Rock",$S169="Steel",$S169="Poison"),0-1,IF(OR($S169="Bug",$S169="Grass"),1,0))))</f>
        <v>0</v>
      </c>
      <c r="AN169" s="507" t="n">
        <f aca="false">SUM(IF(OR($R169="Flying",$R169="Dragon",$R169="Grass",$R169="Ground"),0-1,IF(OR($R169="Steel",$R169="Ice",$R169="Fire",$R169="Water"),1,0)),IF(OR($S169="Flying",$S169="Dragon",$S169="Grass",$S169="Ground"),0-1,IF(OR($S169="Steel",$S169="Ice",$S169="Fire",$S169="Water"),1,0)))</f>
        <v>1</v>
      </c>
      <c r="AO169" s="507" t="n">
        <f aca="false">IF(OR($R169="Ghost",$S169="Ghost"),4,SUM(IF(OR($R169="Steel",$R169="Rock"),1,0),IF(OR($S169="Steel",$S169="Rock"),1,0)))</f>
        <v>0</v>
      </c>
      <c r="AP169" s="507" t="n">
        <f aca="false">IF(OR($R169="Steel",$S169="Steel"),4,SUM(IF(OR($R169="Fairy",$R169="Grass"),0-1,IF(OR($R169="Ghost",$R169="Rock",$R169="Ground",$R169="Poison"),1,0)),IF(OR($S169="Fairy",$S169="Grass"),0-1,IF(OR($S169="Ghost",$S169="Rock",$S169="Ground",$S169="Poison"),1,0))))</f>
        <v>0</v>
      </c>
      <c r="AQ169" s="507" t="n">
        <f aca="false">IF(OR($R169="Dark",$S169="Dark"),4,SUM(IF(OR($R169="Fighting",$R169="Poison"),0-1,IF(OR($R169="Psychic",$R169="Steel"),1,0)),IF(OR($S169="Fighting",$S169="Poison"),0-1,IF(OR($S169="Psychic",$S169="Steel"),1,0))))</f>
        <v>0</v>
      </c>
      <c r="AR169" s="507" t="n">
        <f aca="false">SUM(IF(OR($R169="Bug",$R169="Fire",$R169="Flying",$R169="Ice"),0-1,IF(OR($R169="Steel",$R169="Fighting",$R169="Ground"),1,0)),IF(OR($S169="Bug",$S169="Fire",$S169="Flying",$S169="Ice"),0-1,IF(OR($S169="Steel",$S169="Fighting",$S169="Ground"),1,0)))</f>
        <v>-1</v>
      </c>
      <c r="AS169" s="507" t="n">
        <f aca="false">SUM(IF(OR($R169="Fairy",$R169="Ice",$R169="Rock"),0-1,IF(OR($R169="Steel",$R169="Electric",$R169="Fire",$R169="Water"),1,0)),IF(OR($S169="Fairy",$S169="Ice",$S169="Rock"),0-1,IF(OR($S169="Steel",$S169="Electric",$S169="Fire",$S169="Water"),1,0)))</f>
        <v>-1</v>
      </c>
      <c r="AT169" s="508" t="n">
        <f aca="false">SUM(IF(OR($R169="Fire",$R169="Ground",$R169="Rock"),0-1,IF(OR($R169="Dragon",$R169="Grass",$R169="Water"),1,0)),IF(OR($S169="Fire",$S169="Ground",$S169="Rock"),0-1,IF(OR($S169="Dragon",$S169="Grass",$S169="Water"),1,0)))</f>
        <v>0</v>
      </c>
      <c r="AU169" s="518"/>
    </row>
    <row r="170" customFormat="false" ht="15.75" hidden="false" customHeight="false" outlineLevel="0" collapsed="false">
      <c r="A170" s="510" t="str">
        <f aca="false" t="array" ref="A170:A170">IF(ISNA(INDEX(Source!$U$7:$U$95,MATCH(B170,Source!$V$7:$V$95,0))),"FREE",INDEX(Source!$U$7:$U$95,MATCH(B170,Source!$V$7:$V$95,0)))</f>
        <v>FREE</v>
      </c>
      <c r="B170" s="511" t="s">
        <v>485</v>
      </c>
      <c r="C170" s="511"/>
      <c r="D170" s="511"/>
      <c r="E170" s="499" t="str">
        <f aca="false">IF(SUM($W170:$X170)&gt;0,SUM($W170:$X170),IF($H170&gt;0,0,IF($H170&gt;0,0,"-")))</f>
        <v>-</v>
      </c>
      <c r="F170" s="499" t="str">
        <f aca="false">IF(SUM($Y170:$Z170)&gt;0,SUM($Y170:$Z170),IF($H170&gt;0,0,"-"))</f>
        <v>-</v>
      </c>
      <c r="G170" s="499" t="str">
        <f aca="false">IF($H170&gt;0,minus(E170,F170),"-")</f>
        <v>-</v>
      </c>
      <c r="H170" s="500" t="n">
        <f aca="false">SUM(COUNTIF(MatchSource!$A:$A,$B170),COUNTIF(MatchSource!$H:$H,$B170))</f>
        <v>0</v>
      </c>
      <c r="I170" s="501" t="n">
        <f aca="false">SUM($AA170:$AB170)</f>
        <v>0</v>
      </c>
      <c r="J170" s="501" t="s">
        <v>701</v>
      </c>
      <c r="K170" s="512" t="str">
        <f aca="false" t="array" ref="K170:K170">IF(ISNA(INDEX(DraftRosters!$AA$3:$AA$199,MATCH($B170,DraftRosters!$AB$3:$AB$199,0))),"FA",IF(INDEX(DraftRosters!$AA$3:$AA$199,MATCH($B170,DraftRosters!$AB$3:$AB$199,0))="Franchise","Franch",INDEX(DraftRosters!$AA$3:$AA$199,MATCH($B170,DraftRosters!$AB$3:$AB$199,0))))</f>
        <v>FA</v>
      </c>
      <c r="L170" s="499" t="n">
        <v>65</v>
      </c>
      <c r="M170" s="499" t="n">
        <v>75</v>
      </c>
      <c r="N170" s="499" t="n">
        <v>105</v>
      </c>
      <c r="O170" s="499" t="n">
        <v>35</v>
      </c>
      <c r="P170" s="499" t="n">
        <v>65</v>
      </c>
      <c r="Q170" s="501" t="n">
        <v>85</v>
      </c>
      <c r="R170" s="499" t="s">
        <v>801</v>
      </c>
      <c r="S170" s="501" t="s">
        <v>907</v>
      </c>
      <c r="T170" s="504" t="s">
        <v>933</v>
      </c>
      <c r="U170" s="505" t="s">
        <v>981</v>
      </c>
      <c r="V170" s="506" t="s">
        <v>906</v>
      </c>
      <c r="W170" s="500" t="str">
        <f aca="false">IFERROR(__xludf.dummyfunction("if(isna(SUM(FILTER(MatchSource!$A:$D,MatchSource!$A:$A=$B170))),0,SUM(FILTER(MatchSource!$A:$D,MatchSource!$A:$A=$B170)))"),"0")</f>
        <v>0</v>
      </c>
      <c r="X170" s="499" t="str">
        <f aca="false">IFERROR(__xludf.dummyfunction("if(isna(SUM(FILTER(MatchSource!$H:$K,MatchSource!$H:$H=$B170))),0,SUM(FILTER(MatchSource!$H:$K,MatchSource!$H:$H=$B170)))"),"0")</f>
        <v>0</v>
      </c>
      <c r="Y170" s="499" t="str">
        <f aca="false">IFERROR(__xludf.dummyfunction("if(isna(ABS(MINUS(SUM(FILTER(MatchSource!$A:$E,MatchSource!$A:$A=$B170)),SUM($W170)))),0,ABS(MINUS(SUM(FILTER(MatchSource!$A:$E,MatchSource!$A:$A=$B170)),SUM($W170))))"),"0")</f>
        <v>0</v>
      </c>
      <c r="Z170" s="499" t="str">
        <f aca="false">IFERROR(__xludf.dummyfunction("if(isna(ABS(MINUS(SUM(FILTER(MatchSource!$H:$L,MatchSource!$H:$H=$B170)),SUM($X170)))),0,ABS(MINUS(SUM(FILTER(MatchSource!$H:$L,MatchSource!$H:$H=$B170)),SUM($X170))))"),"0")</f>
        <v>0</v>
      </c>
      <c r="AA170" s="499" t="str">
        <f aca="false">IFERROR(__xludf.dummyfunction("if(isna(ABS(MINUS(SUM(FILTER(MatchSource!$A:$F,MatchSource!$A:$A=$B170)),SUM($W170,$Y170)))),0,ABS(MINUS(SUM(FILTER(MatchSource!$A:$F,MatchSource!$A:$A=$B170)),SUM($W170, $Y170,))))"),"0")</f>
        <v>0</v>
      </c>
      <c r="AB170" s="501" t="str">
        <f aca="false">IFERROR(__xludf.dummyfunction("if(isna(ABS(MINUS(SUM(FILTER(MatchSource!$H:$M,MatchSource!$H:$H=$B170)),SUM($X170,$Z170)))),0,ABS(MINUS(SUM(FILTER(MatchSource!$H:$M,MatchSource!$H:$H=$B170)),SUM($X170,$Z170))))"),"0")</f>
        <v>0</v>
      </c>
      <c r="AC170" s="507" t="n">
        <f aca="false">SUM(IF(OR($R170="Grass",$R170="Psychic",$R170="Dark"),0-1,IF(OR($R170="Fighting",$R170="Flying",$R170="Fire",$R170="Ghost",$R170="Poison",$R170="Steel",$R170="Fairy"),1,0)),IF(OR($S170="Grass",$S170="Psychic",$S170="Dark"),0-1,IF(OR($S170="Fighting",$S170="Flying",$S170="Fire",$S170="Ghost",$S170="Poison",$S170="Steel",$S170="Fairy"),1,0)))</f>
        <v>1</v>
      </c>
      <c r="AD170" s="507" t="n">
        <f aca="false">SUM(IF(OR($R170="Ghost",$R170="Psychic"),0-1,IF(OR($R170="Fighting",$R170="Dark",$R170="Fairy"),1,0)),IF(OR($S170="Ghost",$S170="Psychic"),0-1,IF(OR($S170="Fighting",$S170="Dark",$S170="Fairy"),1,0)))</f>
        <v>0</v>
      </c>
      <c r="AE170" s="507" t="n">
        <f aca="false">IF(OR($R170="Fairy",$S170="Fairy"),4,SUM(IF($R170="Dragon",0-1,IF($R170="Steel",1,0)),IF($S170="Dragon",0-1,IF($S170="Steel",1,0))))</f>
        <v>0</v>
      </c>
      <c r="AF170" s="507" t="n">
        <f aca="false">IF(OR($R170="Ground",$S170="Ground"),4,SUM(IF(OR($R170="Flying",$R170="Water"),0-1,IF(OR($R170="Dragon",$R170="Electric",$R170="Grass"),1,0)),IF(OR($S170="Flying",$S170="Water"),0-1,IF(OR($S170="Dragon",$S170="Electric",$S170="Grass"),1,0))))</f>
        <v>4</v>
      </c>
      <c r="AG170" s="507" t="n">
        <f aca="false">SUM(IF(OR($R170="Dark",$R170="Dragon",$R170="Fighting"),0-1,IF(OR($R170="Steel",$R170="Poison",$R170="Fire"),1,0)),IF(OR($S170="Dark",$S170="Dragon",$S170="Fighting"),0-1,IF(OR($S170="Steel",$S170="Poison",$S170="Fire"),1,0)))</f>
        <v>0</v>
      </c>
      <c r="AH170" s="507" t="n">
        <f aca="false">IF(OR($R170="Ghost",$S170="Ghost"),4,SUM(IF(OR($R170="Dark",$R170="Ice",$R170="Normal",$R170="Rock",$R170="Steel"),0-1,IF(OR($R170="Bug",$R170="Fairy",$R170="Flying",$R170="Poison",$R170="Psychic"),1,0)),IF(OR($S170="Dark",$S170="Ice",$S170="Normal",$S170="Rock",$S170="Steel"),0-1,IF(OR($S170="Bug",$S170="Fairy",$S170="Flying",$S170="Poison",$S170="Psychic"),1,0))))</f>
        <v>1</v>
      </c>
      <c r="AI170" s="507" t="n">
        <f aca="false">SUM(IF(OR($R170="Bug",$R170="Grass",$R170="Ice",$R170="Steel"),0-1,IF(OR($R170="Dragon",$R170="Fire",$R170="Rock",$R170="Water"),1,0)),IF(OR($S170="Bug",$S170="Grass",$S170="Ice",$S170="Steel"),0-1,IF(OR($S170="Dragon",$S170="Fire",$S170="Rock",$S170="Water"),1,0)))</f>
        <v>0</v>
      </c>
      <c r="AJ170" s="507" t="n">
        <f aca="false">SUM(IF(OR($R170="Bug",$R170="Grass",$R170="Fighting"),0-1,IF(OR($R170="Electric",$R170="Rock",$R170="Steel"),1,0)),IF(OR($S170="Bug",$S170="Grass",$S170="Fighting"),0-1,IF(OR($S170="Electric",$S170="Rock",$S170="Steel"),1,0)))</f>
        <v>0</v>
      </c>
      <c r="AK170" s="507" t="n">
        <f aca="false">IF(OR($R170="Normal",$S170="Normal"),4,SUM(IF(OR($R170="Ghost",$R170="Psychic"),0-1,IF($R170="Dark",1,0)),IF(OR($S170="Ghost",$S170="Psychic"),0-1,IF($S170="Dark",1,0))))</f>
        <v>0</v>
      </c>
      <c r="AL170" s="507" t="n">
        <f aca="false">SUM(IF(OR($R170="Ground",$R170="Rock",$R170="Water"),0-1,IF(OR($R170="Bug",$R170="Flying",$R170="Fire",$R170="Dragon",$R170="Poison",$R170="Steel",$R170="Grass"),1,0)),IF(OR($S170="Ground",$S170="Rock",$S170="Water"),0-1,IF(OR($S170="Bug",$S170="Flying",$S170="Fire",$S170="Dragon",$S170="Poison",$S170="Steel",$S170="Grass"),1,0)))</f>
        <v>0</v>
      </c>
      <c r="AM170" s="507" t="n">
        <f aca="false">IF(OR($R170="Flying",$S170="Flying"),4,SUM(IF(OR($R170="Electric",$R170="Fire",$R170="Rock",$R170="Steel",$R170="Poison"),0-1,IF(OR($R170="Bug",$R170="Grass"),1,0)),IF(OR($S170="Electric",$S170="Fire",$S170="Rock",$S170="Steel",$S170="Poison"),0-1,IF(OR($S170="Bug",$S170="Grass"),1,0))))</f>
        <v>4</v>
      </c>
      <c r="AN170" s="507" t="n">
        <f aca="false">SUM(IF(OR($R170="Flying",$R170="Dragon",$R170="Grass",$R170="Ground"),0-1,IF(OR($R170="Steel",$R170="Ice",$R170="Fire",$R170="Water"),1,0)),IF(OR($S170="Flying",$S170="Dragon",$S170="Grass",$S170="Ground"),0-1,IF(OR($S170="Steel",$S170="Ice",$S170="Fire",$S170="Water"),1,0)))</f>
        <v>-2</v>
      </c>
      <c r="AO170" s="507" t="n">
        <f aca="false">IF(OR($R170="Ghost",$S170="Ghost"),4,SUM(IF(OR($R170="Steel",$R170="Rock"),1,0),IF(OR($S170="Steel",$S170="Rock"),1,0)))</f>
        <v>0</v>
      </c>
      <c r="AP170" s="507" t="n">
        <f aca="false">IF(OR($R170="Steel",$S170="Steel"),4,SUM(IF(OR($R170="Fairy",$R170="Grass"),0-1,IF(OR($R170="Ghost",$R170="Rock",$R170="Ground",$R170="Poison"),1,0)),IF(OR($S170="Fairy",$S170="Grass"),0-1,IF(OR($S170="Ghost",$S170="Rock",$S170="Ground",$S170="Poison"),1,0))))</f>
        <v>1</v>
      </c>
      <c r="AQ170" s="507" t="n">
        <f aca="false">IF(OR($R170="Dark",$S170="Dark"),4,SUM(IF(OR($R170="Fighting",$R170="Poison"),0-1,IF(OR($R170="Psychic",$R170="Steel"),1,0)),IF(OR($S170="Fighting",$S170="Poison"),0-1,IF(OR($S170="Psychic",$S170="Steel"),1,0))))</f>
        <v>0</v>
      </c>
      <c r="AR170" s="507" t="n">
        <f aca="false">SUM(IF(OR($R170="Bug",$R170="Fire",$R170="Flying",$R170="Ice"),0-1,IF(OR($R170="Steel",$R170="Fighting",$R170="Ground"),1,0)),IF(OR($S170="Bug",$S170="Fire",$S170="Flying",$S170="Ice"),0-1,IF(OR($S170="Steel",$S170="Fighting",$S170="Ground"),1,0)))</f>
        <v>0</v>
      </c>
      <c r="AS170" s="507" t="n">
        <f aca="false">SUM(IF(OR($R170="Fairy",$R170="Ice",$R170="Rock"),0-1,IF(OR($R170="Steel",$R170="Electric",$R170="Fire",$R170="Water"),1,0)),IF(OR($S170="Fairy",$S170="Ice",$S170="Rock"),0-1,IF(OR($S170="Steel",$S170="Electric",$S170="Fire",$S170="Water"),1,0)))</f>
        <v>0</v>
      </c>
      <c r="AT170" s="508" t="n">
        <f aca="false">SUM(IF(OR($R170="Fire",$R170="Ground",$R170="Rock"),0-1,IF(OR($R170="Dragon",$R170="Grass",$R170="Water"),1,0)),IF(OR($S170="Fire",$S170="Ground",$S170="Rock"),0-1,IF(OR($S170="Dragon",$S170="Grass",$S170="Water"),1,0)))</f>
        <v>-1</v>
      </c>
      <c r="AU170" s="518"/>
    </row>
    <row r="171" customFormat="false" ht="15.75" hidden="false" customHeight="false" outlineLevel="0" collapsed="false">
      <c r="A171" s="510" t="str">
        <f aca="false" t="array" ref="A171:A171">IF(ISNA(INDEX(Source!$U$7:$U$95,MATCH(B171,Source!$V$7:$V$95,0))),"FREE",INDEX(Source!$U$7:$U$95,MATCH(B171,Source!$V$7:$V$95,0)))</f>
        <v>FREE</v>
      </c>
      <c r="B171" s="511" t="s">
        <v>392</v>
      </c>
      <c r="C171" s="511"/>
      <c r="D171" s="511"/>
      <c r="E171" s="499" t="str">
        <f aca="false">IF(SUM($W171:$X171)&gt;0,SUM($W171:$X171),IF($H171&gt;0,0,IF($H171&gt;0,0,"-")))</f>
        <v>-</v>
      </c>
      <c r="F171" s="499" t="str">
        <f aca="false">IF(SUM($Y171:$Z171)&gt;0,SUM($Y171:$Z171),IF($H171&gt;0,0,"-"))</f>
        <v>-</v>
      </c>
      <c r="G171" s="499" t="str">
        <f aca="false">IF($H171&gt;0,minus(E171,F171),"-")</f>
        <v>-</v>
      </c>
      <c r="H171" s="500" t="n">
        <f aca="false">SUM(COUNTIF(MatchSource!$A:$A,$B171),COUNTIF(MatchSource!$H:$H,$B171))</f>
        <v>0</v>
      </c>
      <c r="I171" s="501" t="n">
        <f aca="false">SUM($AA171:$AB171)</f>
        <v>0</v>
      </c>
      <c r="J171" s="501" t="s">
        <v>699</v>
      </c>
      <c r="K171" s="512" t="str">
        <f aca="false" t="array" ref="K171:K171">IF(ISNA(INDEX(DraftRosters!$AA$3:$AA$199,MATCH($B171,DraftRosters!$AB$3:$AB$199,0))),"FA",IF(INDEX(DraftRosters!$AA$3:$AA$199,MATCH($B171,DraftRosters!$AB$3:$AB$199,0))="Franchise","Franch",INDEX(DraftRosters!$AA$3:$AA$199,MATCH($B171,DraftRosters!$AB$3:$AB$199,0))))</f>
        <v>FA</v>
      </c>
      <c r="L171" s="507" t="n">
        <v>75</v>
      </c>
      <c r="M171" s="507" t="n">
        <v>95</v>
      </c>
      <c r="N171" s="507" t="n">
        <v>125</v>
      </c>
      <c r="O171" s="507" t="n">
        <v>45</v>
      </c>
      <c r="P171" s="507" t="n">
        <v>75</v>
      </c>
      <c r="Q171" s="508" t="n">
        <v>95</v>
      </c>
      <c r="R171" s="499" t="s">
        <v>907</v>
      </c>
      <c r="S171" s="501" t="s">
        <v>801</v>
      </c>
      <c r="T171" s="504" t="s">
        <v>933</v>
      </c>
      <c r="U171" s="505" t="s">
        <v>899</v>
      </c>
      <c r="V171" s="506" t="s">
        <v>906</v>
      </c>
      <c r="W171" s="500" t="str">
        <f aca="false">IFERROR(__xludf.dummyfunction("if(isna(SUM(FILTER(MatchSource!$A:$D,MatchSource!$A:$A=$B171))),0,SUM(FILTER(MatchSource!$A:$D,MatchSource!$A:$A=$B171)))"),"0")</f>
        <v>0</v>
      </c>
      <c r="X171" s="499" t="str">
        <f aca="false">IFERROR(__xludf.dummyfunction("if(isna(SUM(FILTER(MatchSource!$H:$K,MatchSource!$H:$H=$B171))),0,SUM(FILTER(MatchSource!$H:$K,MatchSource!$H:$H=$B171)))"),"0")</f>
        <v>0</v>
      </c>
      <c r="Y171" s="499" t="str">
        <f aca="false">IFERROR(__xludf.dummyfunction("if(isna(ABS(MINUS(SUM(FILTER(MatchSource!$A:$E,MatchSource!$A:$A=$B171)),SUM($W171)))),0,ABS(MINUS(SUM(FILTER(MatchSource!$A:$E,MatchSource!$A:$A=$B171)),SUM($W171))))"),"0")</f>
        <v>0</v>
      </c>
      <c r="Z171" s="499" t="str">
        <f aca="false">IFERROR(__xludf.dummyfunction("if(isna(ABS(MINUS(SUM(FILTER(MatchSource!$H:$L,MatchSource!$H:$H=$B171)),SUM($X171)))),0,ABS(MINUS(SUM(FILTER(MatchSource!$H:$L,MatchSource!$H:$H=$B171)),SUM($X171))))"),"0")</f>
        <v>0</v>
      </c>
      <c r="AA171" s="499" t="str">
        <f aca="false">IFERROR(__xludf.dummyfunction("if(isna(ABS(MINUS(SUM(FILTER(MatchSource!$A:$F,MatchSource!$A:$A=$B171)),SUM($W171,$Y171)))),0,ABS(MINUS(SUM(FILTER(MatchSource!$A:$F,MatchSource!$A:$A=$B171)),SUM($W171, $Y171,))))"),"0")</f>
        <v>0</v>
      </c>
      <c r="AB171" s="501" t="str">
        <f aca="false">IFERROR(__xludf.dummyfunction("if(isna(ABS(MINUS(SUM(FILTER(MatchSource!$H:$M,MatchSource!$H:$H=$B171)),SUM($X171,$Z171)))),0,ABS(MINUS(SUM(FILTER(MatchSource!$H:$M,MatchSource!$H:$H=$B171)),SUM($X171,$Z171))))"),"0")</f>
        <v>0</v>
      </c>
      <c r="AC171" s="507" t="n">
        <f aca="false">SUM(IF(OR($R171="Grass",$R171="Psychic",$R171="Dark"),0-1,IF(OR($R171="Fighting",$R171="Flying",$R171="Fire",$R171="Ghost",$R171="Poison",$R171="Steel",$R171="Fairy"),1,0)),IF(OR($S171="Grass",$S171="Psychic",$S171="Dark"),0-1,IF(OR($S171="Fighting",$S171="Flying",$S171="Fire",$S171="Ghost",$S171="Poison",$S171="Steel",$S171="Fairy"),1,0)))</f>
        <v>1</v>
      </c>
      <c r="AD171" s="507" t="n">
        <f aca="false">SUM(IF(OR($R171="Ghost",$R171="Psychic"),0-1,IF(OR($R171="Fighting",$R171="Dark",$R171="Fairy"),1,0)),IF(OR($S171="Ghost",$S171="Psychic"),0-1,IF(OR($S171="Fighting",$S171="Dark",$S171="Fairy"),1,0)))</f>
        <v>0</v>
      </c>
      <c r="AE171" s="507" t="n">
        <f aca="false">IF(OR($R171="Fairy",$S171="Fairy"),4,SUM(IF($R171="Dragon",0-1,IF($R171="Steel",1,0)),IF($S171="Dragon",0-1,IF($S171="Steel",1,0))))</f>
        <v>0</v>
      </c>
      <c r="AF171" s="507" t="n">
        <f aca="false">IF(OR($R171="Ground",$S171="Ground"),4,SUM(IF(OR($R171="Flying",$R171="Water"),0-1,IF(OR($R171="Dragon",$R171="Electric",$R171="Grass"),1,0)),IF(OR($S171="Flying",$S171="Water"),0-1,IF(OR($S171="Dragon",$S171="Electric",$S171="Grass"),1,0))))</f>
        <v>4</v>
      </c>
      <c r="AG171" s="507" t="n">
        <f aca="false">SUM(IF(OR($R171="Dark",$R171="Dragon",$R171="Fighting"),0-1,IF(OR($R171="Steel",$R171="Poison",$R171="Fire"),1,0)),IF(OR($S171="Dark",$S171="Dragon",$S171="Fighting"),0-1,IF(OR($S171="Steel",$S171="Poison",$S171="Fire"),1,0)))</f>
        <v>0</v>
      </c>
      <c r="AH171" s="507" t="n">
        <f aca="false">IF(OR($R171="Ghost",$S171="Ghost"),4,SUM(IF(OR($R171="Dark",$R171="Ice",$R171="Normal",$R171="Rock",$R171="Steel"),0-1,IF(OR($R171="Bug",$R171="Fairy",$R171="Flying",$R171="Poison",$R171="Psychic"),1,0)),IF(OR($S171="Dark",$S171="Ice",$S171="Normal",$S171="Rock",$S171="Steel"),0-1,IF(OR($S171="Bug",$S171="Fairy",$S171="Flying",$S171="Poison",$S171="Psychic"),1,0))))</f>
        <v>1</v>
      </c>
      <c r="AI171" s="507" t="n">
        <f aca="false">SUM(IF(OR($R171="Bug",$R171="Grass",$R171="Ice",$R171="Steel"),0-1,IF(OR($R171="Dragon",$R171="Fire",$R171="Rock",$R171="Water"),1,0)),IF(OR($S171="Bug",$S171="Grass",$S171="Ice",$S171="Steel"),0-1,IF(OR($S171="Dragon",$S171="Fire",$S171="Rock",$S171="Water"),1,0)))</f>
        <v>0</v>
      </c>
      <c r="AJ171" s="507" t="n">
        <f aca="false">SUM(IF(OR($R171="Bug",$R171="Grass",$R171="Fighting"),0-1,IF(OR($R171="Electric",$R171="Rock",$R171="Steel"),1,0)),IF(OR($S171="Bug",$S171="Grass",$S171="Fighting"),0-1,IF(OR($S171="Electric",$S171="Rock",$S171="Steel"),1,0)))</f>
        <v>0</v>
      </c>
      <c r="AK171" s="507" t="n">
        <f aca="false">IF(OR($R171="Normal",$S171="Normal"),4,SUM(IF(OR($R171="Ghost",$R171="Psychic"),0-1,IF($R171="Dark",1,0)),IF(OR($S171="Ghost",$S171="Psychic"),0-1,IF($S171="Dark",1,0))))</f>
        <v>0</v>
      </c>
      <c r="AL171" s="507" t="n">
        <f aca="false">SUM(IF(OR($R171="Ground",$R171="Rock",$R171="Water"),0-1,IF(OR($R171="Bug",$R171="Flying",$R171="Fire",$R171="Dragon",$R171="Poison",$R171="Steel",$R171="Grass"),1,0)),IF(OR($S171="Ground",$S171="Rock",$S171="Water"),0-1,IF(OR($S171="Bug",$S171="Flying",$S171="Fire",$S171="Dragon",$S171="Poison",$S171="Steel",$S171="Grass"),1,0)))</f>
        <v>0</v>
      </c>
      <c r="AM171" s="507" t="n">
        <f aca="false">IF(OR($R171="Flying",$S171="Flying"),4,SUM(IF(OR($R171="Electric",$R171="Fire",$R171="Rock",$R171="Steel",$R171="Poison"),0-1,IF(OR($R171="Bug",$R171="Grass"),1,0)),IF(OR($S171="Electric",$S171="Fire",$S171="Rock",$S171="Steel",$S171="Poison"),0-1,IF(OR($S171="Bug",$S171="Grass"),1,0))))</f>
        <v>4</v>
      </c>
      <c r="AN171" s="507" t="n">
        <f aca="false">SUM(IF(OR($R171="Flying",$R171="Dragon",$R171="Grass",$R171="Ground"),0-1,IF(OR($R171="Steel",$R171="Ice",$R171="Fire",$R171="Water"),1,0)),IF(OR($S171="Flying",$S171="Dragon",$S171="Grass",$S171="Ground"),0-1,IF(OR($S171="Steel",$S171="Ice",$S171="Fire",$S171="Water"),1,0)))</f>
        <v>-2</v>
      </c>
      <c r="AO171" s="507" t="n">
        <f aca="false">IF(OR($R171="Ghost",$S171="Ghost"),4,SUM(IF(OR($R171="Steel",$R171="Rock"),1,0),IF(OR($S171="Steel",$S171="Rock"),1,0)))</f>
        <v>0</v>
      </c>
      <c r="AP171" s="507" t="n">
        <f aca="false">IF(OR($R171="Steel",$S171="Steel"),4,SUM(IF(OR($R171="Fairy",$R171="Grass"),0-1,IF(OR($R171="Ghost",$R171="Rock",$R171="Ground",$R171="Poison"),1,0)),IF(OR($S171="Fairy",$S171="Grass"),0-1,IF(OR($S171="Ghost",$S171="Rock",$S171="Ground",$S171="Poison"),1,0))))</f>
        <v>1</v>
      </c>
      <c r="AQ171" s="507" t="n">
        <f aca="false">IF(OR($R171="Dark",$S171="Dark"),4,SUM(IF(OR($R171="Fighting",$R171="Poison"),0-1,IF(OR($R171="Psychic",$R171="Steel"),1,0)),IF(OR($S171="Fighting",$S171="Poison"),0-1,IF(OR($S171="Psychic",$S171="Steel"),1,0))))</f>
        <v>0</v>
      </c>
      <c r="AR171" s="507" t="n">
        <f aca="false">SUM(IF(OR($R171="Bug",$R171="Fire",$R171="Flying",$R171="Ice"),0-1,IF(OR($R171="Steel",$R171="Fighting",$R171="Ground"),1,0)),IF(OR($S171="Bug",$S171="Fire",$S171="Flying",$S171="Ice"),0-1,IF(OR($S171="Steel",$S171="Fighting",$S171="Ground"),1,0)))</f>
        <v>0</v>
      </c>
      <c r="AS171" s="507" t="n">
        <f aca="false">SUM(IF(OR($R171="Fairy",$R171="Ice",$R171="Rock"),0-1,IF(OR($R171="Steel",$R171="Electric",$R171="Fire",$R171="Water"),1,0)),IF(OR($S171="Fairy",$S171="Ice",$S171="Rock"),0-1,IF(OR($S171="Steel",$S171="Electric",$S171="Fire",$S171="Water"),1,0)))</f>
        <v>0</v>
      </c>
      <c r="AT171" s="508" t="n">
        <f aca="false">SUM(IF(OR($R171="Fire",$R171="Ground",$R171="Rock"),0-1,IF(OR($R171="Dragon",$R171="Grass",$R171="Water"),1,0)),IF(OR($S171="Fire",$S171="Ground",$S171="Rock"),0-1,IF(OR($S171="Dragon",$S171="Grass",$S171="Water"),1,0)))</f>
        <v>-1</v>
      </c>
      <c r="AU171" s="518"/>
    </row>
    <row r="172" customFormat="false" ht="15.75" hidden="false" customHeight="false" outlineLevel="0" collapsed="false">
      <c r="A172" s="510" t="str">
        <f aca="false" t="array" ref="A172:A172">IF(ISNA(INDEX(Source!$U$7:$U$95,MATCH(B172,Source!$V$7:$V$95,0))),"FREE",INDEX(Source!$U$7:$U$95,MATCH(B172,Source!$V$7:$V$95,0)))</f>
        <v>FREE</v>
      </c>
      <c r="B172" s="511" t="s">
        <v>594</v>
      </c>
      <c r="C172" s="511"/>
      <c r="D172" s="511"/>
      <c r="E172" s="499" t="str">
        <f aca="false">IF(SUM($W172:$X172)&gt;0,SUM($W172:$X172),IF($H172&gt;0,0,IF($H172&gt;0,0,"-")))</f>
        <v>-</v>
      </c>
      <c r="F172" s="499" t="str">
        <f aca="false">IF(SUM($Y172:$Z172)&gt;0,SUM($Y172:$Z172),IF($H172&gt;0,0,"-"))</f>
        <v>-</v>
      </c>
      <c r="G172" s="499" t="str">
        <f aca="false">IF($H172&gt;0,minus(E172,F172),"-")</f>
        <v>-</v>
      </c>
      <c r="H172" s="500" t="n">
        <f aca="false">SUM(COUNTIF(MatchSource!$A:$A,$B172),COUNTIF(MatchSource!$H:$H,$B172))</f>
        <v>0</v>
      </c>
      <c r="I172" s="501" t="n">
        <f aca="false">SUM($AA172:$AB172)</f>
        <v>0</v>
      </c>
      <c r="J172" s="501" t="s">
        <v>702</v>
      </c>
      <c r="K172" s="512" t="str">
        <f aca="false" t="array" ref="K172:K172">IF(ISNA(INDEX(DraftRosters!$AA$3:$AA$199,MATCH($B172,DraftRosters!$AB$3:$AB$199,0))),"FA",IF(INDEX(DraftRosters!$AA$3:$AA$199,MATCH($B172,DraftRosters!$AB$3:$AB$199,0))="Franchise","Franch",INDEX(DraftRosters!$AA$3:$AA$199,MATCH($B172,DraftRosters!$AB$3:$AB$199,0))))</f>
        <v>FA</v>
      </c>
      <c r="L172" s="499" t="n">
        <v>123</v>
      </c>
      <c r="M172" s="499" t="n">
        <v>100</v>
      </c>
      <c r="N172" s="499" t="n">
        <v>62</v>
      </c>
      <c r="O172" s="499" t="n">
        <v>97</v>
      </c>
      <c r="P172" s="499" t="n">
        <v>81</v>
      </c>
      <c r="Q172" s="501" t="n">
        <v>68</v>
      </c>
      <c r="R172" s="499" t="s">
        <v>803</v>
      </c>
      <c r="S172" s="501"/>
      <c r="T172" s="504" t="s">
        <v>982</v>
      </c>
      <c r="U172" s="505" t="s">
        <v>869</v>
      </c>
      <c r="V172" s="506"/>
      <c r="W172" s="500" t="str">
        <f aca="false">IFERROR(__xludf.dummyfunction("if(isna(SUM(FILTER(MatchSource!$A:$D,MatchSource!$A:$A=$B172))),0,SUM(FILTER(MatchSource!$A:$D,MatchSource!$A:$A=$B172)))"),"0")</f>
        <v>0</v>
      </c>
      <c r="X172" s="499" t="str">
        <f aca="false">IFERROR(__xludf.dummyfunction("if(isna(SUM(FILTER(MatchSource!$H:$K,MatchSource!$H:$H=$B172))),0,SUM(FILTER(MatchSource!$H:$K,MatchSource!$H:$H=$B172)))"),"0")</f>
        <v>0</v>
      </c>
      <c r="Y172" s="499" t="str">
        <f aca="false">IFERROR(__xludf.dummyfunction("if(isna(ABS(MINUS(SUM(FILTER(MatchSource!$A:$E,MatchSource!$A:$A=$B172)),SUM($W172)))),0,ABS(MINUS(SUM(FILTER(MatchSource!$A:$E,MatchSource!$A:$A=$B172)),SUM($W172))))"),"0")</f>
        <v>0</v>
      </c>
      <c r="Z172" s="499" t="str">
        <f aca="false">IFERROR(__xludf.dummyfunction("if(isna(ABS(MINUS(SUM(FILTER(MatchSource!$H:$L,MatchSource!$H:$H=$B172)),SUM($X172)))),0,ABS(MINUS(SUM(FILTER(MatchSource!$H:$L,MatchSource!$H:$H=$B172)),SUM($X172))))"),"0")</f>
        <v>0</v>
      </c>
      <c r="AA172" s="499" t="str">
        <f aca="false">IFERROR(__xludf.dummyfunction("if(isna(ABS(MINUS(SUM(FILTER(MatchSource!$A:$F,MatchSource!$A:$A=$B172)),SUM($W172,$Y172)))),0,ABS(MINUS(SUM(FILTER(MatchSource!$A:$F,MatchSource!$A:$A=$B172)),SUM($W172, $Y172,))))"),"0")</f>
        <v>0</v>
      </c>
      <c r="AB172" s="501" t="str">
        <f aca="false">IFERROR(__xludf.dummyfunction("if(isna(ABS(MINUS(SUM(FILTER(MatchSource!$H:$M,MatchSource!$H:$H=$B172)),SUM($X172,$Z172)))),0,ABS(MINUS(SUM(FILTER(MatchSource!$H:$M,MatchSource!$H:$H=$B172)),SUM($X172,$Z172))))"),"0")</f>
        <v>0</v>
      </c>
      <c r="AC172" s="507" t="n">
        <f aca="false">SUM(IF(OR($R172="Grass",$R172="Psychic",$R172="Dark"),0-1,IF(OR($R172="Fighting",$R172="Flying",$R172="Fire",$R172="Ghost",$R172="Poison",$R172="Steel",$R172="Fairy"),1,0)),IF(OR($S172="Grass",$S172="Psychic",$S172="Dark"),0-1,IF(OR($S172="Fighting",$S172="Flying",$S172="Fire",$S172="Ghost",$S172="Poison",$S172="Steel",$S172="Fairy"),1,0)))</f>
        <v>-1</v>
      </c>
      <c r="AD172" s="507" t="n">
        <f aca="false">SUM(IF(OR($R172="Ghost",$R172="Psychic"),0-1,IF(OR($R172="Fighting",$R172="Dark",$R172="Fairy"),1,0)),IF(OR($S172="Ghost",$S172="Psychic"),0-1,IF(OR($S172="Fighting",$S172="Dark",$S172="Fairy"),1,0)))</f>
        <v>0</v>
      </c>
      <c r="AE172" s="507" t="n">
        <f aca="false">IF(OR($R172="Fairy",$S172="Fairy"),4,SUM(IF($R172="Dragon",0-1,IF($R172="Steel",1,0)),IF($S172="Dragon",0-1,IF($S172="Steel",1,0))))</f>
        <v>0</v>
      </c>
      <c r="AF172" s="507" t="n">
        <f aca="false">IF(OR($R172="Ground",$S172="Ground"),4,SUM(IF(OR($R172="Flying",$R172="Water"),0-1,IF(OR($R172="Dragon",$R172="Electric",$R172="Grass"),1,0)),IF(OR($S172="Flying",$S172="Water"),0-1,IF(OR($S172="Dragon",$S172="Electric",$S172="Grass"),1,0))))</f>
        <v>1</v>
      </c>
      <c r="AG172" s="507" t="n">
        <f aca="false">SUM(IF(OR($R172="Dark",$R172="Dragon",$R172="Fighting"),0-1,IF(OR($R172="Steel",$R172="Poison",$R172="Fire"),1,0)),IF(OR($S172="Dark",$S172="Dragon",$S172="Fighting"),0-1,IF(OR($S172="Steel",$S172="Poison",$S172="Fire"),1,0)))</f>
        <v>0</v>
      </c>
      <c r="AH172" s="507" t="n">
        <f aca="false">IF(OR($R172="Ghost",$S172="Ghost"),4,SUM(IF(OR($R172="Dark",$R172="Ice",$R172="Normal",$R172="Rock",$R172="Steel"),0-1,IF(OR($R172="Bug",$R172="Fairy",$R172="Flying",$R172="Poison",$R172="Psychic"),1,0)),IF(OR($S172="Dark",$S172="Ice",$S172="Normal",$S172="Rock",$S172="Steel"),0-1,IF(OR($S172="Bug",$S172="Fairy",$S172="Flying",$S172="Poison",$S172="Psychic"),1,0))))</f>
        <v>0</v>
      </c>
      <c r="AI172" s="507" t="n">
        <f aca="false">SUM(IF(OR($R172="Bug",$R172="Grass",$R172="Ice",$R172="Steel"),0-1,IF(OR($R172="Dragon",$R172="Fire",$R172="Rock",$R172="Water"),1,0)),IF(OR($S172="Bug",$S172="Grass",$S172="Ice",$S172="Steel"),0-1,IF(OR($S172="Dragon",$S172="Fire",$S172="Rock",$S172="Water"),1,0)))</f>
        <v>-1</v>
      </c>
      <c r="AJ172" s="507" t="n">
        <f aca="false">SUM(IF(OR($R172="Bug",$R172="Grass",$R172="Fighting"),0-1,IF(OR($R172="Electric",$R172="Rock",$R172="Steel"),1,0)),IF(OR($S172="Bug",$S172="Grass",$S172="Fighting"),0-1,IF(OR($S172="Electric",$S172="Rock",$S172="Steel"),1,0)))</f>
        <v>-1</v>
      </c>
      <c r="AK172" s="507" t="n">
        <f aca="false">IF(OR($R172="Normal",$S172="Normal"),4,SUM(IF(OR($R172="Ghost",$R172="Psychic"),0-1,IF($R172="Dark",1,0)),IF(OR($S172="Ghost",$S172="Psychic"),0-1,IF($S172="Dark",1,0))))</f>
        <v>0</v>
      </c>
      <c r="AL172" s="507" t="n">
        <f aca="false">SUM(IF(OR($R172="Ground",$R172="Rock",$R172="Water"),0-1,IF(OR($R172="Bug",$R172="Flying",$R172="Fire",$R172="Dragon",$R172="Poison",$R172="Steel",$R172="Grass"),1,0)),IF(OR($S172="Ground",$S172="Rock",$S172="Water"),0-1,IF(OR($S172="Bug",$S172="Flying",$S172="Fire",$S172="Dragon",$S172="Poison",$S172="Steel",$S172="Grass"),1,0)))</f>
        <v>1</v>
      </c>
      <c r="AM172" s="507" t="n">
        <f aca="false">IF(OR($R172="Flying",$S172="Flying"),4,SUM(IF(OR($R172="Electric",$R172="Fire",$R172="Rock",$R172="Steel",$R172="Poison"),0-1,IF(OR($R172="Bug",$R172="Grass"),1,0)),IF(OR($S172="Electric",$S172="Fire",$S172="Rock",$S172="Steel",$S172="Poison"),0-1,IF(OR($S172="Bug",$S172="Grass"),1,0))))</f>
        <v>1</v>
      </c>
      <c r="AN172" s="507" t="n">
        <f aca="false">SUM(IF(OR($R172="Flying",$R172="Dragon",$R172="Grass",$R172="Ground"),0-1,IF(OR($R172="Steel",$R172="Ice",$R172="Fire",$R172="Water"),1,0)),IF(OR($S172="Flying",$S172="Dragon",$S172="Grass",$S172="Ground"),0-1,IF(OR($S172="Steel",$S172="Ice",$S172="Fire",$S172="Water"),1,0)))</f>
        <v>-1</v>
      </c>
      <c r="AO172" s="507" t="n">
        <f aca="false">IF(OR($R172="Ghost",$S172="Ghost"),4,SUM(IF(OR($R172="Steel",$R172="Rock"),1,0),IF(OR($S172="Steel",$S172="Rock"),1,0)))</f>
        <v>0</v>
      </c>
      <c r="AP172" s="507" t="n">
        <f aca="false">IF(OR($R172="Steel",$S172="Steel"),4,SUM(IF(OR($R172="Fairy",$R172="Grass"),0-1,IF(OR($R172="Ghost",$R172="Rock",$R172="Ground",$R172="Poison"),1,0)),IF(OR($S172="Fairy",$S172="Grass"),0-1,IF(OR($S172="Ghost",$S172="Rock",$S172="Ground",$S172="Poison"),1,0))))</f>
        <v>-1</v>
      </c>
      <c r="AQ172" s="507" t="n">
        <f aca="false">IF(OR($R172="Dark",$S172="Dark"),4,SUM(IF(OR($R172="Fighting",$R172="Poison"),0-1,IF(OR($R172="Psychic",$R172="Steel"),1,0)),IF(OR($S172="Fighting",$S172="Poison"),0-1,IF(OR($S172="Psychic",$S172="Steel"),1,0))))</f>
        <v>0</v>
      </c>
      <c r="AR172" s="507" t="n">
        <f aca="false">SUM(IF(OR($R172="Bug",$R172="Fire",$R172="Flying",$R172="Ice"),0-1,IF(OR($R172="Steel",$R172="Fighting",$R172="Ground"),1,0)),IF(OR($S172="Bug",$S172="Fire",$S172="Flying",$S172="Ice"),0-1,IF(OR($S172="Steel",$S172="Fighting",$S172="Ground"),1,0)))</f>
        <v>0</v>
      </c>
      <c r="AS172" s="507" t="n">
        <f aca="false">SUM(IF(OR($R172="Fairy",$R172="Ice",$R172="Rock"),0-1,IF(OR($R172="Steel",$R172="Electric",$R172="Fire",$R172="Water"),1,0)),IF(OR($S172="Fairy",$S172="Ice",$S172="Rock"),0-1,IF(OR($S172="Steel",$S172="Electric",$S172="Fire",$S172="Water"),1,0)))</f>
        <v>0</v>
      </c>
      <c r="AT172" s="508" t="n">
        <f aca="false">SUM(IF(OR($R172="Fire",$R172="Ground",$R172="Rock"),0-1,IF(OR($R172="Dragon",$R172="Grass",$R172="Water"),1,0)),IF(OR($S172="Fire",$S172="Ground",$S172="Rock"),0-1,IF(OR($S172="Dragon",$S172="Grass",$S172="Water"),1,0)))</f>
        <v>1</v>
      </c>
      <c r="AU172" s="518"/>
    </row>
    <row r="173" customFormat="false" ht="15.75" hidden="false" customHeight="false" outlineLevel="0" collapsed="false">
      <c r="A173" s="510" t="str">
        <f aca="false" t="array" ref="A173:A173">IF(ISNA(INDEX(Source!$U$7:$U$95,MATCH(B173,Source!$V$7:$V$95,0))),"FREE",INDEX(Source!$U$7:$U$95,MATCH(B173,Source!$V$7:$V$95,0)))</f>
        <v>FREE</v>
      </c>
      <c r="B173" s="511" t="s">
        <v>490</v>
      </c>
      <c r="C173" s="511"/>
      <c r="D173" s="511"/>
      <c r="E173" s="499" t="str">
        <f aca="false">IF(SUM($W173:$X173)&gt;0,SUM($W173:$X173),IF($H173&gt;0,0,IF($H173&gt;0,0,"-")))</f>
        <v>-</v>
      </c>
      <c r="F173" s="499" t="str">
        <f aca="false">IF(SUM($Y173:$Z173)&gt;0,SUM($Y173:$Z173),IF($H173&gt;0,0,"-"))</f>
        <v>-</v>
      </c>
      <c r="G173" s="499" t="str">
        <f aca="false">IF($H173&gt;0,minus(E173,F173),"-")</f>
        <v>-</v>
      </c>
      <c r="H173" s="500" t="n">
        <f aca="false">SUM(COUNTIF(MatchSource!$A:$A,$B173),COUNTIF(MatchSource!$H:$H,$B173))</f>
        <v>0</v>
      </c>
      <c r="I173" s="501" t="n">
        <f aca="false">SUM($AA173:$AB173)</f>
        <v>0</v>
      </c>
      <c r="J173" s="501" t="s">
        <v>701</v>
      </c>
      <c r="K173" s="512" t="str">
        <f aca="false" t="array" ref="K173:K173">IF(ISNA(INDEX(DraftRosters!$AA$3:$AA$199,MATCH($B173,DraftRosters!$AB$3:$AB$199,0))),"FA",IF(INDEX(DraftRosters!$AA$3:$AA$199,MATCH($B173,DraftRosters!$AB$3:$AB$199,0))="Franchise","Franch",INDEX(DraftRosters!$AA$3:$AA$199,MATCH($B173,DraftRosters!$AB$3:$AB$199,0))))</f>
        <v>FA</v>
      </c>
      <c r="L173" s="507" t="n">
        <v>75</v>
      </c>
      <c r="M173" s="507" t="n">
        <v>80</v>
      </c>
      <c r="N173" s="507" t="n">
        <v>70</v>
      </c>
      <c r="O173" s="507" t="n">
        <v>65</v>
      </c>
      <c r="P173" s="507" t="n">
        <v>75</v>
      </c>
      <c r="Q173" s="508" t="n">
        <v>90</v>
      </c>
      <c r="R173" s="499" t="s">
        <v>801</v>
      </c>
      <c r="S173" s="501" t="s">
        <v>843</v>
      </c>
      <c r="T173" s="504" t="s">
        <v>914</v>
      </c>
      <c r="U173" s="505" t="s">
        <v>829</v>
      </c>
      <c r="V173" s="506"/>
      <c r="W173" s="500" t="str">
        <f aca="false">IFERROR(__xludf.dummyfunction("if(isna(SUM(FILTER(MatchSource!$A:$D,MatchSource!$A:$A=$B173))),0,SUM(FILTER(MatchSource!$A:$D,MatchSource!$A:$A=$B173)))"),"0")</f>
        <v>0</v>
      </c>
      <c r="X173" s="499" t="str">
        <f aca="false">IFERROR(__xludf.dummyfunction("if(isna(SUM(FILTER(MatchSource!$H:$K,MatchSource!$H:$H=$B173))),0,SUM(FILTER(MatchSource!$H:$K,MatchSource!$H:$H=$B173)))"),"0")</f>
        <v>0</v>
      </c>
      <c r="Y173" s="499" t="str">
        <f aca="false">IFERROR(__xludf.dummyfunction("if(isna(ABS(MINUS(SUM(FILTER(MatchSource!$A:$E,MatchSource!$A:$A=$B173)),SUM($W173)))),0,ABS(MINUS(SUM(FILTER(MatchSource!$A:$E,MatchSource!$A:$A=$B173)),SUM($W173))))"),"0")</f>
        <v>0</v>
      </c>
      <c r="Z173" s="499" t="str">
        <f aca="false">IFERROR(__xludf.dummyfunction("if(isna(ABS(MINUS(SUM(FILTER(MatchSource!$H:$L,MatchSource!$H:$H=$B173)),SUM($X173)))),0,ABS(MINUS(SUM(FILTER(MatchSource!$H:$L,MatchSource!$H:$H=$B173)),SUM($X173))))"),"0")</f>
        <v>0</v>
      </c>
      <c r="AA173" s="499" t="str">
        <f aca="false">IFERROR(__xludf.dummyfunction("if(isna(ABS(MINUS(SUM(FILTER(MatchSource!$A:$F,MatchSource!$A:$A=$B173)),SUM($W173,$Y173)))),0,ABS(MINUS(SUM(FILTER(MatchSource!$A:$F,MatchSource!$A:$A=$B173)),SUM($W173, $Y173,))))"),"0")</f>
        <v>0</v>
      </c>
      <c r="AB173" s="501" t="str">
        <f aca="false">IFERROR(__xludf.dummyfunction("if(isna(ABS(MINUS(SUM(FILTER(MatchSource!$H:$M,MatchSource!$H:$H=$B173)),SUM($X173,$Z173)))),0,ABS(MINUS(SUM(FILTER(MatchSource!$H:$M,MatchSource!$H:$H=$B173)),SUM($X173,$Z173))))"),"0")</f>
        <v>0</v>
      </c>
      <c r="AC173" s="507" t="n">
        <f aca="false">SUM(IF(OR($R173="Grass",$R173="Psychic",$R173="Dark"),0-1,IF(OR($R173="Fighting",$R173="Flying",$R173="Fire",$R173="Ghost",$R173="Poison",$R173="Steel",$R173="Fairy"),1,0)),IF(OR($S173="Grass",$S173="Psychic",$S173="Dark"),0-1,IF(OR($S173="Fighting",$S173="Flying",$S173="Fire",$S173="Ghost",$S173="Poison",$S173="Steel",$S173="Fairy"),1,0)))</f>
        <v>2</v>
      </c>
      <c r="AD173" s="507" t="n">
        <f aca="false">SUM(IF(OR($R173="Ghost",$R173="Psychic"),0-1,IF(OR($R173="Fighting",$R173="Dark",$R173="Fairy"),1,0)),IF(OR($S173="Ghost",$S173="Psychic"),0-1,IF(OR($S173="Fighting",$S173="Dark",$S173="Fairy"),1,0)))</f>
        <v>0</v>
      </c>
      <c r="AE173" s="507" t="n">
        <f aca="false">IF(OR($R173="Fairy",$S173="Fairy"),4,SUM(IF($R173="Dragon",0-1,IF($R173="Steel",1,0)),IF($S173="Dragon",0-1,IF($S173="Steel",1,0))))</f>
        <v>0</v>
      </c>
      <c r="AF173" s="507" t="n">
        <f aca="false">IF(OR($R173="Ground",$S173="Ground"),4,SUM(IF(OR($R173="Flying",$R173="Water"),0-1,IF(OR($R173="Dragon",$R173="Electric",$R173="Grass"),1,0)),IF(OR($S173="Flying",$S173="Water"),0-1,IF(OR($S173="Dragon",$S173="Electric",$S173="Grass"),1,0))))</f>
        <v>-1</v>
      </c>
      <c r="AG173" s="507" t="n">
        <f aca="false">SUM(IF(OR($R173="Dark",$R173="Dragon",$R173="Fighting"),0-1,IF(OR($R173="Steel",$R173="Poison",$R173="Fire"),1,0)),IF(OR($S173="Dark",$S173="Dragon",$S173="Fighting"),0-1,IF(OR($S173="Steel",$S173="Poison",$S173="Fire"),1,0)))</f>
        <v>1</v>
      </c>
      <c r="AH173" s="507" t="n">
        <f aca="false">IF(OR($R173="Ghost",$S173="Ghost"),4,SUM(IF(OR($R173="Dark",$R173="Ice",$R173="Normal",$R173="Rock",$R173="Steel"),0-1,IF(OR($R173="Bug",$R173="Fairy",$R173="Flying",$R173="Poison",$R173="Psychic"),1,0)),IF(OR($S173="Dark",$S173="Ice",$S173="Normal",$S173="Rock",$S173="Steel"),0-1,IF(OR($S173="Bug",$S173="Fairy",$S173="Flying",$S173="Poison",$S173="Psychic"),1,0))))</f>
        <v>2</v>
      </c>
      <c r="AI173" s="507" t="n">
        <f aca="false">SUM(IF(OR($R173="Bug",$R173="Grass",$R173="Ice",$R173="Steel"),0-1,IF(OR($R173="Dragon",$R173="Fire",$R173="Rock",$R173="Water"),1,0)),IF(OR($S173="Bug",$S173="Grass",$S173="Ice",$S173="Steel"),0-1,IF(OR($S173="Dragon",$S173="Fire",$S173="Rock",$S173="Water"),1,0)))</f>
        <v>0</v>
      </c>
      <c r="AJ173" s="507" t="n">
        <f aca="false">SUM(IF(OR($R173="Bug",$R173="Grass",$R173="Fighting"),0-1,IF(OR($R173="Electric",$R173="Rock",$R173="Steel"),1,0)),IF(OR($S173="Bug",$S173="Grass",$S173="Fighting"),0-1,IF(OR($S173="Electric",$S173="Rock",$S173="Steel"),1,0)))</f>
        <v>0</v>
      </c>
      <c r="AK173" s="507" t="n">
        <f aca="false">IF(OR($R173="Normal",$S173="Normal"),4,SUM(IF(OR($R173="Ghost",$R173="Psychic"),0-1,IF($R173="Dark",1,0)),IF(OR($S173="Ghost",$S173="Psychic"),0-1,IF($S173="Dark",1,0))))</f>
        <v>0</v>
      </c>
      <c r="AL173" s="507" t="n">
        <f aca="false">SUM(IF(OR($R173="Ground",$R173="Rock",$R173="Water"),0-1,IF(OR($R173="Bug",$R173="Flying",$R173="Fire",$R173="Dragon",$R173="Poison",$R173="Steel",$R173="Grass"),1,0)),IF(OR($S173="Ground",$S173="Rock",$S173="Water"),0-1,IF(OR($S173="Bug",$S173="Flying",$S173="Fire",$S173="Dragon",$S173="Poison",$S173="Steel",$S173="Grass"),1,0)))</f>
        <v>2</v>
      </c>
      <c r="AM173" s="507" t="n">
        <f aca="false">IF(OR($R173="Flying",$S173="Flying"),4,SUM(IF(OR($R173="Electric",$R173="Fire",$R173="Rock",$R173="Steel",$R173="Poison"),0-1,IF(OR($R173="Bug",$R173="Grass"),1,0)),IF(OR($S173="Electric",$S173="Fire",$S173="Rock",$S173="Steel",$S173="Poison"),0-1,IF(OR($S173="Bug",$S173="Grass"),1,0))))</f>
        <v>4</v>
      </c>
      <c r="AN173" s="507" t="n">
        <f aca="false">SUM(IF(OR($R173="Flying",$R173="Dragon",$R173="Grass",$R173="Ground"),0-1,IF(OR($R173="Steel",$R173="Ice",$R173="Fire",$R173="Water"),1,0)),IF(OR($S173="Flying",$S173="Dragon",$S173="Grass",$S173="Ground"),0-1,IF(OR($S173="Steel",$S173="Ice",$S173="Fire",$S173="Water"),1,0)))</f>
        <v>-1</v>
      </c>
      <c r="AO173" s="507" t="n">
        <f aca="false">IF(OR($R173="Ghost",$S173="Ghost"),4,SUM(IF(OR($R173="Steel",$R173="Rock"),1,0),IF(OR($S173="Steel",$S173="Rock"),1,0)))</f>
        <v>0</v>
      </c>
      <c r="AP173" s="507" t="n">
        <f aca="false">IF(OR($R173="Steel",$S173="Steel"),4,SUM(IF(OR($R173="Fairy",$R173="Grass"),0-1,IF(OR($R173="Ghost",$R173="Rock",$R173="Ground",$R173="Poison"),1,0)),IF(OR($S173="Fairy",$S173="Grass"),0-1,IF(OR($S173="Ghost",$S173="Rock",$S173="Ground",$S173="Poison"),1,0))))</f>
        <v>1</v>
      </c>
      <c r="AQ173" s="507" t="n">
        <f aca="false">IF(OR($R173="Dark",$S173="Dark"),4,SUM(IF(OR($R173="Fighting",$R173="Poison"),0-1,IF(OR($R173="Psychic",$R173="Steel"),1,0)),IF(OR($S173="Fighting",$S173="Poison"),0-1,IF(OR($S173="Psychic",$S173="Steel"),1,0))))</f>
        <v>-1</v>
      </c>
      <c r="AR173" s="507" t="n">
        <f aca="false">SUM(IF(OR($R173="Bug",$R173="Fire",$R173="Flying",$R173="Ice"),0-1,IF(OR($R173="Steel",$R173="Fighting",$R173="Ground"),1,0)),IF(OR($S173="Bug",$S173="Fire",$S173="Flying",$S173="Ice"),0-1,IF(OR($S173="Steel",$S173="Fighting",$S173="Ground"),1,0)))</f>
        <v>-1</v>
      </c>
      <c r="AS173" s="507" t="n">
        <f aca="false">SUM(IF(OR($R173="Fairy",$R173="Ice",$R173="Rock"),0-1,IF(OR($R173="Steel",$R173="Electric",$R173="Fire",$R173="Water"),1,0)),IF(OR($S173="Fairy",$S173="Ice",$S173="Rock"),0-1,IF(OR($S173="Steel",$S173="Electric",$S173="Fire",$S173="Water"),1,0)))</f>
        <v>0</v>
      </c>
      <c r="AT173" s="508" t="n">
        <f aca="false">SUM(IF(OR($R173="Fire",$R173="Ground",$R173="Rock"),0-1,IF(OR($R173="Dragon",$R173="Grass",$R173="Water"),1,0)),IF(OR($S173="Fire",$S173="Ground",$S173="Rock"),0-1,IF(OR($S173="Dragon",$S173="Grass",$S173="Water"),1,0)))</f>
        <v>0</v>
      </c>
      <c r="AU173" s="518"/>
    </row>
    <row r="174" customFormat="false" ht="15.75" hidden="false" customHeight="false" outlineLevel="0" collapsed="false">
      <c r="A174" s="515" t="str">
        <f aca="false" t="array" ref="A174:A174">IF(ISNA(INDEX(Source!$U$7:$U$95,MATCH(B174,Source!$V$7:$V$95,0))),"FREE",INDEX(Source!$U$7:$U$95,MATCH(B174,Source!$V$7:$V$95,0)))</f>
        <v>FREE</v>
      </c>
      <c r="B174" s="511" t="s">
        <v>598</v>
      </c>
      <c r="C174" s="511"/>
      <c r="D174" s="511"/>
      <c r="E174" s="499" t="str">
        <f aca="false">IF(SUM($W174:$X174)&gt;0,SUM($W174:$X174),IF($H174&gt;0,0,IF($H174&gt;0,0,"-")))</f>
        <v>-</v>
      </c>
      <c r="F174" s="499" t="str">
        <f aca="false">IF(SUM($Y174:$Z174)&gt;0,SUM($Y174:$Z174),IF($H174&gt;0,0,"-"))</f>
        <v>-</v>
      </c>
      <c r="G174" s="499" t="str">
        <f aca="false">IF($H174&gt;0,minus(E174,F174),"-")</f>
        <v>-</v>
      </c>
      <c r="H174" s="500" t="n">
        <f aca="false">SUM(COUNTIF(MatchSource!$A:$A,$B174),COUNTIF(MatchSource!$H:$H,$B174))</f>
        <v>0</v>
      </c>
      <c r="I174" s="501" t="n">
        <f aca="false">SUM($AA174:$AB174)</f>
        <v>0</v>
      </c>
      <c r="J174" s="501" t="s">
        <v>702</v>
      </c>
      <c r="K174" s="512" t="str">
        <f aca="false" t="array" ref="K174:K174">IF(ISNA(INDEX(DraftRosters!$AA$3:$AA$199,MATCH($B174,DraftRosters!$AB$3:$AB$199,0))),"FA",IF(INDEX(DraftRosters!$AA$3:$AA$199,MATCH($B174,DraftRosters!$AB$3:$AB$199,0))="Franchise","Franch",INDEX(DraftRosters!$AA$3:$AA$199,MATCH($B174,DraftRosters!$AB$3:$AB$199,0))))</f>
        <v>FA</v>
      </c>
      <c r="L174" s="499" t="n">
        <v>80</v>
      </c>
      <c r="M174" s="499" t="n">
        <v>82</v>
      </c>
      <c r="N174" s="499" t="n">
        <v>78</v>
      </c>
      <c r="O174" s="499" t="n">
        <v>95</v>
      </c>
      <c r="P174" s="499" t="n">
        <v>80</v>
      </c>
      <c r="Q174" s="501" t="n">
        <v>85</v>
      </c>
      <c r="R174" s="499" t="s">
        <v>811</v>
      </c>
      <c r="S174" s="501"/>
      <c r="T174" s="504" t="s">
        <v>836</v>
      </c>
      <c r="U174" s="505" t="s">
        <v>859</v>
      </c>
      <c r="V174" s="506" t="s">
        <v>983</v>
      </c>
      <c r="W174" s="500" t="str">
        <f aca="false">IFERROR(__xludf.dummyfunction("if(isna(SUM(FILTER(MatchSource!$A:$D,MatchSource!$A:$A=$B174))),0,SUM(FILTER(MatchSource!$A:$D,MatchSource!$A:$A=$B174)))"),"0")</f>
        <v>0</v>
      </c>
      <c r="X174" s="499" t="str">
        <f aca="false">IFERROR(__xludf.dummyfunction("if(isna(SUM(FILTER(MatchSource!$H:$K,MatchSource!$H:$H=$B174))),0,SUM(FILTER(MatchSource!$H:$K,MatchSource!$H:$H=$B174)))"),"0")</f>
        <v>0</v>
      </c>
      <c r="Y174" s="499" t="str">
        <f aca="false">IFERROR(__xludf.dummyfunction("if(isna(ABS(MINUS(SUM(FILTER(MatchSource!$A:$E,MatchSource!$A:$A=$B174)),SUM($W174)))),0,ABS(MINUS(SUM(FILTER(MatchSource!$A:$E,MatchSource!$A:$A=$B174)),SUM($W174))))"),"0")</f>
        <v>0</v>
      </c>
      <c r="Z174" s="499" t="str">
        <f aca="false">IFERROR(__xludf.dummyfunction("if(isna(ABS(MINUS(SUM(FILTER(MatchSource!$H:$L,MatchSource!$H:$H=$B174)),SUM($X174)))),0,ABS(MINUS(SUM(FILTER(MatchSource!$H:$L,MatchSource!$H:$H=$B174)),SUM($X174))))"),"0")</f>
        <v>0</v>
      </c>
      <c r="AA174" s="499" t="str">
        <f aca="false">IFERROR(__xludf.dummyfunction("if(isna(ABS(MINUS(SUM(FILTER(MatchSource!$A:$F,MatchSource!$A:$A=$B174)),SUM($W174,$Y174)))),0,ABS(MINUS(SUM(FILTER(MatchSource!$A:$F,MatchSource!$A:$A=$B174)),SUM($W174, $Y174,))))"),"0")</f>
        <v>0</v>
      </c>
      <c r="AB174" s="501" t="str">
        <f aca="false">IFERROR(__xludf.dummyfunction("if(isna(ABS(MINUS(SUM(FILTER(MatchSource!$H:$M,MatchSource!$H:$H=$B174)),SUM($X174,$Z174)))),0,ABS(MINUS(SUM(FILTER(MatchSource!$H:$M,MatchSource!$H:$H=$B174)),SUM($X174,$Z174))))"),"0")</f>
        <v>0</v>
      </c>
      <c r="AC174" s="507" t="n">
        <f aca="false">SUM(IF(OR($R174="Grass",$R174="Psychic",$R174="Dark"),0-1,IF(OR($R174="Fighting",$R174="Flying",$R174="Fire",$R174="Ghost",$R174="Poison",$R174="Steel",$R174="Fairy"),1,0)),IF(OR($S174="Grass",$S174="Psychic",$S174="Dark"),0-1,IF(OR($S174="Fighting",$S174="Flying",$S174="Fire",$S174="Ghost",$S174="Poison",$S174="Steel",$S174="Fairy"),1,0)))</f>
        <v>0</v>
      </c>
      <c r="AD174" s="507" t="n">
        <f aca="false">SUM(IF(OR($R174="Ghost",$R174="Psychic"),0-1,IF(OR($R174="Fighting",$R174="Dark",$R174="Fairy"),1,0)),IF(OR($S174="Ghost",$S174="Psychic"),0-1,IF(OR($S174="Fighting",$S174="Dark",$S174="Fairy"),1,0)))</f>
        <v>0</v>
      </c>
      <c r="AE174" s="507" t="n">
        <f aca="false">IF(OR($R174="Fairy",$S174="Fairy"),4,SUM(IF($R174="Dragon",0-1,IF($R174="Steel",1,0)),IF($S174="Dragon",0-1,IF($S174="Steel",1,0))))</f>
        <v>0</v>
      </c>
      <c r="AF174" s="507" t="n">
        <f aca="false">IF(OR($R174="Ground",$S174="Ground"),4,SUM(IF(OR($R174="Flying",$R174="Water"),0-1,IF(OR($R174="Dragon",$R174="Electric",$R174="Grass"),1,0)),IF(OR($S174="Flying",$S174="Water"),0-1,IF(OR($S174="Dragon",$S174="Electric",$S174="Grass"),1,0))))</f>
        <v>-1</v>
      </c>
      <c r="AG174" s="507" t="n">
        <f aca="false">SUM(IF(OR($R174="Dark",$R174="Dragon",$R174="Fighting"),0-1,IF(OR($R174="Steel",$R174="Poison",$R174="Fire"),1,0)),IF(OR($S174="Dark",$S174="Dragon",$S174="Fighting"),0-1,IF(OR($S174="Steel",$S174="Poison",$S174="Fire"),1,0)))</f>
        <v>0</v>
      </c>
      <c r="AH174" s="507" t="n">
        <f aca="false">IF(OR($R174="Ghost",$S174="Ghost"),4,SUM(IF(OR($R174="Dark",$R174="Ice",$R174="Normal",$R174="Rock",$R174="Steel"),0-1,IF(OR($R174="Bug",$R174="Fairy",$R174="Flying",$R174="Poison",$R174="Psychic"),1,0)),IF(OR($S174="Dark",$S174="Ice",$S174="Normal",$S174="Rock",$S174="Steel"),0-1,IF(OR($S174="Bug",$S174="Fairy",$S174="Flying",$S174="Poison",$S174="Psychic"),1,0))))</f>
        <v>0</v>
      </c>
      <c r="AI174" s="507" t="n">
        <f aca="false">SUM(IF(OR($R174="Bug",$R174="Grass",$R174="Ice",$R174="Steel"),0-1,IF(OR($R174="Dragon",$R174="Fire",$R174="Rock",$R174="Water"),1,0)),IF(OR($S174="Bug",$S174="Grass",$S174="Ice",$S174="Steel"),0-1,IF(OR($S174="Dragon",$S174="Fire",$S174="Rock",$S174="Water"),1,0)))</f>
        <v>1</v>
      </c>
      <c r="AJ174" s="507" t="n">
        <f aca="false">SUM(IF(OR($R174="Bug",$R174="Grass",$R174="Fighting"),0-1,IF(OR($R174="Electric",$R174="Rock",$R174="Steel"),1,0)),IF(OR($S174="Bug",$S174="Grass",$S174="Fighting"),0-1,IF(OR($S174="Electric",$S174="Rock",$S174="Steel"),1,0)))</f>
        <v>0</v>
      </c>
      <c r="AK174" s="507" t="n">
        <f aca="false">IF(OR($R174="Normal",$S174="Normal"),4,SUM(IF(OR($R174="Ghost",$R174="Psychic"),0-1,IF($R174="Dark",1,0)),IF(OR($S174="Ghost",$S174="Psychic"),0-1,IF($S174="Dark",1,0))))</f>
        <v>0</v>
      </c>
      <c r="AL174" s="507" t="n">
        <f aca="false">SUM(IF(OR($R174="Ground",$R174="Rock",$R174="Water"),0-1,IF(OR($R174="Bug",$R174="Flying",$R174="Fire",$R174="Dragon",$R174="Poison",$R174="Steel",$R174="Grass"),1,0)),IF(OR($S174="Ground",$S174="Rock",$S174="Water"),0-1,IF(OR($S174="Bug",$S174="Flying",$S174="Fire",$S174="Dragon",$S174="Poison",$S174="Steel",$S174="Grass"),1,0)))</f>
        <v>-1</v>
      </c>
      <c r="AM174" s="507" t="n">
        <f aca="false">IF(OR($R174="Flying",$S174="Flying"),4,SUM(IF(OR($R174="Electric",$R174="Fire",$R174="Rock",$R174="Steel",$R174="Poison"),0-1,IF(OR($R174="Bug",$R174="Grass"),1,0)),IF(OR($S174="Electric",$S174="Fire",$S174="Rock",$S174="Steel",$S174="Poison"),0-1,IF(OR($S174="Bug",$S174="Grass"),1,0))))</f>
        <v>0</v>
      </c>
      <c r="AN174" s="507" t="n">
        <f aca="false">SUM(IF(OR($R174="Flying",$R174="Dragon",$R174="Grass",$R174="Ground"),0-1,IF(OR($R174="Steel",$R174="Ice",$R174="Fire",$R174="Water"),1,0)),IF(OR($S174="Flying",$S174="Dragon",$S174="Grass",$S174="Ground"),0-1,IF(OR($S174="Steel",$S174="Ice",$S174="Fire",$S174="Water"),1,0)))</f>
        <v>1</v>
      </c>
      <c r="AO174" s="507" t="n">
        <f aca="false">IF(OR($R174="Ghost",$S174="Ghost"),4,SUM(IF(OR($R174="Steel",$R174="Rock"),1,0),IF(OR($S174="Steel",$S174="Rock"),1,0)))</f>
        <v>0</v>
      </c>
      <c r="AP174" s="507" t="n">
        <f aca="false">IF(OR($R174="Steel",$S174="Steel"),4,SUM(IF(OR($R174="Fairy",$R174="Grass"),0-1,IF(OR($R174="Ghost",$R174="Rock",$R174="Ground",$R174="Poison"),1,0)),IF(OR($S174="Fairy",$S174="Grass"),0-1,IF(OR($S174="Ghost",$S174="Rock",$S174="Ground",$S174="Poison"),1,0))))</f>
        <v>0</v>
      </c>
      <c r="AQ174" s="507" t="n">
        <f aca="false">IF(OR($R174="Dark",$S174="Dark"),4,SUM(IF(OR($R174="Fighting",$R174="Poison"),0-1,IF(OR($R174="Psychic",$R174="Steel"),1,0)),IF(OR($S174="Fighting",$S174="Poison"),0-1,IF(OR($S174="Psychic",$S174="Steel"),1,0))))</f>
        <v>0</v>
      </c>
      <c r="AR174" s="507" t="n">
        <f aca="false">SUM(IF(OR($R174="Bug",$R174="Fire",$R174="Flying",$R174="Ice"),0-1,IF(OR($R174="Steel",$R174="Fighting",$R174="Ground"),1,0)),IF(OR($S174="Bug",$S174="Fire",$S174="Flying",$S174="Ice"),0-1,IF(OR($S174="Steel",$S174="Fighting",$S174="Ground"),1,0)))</f>
        <v>0</v>
      </c>
      <c r="AS174" s="507" t="n">
        <f aca="false">SUM(IF(OR($R174="Fairy",$R174="Ice",$R174="Rock"),0-1,IF(OR($R174="Steel",$R174="Electric",$R174="Fire",$R174="Water"),1,0)),IF(OR($S174="Fairy",$S174="Ice",$S174="Rock"),0-1,IF(OR($S174="Steel",$S174="Electric",$S174="Fire",$S174="Water"),1,0)))</f>
        <v>1</v>
      </c>
      <c r="AT174" s="508" t="n">
        <f aca="false">SUM(IF(OR($R174="Fire",$R174="Ground",$R174="Rock"),0-1,IF(OR($R174="Dragon",$R174="Grass",$R174="Water"),1,0)),IF(OR($S174="Fire",$S174="Ground",$S174="Rock"),0-1,IF(OR($S174="Dragon",$S174="Grass",$S174="Water"),1,0)))</f>
        <v>1</v>
      </c>
      <c r="AU174" s="518"/>
    </row>
    <row r="175" customFormat="false" ht="15.75" hidden="false" customHeight="false" outlineLevel="0" collapsed="false">
      <c r="A175" s="515" t="str">
        <f aca="false" t="array" ref="A175:A175">IF(ISNA(INDEX(Source!$U$7:$U$95,MATCH(B175,Source!$V$7:$V$95,0))),"FREE",INDEX(Source!$U$7:$U$95,MATCH(B175,Source!$V$7:$V$95,0)))</f>
        <v>FREE</v>
      </c>
      <c r="B175" s="511" t="s">
        <v>601</v>
      </c>
      <c r="C175" s="511"/>
      <c r="D175" s="511"/>
      <c r="E175" s="499" t="str">
        <f aca="false">IF(SUM($W175:$X175)&gt;0,SUM($W175:$X175),IF($H175&gt;0,0,IF($H175&gt;0,0,"-")))</f>
        <v>-</v>
      </c>
      <c r="F175" s="499" t="str">
        <f aca="false">IF(SUM($Y175:$Z175)&gt;0,SUM($Y175:$Z175),IF($H175&gt;0,0,"-"))</f>
        <v>-</v>
      </c>
      <c r="G175" s="499" t="str">
        <f aca="false">IF($H175&gt;0,minus(E175,F175),"-")</f>
        <v>-</v>
      </c>
      <c r="H175" s="500" t="n">
        <f aca="false">SUM(COUNTIF(MatchSource!$A:$A,$B175),COUNTIF(MatchSource!$H:$H,$B175))</f>
        <v>0</v>
      </c>
      <c r="I175" s="501" t="n">
        <f aca="false">SUM($AA175:$AB175)</f>
        <v>0</v>
      </c>
      <c r="J175" s="501" t="s">
        <v>702</v>
      </c>
      <c r="K175" s="512" t="str">
        <f aca="false" t="array" ref="K175:K175">IF(ISNA(INDEX(DraftRosters!$AA$3:$AA$199,MATCH($B175,DraftRosters!$AB$3:$AB$199,0))),"FA",IF(INDEX(DraftRosters!$AA$3:$AA$199,MATCH($B175,DraftRosters!$AB$3:$AB$199,0))="Franchise","Franch",INDEX(DraftRosters!$AA$3:$AA$199,MATCH($B175,DraftRosters!$AB$3:$AB$199,0))))</f>
        <v>FA</v>
      </c>
      <c r="L175" s="499" t="n">
        <v>80</v>
      </c>
      <c r="M175" s="499" t="n">
        <v>120</v>
      </c>
      <c r="N175" s="499" t="n">
        <v>130</v>
      </c>
      <c r="O175" s="499" t="n">
        <v>55</v>
      </c>
      <c r="P175" s="499" t="n">
        <v>65</v>
      </c>
      <c r="Q175" s="501" t="n">
        <v>45</v>
      </c>
      <c r="R175" s="499" t="s">
        <v>907</v>
      </c>
      <c r="S175" s="501" t="s">
        <v>809</v>
      </c>
      <c r="T175" s="504" t="s">
        <v>823</v>
      </c>
      <c r="U175" s="505" t="s">
        <v>826</v>
      </c>
      <c r="V175" s="506" t="s">
        <v>906</v>
      </c>
      <c r="W175" s="500" t="str">
        <f aca="false">IFERROR(__xludf.dummyfunction("if(isna(SUM(FILTER(MatchSource!$A:$D,MatchSource!$A:$A=$B175))),0,SUM(FILTER(MatchSource!$A:$D,MatchSource!$A:$A=$B175)))"),"0")</f>
        <v>0</v>
      </c>
      <c r="X175" s="499" t="str">
        <f aca="false">IFERROR(__xludf.dummyfunction("if(isna(SUM(FILTER(MatchSource!$H:$K,MatchSource!$H:$H=$B175))),0,SUM(FILTER(MatchSource!$H:$K,MatchSource!$H:$H=$B175)))"),"0")</f>
        <v>0</v>
      </c>
      <c r="Y175" s="499" t="str">
        <f aca="false">IFERROR(__xludf.dummyfunction("if(isna(ABS(MINUS(SUM(FILTER(MatchSource!$A:$E,MatchSource!$A:$A=$B175)),SUM($W175)))),0,ABS(MINUS(SUM(FILTER(MatchSource!$A:$E,MatchSource!$A:$A=$B175)),SUM($W175))))"),"0")</f>
        <v>0</v>
      </c>
      <c r="Z175" s="499" t="str">
        <f aca="false">IFERROR(__xludf.dummyfunction("if(isna(ABS(MINUS(SUM(FILTER(MatchSource!$H:$L,MatchSource!$H:$H=$B175)),SUM($X175)))),0,ABS(MINUS(SUM(FILTER(MatchSource!$H:$L,MatchSource!$H:$H=$B175)),SUM($X175))))"),"0")</f>
        <v>0</v>
      </c>
      <c r="AA175" s="499" t="str">
        <f aca="false">IFERROR(__xludf.dummyfunction("if(isna(ABS(MINUS(SUM(FILTER(MatchSource!$A:$F,MatchSource!$A:$A=$B175)),SUM($W175,$Y175)))),0,ABS(MINUS(SUM(FILTER(MatchSource!$A:$F,MatchSource!$A:$A=$B175)),SUM($W175, $Y175,))))"),"0")</f>
        <v>0</v>
      </c>
      <c r="AB175" s="501" t="str">
        <f aca="false">IFERROR(__xludf.dummyfunction("if(isna(ABS(MINUS(SUM(FILTER(MatchSource!$H:$M,MatchSource!$H:$H=$B175)),SUM($X175,$Z175)))),0,ABS(MINUS(SUM(FILTER(MatchSource!$H:$M,MatchSource!$H:$H=$B175)),SUM($X175,$Z175))))"),"0")</f>
        <v>0</v>
      </c>
      <c r="AC175" s="507" t="n">
        <f aca="false">SUM(IF(OR($R175="Grass",$R175="Psychic",$R175="Dark"),0-1,IF(OR($R175="Fighting",$R175="Flying",$R175="Fire",$R175="Ghost",$R175="Poison",$R175="Steel",$R175="Fairy"),1,0)),IF(OR($S175="Grass",$S175="Psychic",$S175="Dark"),0-1,IF(OR($S175="Fighting",$S175="Flying",$S175="Fire",$S175="Ghost",$S175="Poison",$S175="Steel",$S175="Fairy"),1,0)))</f>
        <v>0</v>
      </c>
      <c r="AD175" s="507" t="n">
        <f aca="false">SUM(IF(OR($R175="Ghost",$R175="Psychic"),0-1,IF(OR($R175="Fighting",$R175="Dark",$R175="Fairy"),1,0)),IF(OR($S175="Ghost",$S175="Psychic"),0-1,IF(OR($S175="Fighting",$S175="Dark",$S175="Fairy"),1,0)))</f>
        <v>0</v>
      </c>
      <c r="AE175" s="507" t="n">
        <f aca="false">IF(OR($R175="Fairy",$S175="Fairy"),4,SUM(IF($R175="Dragon",0-1,IF($R175="Steel",1,0)),IF($S175="Dragon",0-1,IF($S175="Steel",1,0))))</f>
        <v>0</v>
      </c>
      <c r="AF175" s="507" t="n">
        <f aca="false">IF(OR($R175="Ground",$S175="Ground"),4,SUM(IF(OR($R175="Flying",$R175="Water"),0-1,IF(OR($R175="Dragon",$R175="Electric",$R175="Grass"),1,0)),IF(OR($S175="Flying",$S175="Water"),0-1,IF(OR($S175="Dragon",$S175="Electric",$S175="Grass"),1,0))))</f>
        <v>4</v>
      </c>
      <c r="AG175" s="507" t="n">
        <f aca="false">SUM(IF(OR($R175="Dark",$R175="Dragon",$R175="Fighting"),0-1,IF(OR($R175="Steel",$R175="Poison",$R175="Fire"),1,0)),IF(OR($S175="Dark",$S175="Dragon",$S175="Fighting"),0-1,IF(OR($S175="Steel",$S175="Poison",$S175="Fire"),1,0)))</f>
        <v>0</v>
      </c>
      <c r="AH175" s="507" t="n">
        <f aca="false">IF(OR($R175="Ghost",$S175="Ghost"),4,SUM(IF(OR($R175="Dark",$R175="Ice",$R175="Normal",$R175="Rock",$R175="Steel"),0-1,IF(OR($R175="Bug",$R175="Fairy",$R175="Flying",$R175="Poison",$R175="Psychic"),1,0)),IF(OR($S175="Dark",$S175="Ice",$S175="Normal",$S175="Rock",$S175="Steel"),0-1,IF(OR($S175="Bug",$S175="Fairy",$S175="Flying",$S175="Poison",$S175="Psychic"),1,0))))</f>
        <v>-1</v>
      </c>
      <c r="AI175" s="507" t="n">
        <f aca="false">SUM(IF(OR($R175="Bug",$R175="Grass",$R175="Ice",$R175="Steel"),0-1,IF(OR($R175="Dragon",$R175="Fire",$R175="Rock",$R175="Water"),1,0)),IF(OR($S175="Bug",$S175="Grass",$S175="Ice",$S175="Steel"),0-1,IF(OR($S175="Dragon",$S175="Fire",$S175="Rock",$S175="Water"),1,0)))</f>
        <v>1</v>
      </c>
      <c r="AJ175" s="507" t="n">
        <f aca="false">SUM(IF(OR($R175="Bug",$R175="Grass",$R175="Fighting"),0-1,IF(OR($R175="Electric",$R175="Rock",$R175="Steel"),1,0)),IF(OR($S175="Bug",$S175="Grass",$S175="Fighting"),0-1,IF(OR($S175="Electric",$S175="Rock",$S175="Steel"),1,0)))</f>
        <v>1</v>
      </c>
      <c r="AK175" s="507" t="n">
        <f aca="false">IF(OR($R175="Normal",$S175="Normal"),4,SUM(IF(OR($R175="Ghost",$R175="Psychic"),0-1,IF($R175="Dark",1,0)),IF(OR($S175="Ghost",$S175="Psychic"),0-1,IF($S175="Dark",1,0))))</f>
        <v>0</v>
      </c>
      <c r="AL175" s="507" t="n">
        <f aca="false">SUM(IF(OR($R175="Ground",$R175="Rock",$R175="Water"),0-1,IF(OR($R175="Bug",$R175="Flying",$R175="Fire",$R175="Dragon",$R175="Poison",$R175="Steel",$R175="Grass"),1,0)),IF(OR($S175="Ground",$S175="Rock",$S175="Water"),0-1,IF(OR($S175="Bug",$S175="Flying",$S175="Fire",$S175="Dragon",$S175="Poison",$S175="Steel",$S175="Grass"),1,0)))</f>
        <v>-2</v>
      </c>
      <c r="AM175" s="507" t="n">
        <f aca="false">IF(OR($R175="Flying",$S175="Flying"),4,SUM(IF(OR($R175="Electric",$R175="Fire",$R175="Rock",$R175="Steel",$R175="Poison"),0-1,IF(OR($R175="Bug",$R175="Grass"),1,0)),IF(OR($S175="Electric",$S175="Fire",$S175="Rock",$S175="Steel",$S175="Poison"),0-1,IF(OR($S175="Bug",$S175="Grass"),1,0))))</f>
        <v>-1</v>
      </c>
      <c r="AN175" s="507" t="n">
        <f aca="false">SUM(IF(OR($R175="Flying",$R175="Dragon",$R175="Grass",$R175="Ground"),0-1,IF(OR($R175="Steel",$R175="Ice",$R175="Fire",$R175="Water"),1,0)),IF(OR($S175="Flying",$S175="Dragon",$S175="Grass",$S175="Ground"),0-1,IF(OR($S175="Steel",$S175="Ice",$S175="Fire",$S175="Water"),1,0)))</f>
        <v>-1</v>
      </c>
      <c r="AO175" s="507" t="n">
        <f aca="false">IF(OR($R175="Ghost",$S175="Ghost"),4,SUM(IF(OR($R175="Steel",$R175="Rock"),1,0),IF(OR($S175="Steel",$S175="Rock"),1,0)))</f>
        <v>1</v>
      </c>
      <c r="AP175" s="507" t="n">
        <f aca="false">IF(OR($R175="Steel",$S175="Steel"),4,SUM(IF(OR($R175="Fairy",$R175="Grass"),0-1,IF(OR($R175="Ghost",$R175="Rock",$R175="Ground",$R175="Poison"),1,0)),IF(OR($S175="Fairy",$S175="Grass"),0-1,IF(OR($S175="Ghost",$S175="Rock",$S175="Ground",$S175="Poison"),1,0))))</f>
        <v>2</v>
      </c>
      <c r="AQ175" s="507" t="n">
        <f aca="false">IF(OR($R175="Dark",$S175="Dark"),4,SUM(IF(OR($R175="Fighting",$R175="Poison"),0-1,IF(OR($R175="Psychic",$R175="Steel"),1,0)),IF(OR($S175="Fighting",$S175="Poison"),0-1,IF(OR($S175="Psychic",$S175="Steel"),1,0))))</f>
        <v>0</v>
      </c>
      <c r="AR175" s="507" t="n">
        <f aca="false">SUM(IF(OR($R175="Bug",$R175="Fire",$R175="Flying",$R175="Ice"),0-1,IF(OR($R175="Steel",$R175="Fighting",$R175="Ground"),1,0)),IF(OR($S175="Bug",$S175="Fire",$S175="Flying",$S175="Ice"),0-1,IF(OR($S175="Steel",$S175="Fighting",$S175="Ground"),1,0)))</f>
        <v>1</v>
      </c>
      <c r="AS175" s="507" t="n">
        <f aca="false">SUM(IF(OR($R175="Fairy",$R175="Ice",$R175="Rock"),0-1,IF(OR($R175="Steel",$R175="Electric",$R175="Fire",$R175="Water"),1,0)),IF(OR($S175="Fairy",$S175="Ice",$S175="Rock"),0-1,IF(OR($S175="Steel",$S175="Electric",$S175="Fire",$S175="Water"),1,0)))</f>
        <v>-1</v>
      </c>
      <c r="AT175" s="508" t="n">
        <f aca="false">SUM(IF(OR($R175="Fire",$R175="Ground",$R175="Rock"),0-1,IF(OR($R175="Dragon",$R175="Grass",$R175="Water"),1,0)),IF(OR($S175="Fire",$S175="Ground",$S175="Rock"),0-1,IF(OR($S175="Dragon",$S175="Grass",$S175="Water"),1,0)))</f>
        <v>-2</v>
      </c>
      <c r="AU175" s="518"/>
    </row>
    <row r="176" customFormat="false" ht="15.75" hidden="false" customHeight="false" outlineLevel="0" collapsed="false">
      <c r="A176" s="515" t="str">
        <f aca="false" t="array" ref="A176:A176">IF(ISNA(INDEX(Source!$U$7:$U$95,MATCH(B176,Source!$V$7:$V$95,0))),"FREE",INDEX(Source!$U$7:$U$95,MATCH(B176,Source!$V$7:$V$95,0)))</f>
        <v>JVJ</v>
      </c>
      <c r="B176" s="511" t="s">
        <v>105</v>
      </c>
      <c r="C176" s="511"/>
      <c r="D176" s="511"/>
      <c r="E176" s="499" t="n">
        <f aca="false">IF(SUM($W176:$X176)&gt;0,SUM($W176:$X176),IF($H176&gt;0,0,IF($H176&gt;0,0,"-")))</f>
        <v>0</v>
      </c>
      <c r="F176" s="499" t="n">
        <f aca="false">IF(SUM($Y176:$Z176)&gt;0,SUM($Y176:$Z176),IF($H176&gt;0,0,"-"))</f>
        <v>0</v>
      </c>
      <c r="G176" s="499" t="e">
        <f aca="false">IF($H176&gt;0,minus(E176,F176),"-")</f>
        <v>#NAME?</v>
      </c>
      <c r="H176" s="500" t="n">
        <f aca="false">SUM(COUNTIF(MatchSource!$A:$A,$B176),COUNTIF(MatchSource!$H:$H,$B176))</f>
        <v>2</v>
      </c>
      <c r="I176" s="501" t="n">
        <f aca="false">SUM($AA176:$AB176)</f>
        <v>0</v>
      </c>
      <c r="J176" s="501" t="s">
        <v>702</v>
      </c>
      <c r="K176" s="512" t="n">
        <f aca="false" t="array" ref="K176:K176">IF(ISNA(INDEX(DraftRosters!$AA$3:$AA$199,MATCH($B176,DraftRosters!$AB$3:$AB$199,0))),"FA",IF(INDEX(DraftRosters!$AA$3:$AA$199,MATCH($B176,DraftRosters!$AB$3:$AB$199,0))="Franchise","Franch",INDEX(DraftRosters!$AA$3:$AA$199,MATCH($B176,DraftRosters!$AB$3:$AB$199,0))))</f>
        <v>58</v>
      </c>
      <c r="L176" s="507" t="n">
        <v>80</v>
      </c>
      <c r="M176" s="507" t="n">
        <v>120</v>
      </c>
      <c r="N176" s="507" t="n">
        <v>130</v>
      </c>
      <c r="O176" s="507" t="n">
        <v>55</v>
      </c>
      <c r="P176" s="507" t="n">
        <v>65</v>
      </c>
      <c r="Q176" s="508" t="n">
        <v>45</v>
      </c>
      <c r="R176" s="499" t="s">
        <v>845</v>
      </c>
      <c r="S176" s="501" t="s">
        <v>809</v>
      </c>
      <c r="T176" s="504" t="s">
        <v>984</v>
      </c>
      <c r="U176" s="505" t="s">
        <v>985</v>
      </c>
      <c r="V176" s="506" t="s">
        <v>826</v>
      </c>
      <c r="W176" s="500" t="str">
        <f aca="false">IFERROR(__xludf.dummyfunction("if(isna(SUM(FILTER(MatchSource!$A:$D,MatchSource!$A:$A=$B176))),0,SUM(FILTER(MatchSource!$A:$D,MatchSource!$A:$A=$B176)))"),"0")</f>
        <v>0</v>
      </c>
      <c r="X176" s="499" t="str">
        <f aca="false">IFERROR(__xludf.dummyfunction("if(isna(SUM(FILTER(MatchSource!$H:$K,MatchSource!$H:$H=$B176))),0,SUM(FILTER(MatchSource!$H:$K,MatchSource!$H:$H=$B176)))"),"0")</f>
        <v>0</v>
      </c>
      <c r="Y176" s="499" t="str">
        <f aca="false">IFERROR(__xludf.dummyfunction("if(isna(ABS(MINUS(SUM(FILTER(MatchSource!$A:$E,MatchSource!$A:$A=$B176)),SUM($W176)))),0,ABS(MINUS(SUM(FILTER(MatchSource!$A:$E,MatchSource!$A:$A=$B176)),SUM($W176))))"),"0")</f>
        <v>0</v>
      </c>
      <c r="Z176" s="499" t="str">
        <f aca="false">IFERROR(__xludf.dummyfunction("if(isna(ABS(MINUS(SUM(FILTER(MatchSource!$H:$L,MatchSource!$H:$H=$B176)),SUM($X176)))),0,ABS(MINUS(SUM(FILTER(MatchSource!$H:$L,MatchSource!$H:$H=$B176)),SUM($X176))))"),"1")</f>
        <v>1</v>
      </c>
      <c r="AA176" s="499" t="str">
        <f aca="false">IFERROR(__xludf.dummyfunction("if(isna(ABS(MINUS(SUM(FILTER(MatchSource!$A:$F,MatchSource!$A:$A=$B176)),SUM($W176,$Y176)))),0,ABS(MINUS(SUM(FILTER(MatchSource!$A:$F,MatchSource!$A:$A=$B176)),SUM($W176, $Y176,))))"),"1")</f>
        <v>1</v>
      </c>
      <c r="AB176" s="501" t="str">
        <f aca="false">IFERROR(__xludf.dummyfunction("if(isna(ABS(MINUS(SUM(FILTER(MatchSource!$H:$M,MatchSource!$H:$H=$B176)),SUM($X176,$Z176)))),0,ABS(MINUS(SUM(FILTER(MatchSource!$H:$M,MatchSource!$H:$H=$B176)),SUM($X176,$Z176))))"),"1")</f>
        <v>1</v>
      </c>
      <c r="AC176" s="507" t="n">
        <f aca="false">SUM(IF(OR($R176="Grass",$R176="Psychic",$R176="Dark"),0-1,IF(OR($R176="Fighting",$R176="Flying",$R176="Fire",$R176="Ghost",$R176="Poison",$R176="Steel",$R176="Fairy"),1,0)),IF(OR($S176="Grass",$S176="Psychic",$S176="Dark"),0-1,IF(OR($S176="Fighting",$S176="Flying",$S176="Fire",$S176="Ghost",$S176="Poison",$S176="Steel",$S176="Fairy"),1,0)))</f>
        <v>0</v>
      </c>
      <c r="AD176" s="507" t="n">
        <f aca="false">SUM(IF(OR($R176="Ghost",$R176="Psychic"),0-1,IF(OR($R176="Fighting",$R176="Dark",$R176="Fairy"),1,0)),IF(OR($S176="Ghost",$S176="Psychic"),0-1,IF(OR($S176="Fighting",$S176="Dark",$S176="Fairy"),1,0)))</f>
        <v>0</v>
      </c>
      <c r="AE176" s="507" t="n">
        <f aca="false">IF(OR($R176="Fairy",$S176="Fairy"),4,SUM(IF($R176="Dragon",0-1,IF($R176="Steel",1,0)),IF($S176="Dragon",0-1,IF($S176="Steel",1,0))))</f>
        <v>0</v>
      </c>
      <c r="AF176" s="507" t="n">
        <f aca="false">IF(OR($R176="Ground",$S176="Ground"),4,SUM(IF(OR($R176="Flying",$R176="Water"),0-1,IF(OR($R176="Dragon",$R176="Electric",$R176="Grass"),1,0)),IF(OR($S176="Flying",$S176="Water"),0-1,IF(OR($S176="Dragon",$S176="Electric",$S176="Grass"),1,0))))</f>
        <v>1</v>
      </c>
      <c r="AG176" s="507" t="n">
        <f aca="false">SUM(IF(OR($R176="Dark",$R176="Dragon",$R176="Fighting"),0-1,IF(OR($R176="Steel",$R176="Poison",$R176="Fire"),1,0)),IF(OR($S176="Dark",$S176="Dragon",$S176="Fighting"),0-1,IF(OR($S176="Steel",$S176="Poison",$S176="Fire"),1,0)))</f>
        <v>0</v>
      </c>
      <c r="AH176" s="507" t="n">
        <f aca="false">IF(OR($R176="Ghost",$S176="Ghost"),4,SUM(IF(OR($R176="Dark",$R176="Ice",$R176="Normal",$R176="Rock",$R176="Steel"),0-1,IF(OR($R176="Bug",$R176="Fairy",$R176="Flying",$R176="Poison",$R176="Psychic"),1,0)),IF(OR($S176="Dark",$S176="Ice",$S176="Normal",$S176="Rock",$S176="Steel"),0-1,IF(OR($S176="Bug",$S176="Fairy",$S176="Flying",$S176="Poison",$S176="Psychic"),1,0))))</f>
        <v>-1</v>
      </c>
      <c r="AI176" s="507" t="n">
        <f aca="false">SUM(IF(OR($R176="Bug",$R176="Grass",$R176="Ice",$R176="Steel"),0-1,IF(OR($R176="Dragon",$R176="Fire",$R176="Rock",$R176="Water"),1,0)),IF(OR($S176="Bug",$S176="Grass",$S176="Ice",$S176="Steel"),0-1,IF(OR($S176="Dragon",$S176="Fire",$S176="Rock",$S176="Water"),1,0)))</f>
        <v>1</v>
      </c>
      <c r="AJ176" s="507" t="n">
        <f aca="false">SUM(IF(OR($R176="Bug",$R176="Grass",$R176="Fighting"),0-1,IF(OR($R176="Electric",$R176="Rock",$R176="Steel"),1,0)),IF(OR($S176="Bug",$S176="Grass",$S176="Fighting"),0-1,IF(OR($S176="Electric",$S176="Rock",$S176="Steel"),1,0)))</f>
        <v>2</v>
      </c>
      <c r="AK176" s="507" t="n">
        <f aca="false">IF(OR($R176="Normal",$S176="Normal"),4,SUM(IF(OR($R176="Ghost",$R176="Psychic"),0-1,IF($R176="Dark",1,0)),IF(OR($S176="Ghost",$S176="Psychic"),0-1,IF($S176="Dark",1,0))))</f>
        <v>0</v>
      </c>
      <c r="AL176" s="507" t="n">
        <f aca="false">SUM(IF(OR($R176="Ground",$R176="Rock",$R176="Water"),0-1,IF(OR($R176="Bug",$R176="Flying",$R176="Fire",$R176="Dragon",$R176="Poison",$R176="Steel",$R176="Grass"),1,0)),IF(OR($S176="Ground",$S176="Rock",$S176="Water"),0-1,IF(OR($S176="Bug",$S176="Flying",$S176="Fire",$S176="Dragon",$S176="Poison",$S176="Steel",$S176="Grass"),1,0)))</f>
        <v>-1</v>
      </c>
      <c r="AM176" s="507" t="n">
        <f aca="false">IF(OR($R176="Flying",$S176="Flying"),4,SUM(IF(OR($R176="Electric",$R176="Fire",$R176="Rock",$R176="Steel",$R176="Poison"),0-1,IF(OR($R176="Bug",$R176="Grass"),1,0)),IF(OR($S176="Electric",$S176="Fire",$S176="Rock",$S176="Steel",$S176="Poison"),0-1,IF(OR($S176="Bug",$S176="Grass"),1,0))))</f>
        <v>-2</v>
      </c>
      <c r="AN176" s="507" t="n">
        <f aca="false">SUM(IF(OR($R176="Flying",$R176="Dragon",$R176="Grass",$R176="Ground"),0-1,IF(OR($R176="Steel",$R176="Ice",$R176="Fire",$R176="Water"),1,0)),IF(OR($S176="Flying",$S176="Dragon",$S176="Grass",$S176="Ground"),0-1,IF(OR($S176="Steel",$S176="Ice",$S176="Fire",$S176="Water"),1,0)))</f>
        <v>0</v>
      </c>
      <c r="AO176" s="507" t="n">
        <f aca="false">IF(OR($R176="Ghost",$S176="Ghost"),4,SUM(IF(OR($R176="Steel",$R176="Rock"),1,0),IF(OR($S176="Steel",$S176="Rock"),1,0)))</f>
        <v>1</v>
      </c>
      <c r="AP176" s="507" t="n">
        <f aca="false">IF(OR($R176="Steel",$S176="Steel"),4,SUM(IF(OR($R176="Fairy",$R176="Grass"),0-1,IF(OR($R176="Ghost",$R176="Rock",$R176="Ground",$R176="Poison"),1,0)),IF(OR($S176="Fairy",$S176="Grass"),0-1,IF(OR($S176="Ghost",$S176="Rock",$S176="Ground",$S176="Poison"),1,0))))</f>
        <v>1</v>
      </c>
      <c r="AQ176" s="507" t="n">
        <f aca="false">IF(OR($R176="Dark",$S176="Dark"),4,SUM(IF(OR($R176="Fighting",$R176="Poison"),0-1,IF(OR($R176="Psychic",$R176="Steel"),1,0)),IF(OR($S176="Fighting",$S176="Poison"),0-1,IF(OR($S176="Psychic",$S176="Steel"),1,0))))</f>
        <v>0</v>
      </c>
      <c r="AR176" s="507" t="n">
        <f aca="false">SUM(IF(OR($R176="Bug",$R176="Fire",$R176="Flying",$R176="Ice"),0-1,IF(OR($R176="Steel",$R176="Fighting",$R176="Ground"),1,0)),IF(OR($S176="Bug",$S176="Fire",$S176="Flying",$S176="Ice"),0-1,IF(OR($S176="Steel",$S176="Fighting",$S176="Ground"),1,0)))</f>
        <v>0</v>
      </c>
      <c r="AS176" s="507" t="n">
        <f aca="false">SUM(IF(OR($R176="Fairy",$R176="Ice",$R176="Rock"),0-1,IF(OR($R176="Steel",$R176="Electric",$R176="Fire",$R176="Water"),1,0)),IF(OR($S176="Fairy",$S176="Ice",$S176="Rock"),0-1,IF(OR($S176="Steel",$S176="Electric",$S176="Fire",$S176="Water"),1,0)))</f>
        <v>0</v>
      </c>
      <c r="AT176" s="508" t="n">
        <f aca="false">SUM(IF(OR($R176="Fire",$R176="Ground",$R176="Rock"),0-1,IF(OR($R176="Dragon",$R176="Grass",$R176="Water"),1,0)),IF(OR($S176="Fire",$S176="Ground",$S176="Rock"),0-1,IF(OR($S176="Dragon",$S176="Grass",$S176="Water"),1,0)))</f>
        <v>-1</v>
      </c>
      <c r="AU176" s="518"/>
    </row>
    <row r="177" customFormat="false" ht="15.75" hidden="false" customHeight="false" outlineLevel="0" collapsed="false">
      <c r="A177" s="497" t="str">
        <f aca="false" t="array" ref="A177:A177">IF(ISNA(INDEX(Source!$U$7:$U$95,MATCH(B177,Source!$V$7:$V$95,0))),"FREE",INDEX(Source!$U$7:$U$95,MATCH(B177,Source!$V$7:$V$95,0)))</f>
        <v>FREE</v>
      </c>
      <c r="B177" s="511" t="s">
        <v>495</v>
      </c>
      <c r="C177" s="511"/>
      <c r="D177" s="511"/>
      <c r="E177" s="499" t="str">
        <f aca="false">IF(SUM($W177:$X177)&gt;0,SUM($W177:$X177),IF($H177&gt;0,0,IF($H177&gt;0,0,"-")))</f>
        <v>-</v>
      </c>
      <c r="F177" s="499" t="str">
        <f aca="false">IF(SUM($Y177:$Z177)&gt;0,SUM($Y177:$Z177),IF($H177&gt;0,0,"-"))</f>
        <v>-</v>
      </c>
      <c r="G177" s="499" t="str">
        <f aca="false">IF($H177&gt;0,minus(E177,F177),"-")</f>
        <v>-</v>
      </c>
      <c r="H177" s="500" t="n">
        <f aca="false">SUM(COUNTIF(MatchSource!$A:$A,$B177),COUNTIF(MatchSource!$H:$H,$B177))</f>
        <v>0</v>
      </c>
      <c r="I177" s="501" t="n">
        <f aca="false">SUM($AA177:$AB177)</f>
        <v>0</v>
      </c>
      <c r="J177" s="501" t="s">
        <v>701</v>
      </c>
      <c r="K177" s="512" t="str">
        <f aca="false" t="array" ref="K177:K177">IF(ISNA(INDEX(DraftRosters!$AA$3:$AA$199,MATCH($B177,DraftRosters!$AB$3:$AB$199,0))),"FA",IF(INDEX(DraftRosters!$AA$3:$AA$199,MATCH($B177,DraftRosters!$AB$3:$AB$199,0))="Franchise","Franch",INDEX(DraftRosters!$AA$3:$AA$199,MATCH($B177,DraftRosters!$AB$3:$AB$199,0))))</f>
        <v>FA</v>
      </c>
      <c r="L177" s="499" t="n">
        <v>75</v>
      </c>
      <c r="M177" s="499" t="n">
        <v>125</v>
      </c>
      <c r="N177" s="499" t="n">
        <v>140</v>
      </c>
      <c r="O177" s="499" t="n">
        <v>60</v>
      </c>
      <c r="P177" s="499" t="n">
        <v>90</v>
      </c>
      <c r="Q177" s="501" t="n">
        <v>40</v>
      </c>
      <c r="R177" s="499" t="s">
        <v>794</v>
      </c>
      <c r="S177" s="501" t="s">
        <v>811</v>
      </c>
      <c r="T177" s="504" t="s">
        <v>986</v>
      </c>
      <c r="U177" s="505"/>
      <c r="V177" s="506"/>
      <c r="W177" s="500" t="str">
        <f aca="false">IFERROR(__xludf.dummyfunction("if(isna(SUM(FILTER(MatchSource!$A:$D,MatchSource!$A:$A=$B177))),0,SUM(FILTER(MatchSource!$A:$D,MatchSource!$A:$A=$B177)))"),"0")</f>
        <v>0</v>
      </c>
      <c r="X177" s="499" t="str">
        <f aca="false">IFERROR(__xludf.dummyfunction("if(isna(SUM(FILTER(MatchSource!$H:$K,MatchSource!$H:$H=$B177))),0,SUM(FILTER(MatchSource!$H:$K,MatchSource!$H:$H=$B177)))"),"0")</f>
        <v>0</v>
      </c>
      <c r="Y177" s="499" t="str">
        <f aca="false">IFERROR(__xludf.dummyfunction("if(isna(ABS(MINUS(SUM(FILTER(MatchSource!$A:$E,MatchSource!$A:$A=$B177)),SUM($W177)))),0,ABS(MINUS(SUM(FILTER(MatchSource!$A:$E,MatchSource!$A:$A=$B177)),SUM($W177))))"),"0")</f>
        <v>0</v>
      </c>
      <c r="Z177" s="499" t="str">
        <f aca="false">IFERROR(__xludf.dummyfunction("if(isna(ABS(MINUS(SUM(FILTER(MatchSource!$H:$L,MatchSource!$H:$H=$B177)),SUM($X177)))),0,ABS(MINUS(SUM(FILTER(MatchSource!$H:$L,MatchSource!$H:$H=$B177)),SUM($X177))))"),"0")</f>
        <v>0</v>
      </c>
      <c r="AA177" s="499" t="str">
        <f aca="false">IFERROR(__xludf.dummyfunction("if(isna(ABS(MINUS(SUM(FILTER(MatchSource!$A:$F,MatchSource!$A:$A=$B177)),SUM($W177,$Y177)))),0,ABS(MINUS(SUM(FILTER(MatchSource!$A:$F,MatchSource!$A:$A=$B177)),SUM($W177, $Y177,))))"),"0")</f>
        <v>0</v>
      </c>
      <c r="AB177" s="501" t="str">
        <f aca="false">IFERROR(__xludf.dummyfunction("if(isna(ABS(MINUS(SUM(FILTER(MatchSource!$H:$M,MatchSource!$H:$H=$B177)),SUM($X177,$Z177)))),0,ABS(MINUS(SUM(FILTER(MatchSource!$H:$M,MatchSource!$H:$H=$B177)),SUM($X177,$Z177))))"),"0")</f>
        <v>0</v>
      </c>
      <c r="AC177" s="507" t="n">
        <f aca="false">SUM(IF(OR($R177="Grass",$R177="Psychic",$R177="Dark"),0-1,IF(OR($R177="Fighting",$R177="Flying",$R177="Fire",$R177="Ghost",$R177="Poison",$R177="Steel",$R177="Fairy"),1,0)),IF(OR($S177="Grass",$S177="Psychic",$S177="Dark"),0-1,IF(OR($S177="Fighting",$S177="Flying",$S177="Fire",$S177="Ghost",$S177="Poison",$S177="Steel",$S177="Fairy"),1,0)))</f>
        <v>0</v>
      </c>
      <c r="AD177" s="507" t="n">
        <f aca="false">SUM(IF(OR($R177="Ghost",$R177="Psychic"),0-1,IF(OR($R177="Fighting",$R177="Dark",$R177="Fairy"),1,0)),IF(OR($S177="Ghost",$S177="Psychic"),0-1,IF(OR($S177="Fighting",$S177="Dark",$S177="Fairy"),1,0)))</f>
        <v>0</v>
      </c>
      <c r="AE177" s="507" t="n">
        <f aca="false">IF(OR($R177="Fairy",$S177="Fairy"),4,SUM(IF($R177="Dragon",0-1,IF($R177="Steel",1,0)),IF($S177="Dragon",0-1,IF($S177="Steel",1,0))))</f>
        <v>0</v>
      </c>
      <c r="AF177" s="507" t="n">
        <f aca="false">IF(OR($R177="Ground",$S177="Ground"),4,SUM(IF(OR($R177="Flying",$R177="Water"),0-1,IF(OR($R177="Dragon",$R177="Electric",$R177="Grass"),1,0)),IF(OR($S177="Flying",$S177="Water"),0-1,IF(OR($S177="Dragon",$S177="Electric",$S177="Grass"),1,0))))</f>
        <v>-1</v>
      </c>
      <c r="AG177" s="507" t="n">
        <f aca="false">SUM(IF(OR($R177="Dark",$R177="Dragon",$R177="Fighting"),0-1,IF(OR($R177="Steel",$R177="Poison",$R177="Fire"),1,0)),IF(OR($S177="Dark",$S177="Dragon",$S177="Fighting"),0-1,IF(OR($S177="Steel",$S177="Poison",$S177="Fire"),1,0)))</f>
        <v>0</v>
      </c>
      <c r="AH177" s="507" t="n">
        <f aca="false">IF(OR($R177="Ghost",$S177="Ghost"),4,SUM(IF(OR($R177="Dark",$R177="Ice",$R177="Normal",$R177="Rock",$R177="Steel"),0-1,IF(OR($R177="Bug",$R177="Fairy",$R177="Flying",$R177="Poison",$R177="Psychic"),1,0)),IF(OR($S177="Dark",$S177="Ice",$S177="Normal",$S177="Rock",$S177="Steel"),0-1,IF(OR($S177="Bug",$S177="Fairy",$S177="Flying",$S177="Poison",$S177="Psychic"),1,0))))</f>
        <v>1</v>
      </c>
      <c r="AI177" s="507" t="n">
        <f aca="false">SUM(IF(OR($R177="Bug",$R177="Grass",$R177="Ice",$R177="Steel"),0-1,IF(OR($R177="Dragon",$R177="Fire",$R177="Rock",$R177="Water"),1,0)),IF(OR($S177="Bug",$S177="Grass",$S177="Ice",$S177="Steel"),0-1,IF(OR($S177="Dragon",$S177="Fire",$S177="Rock",$S177="Water"),1,0)))</f>
        <v>0</v>
      </c>
      <c r="AJ177" s="507" t="n">
        <f aca="false">SUM(IF(OR($R177="Bug",$R177="Grass",$R177="Fighting"),0-1,IF(OR($R177="Electric",$R177="Rock",$R177="Steel"),1,0)),IF(OR($S177="Bug",$S177="Grass",$S177="Fighting"),0-1,IF(OR($S177="Electric",$S177="Rock",$S177="Steel"),1,0)))</f>
        <v>-1</v>
      </c>
      <c r="AK177" s="507" t="n">
        <f aca="false">IF(OR($R177="Normal",$S177="Normal"),4,SUM(IF(OR($R177="Ghost",$R177="Psychic"),0-1,IF($R177="Dark",1,0)),IF(OR($S177="Ghost",$S177="Psychic"),0-1,IF($S177="Dark",1,0))))</f>
        <v>0</v>
      </c>
      <c r="AL177" s="507" t="n">
        <f aca="false">SUM(IF(OR($R177="Ground",$R177="Rock",$R177="Water"),0-1,IF(OR($R177="Bug",$R177="Flying",$R177="Fire",$R177="Dragon",$R177="Poison",$R177="Steel",$R177="Grass"),1,0)),IF(OR($S177="Ground",$S177="Rock",$S177="Water"),0-1,IF(OR($S177="Bug",$S177="Flying",$S177="Fire",$S177="Dragon",$S177="Poison",$S177="Steel",$S177="Grass"),1,0)))</f>
        <v>0</v>
      </c>
      <c r="AM177" s="507" t="n">
        <f aca="false">IF(OR($R177="Flying",$S177="Flying"),4,SUM(IF(OR($R177="Electric",$R177="Fire",$R177="Rock",$R177="Steel",$R177="Poison"),0-1,IF(OR($R177="Bug",$R177="Grass"),1,0)),IF(OR($S177="Electric",$S177="Fire",$S177="Rock",$S177="Steel",$S177="Poison"),0-1,IF(OR($S177="Bug",$S177="Grass"),1,0))))</f>
        <v>1</v>
      </c>
      <c r="AN177" s="507" t="n">
        <f aca="false">SUM(IF(OR($R177="Flying",$R177="Dragon",$R177="Grass",$R177="Ground"),0-1,IF(OR($R177="Steel",$R177="Ice",$R177="Fire",$R177="Water"),1,0)),IF(OR($S177="Flying",$S177="Dragon",$S177="Grass",$S177="Ground"),0-1,IF(OR($S177="Steel",$S177="Ice",$S177="Fire",$S177="Water"),1,0)))</f>
        <v>1</v>
      </c>
      <c r="AO177" s="507" t="n">
        <f aca="false">IF(OR($R177="Ghost",$S177="Ghost"),4,SUM(IF(OR($R177="Steel",$R177="Rock"),1,0),IF(OR($S177="Steel",$S177="Rock"),1,0)))</f>
        <v>0</v>
      </c>
      <c r="AP177" s="507" t="n">
        <f aca="false">IF(OR($R177="Steel",$S177="Steel"),4,SUM(IF(OR($R177="Fairy",$R177="Grass"),0-1,IF(OR($R177="Ghost",$R177="Rock",$R177="Ground",$R177="Poison"),1,0)),IF(OR($S177="Fairy",$S177="Grass"),0-1,IF(OR($S177="Ghost",$S177="Rock",$S177="Ground",$S177="Poison"),1,0))))</f>
        <v>0</v>
      </c>
      <c r="AQ177" s="507" t="n">
        <f aca="false">IF(OR($R177="Dark",$S177="Dark"),4,SUM(IF(OR($R177="Fighting",$R177="Poison"),0-1,IF(OR($R177="Psychic",$R177="Steel"),1,0)),IF(OR($S177="Fighting",$S177="Poison"),0-1,IF(OR($S177="Psychic",$S177="Steel"),1,0))))</f>
        <v>0</v>
      </c>
      <c r="AR177" s="507" t="n">
        <f aca="false">SUM(IF(OR($R177="Bug",$R177="Fire",$R177="Flying",$R177="Ice"),0-1,IF(OR($R177="Steel",$R177="Fighting",$R177="Ground"),1,0)),IF(OR($S177="Bug",$S177="Fire",$S177="Flying",$S177="Ice"),0-1,IF(OR($S177="Steel",$S177="Fighting",$S177="Ground"),1,0)))</f>
        <v>-1</v>
      </c>
      <c r="AS177" s="507" t="n">
        <f aca="false">SUM(IF(OR($R177="Fairy",$R177="Ice",$R177="Rock"),0-1,IF(OR($R177="Steel",$R177="Electric",$R177="Fire",$R177="Water"),1,0)),IF(OR($S177="Fairy",$S177="Ice",$S177="Rock"),0-1,IF(OR($S177="Steel",$S177="Electric",$S177="Fire",$S177="Water"),1,0)))</f>
        <v>1</v>
      </c>
      <c r="AT177" s="508" t="n">
        <f aca="false">SUM(IF(OR($R177="Fire",$R177="Ground",$R177="Rock"),0-1,IF(OR($R177="Dragon",$R177="Grass",$R177="Water"),1,0)),IF(OR($S177="Fire",$S177="Ground",$S177="Rock"),0-1,IF(OR($S177="Dragon",$S177="Grass",$S177="Water"),1,0)))</f>
        <v>1</v>
      </c>
      <c r="AU177" s="518"/>
    </row>
    <row r="178" customFormat="false" ht="15.75" hidden="false" customHeight="false" outlineLevel="0" collapsed="false">
      <c r="A178" s="515" t="str">
        <f aca="false" t="array" ref="A178:A178">IF(ISNA(INDEX(Source!$U$7:$U$95,MATCH(B178,Source!$V$7:$V$95,0))),"FREE",INDEX(Source!$U$7:$U$95,MATCH(B178,Source!$V$7:$V$95,0)))</f>
        <v>FREE</v>
      </c>
      <c r="B178" s="511" t="s">
        <v>605</v>
      </c>
      <c r="C178" s="511"/>
      <c r="D178" s="511"/>
      <c r="E178" s="499" t="str">
        <f aca="false">IF(SUM($W178:$X178)&gt;0,SUM($W178:$X178),IF($H178&gt;0,0,IF($H178&gt;0,0,"-")))</f>
        <v>-</v>
      </c>
      <c r="F178" s="499" t="str">
        <f aca="false">IF(SUM($Y178:$Z178)&gt;0,SUM($Y178:$Z178),IF($H178&gt;0,0,"-"))</f>
        <v>-</v>
      </c>
      <c r="G178" s="499" t="str">
        <f aca="false">IF($H178&gt;0,minus(E178,F178),"-")</f>
        <v>-</v>
      </c>
      <c r="H178" s="500" t="n">
        <f aca="false">SUM(COUNTIF(MatchSource!$A:$A,$B178),COUNTIF(MatchSource!$H:$H,$B178))</f>
        <v>0</v>
      </c>
      <c r="I178" s="501" t="n">
        <f aca="false">SUM($AA178:$AB178)</f>
        <v>0</v>
      </c>
      <c r="J178" s="501" t="s">
        <v>702</v>
      </c>
      <c r="K178" s="512" t="str">
        <f aca="false" t="array" ref="K178:K178">IF(ISNA(INDEX(DraftRosters!$AA$3:$AA$199,MATCH($B178,DraftRosters!$AB$3:$AB$199,0))),"FA",IF(INDEX(DraftRosters!$AA$3:$AA$199,MATCH($B178,DraftRosters!$AB$3:$AB$199,0))="Franchise","Franch",INDEX(DraftRosters!$AA$3:$AA$199,MATCH($B178,DraftRosters!$AB$3:$AB$199,0))))</f>
        <v>FA</v>
      </c>
      <c r="L178" s="499" t="n">
        <v>89</v>
      </c>
      <c r="M178" s="499" t="n">
        <v>124</v>
      </c>
      <c r="N178" s="499" t="n">
        <v>80</v>
      </c>
      <c r="O178" s="499" t="n">
        <v>55</v>
      </c>
      <c r="P178" s="499" t="n">
        <v>80</v>
      </c>
      <c r="Q178" s="501" t="n">
        <v>55</v>
      </c>
      <c r="R178" s="499" t="s">
        <v>802</v>
      </c>
      <c r="S178" s="501" t="s">
        <v>907</v>
      </c>
      <c r="T178" s="504" t="s">
        <v>931</v>
      </c>
      <c r="U178" s="505" t="s">
        <v>862</v>
      </c>
      <c r="V178" s="506" t="s">
        <v>950</v>
      </c>
      <c r="W178" s="500" t="str">
        <f aca="false">IFERROR(__xludf.dummyfunction("if(isna(SUM(FILTER(MatchSource!$A:$D,MatchSource!$A:$A=$B178))),0,SUM(FILTER(MatchSource!$A:$D,MatchSource!$A:$A=$B178)))"),"0")</f>
        <v>0</v>
      </c>
      <c r="X178" s="499" t="str">
        <f aca="false">IFERROR(__xludf.dummyfunction("if(isna(SUM(FILTER(MatchSource!$H:$K,MatchSource!$H:$H=$B178))),0,SUM(FILTER(MatchSource!$H:$K,MatchSource!$H:$H=$B178)))"),"0")</f>
        <v>0</v>
      </c>
      <c r="Y178" s="499" t="str">
        <f aca="false">IFERROR(__xludf.dummyfunction("if(isna(ABS(MINUS(SUM(FILTER(MatchSource!$A:$E,MatchSource!$A:$A=$B178)),SUM($W178)))),0,ABS(MINUS(SUM(FILTER(MatchSource!$A:$E,MatchSource!$A:$A=$B178)),SUM($W178))))"),"0")</f>
        <v>0</v>
      </c>
      <c r="Z178" s="499" t="str">
        <f aca="false">IFERROR(__xludf.dummyfunction("if(isna(ABS(MINUS(SUM(FILTER(MatchSource!$H:$L,MatchSource!$H:$H=$B178)),SUM($X178)))),0,ABS(MINUS(SUM(FILTER(MatchSource!$H:$L,MatchSource!$H:$H=$B178)),SUM($X178))))"),"0")</f>
        <v>0</v>
      </c>
      <c r="AA178" s="499" t="str">
        <f aca="false">IFERROR(__xludf.dummyfunction("if(isna(ABS(MINUS(SUM(FILTER(MatchSource!$A:$F,MatchSource!$A:$A=$B178)),SUM($W178,$Y178)))),0,ABS(MINUS(SUM(FILTER(MatchSource!$A:$F,MatchSource!$A:$A=$B178)),SUM($W178, $Y178,))))"),"0")</f>
        <v>0</v>
      </c>
      <c r="AB178" s="501" t="str">
        <f aca="false">IFERROR(__xludf.dummyfunction("if(isna(ABS(MINUS(SUM(FILTER(MatchSource!$H:$M,MatchSource!$H:$H=$B178)),SUM($X178,$Z178)))),0,ABS(MINUS(SUM(FILTER(MatchSource!$H:$M,MatchSource!$H:$H=$B178)),SUM($X178,$Z178))))"),"0")</f>
        <v>0</v>
      </c>
      <c r="AC178" s="507" t="n">
        <f aca="false">SUM(IF(OR($R178="Grass",$R178="Psychic",$R178="Dark"),0-1,IF(OR($R178="Fighting",$R178="Flying",$R178="Fire",$R178="Ghost",$R178="Poison",$R178="Steel",$R178="Fairy"),1,0)),IF(OR($S178="Grass",$S178="Psychic",$S178="Dark"),0-1,IF(OR($S178="Fighting",$S178="Flying",$S178="Fire",$S178="Ghost",$S178="Poison",$S178="Steel",$S178="Fairy"),1,0)))</f>
        <v>1</v>
      </c>
      <c r="AD178" s="507" t="n">
        <f aca="false">SUM(IF(OR($R178="Ghost",$R178="Psychic"),0-1,IF(OR($R178="Fighting",$R178="Dark",$R178="Fairy"),1,0)),IF(OR($S178="Ghost",$S178="Psychic"),0-1,IF(OR($S178="Fighting",$S178="Dark",$S178="Fairy"),1,0)))</f>
        <v>-1</v>
      </c>
      <c r="AE178" s="507" t="n">
        <f aca="false">IF(OR($R178="Fairy",$S178="Fairy"),4,SUM(IF($R178="Dragon",0-1,IF($R178="Steel",1,0)),IF($S178="Dragon",0-1,IF($S178="Steel",1,0))))</f>
        <v>0</v>
      </c>
      <c r="AF178" s="507" t="n">
        <f aca="false">IF(OR($R178="Ground",$S178="Ground"),4,SUM(IF(OR($R178="Flying",$R178="Water"),0-1,IF(OR($R178="Dragon",$R178="Electric",$R178="Grass"),1,0)),IF(OR($S178="Flying",$S178="Water"),0-1,IF(OR($S178="Dragon",$S178="Electric",$S178="Grass"),1,0))))</f>
        <v>4</v>
      </c>
      <c r="AG178" s="507" t="n">
        <f aca="false">SUM(IF(OR($R178="Dark",$R178="Dragon",$R178="Fighting"),0-1,IF(OR($R178="Steel",$R178="Poison",$R178="Fire"),1,0)),IF(OR($S178="Dark",$S178="Dragon",$S178="Fighting"),0-1,IF(OR($S178="Steel",$S178="Poison",$S178="Fire"),1,0)))</f>
        <v>0</v>
      </c>
      <c r="AH178" s="507" t="n">
        <f aca="false">IF(OR($R178="Ghost",$S178="Ghost"),4,SUM(IF(OR($R178="Dark",$R178="Ice",$R178="Normal",$R178="Rock",$R178="Steel"),0-1,IF(OR($R178="Bug",$R178="Fairy",$R178="Flying",$R178="Poison",$R178="Psychic"),1,0)),IF(OR($S178="Dark",$S178="Ice",$S178="Normal",$S178="Rock",$S178="Steel"),0-1,IF(OR($S178="Bug",$S178="Fairy",$S178="Flying",$S178="Poison",$S178="Psychic"),1,0))))</f>
        <v>4</v>
      </c>
      <c r="AI178" s="507" t="n">
        <f aca="false">SUM(IF(OR($R178="Bug",$R178="Grass",$R178="Ice",$R178="Steel"),0-1,IF(OR($R178="Dragon",$R178="Fire",$R178="Rock",$R178="Water"),1,0)),IF(OR($S178="Bug",$S178="Grass",$S178="Ice",$S178="Steel"),0-1,IF(OR($S178="Dragon",$S178="Fire",$S178="Rock",$S178="Water"),1,0)))</f>
        <v>0</v>
      </c>
      <c r="AJ178" s="507" t="n">
        <f aca="false">SUM(IF(OR($R178="Bug",$R178="Grass",$R178="Fighting"),0-1,IF(OR($R178="Electric",$R178="Rock",$R178="Steel"),1,0)),IF(OR($S178="Bug",$S178="Grass",$S178="Fighting"),0-1,IF(OR($S178="Electric",$S178="Rock",$S178="Steel"),1,0)))</f>
        <v>0</v>
      </c>
      <c r="AK178" s="507" t="n">
        <f aca="false">IF(OR($R178="Normal",$S178="Normal"),4,SUM(IF(OR($R178="Ghost",$R178="Psychic"),0-1,IF($R178="Dark",1,0)),IF(OR($S178="Ghost",$S178="Psychic"),0-1,IF($S178="Dark",1,0))))</f>
        <v>-1</v>
      </c>
      <c r="AL178" s="507" t="n">
        <f aca="false">SUM(IF(OR($R178="Ground",$R178="Rock",$R178="Water"),0-1,IF(OR($R178="Bug",$R178="Flying",$R178="Fire",$R178="Dragon",$R178="Poison",$R178="Steel",$R178="Grass"),1,0)),IF(OR($S178="Ground",$S178="Rock",$S178="Water"),0-1,IF(OR($S178="Bug",$S178="Flying",$S178="Fire",$S178="Dragon",$S178="Poison",$S178="Steel",$S178="Grass"),1,0)))</f>
        <v>-1</v>
      </c>
      <c r="AM178" s="507" t="n">
        <f aca="false">IF(OR($R178="Flying",$S178="Flying"),4,SUM(IF(OR($R178="Electric",$R178="Fire",$R178="Rock",$R178="Steel",$R178="Poison"),0-1,IF(OR($R178="Bug",$R178="Grass"),1,0)),IF(OR($S178="Electric",$S178="Fire",$S178="Rock",$S178="Steel",$S178="Poison"),0-1,IF(OR($S178="Bug",$S178="Grass"),1,0))))</f>
        <v>0</v>
      </c>
      <c r="AN178" s="507" t="n">
        <f aca="false">SUM(IF(OR($R178="Flying",$R178="Dragon",$R178="Grass",$R178="Ground"),0-1,IF(OR($R178="Steel",$R178="Ice",$R178="Fire",$R178="Water"),1,0)),IF(OR($S178="Flying",$S178="Dragon",$S178="Grass",$S178="Ground"),0-1,IF(OR($S178="Steel",$S178="Ice",$S178="Fire",$S178="Water"),1,0)))</f>
        <v>-1</v>
      </c>
      <c r="AO178" s="507" t="n">
        <f aca="false">IF(OR($R178="Ghost",$S178="Ghost"),4,SUM(IF(OR($R178="Steel",$R178="Rock"),1,0),IF(OR($S178="Steel",$S178="Rock"),1,0)))</f>
        <v>4</v>
      </c>
      <c r="AP178" s="507" t="n">
        <f aca="false">IF(OR($R178="Steel",$S178="Steel"),4,SUM(IF(OR($R178="Fairy",$R178="Grass"),0-1,IF(OR($R178="Ghost",$R178="Rock",$R178="Ground",$R178="Poison"),1,0)),IF(OR($S178="Fairy",$S178="Grass"),0-1,IF(OR($S178="Ghost",$S178="Rock",$S178="Ground",$S178="Poison"),1,0))))</f>
        <v>2</v>
      </c>
      <c r="AQ178" s="507" t="n">
        <f aca="false">IF(OR($R178="Dark",$S178="Dark"),4,SUM(IF(OR($R178="Fighting",$R178="Poison"),0-1,IF(OR($R178="Psychic",$R178="Steel"),1,0)),IF(OR($S178="Fighting",$S178="Poison"),0-1,IF(OR($S178="Psychic",$S178="Steel"),1,0))))</f>
        <v>0</v>
      </c>
      <c r="AR178" s="507" t="n">
        <f aca="false">SUM(IF(OR($R178="Bug",$R178="Fire",$R178="Flying",$R178="Ice"),0-1,IF(OR($R178="Steel",$R178="Fighting",$R178="Ground"),1,0)),IF(OR($S178="Bug",$S178="Fire",$S178="Flying",$S178="Ice"),0-1,IF(OR($S178="Steel",$S178="Fighting",$S178="Ground"),1,0)))</f>
        <v>1</v>
      </c>
      <c r="AS178" s="507" t="n">
        <f aca="false">SUM(IF(OR($R178="Fairy",$R178="Ice",$R178="Rock"),0-1,IF(OR($R178="Steel",$R178="Electric",$R178="Fire",$R178="Water"),1,0)),IF(OR($S178="Fairy",$S178="Ice",$S178="Rock"),0-1,IF(OR($S178="Steel",$S178="Electric",$S178="Fire",$S178="Water"),1,0)))</f>
        <v>0</v>
      </c>
      <c r="AT178" s="508" t="n">
        <f aca="false">SUM(IF(OR($R178="Fire",$R178="Ground",$R178="Rock"),0-1,IF(OR($R178="Dragon",$R178="Grass",$R178="Water"),1,0)),IF(OR($S178="Fire",$S178="Ground",$S178="Rock"),0-1,IF(OR($S178="Dragon",$S178="Grass",$S178="Water"),1,0)))</f>
        <v>-1</v>
      </c>
      <c r="AU178" s="518"/>
    </row>
    <row r="179" customFormat="false" ht="15.75" hidden="false" customHeight="false" outlineLevel="0" collapsed="false">
      <c r="A179" s="510" t="str">
        <f aca="false" t="array" ref="A179:A179">IF(ISNA(INDEX(Source!$U$7:$U$95,MATCH(B179,Source!$V$7:$V$95,0))),"FREE",INDEX(Source!$U$7:$U$95,MATCH(B179,Source!$V$7:$V$95,0)))</f>
        <v>SGP</v>
      </c>
      <c r="B179" s="511" t="s">
        <v>75</v>
      </c>
      <c r="C179" s="511"/>
      <c r="D179" s="511"/>
      <c r="E179" s="499" t="n">
        <f aca="false">IF(SUM($W179:$X179)&gt;0,SUM($W179:$X179),IF($H179&gt;0,0,IF($H179&gt;0,0,"-")))</f>
        <v>0</v>
      </c>
      <c r="F179" s="499" t="n">
        <f aca="false">IF(SUM($Y179:$Z179)&gt;0,SUM($Y179:$Z179),IF($H179&gt;0,0,"-"))</f>
        <v>0</v>
      </c>
      <c r="G179" s="499" t="e">
        <f aca="false">IF($H179&gt;0,minus(E179,F179),"-")</f>
        <v>#NAME?</v>
      </c>
      <c r="H179" s="500" t="n">
        <f aca="false">SUM(COUNTIF(MatchSource!$A:$A,$B179),COUNTIF(MatchSource!$H:$H,$B179))</f>
        <v>6</v>
      </c>
      <c r="I179" s="501" t="n">
        <f aca="false">SUM($AA179:$AB179)</f>
        <v>0</v>
      </c>
      <c r="J179" s="501" t="s">
        <v>699</v>
      </c>
      <c r="K179" s="512" t="n">
        <f aca="false" t="array" ref="K179:K179">IF(ISNA(INDEX(DraftRosters!$AA$3:$AA$199,MATCH($B179,DraftRosters!$AB$3:$AB$199,0))),"FA",IF(INDEX(DraftRosters!$AA$3:$AA$199,MATCH($B179,DraftRosters!$AB$3:$AB$199,0))="Franchise","Franch",INDEX(DraftRosters!$AA$3:$AA$199,MATCH($B179,DraftRosters!$AB$3:$AB$199,0))))</f>
        <v>10</v>
      </c>
      <c r="L179" s="507" t="n">
        <v>90</v>
      </c>
      <c r="M179" s="507" t="n">
        <v>100</v>
      </c>
      <c r="N179" s="507" t="n">
        <v>70</v>
      </c>
      <c r="O179" s="507" t="n">
        <v>110</v>
      </c>
      <c r="P179" s="507" t="n">
        <v>150</v>
      </c>
      <c r="Q179" s="508" t="n">
        <v>80</v>
      </c>
      <c r="R179" s="499" t="s">
        <v>835</v>
      </c>
      <c r="S179" s="501"/>
      <c r="T179" s="504" t="s">
        <v>987</v>
      </c>
      <c r="U179" s="505" t="s">
        <v>819</v>
      </c>
      <c r="V179" s="506" t="s">
        <v>869</v>
      </c>
      <c r="W179" s="500" t="str">
        <f aca="false">IFERROR(__xludf.dummyfunction("if(isna(SUM(FILTER(MatchSource!$A:$D,MatchSource!$A:$A=$B179))),0,SUM(FILTER(MatchSource!$A:$D,MatchSource!$A:$A=$B179)))"),"2")</f>
        <v>2</v>
      </c>
      <c r="X179" s="499" t="str">
        <f aca="false">IFERROR(__xludf.dummyfunction("if(isna(SUM(FILTER(MatchSource!$H:$K,MatchSource!$H:$H=$B179))),0,SUM(FILTER(MatchSource!$H:$K,MatchSource!$H:$H=$B179)))"),"2")</f>
        <v>2</v>
      </c>
      <c r="Y179" s="499" t="str">
        <f aca="false">IFERROR(__xludf.dummyfunction("if(isna(ABS(MINUS(SUM(FILTER(MatchSource!$A:$E,MatchSource!$A:$A=$B179)),SUM($W179)))),0,ABS(MINUS(SUM(FILTER(MatchSource!$A:$E,MatchSource!$A:$A=$B179)),SUM($W179))))"),"3")</f>
        <v>3</v>
      </c>
      <c r="Z179" s="499" t="str">
        <f aca="false">IFERROR(__xludf.dummyfunction("if(isna(ABS(MINUS(SUM(FILTER(MatchSource!$H:$L,MatchSource!$H:$H=$B179)),SUM($X179)))),0,ABS(MINUS(SUM(FILTER(MatchSource!$H:$L,MatchSource!$H:$H=$B179)),SUM($X179))))"),"3")</f>
        <v>3</v>
      </c>
      <c r="AA179" s="499" t="str">
        <f aca="false">IFERROR(__xludf.dummyfunction("if(isna(ABS(MINUS(SUM(FILTER(MatchSource!$A:$F,MatchSource!$A:$A=$B179)),SUM($W179,$Y179)))),0,ABS(MINUS(SUM(FILTER(MatchSource!$A:$F,MatchSource!$A:$A=$B179)),SUM($W179, $Y179,))))"),"0")</f>
        <v>0</v>
      </c>
      <c r="AB179" s="501" t="str">
        <f aca="false">IFERROR(__xludf.dummyfunction("if(isna(ABS(MINUS(SUM(FILTER(MatchSource!$H:$M,MatchSource!$H:$H=$B179)),SUM($X179,$Z179)))),0,ABS(MINUS(SUM(FILTER(MatchSource!$H:$M,MatchSource!$H:$H=$B179)),SUM($X179,$Z179))))"),"0")</f>
        <v>0</v>
      </c>
      <c r="AC179" s="507" t="n">
        <f aca="false">SUM(IF(OR($R179="Grass",$R179="Psychic",$R179="Dark"),0-1,IF(OR($R179="Fighting",$R179="Flying",$R179="Fire",$R179="Ghost",$R179="Poison",$R179="Steel",$R179="Fairy"),1,0)),IF(OR($S179="Grass",$S179="Psychic",$S179="Dark"),0-1,IF(OR($S179="Fighting",$S179="Flying",$S179="Fire",$S179="Ghost",$S179="Poison",$S179="Steel",$S179="Fairy"),1,0)))</f>
        <v>0</v>
      </c>
      <c r="AD179" s="507" t="n">
        <f aca="false">SUM(IF(OR($R179="Ghost",$R179="Psychic"),0-1,IF(OR($R179="Fighting",$R179="Dark",$R179="Fairy"),1,0)),IF(OR($S179="Ghost",$S179="Psychic"),0-1,IF(OR($S179="Fighting",$S179="Dark",$S179="Fairy"),1,0)))</f>
        <v>0</v>
      </c>
      <c r="AE179" s="507" t="n">
        <f aca="false">IF(OR($R179="Fairy",$S179="Fairy"),4,SUM(IF($R179="Dragon",0-1,IF($R179="Steel",1,0)),IF($S179="Dragon",0-1,IF($S179="Steel",1,0))))</f>
        <v>-1</v>
      </c>
      <c r="AF179" s="507" t="n">
        <f aca="false">IF(OR($R179="Ground",$S179="Ground"),4,SUM(IF(OR($R179="Flying",$R179="Water"),0-1,IF(OR($R179="Dragon",$R179="Electric",$R179="Grass"),1,0)),IF(OR($S179="Flying",$S179="Water"),0-1,IF(OR($S179="Dragon",$S179="Electric",$S179="Grass"),1,0))))</f>
        <v>1</v>
      </c>
      <c r="AG179" s="507" t="n">
        <f aca="false">SUM(IF(OR($R179="Dark",$R179="Dragon",$R179="Fighting"),0-1,IF(OR($R179="Steel",$R179="Poison",$R179="Fire"),1,0)),IF(OR($S179="Dark",$S179="Dragon",$S179="Fighting"),0-1,IF(OR($S179="Steel",$S179="Poison",$S179="Fire"),1,0)))</f>
        <v>-1</v>
      </c>
      <c r="AH179" s="507" t="n">
        <f aca="false">IF(OR($R179="Ghost",$S179="Ghost"),4,SUM(IF(OR($R179="Dark",$R179="Ice",$R179="Normal",$R179="Rock",$R179="Steel"),0-1,IF(OR($R179="Bug",$R179="Fairy",$R179="Flying",$R179="Poison",$R179="Psychic"),1,0)),IF(OR($S179="Dark",$S179="Ice",$S179="Normal",$S179="Rock",$S179="Steel"),0-1,IF(OR($S179="Bug",$S179="Fairy",$S179="Flying",$S179="Poison",$S179="Psychic"),1,0))))</f>
        <v>0</v>
      </c>
      <c r="AI179" s="507" t="n">
        <f aca="false">SUM(IF(OR($R179="Bug",$R179="Grass",$R179="Ice",$R179="Steel"),0-1,IF(OR($R179="Dragon",$R179="Fire",$R179="Rock",$R179="Water"),1,0)),IF(OR($S179="Bug",$S179="Grass",$S179="Ice",$S179="Steel"),0-1,IF(OR($S179="Dragon",$S179="Fire",$S179="Rock",$S179="Water"),1,0)))</f>
        <v>1</v>
      </c>
      <c r="AJ179" s="507" t="n">
        <f aca="false">SUM(IF(OR($R179="Bug",$R179="Grass",$R179="Fighting"),0-1,IF(OR($R179="Electric",$R179="Rock",$R179="Steel"),1,0)),IF(OR($S179="Bug",$S179="Grass",$S179="Fighting"),0-1,IF(OR($S179="Electric",$S179="Rock",$S179="Steel"),1,0)))</f>
        <v>0</v>
      </c>
      <c r="AK179" s="507" t="n">
        <f aca="false">IF(OR($R179="Normal",$S179="Normal"),4,SUM(IF(OR($R179="Ghost",$R179="Psychic"),0-1,IF($R179="Dark",1,0)),IF(OR($S179="Ghost",$S179="Psychic"),0-1,IF($S179="Dark",1,0))))</f>
        <v>0</v>
      </c>
      <c r="AL179" s="507" t="n">
        <f aca="false">SUM(IF(OR($R179="Ground",$R179="Rock",$R179="Water"),0-1,IF(OR($R179="Bug",$R179="Flying",$R179="Fire",$R179="Dragon",$R179="Poison",$R179="Steel",$R179="Grass"),1,0)),IF(OR($S179="Ground",$S179="Rock",$S179="Water"),0-1,IF(OR($S179="Bug",$S179="Flying",$S179="Fire",$S179="Dragon",$S179="Poison",$S179="Steel",$S179="Grass"),1,0)))</f>
        <v>1</v>
      </c>
      <c r="AM179" s="507" t="n">
        <f aca="false">IF(OR($R179="Flying",$S179="Flying"),4,SUM(IF(OR($R179="Electric",$R179="Fire",$R179="Rock",$R179="Steel",$R179="Poison"),0-1,IF(OR($R179="Bug",$R179="Grass"),1,0)),IF(OR($S179="Electric",$S179="Fire",$S179="Rock",$S179="Steel",$S179="Poison"),0-1,IF(OR($S179="Bug",$S179="Grass"),1,0))))</f>
        <v>0</v>
      </c>
      <c r="AN179" s="507" t="n">
        <f aca="false">SUM(IF(OR($R179="Flying",$R179="Dragon",$R179="Grass",$R179="Ground"),0-1,IF(OR($R179="Steel",$R179="Ice",$R179="Fire",$R179="Water"),1,0)),IF(OR($S179="Flying",$S179="Dragon",$S179="Grass",$S179="Ground"),0-1,IF(OR($S179="Steel",$S179="Ice",$S179="Fire",$S179="Water"),1,0)))</f>
        <v>-1</v>
      </c>
      <c r="AO179" s="507" t="n">
        <f aca="false">IF(OR($R179="Ghost",$S179="Ghost"),4,SUM(IF(OR($R179="Steel",$R179="Rock"),1,0),IF(OR($S179="Steel",$S179="Rock"),1,0)))</f>
        <v>0</v>
      </c>
      <c r="AP179" s="507" t="n">
        <f aca="false">IF(OR($R179="Steel",$S179="Steel"),4,SUM(IF(OR($R179="Fairy",$R179="Grass"),0-1,IF(OR($R179="Ghost",$R179="Rock",$R179="Ground",$R179="Poison"),1,0)),IF(OR($S179="Fairy",$S179="Grass"),0-1,IF(OR($S179="Ghost",$S179="Rock",$S179="Ground",$S179="Poison"),1,0))))</f>
        <v>0</v>
      </c>
      <c r="AQ179" s="507" t="n">
        <f aca="false">IF(OR($R179="Dark",$S179="Dark"),4,SUM(IF(OR($R179="Fighting",$R179="Poison"),0-1,IF(OR($R179="Psychic",$R179="Steel"),1,0)),IF(OR($S179="Fighting",$S179="Poison"),0-1,IF(OR($S179="Psychic",$S179="Steel"),1,0))))</f>
        <v>0</v>
      </c>
      <c r="AR179" s="507" t="n">
        <f aca="false">SUM(IF(OR($R179="Bug",$R179="Fire",$R179="Flying",$R179="Ice"),0-1,IF(OR($R179="Steel",$R179="Fighting",$R179="Ground"),1,0)),IF(OR($S179="Bug",$S179="Fire",$S179="Flying",$S179="Ice"),0-1,IF(OR($S179="Steel",$S179="Fighting",$S179="Ground"),1,0)))</f>
        <v>0</v>
      </c>
      <c r="AS179" s="507" t="n">
        <f aca="false">SUM(IF(OR($R179="Fairy",$R179="Ice",$R179="Rock"),0-1,IF(OR($R179="Steel",$R179="Electric",$R179="Fire",$R179="Water"),1,0)),IF(OR($S179="Fairy",$S179="Ice",$S179="Rock"),0-1,IF(OR($S179="Steel",$S179="Electric",$S179="Fire",$S179="Water"),1,0)))</f>
        <v>0</v>
      </c>
      <c r="AT179" s="508" t="n">
        <f aca="false">SUM(IF(OR($R179="Fire",$R179="Ground",$R179="Rock"),0-1,IF(OR($R179="Dragon",$R179="Grass",$R179="Water"),1,0)),IF(OR($S179="Fire",$S179="Ground",$S179="Rock"),0-1,IF(OR($S179="Dragon",$S179="Grass",$S179="Water"),1,0)))</f>
        <v>1</v>
      </c>
      <c r="AU179" s="518"/>
    </row>
    <row r="180" customFormat="false" ht="15.75" hidden="false" customHeight="false" outlineLevel="0" collapsed="false">
      <c r="A180" s="510" t="str">
        <f aca="false" t="array" ref="A180:A180">IF(ISNA(INDEX(Source!$U$7:$U$95,MATCH(B180,Source!$V$7:$V$95,0))),"FREE",INDEX(Source!$U$7:$U$95,MATCH(B180,Source!$V$7:$V$95,0)))</f>
        <v>FREE</v>
      </c>
      <c r="B180" s="511" t="s">
        <v>608</v>
      </c>
      <c r="C180" s="511"/>
      <c r="D180" s="511"/>
      <c r="E180" s="499" t="str">
        <f aca="false">IF(SUM($W180:$X180)&gt;0,SUM($W180:$X180),IF($H180&gt;0,0,IF($H180&gt;0,0,"-")))</f>
        <v>-</v>
      </c>
      <c r="F180" s="499" t="str">
        <f aca="false">IF(SUM($Y180:$Z180)&gt;0,SUM($Y180:$Z180),IF($H180&gt;0,0,"-"))</f>
        <v>-</v>
      </c>
      <c r="G180" s="499" t="str">
        <f aca="false">IF($H180&gt;0,minus(E180,F180),"-")</f>
        <v>-</v>
      </c>
      <c r="H180" s="500" t="n">
        <f aca="false">SUM(COUNTIF(MatchSource!$A:$A,$B180),COUNTIF(MatchSource!$H:$H,$B180))</f>
        <v>0</v>
      </c>
      <c r="I180" s="501" t="n">
        <f aca="false">SUM($AA180:$AB180)</f>
        <v>0</v>
      </c>
      <c r="J180" s="501" t="s">
        <v>702</v>
      </c>
      <c r="K180" s="512" t="str">
        <f aca="false" t="array" ref="K180:K180">IF(ISNA(INDEX(DraftRosters!$AA$3:$AA$199,MATCH($B180,DraftRosters!$AB$3:$AB$199,0))),"FA",IF(INDEX(DraftRosters!$AA$3:$AA$199,MATCH($B180,DraftRosters!$AB$3:$AB$199,0))="Franchise","Franch",INDEX(DraftRosters!$AA$3:$AA$199,MATCH($B180,DraftRosters!$AB$3:$AB$199,0))))</f>
        <v>FA</v>
      </c>
      <c r="L180" s="499" t="n">
        <v>55</v>
      </c>
      <c r="M180" s="499" t="n">
        <v>84</v>
      </c>
      <c r="N180" s="499" t="n">
        <v>105</v>
      </c>
      <c r="O180" s="499" t="n">
        <v>114</v>
      </c>
      <c r="P180" s="499" t="n">
        <v>75</v>
      </c>
      <c r="Q180" s="501" t="n">
        <v>52</v>
      </c>
      <c r="R180" s="499" t="s">
        <v>811</v>
      </c>
      <c r="S180" s="501"/>
      <c r="T180" s="504" t="s">
        <v>819</v>
      </c>
      <c r="U180" s="505" t="s">
        <v>859</v>
      </c>
      <c r="V180" s="506"/>
      <c r="W180" s="500" t="str">
        <f aca="false">IFERROR(__xludf.dummyfunction("if(isna(SUM(FILTER(MatchSource!$A:$D,MatchSource!$A:$A=$B180))),0,SUM(FILTER(MatchSource!$A:$D,MatchSource!$A:$A=$B180)))"),"0")</f>
        <v>0</v>
      </c>
      <c r="X180" s="499" t="str">
        <f aca="false">IFERROR(__xludf.dummyfunction("if(isna(SUM(FILTER(MatchSource!$H:$K,MatchSource!$H:$H=$B180))),0,SUM(FILTER(MatchSource!$H:$K,MatchSource!$H:$H=$B180)))"),"0")</f>
        <v>0</v>
      </c>
      <c r="Y180" s="499" t="str">
        <f aca="false">IFERROR(__xludf.dummyfunction("if(isna(ABS(MINUS(SUM(FILTER(MatchSource!$A:$E,MatchSource!$A:$A=$B180)),SUM($W180)))),0,ABS(MINUS(SUM(FILTER(MatchSource!$A:$E,MatchSource!$A:$A=$B180)),SUM($W180))))"),"0")</f>
        <v>0</v>
      </c>
      <c r="Z180" s="499" t="str">
        <f aca="false">IFERROR(__xludf.dummyfunction("if(isna(ABS(MINUS(SUM(FILTER(MatchSource!$H:$L,MatchSource!$H:$H=$B180)),SUM($X180)))),0,ABS(MINUS(SUM(FILTER(MatchSource!$H:$L,MatchSource!$H:$H=$B180)),SUM($X180))))"),"0")</f>
        <v>0</v>
      </c>
      <c r="AA180" s="499" t="str">
        <f aca="false">IFERROR(__xludf.dummyfunction("if(isna(ABS(MINUS(SUM(FILTER(MatchSource!$A:$F,MatchSource!$A:$A=$B180)),SUM($W180,$Y180)))),0,ABS(MINUS(SUM(FILTER(MatchSource!$A:$F,MatchSource!$A:$A=$B180)),SUM($W180, $Y180,))))"),"0")</f>
        <v>0</v>
      </c>
      <c r="AB180" s="501" t="str">
        <f aca="false">IFERROR(__xludf.dummyfunction("if(isna(ABS(MINUS(SUM(FILTER(MatchSource!$H:$M,MatchSource!$H:$H=$B180)),SUM($X180,$Z180)))),0,ABS(MINUS(SUM(FILTER(MatchSource!$H:$M,MatchSource!$H:$H=$B180)),SUM($X180,$Z180))))"),"0")</f>
        <v>0</v>
      </c>
      <c r="AC180" s="507" t="n">
        <f aca="false">SUM(IF(OR($R180="Grass",$R180="Psychic",$R180="Dark"),0-1,IF(OR($R180="Fighting",$R180="Flying",$R180="Fire",$R180="Ghost",$R180="Poison",$R180="Steel",$R180="Fairy"),1,0)),IF(OR($S180="Grass",$S180="Psychic",$S180="Dark"),0-1,IF(OR($S180="Fighting",$S180="Flying",$S180="Fire",$S180="Ghost",$S180="Poison",$S180="Steel",$S180="Fairy"),1,0)))</f>
        <v>0</v>
      </c>
      <c r="AD180" s="507" t="n">
        <f aca="false">SUM(IF(OR($R180="Ghost",$R180="Psychic"),0-1,IF(OR($R180="Fighting",$R180="Dark",$R180="Fairy"),1,0)),IF(OR($S180="Ghost",$S180="Psychic"),0-1,IF(OR($S180="Fighting",$S180="Dark",$S180="Fairy"),1,0)))</f>
        <v>0</v>
      </c>
      <c r="AE180" s="507" t="n">
        <f aca="false">IF(OR($R180="Fairy",$S180="Fairy"),4,SUM(IF($R180="Dragon",0-1,IF($R180="Steel",1,0)),IF($S180="Dragon",0-1,IF($S180="Steel",1,0))))</f>
        <v>0</v>
      </c>
      <c r="AF180" s="507" t="n">
        <f aca="false">IF(OR($R180="Ground",$S180="Ground"),4,SUM(IF(OR($R180="Flying",$R180="Water"),0-1,IF(OR($R180="Dragon",$R180="Electric",$R180="Grass"),1,0)),IF(OR($S180="Flying",$S180="Water"),0-1,IF(OR($S180="Dragon",$S180="Electric",$S180="Grass"),1,0))))</f>
        <v>-1</v>
      </c>
      <c r="AG180" s="507" t="n">
        <f aca="false">SUM(IF(OR($R180="Dark",$R180="Dragon",$R180="Fighting"),0-1,IF(OR($R180="Steel",$R180="Poison",$R180="Fire"),1,0)),IF(OR($S180="Dark",$S180="Dragon",$S180="Fighting"),0-1,IF(OR($S180="Steel",$S180="Poison",$S180="Fire"),1,0)))</f>
        <v>0</v>
      </c>
      <c r="AH180" s="507" t="n">
        <f aca="false">IF(OR($R180="Ghost",$S180="Ghost"),4,SUM(IF(OR($R180="Dark",$R180="Ice",$R180="Normal",$R180="Rock",$R180="Steel"),0-1,IF(OR($R180="Bug",$R180="Fairy",$R180="Flying",$R180="Poison",$R180="Psychic"),1,0)),IF(OR($S180="Dark",$S180="Ice",$S180="Normal",$S180="Rock",$S180="Steel"),0-1,IF(OR($S180="Bug",$S180="Fairy",$S180="Flying",$S180="Poison",$S180="Psychic"),1,0))))</f>
        <v>0</v>
      </c>
      <c r="AI180" s="507" t="n">
        <f aca="false">SUM(IF(OR($R180="Bug",$R180="Grass",$R180="Ice",$R180="Steel"),0-1,IF(OR($R180="Dragon",$R180="Fire",$R180="Rock",$R180="Water"),1,0)),IF(OR($S180="Bug",$S180="Grass",$S180="Ice",$S180="Steel"),0-1,IF(OR($S180="Dragon",$S180="Fire",$S180="Rock",$S180="Water"),1,0)))</f>
        <v>1</v>
      </c>
      <c r="AJ180" s="507" t="n">
        <f aca="false">SUM(IF(OR($R180="Bug",$R180="Grass",$R180="Fighting"),0-1,IF(OR($R180="Electric",$R180="Rock",$R180="Steel"),1,0)),IF(OR($S180="Bug",$S180="Grass",$S180="Fighting"),0-1,IF(OR($S180="Electric",$S180="Rock",$S180="Steel"),1,0)))</f>
        <v>0</v>
      </c>
      <c r="AK180" s="507" t="n">
        <f aca="false">IF(OR($R180="Normal",$S180="Normal"),4,SUM(IF(OR($R180="Ghost",$R180="Psychic"),0-1,IF($R180="Dark",1,0)),IF(OR($S180="Ghost",$S180="Psychic"),0-1,IF($S180="Dark",1,0))))</f>
        <v>0</v>
      </c>
      <c r="AL180" s="507" t="n">
        <f aca="false">SUM(IF(OR($R180="Ground",$R180="Rock",$R180="Water"),0-1,IF(OR($R180="Bug",$R180="Flying",$R180="Fire",$R180="Dragon",$R180="Poison",$R180="Steel",$R180="Grass"),1,0)),IF(OR($S180="Ground",$S180="Rock",$S180="Water"),0-1,IF(OR($S180="Bug",$S180="Flying",$S180="Fire",$S180="Dragon",$S180="Poison",$S180="Steel",$S180="Grass"),1,0)))</f>
        <v>-1</v>
      </c>
      <c r="AM180" s="507" t="n">
        <f aca="false">IF(OR($R180="Flying",$S180="Flying"),4,SUM(IF(OR($R180="Electric",$R180="Fire",$R180="Rock",$R180="Steel",$R180="Poison"),0-1,IF(OR($R180="Bug",$R180="Grass"),1,0)),IF(OR($S180="Electric",$S180="Fire",$S180="Rock",$S180="Steel",$S180="Poison"),0-1,IF(OR($S180="Bug",$S180="Grass"),1,0))))</f>
        <v>0</v>
      </c>
      <c r="AN180" s="507" t="n">
        <f aca="false">SUM(IF(OR($R180="Flying",$R180="Dragon",$R180="Grass",$R180="Ground"),0-1,IF(OR($R180="Steel",$R180="Ice",$R180="Fire",$R180="Water"),1,0)),IF(OR($S180="Flying",$S180="Dragon",$S180="Grass",$S180="Ground"),0-1,IF(OR($S180="Steel",$S180="Ice",$S180="Fire",$S180="Water"),1,0)))</f>
        <v>1</v>
      </c>
      <c r="AO180" s="507" t="n">
        <f aca="false">IF(OR($R180="Ghost",$S180="Ghost"),4,SUM(IF(OR($R180="Steel",$R180="Rock"),1,0),IF(OR($S180="Steel",$S180="Rock"),1,0)))</f>
        <v>0</v>
      </c>
      <c r="AP180" s="507" t="n">
        <f aca="false">IF(OR($R180="Steel",$S180="Steel"),4,SUM(IF(OR($R180="Fairy",$R180="Grass"),0-1,IF(OR($R180="Ghost",$R180="Rock",$R180="Ground",$R180="Poison"),1,0)),IF(OR($S180="Fairy",$S180="Grass"),0-1,IF(OR($S180="Ghost",$S180="Rock",$S180="Ground",$S180="Poison"),1,0))))</f>
        <v>0</v>
      </c>
      <c r="AQ180" s="507" t="n">
        <f aca="false">IF(OR($R180="Dark",$S180="Dark"),4,SUM(IF(OR($R180="Fighting",$R180="Poison"),0-1,IF(OR($R180="Psychic",$R180="Steel"),1,0)),IF(OR($S180="Fighting",$S180="Poison"),0-1,IF(OR($S180="Psychic",$S180="Steel"),1,0))))</f>
        <v>0</v>
      </c>
      <c r="AR180" s="507" t="n">
        <f aca="false">SUM(IF(OR($R180="Bug",$R180="Fire",$R180="Flying",$R180="Ice"),0-1,IF(OR($R180="Steel",$R180="Fighting",$R180="Ground"),1,0)),IF(OR($S180="Bug",$S180="Fire",$S180="Flying",$S180="Ice"),0-1,IF(OR($S180="Steel",$S180="Fighting",$S180="Ground"),1,0)))</f>
        <v>0</v>
      </c>
      <c r="AS180" s="507" t="n">
        <f aca="false">SUM(IF(OR($R180="Fairy",$R180="Ice",$R180="Rock"),0-1,IF(OR($R180="Steel",$R180="Electric",$R180="Fire",$R180="Water"),1,0)),IF(OR($S180="Fairy",$S180="Ice",$S180="Rock"),0-1,IF(OR($S180="Steel",$S180="Electric",$S180="Fire",$S180="Water"),1,0)))</f>
        <v>1</v>
      </c>
      <c r="AT180" s="508" t="n">
        <f aca="false">SUM(IF(OR($R180="Fire",$R180="Ground",$R180="Rock"),0-1,IF(OR($R180="Dragon",$R180="Grass",$R180="Water"),1,0)),IF(OR($S180="Fire",$S180="Ground",$S180="Rock"),0-1,IF(OR($S180="Dragon",$S180="Grass",$S180="Water"),1,0)))</f>
        <v>1</v>
      </c>
      <c r="AU180" s="518"/>
    </row>
    <row r="181" customFormat="false" ht="15.75" hidden="false" customHeight="false" outlineLevel="0" collapsed="false">
      <c r="A181" s="510" t="str">
        <f aca="false" t="array" ref="A181:A181">IF(ISNA(INDEX(Source!$U$7:$U$95,MATCH(B181,Source!$V$7:$V$95,0))),"FREE",INDEX(Source!$U$7:$U$95,MATCH(B181,Source!$V$7:$V$95,0)))</f>
        <v>FREE</v>
      </c>
      <c r="B181" s="511" t="s">
        <v>612</v>
      </c>
      <c r="C181" s="511"/>
      <c r="D181" s="511"/>
      <c r="E181" s="499" t="str">
        <f aca="false">IF(SUM($W181:$X181)&gt;0,SUM($W181:$X181),IF($H181&gt;0,0,IF($H181&gt;0,0,"-")))</f>
        <v>-</v>
      </c>
      <c r="F181" s="499" t="str">
        <f aca="false">IF(SUM($Y181:$Z181)&gt;0,SUM($Y181:$Z181),IF($H181&gt;0,0,"-"))</f>
        <v>-</v>
      </c>
      <c r="G181" s="499" t="str">
        <f aca="false">IF($H181&gt;0,minus(E181,F181),"-")</f>
        <v>-</v>
      </c>
      <c r="H181" s="500" t="n">
        <f aca="false">SUM(COUNTIF(MatchSource!$A:$A,$B181),COUNTIF(MatchSource!$H:$H,$B181))</f>
        <v>0</v>
      </c>
      <c r="I181" s="501" t="n">
        <f aca="false">SUM($AA181:$AB181)</f>
        <v>0</v>
      </c>
      <c r="J181" s="501" t="s">
        <v>988</v>
      </c>
      <c r="K181" s="512" t="str">
        <f aca="false" t="array" ref="K181:K181">IF(ISNA(INDEX(DraftRosters!$AA$3:$AA$199,MATCH($B181,DraftRosters!$AB$3:$AB$199,0))),"FA",IF(INDEX(DraftRosters!$AA$3:$AA$199,MATCH($B181,DraftRosters!$AB$3:$AB$199,0))="Franchise","Franch",INDEX(DraftRosters!$AA$3:$AA$199,MATCH($B181,DraftRosters!$AB$3:$AB$199,0))))</f>
        <v>FA</v>
      </c>
      <c r="L181" s="499" t="n">
        <v>70</v>
      </c>
      <c r="M181" s="499" t="n">
        <v>55</v>
      </c>
      <c r="N181" s="499" t="n">
        <v>95</v>
      </c>
      <c r="O181" s="499" t="n">
        <v>95</v>
      </c>
      <c r="P181" s="499" t="n">
        <v>110</v>
      </c>
      <c r="Q181" s="501" t="n">
        <v>65</v>
      </c>
      <c r="R181" s="499" t="s">
        <v>828</v>
      </c>
      <c r="S181" s="501"/>
      <c r="T181" s="504" t="s">
        <v>989</v>
      </c>
      <c r="U181" s="505" t="s">
        <v>871</v>
      </c>
      <c r="V181" s="506" t="s">
        <v>990</v>
      </c>
      <c r="W181" s="500" t="str">
        <f aca="false">IFERROR(__xludf.dummyfunction("if(isna(SUM(FILTER(MatchSource!$A:$D,MatchSource!$A:$A=$B181))),0,SUM(FILTER(MatchSource!$A:$D,MatchSource!$A:$A=$B181)))"),"0")</f>
        <v>0</v>
      </c>
      <c r="X181" s="499" t="str">
        <f aca="false">IFERROR(__xludf.dummyfunction("if(isna(SUM(FILTER(MatchSource!$H:$K,MatchSource!$H:$H=$B181))),0,SUM(FILTER(MatchSource!$H:$K,MatchSource!$H:$H=$B181)))"),"0")</f>
        <v>0</v>
      </c>
      <c r="Y181" s="499" t="str">
        <f aca="false">IFERROR(__xludf.dummyfunction("if(isna(ABS(MINUS(SUM(FILTER(MatchSource!$A:$E,MatchSource!$A:$A=$B181)),SUM($W181)))),0,ABS(MINUS(SUM(FILTER(MatchSource!$A:$E,MatchSource!$A:$A=$B181)),SUM($W181))))"),"0")</f>
        <v>0</v>
      </c>
      <c r="Z181" s="499" t="str">
        <f aca="false">IFERROR(__xludf.dummyfunction("if(isna(ABS(MINUS(SUM(FILTER(MatchSource!$H:$L,MatchSource!$H:$H=$B181)),SUM($X181)))),0,ABS(MINUS(SUM(FILTER(MatchSource!$H:$L,MatchSource!$H:$H=$B181)),SUM($X181))))"),"0")</f>
        <v>0</v>
      </c>
      <c r="AA181" s="499" t="str">
        <f aca="false">IFERROR(__xludf.dummyfunction("if(isna(ABS(MINUS(SUM(FILTER(MatchSource!$A:$F,MatchSource!$A:$A=$B181)),SUM($W181,$Y181)))),0,ABS(MINUS(SUM(FILTER(MatchSource!$A:$F,MatchSource!$A:$A=$B181)),SUM($W181, $Y181,))))"),"0")</f>
        <v>0</v>
      </c>
      <c r="AB181" s="501" t="str">
        <f aca="false">IFERROR(__xludf.dummyfunction("if(isna(ABS(MINUS(SUM(FILTER(MatchSource!$H:$M,MatchSource!$H:$H=$B181)),SUM($X181,$Z181)))),0,ABS(MINUS(SUM(FILTER(MatchSource!$H:$M,MatchSource!$H:$H=$B181)),SUM($X181,$Z181))))"),"0")</f>
        <v>0</v>
      </c>
      <c r="AC181" s="507" t="n">
        <f aca="false">SUM(IF(OR($R181="Grass",$R181="Psychic",$R181="Dark"),0-1,IF(OR($R181="Fighting",$R181="Flying",$R181="Fire",$R181="Ghost",$R181="Poison",$R181="Steel",$R181="Fairy"),1,0)),IF(OR($S181="Grass",$S181="Psychic",$S181="Dark"),0-1,IF(OR($S181="Fighting",$S181="Flying",$S181="Fire",$S181="Ghost",$S181="Poison",$S181="Steel",$S181="Fairy"),1,0)))</f>
        <v>-1</v>
      </c>
      <c r="AD181" s="507" t="n">
        <f aca="false">SUM(IF(OR($R181="Ghost",$R181="Psychic"),0-1,IF(OR($R181="Fighting",$R181="Dark",$R181="Fairy"),1,0)),IF(OR($S181="Ghost",$S181="Psychic"),0-1,IF(OR($S181="Fighting",$S181="Dark",$S181="Fairy"),1,0)))</f>
        <v>-1</v>
      </c>
      <c r="AE181" s="507" t="n">
        <f aca="false">IF(OR($R181="Fairy",$S181="Fairy"),4,SUM(IF($R181="Dragon",0-1,IF($R181="Steel",1,0)),IF($S181="Dragon",0-1,IF($S181="Steel",1,0))))</f>
        <v>0</v>
      </c>
      <c r="AF181" s="507" t="n">
        <f aca="false">IF(OR($R181="Ground",$S181="Ground"),4,SUM(IF(OR($R181="Flying",$R181="Water"),0-1,IF(OR($R181="Dragon",$R181="Electric",$R181="Grass"),1,0)),IF(OR($S181="Flying",$S181="Water"),0-1,IF(OR($S181="Dragon",$S181="Electric",$S181="Grass"),1,0))))</f>
        <v>0</v>
      </c>
      <c r="AG181" s="507" t="n">
        <f aca="false">SUM(IF(OR($R181="Dark",$R181="Dragon",$R181="Fighting"),0-1,IF(OR($R181="Steel",$R181="Poison",$R181="Fire"),1,0)),IF(OR($S181="Dark",$S181="Dragon",$S181="Fighting"),0-1,IF(OR($S181="Steel",$S181="Poison",$S181="Fire"),1,0)))</f>
        <v>0</v>
      </c>
      <c r="AH181" s="507" t="n">
        <f aca="false">IF(OR($R181="Ghost",$S181="Ghost"),4,SUM(IF(OR($R181="Dark",$R181="Ice",$R181="Normal",$R181="Rock",$R181="Steel"),0-1,IF(OR($R181="Bug",$R181="Fairy",$R181="Flying",$R181="Poison",$R181="Psychic"),1,0)),IF(OR($S181="Dark",$S181="Ice",$S181="Normal",$S181="Rock",$S181="Steel"),0-1,IF(OR($S181="Bug",$S181="Fairy",$S181="Flying",$S181="Poison",$S181="Psychic"),1,0))))</f>
        <v>1</v>
      </c>
      <c r="AI181" s="507" t="n">
        <f aca="false">SUM(IF(OR($R181="Bug",$R181="Grass",$R181="Ice",$R181="Steel"),0-1,IF(OR($R181="Dragon",$R181="Fire",$R181="Rock",$R181="Water"),1,0)),IF(OR($S181="Bug",$S181="Grass",$S181="Ice",$S181="Steel"),0-1,IF(OR($S181="Dragon",$S181="Fire",$S181="Rock",$S181="Water"),1,0)))</f>
        <v>0</v>
      </c>
      <c r="AJ181" s="507" t="n">
        <f aca="false">SUM(IF(OR($R181="Bug",$R181="Grass",$R181="Fighting"),0-1,IF(OR($R181="Electric",$R181="Rock",$R181="Steel"),1,0)),IF(OR($S181="Bug",$S181="Grass",$S181="Fighting"),0-1,IF(OR($S181="Electric",$S181="Rock",$S181="Steel"),1,0)))</f>
        <v>0</v>
      </c>
      <c r="AK181" s="507" t="n">
        <f aca="false">IF(OR($R181="Normal",$S181="Normal"),4,SUM(IF(OR($R181="Ghost",$R181="Psychic"),0-1,IF($R181="Dark",1,0)),IF(OR($S181="Ghost",$S181="Psychic"),0-1,IF($S181="Dark",1,0))))</f>
        <v>-1</v>
      </c>
      <c r="AL181" s="507" t="n">
        <f aca="false">SUM(IF(OR($R181="Ground",$R181="Rock",$R181="Water"),0-1,IF(OR($R181="Bug",$R181="Flying",$R181="Fire",$R181="Dragon",$R181="Poison",$R181="Steel",$R181="Grass"),1,0)),IF(OR($S181="Ground",$S181="Rock",$S181="Water"),0-1,IF(OR($S181="Bug",$S181="Flying",$S181="Fire",$S181="Dragon",$S181="Poison",$S181="Steel",$S181="Grass"),1,0)))</f>
        <v>0</v>
      </c>
      <c r="AM181" s="507" t="n">
        <f aca="false">IF(OR($R181="Flying",$S181="Flying"),4,SUM(IF(OR($R181="Electric",$R181="Fire",$R181="Rock",$R181="Steel",$R181="Poison"),0-1,IF(OR($R181="Bug",$R181="Grass"),1,0)),IF(OR($S181="Electric",$S181="Fire",$S181="Rock",$S181="Steel",$S181="Poison"),0-1,IF(OR($S181="Bug",$S181="Grass"),1,0))))</f>
        <v>0</v>
      </c>
      <c r="AN181" s="507" t="n">
        <f aca="false">SUM(IF(OR($R181="Flying",$R181="Dragon",$R181="Grass",$R181="Ground"),0-1,IF(OR($R181="Steel",$R181="Ice",$R181="Fire",$R181="Water"),1,0)),IF(OR($S181="Flying",$S181="Dragon",$S181="Grass",$S181="Ground"),0-1,IF(OR($S181="Steel",$S181="Ice",$S181="Fire",$S181="Water"),1,0)))</f>
        <v>0</v>
      </c>
      <c r="AO181" s="507" t="n">
        <f aca="false">IF(OR($R181="Ghost",$S181="Ghost"),4,SUM(IF(OR($R181="Steel",$R181="Rock"),1,0),IF(OR($S181="Steel",$S181="Rock"),1,0)))</f>
        <v>0</v>
      </c>
      <c r="AP181" s="507" t="n">
        <f aca="false">IF(OR($R181="Steel",$S181="Steel"),4,SUM(IF(OR($R181="Fairy",$R181="Grass"),0-1,IF(OR($R181="Ghost",$R181="Rock",$R181="Ground",$R181="Poison"),1,0)),IF(OR($S181="Fairy",$S181="Grass"),0-1,IF(OR($S181="Ghost",$S181="Rock",$S181="Ground",$S181="Poison"),1,0))))</f>
        <v>0</v>
      </c>
      <c r="AQ181" s="507" t="n">
        <f aca="false">IF(OR($R181="Dark",$S181="Dark"),4,SUM(IF(OR($R181="Fighting",$R181="Poison"),0-1,IF(OR($R181="Psychic",$R181="Steel"),1,0)),IF(OR($S181="Fighting",$S181="Poison"),0-1,IF(OR($S181="Psychic",$S181="Steel"),1,0))))</f>
        <v>1</v>
      </c>
      <c r="AR181" s="507" t="n">
        <f aca="false">SUM(IF(OR($R181="Bug",$R181="Fire",$R181="Flying",$R181="Ice"),0-1,IF(OR($R181="Steel",$R181="Fighting",$R181="Ground"),1,0)),IF(OR($S181="Bug",$S181="Fire",$S181="Flying",$S181="Ice"),0-1,IF(OR($S181="Steel",$S181="Fighting",$S181="Ground"),1,0)))</f>
        <v>0</v>
      </c>
      <c r="AS181" s="507" t="n">
        <f aca="false">SUM(IF(OR($R181="Fairy",$R181="Ice",$R181="Rock"),0-1,IF(OR($R181="Steel",$R181="Electric",$R181="Fire",$R181="Water"),1,0)),IF(OR($S181="Fairy",$S181="Ice",$S181="Rock"),0-1,IF(OR($S181="Steel",$S181="Electric",$S181="Fire",$S181="Water"),1,0)))</f>
        <v>0</v>
      </c>
      <c r="AT181" s="508" t="n">
        <f aca="false">SUM(IF(OR($R181="Fire",$R181="Ground",$R181="Rock"),0-1,IF(OR($R181="Dragon",$R181="Grass",$R181="Water"),1,0)),IF(OR($S181="Fire",$S181="Ground",$S181="Rock"),0-1,IF(OR($S181="Dragon",$S181="Grass",$S181="Water"),1,0)))</f>
        <v>0</v>
      </c>
      <c r="AU181" s="518"/>
    </row>
    <row r="182" customFormat="false" ht="15.75" hidden="false" customHeight="false" outlineLevel="0" collapsed="false">
      <c r="A182" s="510" t="str">
        <f aca="false" t="array" ref="A182:A182">IF(ISNA(INDEX(Source!$U$7:$U$95,MATCH(B182,Source!$V$7:$V$95,0))),"FREE",INDEX(Source!$U$7:$U$95,MATCH(B182,Source!$V$7:$V$95,0)))</f>
        <v>FREE</v>
      </c>
      <c r="B182" s="511" t="s">
        <v>499</v>
      </c>
      <c r="C182" s="511"/>
      <c r="D182" s="511"/>
      <c r="E182" s="499" t="str">
        <f aca="false">IF(SUM($W182:$X182)&gt;0,SUM($W182:$X182),IF($H182&gt;0,0,IF($H182&gt;0,0,"-")))</f>
        <v>-</v>
      </c>
      <c r="F182" s="499" t="str">
        <f aca="false">IF(SUM($Y182:$Z182)&gt;0,SUM($Y182:$Z182),IF($H182&gt;0,0,"-"))</f>
        <v>-</v>
      </c>
      <c r="G182" s="499" t="str">
        <f aca="false">IF($H182&gt;0,minus(E182,F182),"-")</f>
        <v>-</v>
      </c>
      <c r="H182" s="500" t="n">
        <f aca="false">SUM(COUNTIF(MatchSource!$A:$A,$B182),COUNTIF(MatchSource!$H:$H,$B182))</f>
        <v>0</v>
      </c>
      <c r="I182" s="501" t="n">
        <f aca="false">SUM($AA182:$AB182)</f>
        <v>0</v>
      </c>
      <c r="J182" s="501" t="s">
        <v>701</v>
      </c>
      <c r="K182" s="512" t="str">
        <f aca="false" t="array" ref="K182:K182">IF(ISNA(INDEX(DraftRosters!$AA$3:$AA$199,MATCH($B182,DraftRosters!$AB$3:$AB$199,0))),"FA",IF(INDEX(DraftRosters!$AA$3:$AA$199,MATCH($B182,DraftRosters!$AB$3:$AB$199,0))="Franchise","Franch",INDEX(DraftRosters!$AA$3:$AA$199,MATCH($B182,DraftRosters!$AB$3:$AB$199,0))))</f>
        <v>FA</v>
      </c>
      <c r="L182" s="499" t="n">
        <v>70</v>
      </c>
      <c r="M182" s="499" t="n">
        <v>92.5</v>
      </c>
      <c r="N182" s="499" t="n">
        <v>122</v>
      </c>
      <c r="O182" s="499" t="n">
        <v>58</v>
      </c>
      <c r="P182" s="499" t="n">
        <v>75</v>
      </c>
      <c r="Q182" s="501" t="n">
        <v>76.5</v>
      </c>
      <c r="R182" s="499" t="s">
        <v>802</v>
      </c>
      <c r="S182" s="501" t="s">
        <v>803</v>
      </c>
      <c r="T182" s="504" t="s">
        <v>871</v>
      </c>
      <c r="U182" s="505" t="s">
        <v>855</v>
      </c>
      <c r="V182" s="506" t="s">
        <v>840</v>
      </c>
      <c r="W182" s="500" t="str">
        <f aca="false">IFERROR(__xludf.dummyfunction("if(isna(SUM(FILTER(MatchSource!$A:$D,MatchSource!$A:$A=$B182))),0,SUM(FILTER(MatchSource!$A:$D,MatchSource!$A:$A=$B182)))"),"0")</f>
        <v>0</v>
      </c>
      <c r="X182" s="499" t="str">
        <f aca="false">IFERROR(__xludf.dummyfunction("if(isna(SUM(FILTER(MatchSource!$H:$K,MatchSource!$H:$H=$B182))),0,SUM(FILTER(MatchSource!$H:$K,MatchSource!$H:$H=$B182)))"),"0")</f>
        <v>0</v>
      </c>
      <c r="Y182" s="499" t="str">
        <f aca="false">IFERROR(__xludf.dummyfunction("if(isna(ABS(MINUS(SUM(FILTER(MatchSource!$A:$E,MatchSource!$A:$A=$B182)),SUM($W182)))),0,ABS(MINUS(SUM(FILTER(MatchSource!$A:$E,MatchSource!$A:$A=$B182)),SUM($W182))))"),"0")</f>
        <v>0</v>
      </c>
      <c r="Z182" s="499" t="str">
        <f aca="false">IFERROR(__xludf.dummyfunction("if(isna(ABS(MINUS(SUM(FILTER(MatchSource!$H:$L,MatchSource!$H:$H=$B182)),SUM($X182)))),0,ABS(MINUS(SUM(FILTER(MatchSource!$H:$L,MatchSource!$H:$H=$B182)),SUM($X182))))"),"0")</f>
        <v>0</v>
      </c>
      <c r="AA182" s="499" t="str">
        <f aca="false">IFERROR(__xludf.dummyfunction("if(isna(ABS(MINUS(SUM(FILTER(MatchSource!$A:$F,MatchSource!$A:$A=$B182)),SUM($W182,$Y182)))),0,ABS(MINUS(SUM(FILTER(MatchSource!$A:$F,MatchSource!$A:$A=$B182)),SUM($W182, $Y182,))))"),"0")</f>
        <v>0</v>
      </c>
      <c r="AB182" s="501" t="str">
        <f aca="false">IFERROR(__xludf.dummyfunction("if(isna(ABS(MINUS(SUM(FILTER(MatchSource!$H:$M,MatchSource!$H:$H=$B182)),SUM($X182,$Z182)))),0,ABS(MINUS(SUM(FILTER(MatchSource!$H:$M,MatchSource!$H:$H=$B182)),SUM($X182,$Z182))))"),"0")</f>
        <v>0</v>
      </c>
      <c r="AC182" s="507" t="n">
        <f aca="false">SUM(IF(OR($R182="Grass",$R182="Psychic",$R182="Dark"),0-1,IF(OR($R182="Fighting",$R182="Flying",$R182="Fire",$R182="Ghost",$R182="Poison",$R182="Steel",$R182="Fairy"),1,0)),IF(OR($S182="Grass",$S182="Psychic",$S182="Dark"),0-1,IF(OR($S182="Fighting",$S182="Flying",$S182="Fire",$S182="Ghost",$S182="Poison",$S182="Steel",$S182="Fairy"),1,0)))</f>
        <v>0</v>
      </c>
      <c r="AD182" s="507" t="n">
        <f aca="false">SUM(IF(OR($R182="Ghost",$R182="Psychic"),0-1,IF(OR($R182="Fighting",$R182="Dark",$R182="Fairy"),1,0)),IF(OR($S182="Ghost",$S182="Psychic"),0-1,IF(OR($S182="Fighting",$S182="Dark",$S182="Fairy"),1,0)))</f>
        <v>-1</v>
      </c>
      <c r="AE182" s="507" t="n">
        <f aca="false">IF(OR($R182="Fairy",$S182="Fairy"),4,SUM(IF($R182="Dragon",0-1,IF($R182="Steel",1,0)),IF($S182="Dragon",0-1,IF($S182="Steel",1,0))))</f>
        <v>0</v>
      </c>
      <c r="AF182" s="507" t="n">
        <f aca="false">IF(OR($R182="Ground",$S182="Ground"),4,SUM(IF(OR($R182="Flying",$R182="Water"),0-1,IF(OR($R182="Dragon",$R182="Electric",$R182="Grass"),1,0)),IF(OR($S182="Flying",$S182="Water"),0-1,IF(OR($S182="Dragon",$S182="Electric",$S182="Grass"),1,0))))</f>
        <v>1</v>
      </c>
      <c r="AG182" s="507" t="n">
        <f aca="false">SUM(IF(OR($R182="Dark",$R182="Dragon",$R182="Fighting"),0-1,IF(OR($R182="Steel",$R182="Poison",$R182="Fire"),1,0)),IF(OR($S182="Dark",$S182="Dragon",$S182="Fighting"),0-1,IF(OR($S182="Steel",$S182="Poison",$S182="Fire"),1,0)))</f>
        <v>0</v>
      </c>
      <c r="AH182" s="507" t="n">
        <f aca="false">IF(OR($R182="Ghost",$S182="Ghost"),4,SUM(IF(OR($R182="Dark",$R182="Ice",$R182="Normal",$R182="Rock",$R182="Steel"),0-1,IF(OR($R182="Bug",$R182="Fairy",$R182="Flying",$R182="Poison",$R182="Psychic"),1,0)),IF(OR($S182="Dark",$S182="Ice",$S182="Normal",$S182="Rock",$S182="Steel"),0-1,IF(OR($S182="Bug",$S182="Fairy",$S182="Flying",$S182="Poison",$S182="Psychic"),1,0))))</f>
        <v>4</v>
      </c>
      <c r="AI182" s="507" t="n">
        <f aca="false">SUM(IF(OR($R182="Bug",$R182="Grass",$R182="Ice",$R182="Steel"),0-1,IF(OR($R182="Dragon",$R182="Fire",$R182="Rock",$R182="Water"),1,0)),IF(OR($S182="Bug",$S182="Grass",$S182="Ice",$S182="Steel"),0-1,IF(OR($S182="Dragon",$S182="Fire",$S182="Rock",$S182="Water"),1,0)))</f>
        <v>-1</v>
      </c>
      <c r="AJ182" s="507" t="n">
        <f aca="false">SUM(IF(OR($R182="Bug",$R182="Grass",$R182="Fighting"),0-1,IF(OR($R182="Electric",$R182="Rock",$R182="Steel"),1,0)),IF(OR($S182="Bug",$S182="Grass",$S182="Fighting"),0-1,IF(OR($S182="Electric",$S182="Rock",$S182="Steel"),1,0)))</f>
        <v>-1</v>
      </c>
      <c r="AK182" s="507" t="n">
        <f aca="false">IF(OR($R182="Normal",$S182="Normal"),4,SUM(IF(OR($R182="Ghost",$R182="Psychic"),0-1,IF($R182="Dark",1,0)),IF(OR($S182="Ghost",$S182="Psychic"),0-1,IF($S182="Dark",1,0))))</f>
        <v>-1</v>
      </c>
      <c r="AL182" s="507" t="n">
        <f aca="false">SUM(IF(OR($R182="Ground",$R182="Rock",$R182="Water"),0-1,IF(OR($R182="Bug",$R182="Flying",$R182="Fire",$R182="Dragon",$R182="Poison",$R182="Steel",$R182="Grass"),1,0)),IF(OR($S182="Ground",$S182="Rock",$S182="Water"),0-1,IF(OR($S182="Bug",$S182="Flying",$S182="Fire",$S182="Dragon",$S182="Poison",$S182="Steel",$S182="Grass"),1,0)))</f>
        <v>1</v>
      </c>
      <c r="AM182" s="507" t="n">
        <f aca="false">IF(OR($R182="Flying",$S182="Flying"),4,SUM(IF(OR($R182="Electric",$R182="Fire",$R182="Rock",$R182="Steel",$R182="Poison"),0-1,IF(OR($R182="Bug",$R182="Grass"),1,0)),IF(OR($S182="Electric",$S182="Fire",$S182="Rock",$S182="Steel",$S182="Poison"),0-1,IF(OR($S182="Bug",$S182="Grass"),1,0))))</f>
        <v>1</v>
      </c>
      <c r="AN182" s="507" t="n">
        <f aca="false">SUM(IF(OR($R182="Flying",$R182="Dragon",$R182="Grass",$R182="Ground"),0-1,IF(OR($R182="Steel",$R182="Ice",$R182="Fire",$R182="Water"),1,0)),IF(OR($S182="Flying",$S182="Dragon",$S182="Grass",$S182="Ground"),0-1,IF(OR($S182="Steel",$S182="Ice",$S182="Fire",$S182="Water"),1,0)))</f>
        <v>-1</v>
      </c>
      <c r="AO182" s="507" t="n">
        <f aca="false">IF(OR($R182="Ghost",$S182="Ghost"),4,SUM(IF(OR($R182="Steel",$R182="Rock"),1,0),IF(OR($S182="Steel",$S182="Rock"),1,0)))</f>
        <v>4</v>
      </c>
      <c r="AP182" s="507" t="n">
        <f aca="false">IF(OR($R182="Steel",$S182="Steel"),4,SUM(IF(OR($R182="Fairy",$R182="Grass"),0-1,IF(OR($R182="Ghost",$R182="Rock",$R182="Ground",$R182="Poison"),1,0)),IF(OR($S182="Fairy",$S182="Grass"),0-1,IF(OR($S182="Ghost",$S182="Rock",$S182="Ground",$S182="Poison"),1,0))))</f>
        <v>0</v>
      </c>
      <c r="AQ182" s="507" t="n">
        <f aca="false">IF(OR($R182="Dark",$S182="Dark"),4,SUM(IF(OR($R182="Fighting",$R182="Poison"),0-1,IF(OR($R182="Psychic",$R182="Steel"),1,0)),IF(OR($S182="Fighting",$S182="Poison"),0-1,IF(OR($S182="Psychic",$S182="Steel"),1,0))))</f>
        <v>0</v>
      </c>
      <c r="AR182" s="507" t="n">
        <f aca="false">SUM(IF(OR($R182="Bug",$R182="Fire",$R182="Flying",$R182="Ice"),0-1,IF(OR($R182="Steel",$R182="Fighting",$R182="Ground"),1,0)),IF(OR($S182="Bug",$S182="Fire",$S182="Flying",$S182="Ice"),0-1,IF(OR($S182="Steel",$S182="Fighting",$S182="Ground"),1,0)))</f>
        <v>0</v>
      </c>
      <c r="AS182" s="507" t="n">
        <f aca="false">SUM(IF(OR($R182="Fairy",$R182="Ice",$R182="Rock"),0-1,IF(OR($R182="Steel",$R182="Electric",$R182="Fire",$R182="Water"),1,0)),IF(OR($S182="Fairy",$S182="Ice",$S182="Rock"),0-1,IF(OR($S182="Steel",$S182="Electric",$S182="Fire",$S182="Water"),1,0)))</f>
        <v>0</v>
      </c>
      <c r="AT182" s="508" t="n">
        <f aca="false">SUM(IF(OR($R182="Fire",$R182="Ground",$R182="Rock"),0-1,IF(OR($R182="Dragon",$R182="Grass",$R182="Water"),1,0)),IF(OR($S182="Fire",$S182="Ground",$S182="Rock"),0-1,IF(OR($S182="Dragon",$S182="Grass",$S182="Water"),1,0)))</f>
        <v>1</v>
      </c>
      <c r="AU182" s="518"/>
    </row>
    <row r="183" customFormat="false" ht="15.75" hidden="false" customHeight="false" outlineLevel="0" collapsed="false">
      <c r="A183" s="510" t="str">
        <f aca="false" t="array" ref="A183:A183">IF(ISNA(INDEX(Source!$U$7:$U$95,MATCH(B183,Source!$V$7:$V$95,0))),"FREE",INDEX(Source!$U$7:$U$95,MATCH(B183,Source!$V$7:$V$95,0)))</f>
        <v>FREE</v>
      </c>
      <c r="B183" s="511" t="s">
        <v>504</v>
      </c>
      <c r="C183" s="511"/>
      <c r="D183" s="511"/>
      <c r="E183" s="499" t="str">
        <f aca="false">IF(SUM($W183:$X183)&gt;0,SUM($W183:$X183),IF($H183&gt;0,0,IF($H183&gt;0,0,"-")))</f>
        <v>-</v>
      </c>
      <c r="F183" s="499" t="str">
        <f aca="false">IF(SUM($Y183:$Z183)&gt;0,SUM($Y183:$Z183),IF($H183&gt;0,0,"-"))</f>
        <v>-</v>
      </c>
      <c r="G183" s="499" t="str">
        <f aca="false">IF($H183&gt;0,minus(E183,F183),"-")</f>
        <v>-</v>
      </c>
      <c r="H183" s="500" t="n">
        <f aca="false">SUM(COUNTIF(MatchSource!$A:$A,$B183),COUNTIF(MatchSource!$H:$H,$B183))</f>
        <v>0</v>
      </c>
      <c r="I183" s="501" t="n">
        <f aca="false">SUM($AA183:$AB183)</f>
        <v>0</v>
      </c>
      <c r="J183" s="501" t="s">
        <v>701</v>
      </c>
      <c r="K183" s="512" t="str">
        <f aca="false" t="array" ref="K183:K183">IF(ISNA(INDEX(DraftRosters!$AA$3:$AA$199,MATCH($B183,DraftRosters!$AB$3:$AB$199,0))),"FA",IF(INDEX(DraftRosters!$AA$3:$AA$199,MATCH($B183,DraftRosters!$AB$3:$AB$199,0))="Franchise","Franch",INDEX(DraftRosters!$AA$3:$AA$199,MATCH($B183,DraftRosters!$AB$3:$AB$199,0))))</f>
        <v>FA</v>
      </c>
      <c r="L183" s="499" t="n">
        <v>90</v>
      </c>
      <c r="M183" s="499" t="n">
        <v>120</v>
      </c>
      <c r="N183" s="499" t="n">
        <v>75</v>
      </c>
      <c r="O183" s="499" t="n">
        <v>60</v>
      </c>
      <c r="P183" s="499" t="n">
        <v>60</v>
      </c>
      <c r="Q183" s="501" t="n">
        <v>45</v>
      </c>
      <c r="R183" s="499" t="s">
        <v>798</v>
      </c>
      <c r="S183" s="501"/>
      <c r="T183" s="504" t="s">
        <v>851</v>
      </c>
      <c r="U183" s="505" t="s">
        <v>991</v>
      </c>
      <c r="V183" s="506" t="s">
        <v>961</v>
      </c>
      <c r="W183" s="500" t="str">
        <f aca="false">IFERROR(__xludf.dummyfunction("if(isna(SUM(FILTER(MatchSource!$A:$D,MatchSource!$A:$A=$B183))),0,SUM(FILTER(MatchSource!$A:$D,MatchSource!$A:$A=$B183)))"),"0")</f>
        <v>0</v>
      </c>
      <c r="X183" s="499" t="str">
        <f aca="false">IFERROR(__xludf.dummyfunction("if(isna(SUM(FILTER(MatchSource!$H:$K,MatchSource!$H:$H=$B183))),0,SUM(FILTER(MatchSource!$H:$K,MatchSource!$H:$H=$B183)))"),"0")</f>
        <v>0</v>
      </c>
      <c r="Y183" s="499" t="str">
        <f aca="false">IFERROR(__xludf.dummyfunction("if(isna(ABS(MINUS(SUM(FILTER(MatchSource!$A:$E,MatchSource!$A:$A=$B183)),SUM($W183)))),0,ABS(MINUS(SUM(FILTER(MatchSource!$A:$E,MatchSource!$A:$A=$B183)),SUM($W183))))"),"0")</f>
        <v>0</v>
      </c>
      <c r="Z183" s="499" t="str">
        <f aca="false">IFERROR(__xludf.dummyfunction("if(isna(ABS(MINUS(SUM(FILTER(MatchSource!$H:$L,MatchSource!$H:$H=$B183)),SUM($X183)))),0,ABS(MINUS(SUM(FILTER(MatchSource!$H:$L,MatchSource!$H:$H=$B183)),SUM($X183))))"),"0")</f>
        <v>0</v>
      </c>
      <c r="AA183" s="499" t="str">
        <f aca="false">IFERROR(__xludf.dummyfunction("if(isna(ABS(MINUS(SUM(FILTER(MatchSource!$A:$F,MatchSource!$A:$A=$B183)),SUM($W183,$Y183)))),0,ABS(MINUS(SUM(FILTER(MatchSource!$A:$F,MatchSource!$A:$A=$B183)),SUM($W183, $Y183,))))"),"0")</f>
        <v>0</v>
      </c>
      <c r="AB183" s="501" t="str">
        <f aca="false">IFERROR(__xludf.dummyfunction("if(isna(ABS(MINUS(SUM(FILTER(MatchSource!$H:$M,MatchSource!$H:$H=$B183)),SUM($X183,$Z183)))),0,ABS(MINUS(SUM(FILTER(MatchSource!$H:$M,MatchSource!$H:$H=$B183)),SUM($X183,$Z183))))"),"0")</f>
        <v>0</v>
      </c>
      <c r="AC183" s="507" t="n">
        <f aca="false">SUM(IF(OR($R183="Grass",$R183="Psychic",$R183="Dark"),0-1,IF(OR($R183="Fighting",$R183="Flying",$R183="Fire",$R183="Ghost",$R183="Poison",$R183="Steel",$R183="Fairy"),1,0)),IF(OR($S183="Grass",$S183="Psychic",$S183="Dark"),0-1,IF(OR($S183="Fighting",$S183="Flying",$S183="Fire",$S183="Ghost",$S183="Poison",$S183="Steel",$S183="Fairy"),1,0)))</f>
        <v>1</v>
      </c>
      <c r="AD183" s="507" t="n">
        <f aca="false">SUM(IF(OR($R183="Ghost",$R183="Psychic"),0-1,IF(OR($R183="Fighting",$R183="Dark",$R183="Fairy"),1,0)),IF(OR($S183="Ghost",$S183="Psychic"),0-1,IF(OR($S183="Fighting",$S183="Dark",$S183="Fairy"),1,0)))</f>
        <v>1</v>
      </c>
      <c r="AE183" s="507" t="n">
        <f aca="false">IF(OR($R183="Fairy",$S183="Fairy"),4,SUM(IF($R183="Dragon",0-1,IF($R183="Steel",1,0)),IF($S183="Dragon",0-1,IF($S183="Steel",1,0))))</f>
        <v>4</v>
      </c>
      <c r="AF183" s="507" t="n">
        <f aca="false">IF(OR($R183="Ground",$S183="Ground"),4,SUM(IF(OR($R183="Flying",$R183="Water"),0-1,IF(OR($R183="Dragon",$R183="Electric",$R183="Grass"),1,0)),IF(OR($S183="Flying",$S183="Water"),0-1,IF(OR($S183="Dragon",$S183="Electric",$S183="Grass"),1,0))))</f>
        <v>0</v>
      </c>
      <c r="AG183" s="507" t="n">
        <f aca="false">SUM(IF(OR($R183="Dark",$R183="Dragon",$R183="Fighting"),0-1,IF(OR($R183="Steel",$R183="Poison",$R183="Fire"),1,0)),IF(OR($S183="Dark",$S183="Dragon",$S183="Fighting"),0-1,IF(OR($S183="Steel",$S183="Poison",$S183="Fire"),1,0)))</f>
        <v>0</v>
      </c>
      <c r="AH183" s="507" t="n">
        <f aca="false">IF(OR($R183="Ghost",$S183="Ghost"),4,SUM(IF(OR($R183="Dark",$R183="Ice",$R183="Normal",$R183="Rock",$R183="Steel"),0-1,IF(OR($R183="Bug",$R183="Fairy",$R183="Flying",$R183="Poison",$R183="Psychic"),1,0)),IF(OR($S183="Dark",$S183="Ice",$S183="Normal",$S183="Rock",$S183="Steel"),0-1,IF(OR($S183="Bug",$S183="Fairy",$S183="Flying",$S183="Poison",$S183="Psychic"),1,0))))</f>
        <v>1</v>
      </c>
      <c r="AI183" s="507" t="n">
        <f aca="false">SUM(IF(OR($R183="Bug",$R183="Grass",$R183="Ice",$R183="Steel"),0-1,IF(OR($R183="Dragon",$R183="Fire",$R183="Rock",$R183="Water"),1,0)),IF(OR($S183="Bug",$S183="Grass",$S183="Ice",$S183="Steel"),0-1,IF(OR($S183="Dragon",$S183="Fire",$S183="Rock",$S183="Water"),1,0)))</f>
        <v>0</v>
      </c>
      <c r="AJ183" s="507" t="n">
        <f aca="false">SUM(IF(OR($R183="Bug",$R183="Grass",$R183="Fighting"),0-1,IF(OR($R183="Electric",$R183="Rock",$R183="Steel"),1,0)),IF(OR($S183="Bug",$S183="Grass",$S183="Fighting"),0-1,IF(OR($S183="Electric",$S183="Rock",$S183="Steel"),1,0)))</f>
        <v>0</v>
      </c>
      <c r="AK183" s="507" t="n">
        <f aca="false">IF(OR($R183="Normal",$S183="Normal"),4,SUM(IF(OR($R183="Ghost",$R183="Psychic"),0-1,IF($R183="Dark",1,0)),IF(OR($S183="Ghost",$S183="Psychic"),0-1,IF($S183="Dark",1,0))))</f>
        <v>0</v>
      </c>
      <c r="AL183" s="507" t="n">
        <f aca="false">SUM(IF(OR($R183="Ground",$R183="Rock",$R183="Water"),0-1,IF(OR($R183="Bug",$R183="Flying",$R183="Fire",$R183="Dragon",$R183="Poison",$R183="Steel",$R183="Grass"),1,0)),IF(OR($S183="Ground",$S183="Rock",$S183="Water"),0-1,IF(OR($S183="Bug",$S183="Flying",$S183="Fire",$S183="Dragon",$S183="Poison",$S183="Steel",$S183="Grass"),1,0)))</f>
        <v>0</v>
      </c>
      <c r="AM183" s="507" t="n">
        <f aca="false">IF(OR($R183="Flying",$S183="Flying"),4,SUM(IF(OR($R183="Electric",$R183="Fire",$R183="Rock",$R183="Steel",$R183="Poison"),0-1,IF(OR($R183="Bug",$R183="Grass"),1,0)),IF(OR($S183="Electric",$S183="Fire",$S183="Rock",$S183="Steel",$S183="Poison"),0-1,IF(OR($S183="Bug",$S183="Grass"),1,0))))</f>
        <v>0</v>
      </c>
      <c r="AN183" s="507" t="n">
        <f aca="false">SUM(IF(OR($R183="Flying",$R183="Dragon",$R183="Grass",$R183="Ground"),0-1,IF(OR($R183="Steel",$R183="Ice",$R183="Fire",$R183="Water"),1,0)),IF(OR($S183="Flying",$S183="Dragon",$S183="Grass",$S183="Ground"),0-1,IF(OR($S183="Steel",$S183="Ice",$S183="Fire",$S183="Water"),1,0)))</f>
        <v>0</v>
      </c>
      <c r="AO183" s="507" t="n">
        <f aca="false">IF(OR($R183="Ghost",$S183="Ghost"),4,SUM(IF(OR($R183="Steel",$R183="Rock"),1,0),IF(OR($S183="Steel",$S183="Rock"),1,0)))</f>
        <v>0</v>
      </c>
      <c r="AP183" s="507" t="n">
        <f aca="false">IF(OR($R183="Steel",$S183="Steel"),4,SUM(IF(OR($R183="Fairy",$R183="Grass"),0-1,IF(OR($R183="Ghost",$R183="Rock",$R183="Ground",$R183="Poison"),1,0)),IF(OR($S183="Fairy",$S183="Grass"),0-1,IF(OR($S183="Ghost",$S183="Rock",$S183="Ground",$S183="Poison"),1,0))))</f>
        <v>-1</v>
      </c>
      <c r="AQ183" s="507" t="n">
        <f aca="false">IF(OR($R183="Dark",$S183="Dark"),4,SUM(IF(OR($R183="Fighting",$R183="Poison"),0-1,IF(OR($R183="Psychic",$R183="Steel"),1,0)),IF(OR($S183="Fighting",$S183="Poison"),0-1,IF(OR($S183="Psychic",$S183="Steel"),1,0))))</f>
        <v>0</v>
      </c>
      <c r="AR183" s="507" t="n">
        <f aca="false">SUM(IF(OR($R183="Bug",$R183="Fire",$R183="Flying",$R183="Ice"),0-1,IF(OR($R183="Steel",$R183="Fighting",$R183="Ground"),1,0)),IF(OR($S183="Bug",$S183="Fire",$S183="Flying",$S183="Ice"),0-1,IF(OR($S183="Steel",$S183="Fighting",$S183="Ground"),1,0)))</f>
        <v>0</v>
      </c>
      <c r="AS183" s="507" t="n">
        <f aca="false">SUM(IF(OR($R183="Fairy",$R183="Ice",$R183="Rock"),0-1,IF(OR($R183="Steel",$R183="Electric",$R183="Fire",$R183="Water"),1,0)),IF(OR($S183="Fairy",$S183="Ice",$S183="Rock"),0-1,IF(OR($S183="Steel",$S183="Electric",$S183="Fire",$S183="Water"),1,0)))</f>
        <v>-1</v>
      </c>
      <c r="AT183" s="508" t="n">
        <f aca="false">SUM(IF(OR($R183="Fire",$R183="Ground",$R183="Rock"),0-1,IF(OR($R183="Dragon",$R183="Grass",$R183="Water"),1,0)),IF(OR($S183="Fire",$S183="Ground",$S183="Rock"),0-1,IF(OR($S183="Dragon",$S183="Grass",$S183="Water"),1,0)))</f>
        <v>0</v>
      </c>
      <c r="AU183" s="518"/>
    </row>
    <row r="184" customFormat="false" ht="15.75" hidden="false" customHeight="false" outlineLevel="0" collapsed="false">
      <c r="A184" s="510" t="str">
        <f aca="false" t="array" ref="A184:A184">IF(ISNA(INDEX(Source!$U$7:$U$95,MATCH(B184,Source!$V$7:$V$95,0))),"FREE",INDEX(Source!$U$7:$U$95,MATCH(B184,Source!$V$7:$V$95,0)))</f>
        <v>FREE</v>
      </c>
      <c r="B184" s="511" t="s">
        <v>743</v>
      </c>
      <c r="C184" s="511"/>
      <c r="D184" s="511"/>
      <c r="E184" s="499" t="str">
        <f aca="false">IF(SUM($W184:$X184)&gt;0,SUM($W184:$X184),IF($H184&gt;0,0,IF($H184&gt;0,0,"-")))</f>
        <v>-</v>
      </c>
      <c r="F184" s="499" t="str">
        <f aca="false">IF(SUM($Y184:$Z184)&gt;0,SUM($Y184:$Z184),IF($H184&gt;0,0,"-"))</f>
        <v>-</v>
      </c>
      <c r="G184" s="499" t="str">
        <f aca="false">IF($H184&gt;0,minus(E184,F184),"-")</f>
        <v>-</v>
      </c>
      <c r="H184" s="500" t="n">
        <f aca="false">SUM(COUNTIF(MatchSource!$A:$A,$B184),COUNTIF(MatchSource!$H:$H,$B184))</f>
        <v>0</v>
      </c>
      <c r="I184" s="501" t="n">
        <f aca="false">SUM($AA184:$AB184)</f>
        <v>0</v>
      </c>
      <c r="J184" s="501" t="s">
        <v>700</v>
      </c>
      <c r="K184" s="512" t="str">
        <f aca="false" t="array" ref="K184:K184">IF(ISNA(INDEX(DraftRosters!$AA$3:$AA$199,MATCH($B184,DraftRosters!$AB$3:$AB$199,0))),"FA",IF(INDEX(DraftRosters!$AA$3:$AA$199,MATCH($B184,DraftRosters!$AB$3:$AB$199,0))="Franchise","Franch",INDEX(DraftRosters!$AA$3:$AA$199,MATCH($B184,DraftRosters!$AB$3:$AB$199,0))))</f>
        <v>FA</v>
      </c>
      <c r="L184" s="507" t="n">
        <v>72</v>
      </c>
      <c r="M184" s="507" t="n">
        <v>95</v>
      </c>
      <c r="N184" s="507" t="n">
        <v>67</v>
      </c>
      <c r="O184" s="507" t="n">
        <v>103</v>
      </c>
      <c r="P184" s="507" t="n">
        <v>71</v>
      </c>
      <c r="Q184" s="508" t="n">
        <v>122</v>
      </c>
      <c r="R184" s="499" t="s">
        <v>795</v>
      </c>
      <c r="S184" s="501" t="s">
        <v>811</v>
      </c>
      <c r="T184" s="504" t="s">
        <v>890</v>
      </c>
      <c r="U184" s="505" t="s">
        <v>992</v>
      </c>
      <c r="V184" s="506"/>
      <c r="W184" s="500" t="str">
        <f aca="false">IFERROR(__xludf.dummyfunction("if(isna(SUM(FILTER(MatchSource!$A:$D,MatchSource!$A:$A=$B184))),0,SUM(FILTER(MatchSource!$A:$D,MatchSource!$A:$A=$B184)))"),"0")</f>
        <v>0</v>
      </c>
      <c r="X184" s="499" t="str">
        <f aca="false">IFERROR(__xludf.dummyfunction("if(isna(SUM(FILTER(MatchSource!$H:$K,MatchSource!$H:$H=$B184))),0,SUM(FILTER(MatchSource!$H:$K,MatchSource!$H:$H=$B184)))"),"0")</f>
        <v>0</v>
      </c>
      <c r="Y184" s="499" t="str">
        <f aca="false">IFERROR(__xludf.dummyfunction("if(isna(ABS(MINUS(SUM(FILTER(MatchSource!$A:$E,MatchSource!$A:$A=$B184)),SUM($W184)))),0,ABS(MINUS(SUM(FILTER(MatchSource!$A:$E,MatchSource!$A:$A=$B184)),SUM($W184))))"),"0")</f>
        <v>0</v>
      </c>
      <c r="Z184" s="499" t="str">
        <f aca="false">IFERROR(__xludf.dummyfunction("if(isna(ABS(MINUS(SUM(FILTER(MatchSource!$H:$L,MatchSource!$H:$H=$B184)),SUM($X184)))),0,ABS(MINUS(SUM(FILTER(MatchSource!$H:$L,MatchSource!$H:$H=$B184)),SUM($X184))))"),"0")</f>
        <v>0</v>
      </c>
      <c r="AA184" s="499" t="str">
        <f aca="false">IFERROR(__xludf.dummyfunction("if(isna(ABS(MINUS(SUM(FILTER(MatchSource!$A:$F,MatchSource!$A:$A=$B184)),SUM($W184,$Y184)))),0,ABS(MINUS(SUM(FILTER(MatchSource!$A:$F,MatchSource!$A:$A=$B184)),SUM($W184, $Y184,))))"),"0")</f>
        <v>0</v>
      </c>
      <c r="AB184" s="501" t="str">
        <f aca="false">IFERROR(__xludf.dummyfunction("if(isna(ABS(MINUS(SUM(FILTER(MatchSource!$H:$M,MatchSource!$H:$H=$B184)),SUM($X184,$Z184)))),0,ABS(MINUS(SUM(FILTER(MatchSource!$H:$M,MatchSource!$H:$H=$B184)),SUM($X184,$Z184))))"),"0")</f>
        <v>0</v>
      </c>
      <c r="AC184" s="507" t="n">
        <f aca="false">SUM(IF(OR($R184="Grass",$R184="Psychic",$R184="Dark"),0-1,IF(OR($R184="Fighting",$R184="Flying",$R184="Fire",$R184="Ghost",$R184="Poison",$R184="Steel",$R184="Fairy"),1,0)),IF(OR($S184="Grass",$S184="Psychic",$S184="Dark"),0-1,IF(OR($S184="Fighting",$S184="Flying",$S184="Fire",$S184="Ghost",$S184="Poison",$S184="Steel",$S184="Fairy"),1,0)))</f>
        <v>-1</v>
      </c>
      <c r="AD184" s="507" t="n">
        <f aca="false">SUM(IF(OR($R184="Ghost",$R184="Psychic"),0-1,IF(OR($R184="Fighting",$R184="Dark",$R184="Fairy"),1,0)),IF(OR($S184="Ghost",$S184="Psychic"),0-1,IF(OR($S184="Fighting",$S184="Dark",$S184="Fairy"),1,0)))</f>
        <v>1</v>
      </c>
      <c r="AE184" s="507" t="n">
        <f aca="false">IF(OR($R184="Fairy",$S184="Fairy"),4,SUM(IF($R184="Dragon",0-1,IF($R184="Steel",1,0)),IF($S184="Dragon",0-1,IF($S184="Steel",1,0))))</f>
        <v>0</v>
      </c>
      <c r="AF184" s="507" t="n">
        <f aca="false">IF(OR($R184="Ground",$S184="Ground"),4,SUM(IF(OR($R184="Flying",$R184="Water"),0-1,IF(OR($R184="Dragon",$R184="Electric",$R184="Grass"),1,0)),IF(OR($S184="Flying",$S184="Water"),0-1,IF(OR($S184="Dragon",$S184="Electric",$S184="Grass"),1,0))))</f>
        <v>-1</v>
      </c>
      <c r="AG184" s="507" t="n">
        <f aca="false">SUM(IF(OR($R184="Dark",$R184="Dragon",$R184="Fighting"),0-1,IF(OR($R184="Steel",$R184="Poison",$R184="Fire"),1,0)),IF(OR($S184="Dark",$S184="Dragon",$S184="Fighting"),0-1,IF(OR($S184="Steel",$S184="Poison",$S184="Fire"),1,0)))</f>
        <v>-1</v>
      </c>
      <c r="AH184" s="507" t="n">
        <f aca="false">IF(OR($R184="Ghost",$S184="Ghost"),4,SUM(IF(OR($R184="Dark",$R184="Ice",$R184="Normal",$R184="Rock",$R184="Steel"),0-1,IF(OR($R184="Bug",$R184="Fairy",$R184="Flying",$R184="Poison",$R184="Psychic"),1,0)),IF(OR($S184="Dark",$S184="Ice",$S184="Normal",$S184="Rock",$S184="Steel"),0-1,IF(OR($S184="Bug",$S184="Fairy",$S184="Flying",$S184="Poison",$S184="Psychic"),1,0))))</f>
        <v>-1</v>
      </c>
      <c r="AI184" s="507" t="n">
        <f aca="false">SUM(IF(OR($R184="Bug",$R184="Grass",$R184="Ice",$R184="Steel"),0-1,IF(OR($R184="Dragon",$R184="Fire",$R184="Rock",$R184="Water"),1,0)),IF(OR($S184="Bug",$S184="Grass",$S184="Ice",$S184="Steel"),0-1,IF(OR($S184="Dragon",$S184="Fire",$S184="Rock",$S184="Water"),1,0)))</f>
        <v>1</v>
      </c>
      <c r="AJ184" s="507" t="n">
        <f aca="false">SUM(IF(OR($R184="Bug",$R184="Grass",$R184="Fighting"),0-1,IF(OR($R184="Electric",$R184="Rock",$R184="Steel"),1,0)),IF(OR($S184="Bug",$S184="Grass",$S184="Fighting"),0-1,IF(OR($S184="Electric",$S184="Rock",$S184="Steel"),1,0)))</f>
        <v>0</v>
      </c>
      <c r="AK184" s="507" t="n">
        <f aca="false">IF(OR($R184="Normal",$S184="Normal"),4,SUM(IF(OR($R184="Ghost",$R184="Psychic"),0-1,IF($R184="Dark",1,0)),IF(OR($S184="Ghost",$S184="Psychic"),0-1,IF($S184="Dark",1,0))))</f>
        <v>1</v>
      </c>
      <c r="AL184" s="507" t="n">
        <f aca="false">SUM(IF(OR($R184="Ground",$R184="Rock",$R184="Water"),0-1,IF(OR($R184="Bug",$R184="Flying",$R184="Fire",$R184="Dragon",$R184="Poison",$R184="Steel",$R184="Grass"),1,0)),IF(OR($S184="Ground",$S184="Rock",$S184="Water"),0-1,IF(OR($S184="Bug",$S184="Flying",$S184="Fire",$S184="Dragon",$S184="Poison",$S184="Steel",$S184="Grass"),1,0)))</f>
        <v>-1</v>
      </c>
      <c r="AM184" s="507" t="n">
        <f aca="false">IF(OR($R184="Flying",$S184="Flying"),4,SUM(IF(OR($R184="Electric",$R184="Fire",$R184="Rock",$R184="Steel",$R184="Poison"),0-1,IF(OR($R184="Bug",$R184="Grass"),1,0)),IF(OR($S184="Electric",$S184="Fire",$S184="Rock",$S184="Steel",$S184="Poison"),0-1,IF(OR($S184="Bug",$S184="Grass"),1,0))))</f>
        <v>0</v>
      </c>
      <c r="AN184" s="507" t="n">
        <f aca="false">SUM(IF(OR($R184="Flying",$R184="Dragon",$R184="Grass",$R184="Ground"),0-1,IF(OR($R184="Steel",$R184="Ice",$R184="Fire",$R184="Water"),1,0)),IF(OR($S184="Flying",$S184="Dragon",$S184="Grass",$S184="Ground"),0-1,IF(OR($S184="Steel",$S184="Ice",$S184="Fire",$S184="Water"),1,0)))</f>
        <v>1</v>
      </c>
      <c r="AO184" s="507" t="n">
        <f aca="false">IF(OR($R184="Ghost",$S184="Ghost"),4,SUM(IF(OR($R184="Steel",$R184="Rock"),1,0),IF(OR($S184="Steel",$S184="Rock"),1,0)))</f>
        <v>0</v>
      </c>
      <c r="AP184" s="507" t="n">
        <f aca="false">IF(OR($R184="Steel",$S184="Steel"),4,SUM(IF(OR($R184="Fairy",$R184="Grass"),0-1,IF(OR($R184="Ghost",$R184="Rock",$R184="Ground",$R184="Poison"),1,0)),IF(OR($S184="Fairy",$S184="Grass"),0-1,IF(OR($S184="Ghost",$S184="Rock",$S184="Ground",$S184="Poison"),1,0))))</f>
        <v>0</v>
      </c>
      <c r="AQ184" s="507" t="n">
        <f aca="false">IF(OR($R184="Dark",$S184="Dark"),4,SUM(IF(OR($R184="Fighting",$R184="Poison"),0-1,IF(OR($R184="Psychic",$R184="Steel"),1,0)),IF(OR($S184="Fighting",$S184="Poison"),0-1,IF(OR($S184="Psychic",$S184="Steel"),1,0))))</f>
        <v>4</v>
      </c>
      <c r="AR184" s="507" t="n">
        <f aca="false">SUM(IF(OR($R184="Bug",$R184="Fire",$R184="Flying",$R184="Ice"),0-1,IF(OR($R184="Steel",$R184="Fighting",$R184="Ground"),1,0)),IF(OR($S184="Bug",$S184="Fire",$S184="Flying",$S184="Ice"),0-1,IF(OR($S184="Steel",$S184="Fighting",$S184="Ground"),1,0)))</f>
        <v>0</v>
      </c>
      <c r="AS184" s="507" t="n">
        <f aca="false">SUM(IF(OR($R184="Fairy",$R184="Ice",$R184="Rock"),0-1,IF(OR($R184="Steel",$R184="Electric",$R184="Fire",$R184="Water"),1,0)),IF(OR($S184="Fairy",$S184="Ice",$S184="Rock"),0-1,IF(OR($S184="Steel",$S184="Electric",$S184="Fire",$S184="Water"),1,0)))</f>
        <v>1</v>
      </c>
      <c r="AT184" s="508" t="n">
        <f aca="false">SUM(IF(OR($R184="Fire",$R184="Ground",$R184="Rock"),0-1,IF(OR($R184="Dragon",$R184="Grass",$R184="Water"),1,0)),IF(OR($S184="Fire",$S184="Ground",$S184="Rock"),0-1,IF(OR($S184="Dragon",$S184="Grass",$S184="Water"),1,0)))</f>
        <v>1</v>
      </c>
      <c r="AU184" s="518"/>
    </row>
    <row r="185" customFormat="false" ht="15.75" hidden="false" customHeight="false" outlineLevel="0" collapsed="false">
      <c r="A185" s="515" t="str">
        <f aca="false" t="array" ref="A185:A185">IF(ISNA(INDEX(Source!$U$7:$U$95,MATCH(B185,Source!$V$7:$V$95,0))),"FREE",INDEX(Source!$U$7:$U$95,MATCH(B185,Source!$V$7:$V$95,0)))</f>
        <v>FREE</v>
      </c>
      <c r="B185" s="511" t="s">
        <v>993</v>
      </c>
      <c r="C185" s="511"/>
      <c r="D185" s="511"/>
      <c r="E185" s="499" t="str">
        <f aca="false">IF(SUM($W185:$X185)&gt;0,SUM($W185:$X185),IF($H185&gt;0,0,IF($H185&gt;0,0,"-")))</f>
        <v>-</v>
      </c>
      <c r="F185" s="499" t="str">
        <f aca="false">IF(SUM($Y185:$Z185)&gt;0,SUM($Y185:$Z185),IF($H185&gt;0,0,"-"))</f>
        <v>-</v>
      </c>
      <c r="G185" s="499" t="str">
        <f aca="false">IF($H185&gt;0,minus(E185,F185),"-")</f>
        <v>-</v>
      </c>
      <c r="H185" s="500" t="n">
        <f aca="false">SUM(COUNTIF(MatchSource!$A:$A,$B185),COUNTIF(MatchSource!$H:$H,$B185))</f>
        <v>0</v>
      </c>
      <c r="I185" s="501" t="n">
        <f aca="false">SUM($AA185:$AB185)</f>
        <v>0</v>
      </c>
      <c r="J185" s="501" t="s">
        <v>888</v>
      </c>
      <c r="K185" s="512" t="str">
        <f aca="false" t="array" ref="K185:K185">IF(ISNA(INDEX(DraftRosters!$AA$3:$AA$199,MATCH($B185,DraftRosters!$AB$3:$AB$199,0))),"FA",IF(INDEX(DraftRosters!$AA$3:$AA$199,MATCH($B185,DraftRosters!$AB$3:$AB$199,0))="Franchise","Franch",INDEX(DraftRosters!$AA$3:$AA$199,MATCH($B185,DraftRosters!$AB$3:$AB$199,0))))</f>
        <v>FA</v>
      </c>
      <c r="L185" s="507" t="n">
        <v>72</v>
      </c>
      <c r="M185" s="507" t="n">
        <v>145</v>
      </c>
      <c r="N185" s="507" t="n">
        <v>67</v>
      </c>
      <c r="O185" s="507" t="n">
        <v>153</v>
      </c>
      <c r="P185" s="507" t="n">
        <v>71</v>
      </c>
      <c r="Q185" s="508" t="n">
        <v>132</v>
      </c>
      <c r="R185" s="499" t="s">
        <v>795</v>
      </c>
      <c r="S185" s="501" t="s">
        <v>811</v>
      </c>
      <c r="T185" s="504" t="s">
        <v>994</v>
      </c>
      <c r="U185" s="505"/>
      <c r="V185" s="506"/>
      <c r="W185" s="500" t="str">
        <f aca="false">IFERROR(__xludf.dummyfunction("if(isna(SUM(FILTER(MatchSource!$A:$D,MatchSource!$A:$A=$B185))),0,SUM(FILTER(MatchSource!$A:$D,MatchSource!$A:$A=$B185)))"),"0")</f>
        <v>0</v>
      </c>
      <c r="X185" s="499" t="str">
        <f aca="false">IFERROR(__xludf.dummyfunction("if(isna(SUM(FILTER(MatchSource!$H:$K,MatchSource!$H:$H=$B185))),0,SUM(FILTER(MatchSource!$H:$K,MatchSource!$H:$H=$B185)))"),"0")</f>
        <v>0</v>
      </c>
      <c r="Y185" s="499" t="str">
        <f aca="false">IFERROR(__xludf.dummyfunction("if(isna(ABS(MINUS(SUM(FILTER(MatchSource!$A:$E,MatchSource!$A:$A=$B185)),SUM($W185)))),0,ABS(MINUS(SUM(FILTER(MatchSource!$A:$E,MatchSource!$A:$A=$B185)),SUM($W185))))"),"0")</f>
        <v>0</v>
      </c>
      <c r="Z185" s="499" t="str">
        <f aca="false">IFERROR(__xludf.dummyfunction("if(isna(ABS(MINUS(SUM(FILTER(MatchSource!$H:$L,MatchSource!$H:$H=$B185)),SUM($X185)))),0,ABS(MINUS(SUM(FILTER(MatchSource!$H:$L,MatchSource!$H:$H=$B185)),SUM($X185))))"),"0")</f>
        <v>0</v>
      </c>
      <c r="AA185" s="499" t="str">
        <f aca="false">IFERROR(__xludf.dummyfunction("if(isna(ABS(MINUS(SUM(FILTER(MatchSource!$A:$F,MatchSource!$A:$A=$B185)),SUM($W185,$Y185)))),0,ABS(MINUS(SUM(FILTER(MatchSource!$A:$F,MatchSource!$A:$A=$B185)),SUM($W185, $Y185,))))"),"0")</f>
        <v>0</v>
      </c>
      <c r="AB185" s="501" t="str">
        <f aca="false">IFERROR(__xludf.dummyfunction("if(isna(ABS(MINUS(SUM(FILTER(MatchSource!$H:$M,MatchSource!$H:$H=$B185)),SUM($X185,$Z185)))),0,ABS(MINUS(SUM(FILTER(MatchSource!$H:$M,MatchSource!$H:$H=$B185)),SUM($X185,$Z185))))"),"0")</f>
        <v>0</v>
      </c>
      <c r="AC185" s="507" t="n">
        <f aca="false">SUM(IF(OR($R185="Grass",$R185="Psychic",$R185="Dark"),0-1,IF(OR($R185="Fighting",$R185="Flying",$R185="Fire",$R185="Ghost",$R185="Poison",$R185="Steel",$R185="Fairy"),1,0)),IF(OR($S185="Grass",$S185="Psychic",$S185="Dark"),0-1,IF(OR($S185="Fighting",$S185="Flying",$S185="Fire",$S185="Ghost",$S185="Poison",$S185="Steel",$S185="Fairy"),1,0)))</f>
        <v>-1</v>
      </c>
      <c r="AD185" s="507" t="n">
        <f aca="false">SUM(IF(OR($R185="Ghost",$R185="Psychic"),0-1,IF(OR($R185="Fighting",$R185="Dark",$R185="Fairy"),1,0)),IF(OR($S185="Ghost",$S185="Psychic"),0-1,IF(OR($S185="Fighting",$S185="Dark",$S185="Fairy"),1,0)))</f>
        <v>1</v>
      </c>
      <c r="AE185" s="507" t="n">
        <f aca="false">IF(OR($R185="Fairy",$S185="Fairy"),4,SUM(IF($R185="Dragon",0-1,IF($R185="Steel",1,0)),IF($S185="Dragon",0-1,IF($S185="Steel",1,0))))</f>
        <v>0</v>
      </c>
      <c r="AF185" s="507" t="n">
        <f aca="false">IF(OR($R185="Ground",$S185="Ground"),4,SUM(IF(OR($R185="Flying",$R185="Water"),0-1,IF(OR($R185="Dragon",$R185="Electric",$R185="Grass"),1,0)),IF(OR($S185="Flying",$S185="Water"),0-1,IF(OR($S185="Dragon",$S185="Electric",$S185="Grass"),1,0))))</f>
        <v>-1</v>
      </c>
      <c r="AG185" s="507" t="n">
        <f aca="false">SUM(IF(OR($R185="Dark",$R185="Dragon",$R185="Fighting"),0-1,IF(OR($R185="Steel",$R185="Poison",$R185="Fire"),1,0)),IF(OR($S185="Dark",$S185="Dragon",$S185="Fighting"),0-1,IF(OR($S185="Steel",$S185="Poison",$S185="Fire"),1,0)))</f>
        <v>-1</v>
      </c>
      <c r="AH185" s="507" t="n">
        <f aca="false">IF(OR($R185="Ghost",$S185="Ghost"),4,SUM(IF(OR($R185="Dark",$R185="Ice",$R185="Normal",$R185="Rock",$R185="Steel"),0-1,IF(OR($R185="Bug",$R185="Fairy",$R185="Flying",$R185="Poison",$R185="Psychic"),1,0)),IF(OR($S185="Dark",$S185="Ice",$S185="Normal",$S185="Rock",$S185="Steel"),0-1,IF(OR($S185="Bug",$S185="Fairy",$S185="Flying",$S185="Poison",$S185="Psychic"),1,0))))</f>
        <v>-1</v>
      </c>
      <c r="AI185" s="507" t="n">
        <f aca="false">SUM(IF(OR($R185="Bug",$R185="Grass",$R185="Ice",$R185="Steel"),0-1,IF(OR($R185="Dragon",$R185="Fire",$R185="Rock",$R185="Water"),1,0)),IF(OR($S185="Bug",$S185="Grass",$S185="Ice",$S185="Steel"),0-1,IF(OR($S185="Dragon",$S185="Fire",$S185="Rock",$S185="Water"),1,0)))</f>
        <v>1</v>
      </c>
      <c r="AJ185" s="507" t="n">
        <f aca="false">SUM(IF(OR($R185="Bug",$R185="Grass",$R185="Fighting"),0-1,IF(OR($R185="Electric",$R185="Rock",$R185="Steel"),1,0)),IF(OR($S185="Bug",$S185="Grass",$S185="Fighting"),0-1,IF(OR($S185="Electric",$S185="Rock",$S185="Steel"),1,0)))</f>
        <v>0</v>
      </c>
      <c r="AK185" s="507" t="n">
        <f aca="false">IF(OR($R185="Normal",$S185="Normal"),4,SUM(IF(OR($R185="Ghost",$R185="Psychic"),0-1,IF($R185="Dark",1,0)),IF(OR($S185="Ghost",$S185="Psychic"),0-1,IF($S185="Dark",1,0))))</f>
        <v>1</v>
      </c>
      <c r="AL185" s="507" t="n">
        <f aca="false">SUM(IF(OR($R185="Ground",$R185="Rock",$R185="Water"),0-1,IF(OR($R185="Bug",$R185="Flying",$R185="Fire",$R185="Dragon",$R185="Poison",$R185="Steel",$R185="Grass"),1,0)),IF(OR($S185="Ground",$S185="Rock",$S185="Water"),0-1,IF(OR($S185="Bug",$S185="Flying",$S185="Fire",$S185="Dragon",$S185="Poison",$S185="Steel",$S185="Grass"),1,0)))</f>
        <v>-1</v>
      </c>
      <c r="AM185" s="507" t="n">
        <f aca="false">IF(OR($R185="Flying",$S185="Flying"),4,SUM(IF(OR($R185="Electric",$R185="Fire",$R185="Rock",$R185="Steel",$R185="Poison"),0-1,IF(OR($R185="Bug",$R185="Grass"),1,0)),IF(OR($S185="Electric",$S185="Fire",$S185="Rock",$S185="Steel",$S185="Poison"),0-1,IF(OR($S185="Bug",$S185="Grass"),1,0))))</f>
        <v>0</v>
      </c>
      <c r="AN185" s="507" t="n">
        <f aca="false">SUM(IF(OR($R185="Flying",$R185="Dragon",$R185="Grass",$R185="Ground"),0-1,IF(OR($R185="Steel",$R185="Ice",$R185="Fire",$R185="Water"),1,0)),IF(OR($S185="Flying",$S185="Dragon",$S185="Grass",$S185="Ground"),0-1,IF(OR($S185="Steel",$S185="Ice",$S185="Fire",$S185="Water"),1,0)))</f>
        <v>1</v>
      </c>
      <c r="AO185" s="507" t="n">
        <f aca="false">IF(OR($R185="Ghost",$S185="Ghost"),4,SUM(IF(OR($R185="Steel",$R185="Rock"),1,0),IF(OR($S185="Steel",$S185="Rock"),1,0)))</f>
        <v>0</v>
      </c>
      <c r="AP185" s="507" t="n">
        <f aca="false">IF(OR($R185="Steel",$S185="Steel"),4,SUM(IF(OR($R185="Fairy",$R185="Grass"),0-1,IF(OR($R185="Ghost",$R185="Rock",$R185="Ground",$R185="Poison"),1,0)),IF(OR($S185="Fairy",$S185="Grass"),0-1,IF(OR($S185="Ghost",$S185="Rock",$S185="Ground",$S185="Poison"),1,0))))</f>
        <v>0</v>
      </c>
      <c r="AQ185" s="507" t="n">
        <f aca="false">IF(OR($R185="Dark",$S185="Dark"),4,SUM(IF(OR($R185="Fighting",$R185="Poison"),0-1,IF(OR($R185="Psychic",$R185="Steel"),1,0)),IF(OR($S185="Fighting",$S185="Poison"),0-1,IF(OR($S185="Psychic",$S185="Steel"),1,0))))</f>
        <v>4</v>
      </c>
      <c r="AR185" s="507" t="n">
        <f aca="false">SUM(IF(OR($R185="Bug",$R185="Fire",$R185="Flying",$R185="Ice"),0-1,IF(OR($R185="Steel",$R185="Fighting",$R185="Ground"),1,0)),IF(OR($S185="Bug",$S185="Fire",$S185="Flying",$S185="Ice"),0-1,IF(OR($S185="Steel",$S185="Fighting",$S185="Ground"),1,0)))</f>
        <v>0</v>
      </c>
      <c r="AS185" s="507" t="n">
        <f aca="false">SUM(IF(OR($R185="Fairy",$R185="Ice",$R185="Rock"),0-1,IF(OR($R185="Steel",$R185="Electric",$R185="Fire",$R185="Water"),1,0)),IF(OR($S185="Fairy",$S185="Ice",$S185="Rock"),0-1,IF(OR($S185="Steel",$S185="Electric",$S185="Fire",$S185="Water"),1,0)))</f>
        <v>1</v>
      </c>
      <c r="AT185" s="508" t="n">
        <f aca="false">SUM(IF(OR($R185="Fire",$R185="Ground",$R185="Rock"),0-1,IF(OR($R185="Dragon",$R185="Grass",$R185="Water"),1,0)),IF(OR($S185="Fire",$S185="Ground",$S185="Rock"),0-1,IF(OR($S185="Dragon",$S185="Grass",$S185="Water"),1,0)))</f>
        <v>1</v>
      </c>
      <c r="AU185" s="518"/>
    </row>
    <row r="186" customFormat="false" ht="15.75" hidden="false" customHeight="false" outlineLevel="0" collapsed="false">
      <c r="A186" s="515" t="str">
        <f aca="false" t="array" ref="A186:A186">IF(ISNA(INDEX(Source!$U$7:$U$95,MATCH(B186,Source!$V$7:$V$95,0))),"FREE",INDEX(Source!$U$7:$U$95,MATCH(B186,Source!$V$7:$V$95,0)))</f>
        <v>FREE</v>
      </c>
      <c r="B186" s="511" t="s">
        <v>619</v>
      </c>
      <c r="C186" s="511"/>
      <c r="D186" s="511"/>
      <c r="E186" s="499" t="str">
        <f aca="false">IF(SUM($W186:$X186)&gt;0,SUM($W186:$X186),IF($H186&gt;0,0,IF($H186&gt;0,0,"-")))</f>
        <v>-</v>
      </c>
      <c r="F186" s="499" t="str">
        <f aca="false">IF(SUM($Y186:$Z186)&gt;0,SUM($Y186:$Z186),IF($H186&gt;0,0,"-"))</f>
        <v>-</v>
      </c>
      <c r="G186" s="499" t="str">
        <f aca="false">IF($H186&gt;0,minus(E186,F186),"-")</f>
        <v>-</v>
      </c>
      <c r="H186" s="500" t="n">
        <f aca="false">SUM(COUNTIF(MatchSource!$A:$A,$B186),COUNTIF(MatchSource!$H:$H,$B186))</f>
        <v>0</v>
      </c>
      <c r="I186" s="501" t="n">
        <f aca="false">SUM($AA186:$AB186)</f>
        <v>0</v>
      </c>
      <c r="J186" s="501" t="s">
        <v>702</v>
      </c>
      <c r="K186" s="512" t="str">
        <f aca="false" t="array" ref="K186:K186">IF(ISNA(INDEX(DraftRosters!$AA$3:$AA$199,MATCH($B186,DraftRosters!$AB$3:$AB$199,0))),"FA",IF(INDEX(DraftRosters!$AA$3:$AA$199,MATCH($B186,DraftRosters!$AB$3:$AB$199,0))="Franchise","Franch",INDEX(DraftRosters!$AA$3:$AA$199,MATCH($B186,DraftRosters!$AB$3:$AB$199,0))))</f>
        <v>FA</v>
      </c>
      <c r="L186" s="499" t="n">
        <v>80</v>
      </c>
      <c r="M186" s="499" t="n">
        <v>45</v>
      </c>
      <c r="N186" s="499" t="n">
        <v>65</v>
      </c>
      <c r="O186" s="499" t="n">
        <v>90</v>
      </c>
      <c r="P186" s="499" t="n">
        <v>110</v>
      </c>
      <c r="Q186" s="501" t="n">
        <v>80</v>
      </c>
      <c r="R186" s="499" t="s">
        <v>828</v>
      </c>
      <c r="S186" s="501"/>
      <c r="T186" s="504" t="s">
        <v>995</v>
      </c>
      <c r="U186" s="505" t="s">
        <v>868</v>
      </c>
      <c r="V186" s="506" t="s">
        <v>865</v>
      </c>
      <c r="W186" s="500" t="str">
        <f aca="false">IFERROR(__xludf.dummyfunction("if(isna(SUM(FILTER(MatchSource!$A:$D,MatchSource!$A:$A=$B186))),0,SUM(FILTER(MatchSource!$A:$D,MatchSource!$A:$A=$B186)))"),"0")</f>
        <v>0</v>
      </c>
      <c r="X186" s="499" t="str">
        <f aca="false">IFERROR(__xludf.dummyfunction("if(isna(SUM(FILTER(MatchSource!$H:$K,MatchSource!$H:$H=$B186))),0,SUM(FILTER(MatchSource!$H:$K,MatchSource!$H:$H=$B186)))"),"0")</f>
        <v>0</v>
      </c>
      <c r="Y186" s="499" t="str">
        <f aca="false">IFERROR(__xludf.dummyfunction("if(isna(ABS(MINUS(SUM(FILTER(MatchSource!$A:$E,MatchSource!$A:$A=$B186)),SUM($W186)))),0,ABS(MINUS(SUM(FILTER(MatchSource!$A:$E,MatchSource!$A:$A=$B186)),SUM($W186))))"),"0")</f>
        <v>0</v>
      </c>
      <c r="Z186" s="499" t="str">
        <f aca="false">IFERROR(__xludf.dummyfunction("if(isna(ABS(MINUS(SUM(FILTER(MatchSource!$H:$L,MatchSource!$H:$H=$B186)),SUM($X186)))),0,ABS(MINUS(SUM(FILTER(MatchSource!$H:$L,MatchSource!$H:$H=$B186)),SUM($X186))))"),"0")</f>
        <v>0</v>
      </c>
      <c r="AA186" s="499" t="str">
        <f aca="false">IFERROR(__xludf.dummyfunction("if(isna(ABS(MINUS(SUM(FILTER(MatchSource!$A:$F,MatchSource!$A:$A=$B186)),SUM($W186,$Y186)))),0,ABS(MINUS(SUM(FILTER(MatchSource!$A:$F,MatchSource!$A:$A=$B186)),SUM($W186, $Y186,))))"),"0")</f>
        <v>0</v>
      </c>
      <c r="AB186" s="501" t="str">
        <f aca="false">IFERROR(__xludf.dummyfunction("if(isna(ABS(MINUS(SUM(FILTER(MatchSource!$H:$M,MatchSource!$H:$H=$B186)),SUM($X186,$Z186)))),0,ABS(MINUS(SUM(FILTER(MatchSource!$H:$M,MatchSource!$H:$H=$B186)),SUM($X186,$Z186))))"),"0")</f>
        <v>0</v>
      </c>
      <c r="AC186" s="507" t="n">
        <f aca="false">SUM(IF(OR($R186="Grass",$R186="Psychic",$R186="Dark"),0-1,IF(OR($R186="Fighting",$R186="Flying",$R186="Fire",$R186="Ghost",$R186="Poison",$R186="Steel",$R186="Fairy"),1,0)),IF(OR($S186="Grass",$S186="Psychic",$S186="Dark"),0-1,IF(OR($S186="Fighting",$S186="Flying",$S186="Fire",$S186="Ghost",$S186="Poison",$S186="Steel",$S186="Fairy"),1,0)))</f>
        <v>-1</v>
      </c>
      <c r="AD186" s="507" t="n">
        <f aca="false">SUM(IF(OR($R186="Ghost",$R186="Psychic"),0-1,IF(OR($R186="Fighting",$R186="Dark",$R186="Fairy"),1,0)),IF(OR($S186="Ghost",$S186="Psychic"),0-1,IF(OR($S186="Fighting",$S186="Dark",$S186="Fairy"),1,0)))</f>
        <v>-1</v>
      </c>
      <c r="AE186" s="507" t="n">
        <f aca="false">IF(OR($R186="Fairy",$S186="Fairy"),4,SUM(IF($R186="Dragon",0-1,IF($R186="Steel",1,0)),IF($S186="Dragon",0-1,IF($S186="Steel",1,0))))</f>
        <v>0</v>
      </c>
      <c r="AF186" s="507" t="n">
        <f aca="false">IF(OR($R186="Ground",$S186="Ground"),4,SUM(IF(OR($R186="Flying",$R186="Water"),0-1,IF(OR($R186="Dragon",$R186="Electric",$R186="Grass"),1,0)),IF(OR($S186="Flying",$S186="Water"),0-1,IF(OR($S186="Dragon",$S186="Electric",$S186="Grass"),1,0))))</f>
        <v>0</v>
      </c>
      <c r="AG186" s="507" t="n">
        <f aca="false">SUM(IF(OR($R186="Dark",$R186="Dragon",$R186="Fighting"),0-1,IF(OR($R186="Steel",$R186="Poison",$R186="Fire"),1,0)),IF(OR($S186="Dark",$S186="Dragon",$S186="Fighting"),0-1,IF(OR($S186="Steel",$S186="Poison",$S186="Fire"),1,0)))</f>
        <v>0</v>
      </c>
      <c r="AH186" s="507" t="n">
        <f aca="false">IF(OR($R186="Ghost",$S186="Ghost"),4,SUM(IF(OR($R186="Dark",$R186="Ice",$R186="Normal",$R186="Rock",$R186="Steel"),0-1,IF(OR($R186="Bug",$R186="Fairy",$R186="Flying",$R186="Poison",$R186="Psychic"),1,0)),IF(OR($S186="Dark",$S186="Ice",$S186="Normal",$S186="Rock",$S186="Steel"),0-1,IF(OR($S186="Bug",$S186="Fairy",$S186="Flying",$S186="Poison",$S186="Psychic"),1,0))))</f>
        <v>1</v>
      </c>
      <c r="AI186" s="507" t="n">
        <f aca="false">SUM(IF(OR($R186="Bug",$R186="Grass",$R186="Ice",$R186="Steel"),0-1,IF(OR($R186="Dragon",$R186="Fire",$R186="Rock",$R186="Water"),1,0)),IF(OR($S186="Bug",$S186="Grass",$S186="Ice",$S186="Steel"),0-1,IF(OR($S186="Dragon",$S186="Fire",$S186="Rock",$S186="Water"),1,0)))</f>
        <v>0</v>
      </c>
      <c r="AJ186" s="507" t="n">
        <f aca="false">SUM(IF(OR($R186="Bug",$R186="Grass",$R186="Fighting"),0-1,IF(OR($R186="Electric",$R186="Rock",$R186="Steel"),1,0)),IF(OR($S186="Bug",$S186="Grass",$S186="Fighting"),0-1,IF(OR($S186="Electric",$S186="Rock",$S186="Steel"),1,0)))</f>
        <v>0</v>
      </c>
      <c r="AK186" s="507" t="n">
        <f aca="false">IF(OR($R186="Normal",$S186="Normal"),4,SUM(IF(OR($R186="Ghost",$R186="Psychic"),0-1,IF($R186="Dark",1,0)),IF(OR($S186="Ghost",$S186="Psychic"),0-1,IF($S186="Dark",1,0))))</f>
        <v>-1</v>
      </c>
      <c r="AL186" s="507" t="n">
        <f aca="false">SUM(IF(OR($R186="Ground",$R186="Rock",$R186="Water"),0-1,IF(OR($R186="Bug",$R186="Flying",$R186="Fire",$R186="Dragon",$R186="Poison",$R186="Steel",$R186="Grass"),1,0)),IF(OR($S186="Ground",$S186="Rock",$S186="Water"),0-1,IF(OR($S186="Bug",$S186="Flying",$S186="Fire",$S186="Dragon",$S186="Poison",$S186="Steel",$S186="Grass"),1,0)))</f>
        <v>0</v>
      </c>
      <c r="AM186" s="507" t="n">
        <f aca="false">IF(OR($R186="Flying",$S186="Flying"),4,SUM(IF(OR($R186="Electric",$R186="Fire",$R186="Rock",$R186="Steel",$R186="Poison"),0-1,IF(OR($R186="Bug",$R186="Grass"),1,0)),IF(OR($S186="Electric",$S186="Fire",$S186="Rock",$S186="Steel",$S186="Poison"),0-1,IF(OR($S186="Bug",$S186="Grass"),1,0))))</f>
        <v>0</v>
      </c>
      <c r="AN186" s="507" t="n">
        <f aca="false">SUM(IF(OR($R186="Flying",$R186="Dragon",$R186="Grass",$R186="Ground"),0-1,IF(OR($R186="Steel",$R186="Ice",$R186="Fire",$R186="Water"),1,0)),IF(OR($S186="Flying",$S186="Dragon",$S186="Grass",$S186="Ground"),0-1,IF(OR($S186="Steel",$S186="Ice",$S186="Fire",$S186="Water"),1,0)))</f>
        <v>0</v>
      </c>
      <c r="AO186" s="507" t="n">
        <f aca="false">IF(OR($R186="Ghost",$S186="Ghost"),4,SUM(IF(OR($R186="Steel",$R186="Rock"),1,0),IF(OR($S186="Steel",$S186="Rock"),1,0)))</f>
        <v>0</v>
      </c>
      <c r="AP186" s="507" t="n">
        <f aca="false">IF(OR($R186="Steel",$S186="Steel"),4,SUM(IF(OR($R186="Fairy",$R186="Grass"),0-1,IF(OR($R186="Ghost",$R186="Rock",$R186="Ground",$R186="Poison"),1,0)),IF(OR($S186="Fairy",$S186="Grass"),0-1,IF(OR($S186="Ghost",$S186="Rock",$S186="Ground",$S186="Poison"),1,0))))</f>
        <v>0</v>
      </c>
      <c r="AQ186" s="507" t="n">
        <f aca="false">IF(OR($R186="Dark",$S186="Dark"),4,SUM(IF(OR($R186="Fighting",$R186="Poison"),0-1,IF(OR($R186="Psychic",$R186="Steel"),1,0)),IF(OR($S186="Fighting",$S186="Poison"),0-1,IF(OR($S186="Psychic",$S186="Steel"),1,0))))</f>
        <v>1</v>
      </c>
      <c r="AR186" s="507" t="n">
        <f aca="false">SUM(IF(OR($R186="Bug",$R186="Fire",$R186="Flying",$R186="Ice"),0-1,IF(OR($R186="Steel",$R186="Fighting",$R186="Ground"),1,0)),IF(OR($S186="Bug",$S186="Fire",$S186="Flying",$S186="Ice"),0-1,IF(OR($S186="Steel",$S186="Fighting",$S186="Ground"),1,0)))</f>
        <v>0</v>
      </c>
      <c r="AS186" s="507" t="n">
        <f aca="false">SUM(IF(OR($R186="Fairy",$R186="Ice",$R186="Rock"),0-1,IF(OR($R186="Steel",$R186="Electric",$R186="Fire",$R186="Water"),1,0)),IF(OR($S186="Fairy",$S186="Ice",$S186="Rock"),0-1,IF(OR($S186="Steel",$S186="Electric",$S186="Fire",$S186="Water"),1,0)))</f>
        <v>0</v>
      </c>
      <c r="AT186" s="508" t="n">
        <f aca="false">SUM(IF(OR($R186="Fire",$R186="Ground",$R186="Rock"),0-1,IF(OR($R186="Dragon",$R186="Grass",$R186="Water"),1,0)),IF(OR($S186="Fire",$S186="Ground",$S186="Rock"),0-1,IF(OR($S186="Dragon",$S186="Grass",$S186="Water"),1,0)))</f>
        <v>0</v>
      </c>
      <c r="AU186" s="518"/>
    </row>
    <row r="187" customFormat="false" ht="15.75" hidden="false" customHeight="false" outlineLevel="0" collapsed="false">
      <c r="A187" s="510" t="str">
        <f aca="false" t="array" ref="A187:A187">IF(ISNA(INDEX(Source!$U$7:$U$95,MATCH(B187,Source!$V$7:$V$95,0))),"FREE",INDEX(Source!$U$7:$U$95,MATCH(B187,Source!$V$7:$V$95,0)))</f>
        <v>FREE</v>
      </c>
      <c r="B187" s="511" t="s">
        <v>622</v>
      </c>
      <c r="C187" s="511"/>
      <c r="D187" s="511"/>
      <c r="E187" s="499" t="str">
        <f aca="false">IF(SUM($W187:$X187)&gt;0,SUM($W187:$X187),IF($H187&gt;0,0,IF($H187&gt;0,0,"-")))</f>
        <v>-</v>
      </c>
      <c r="F187" s="499" t="str">
        <f aca="false">IF(SUM($Y187:$Z187)&gt;0,SUM($Y187:$Z187),IF($H187&gt;0,0,"-"))</f>
        <v>-</v>
      </c>
      <c r="G187" s="499" t="str">
        <f aca="false">IF($H187&gt;0,minus(E187,F187),"-")</f>
        <v>-</v>
      </c>
      <c r="H187" s="500" t="n">
        <f aca="false">SUM(COUNTIF(MatchSource!$A:$A,$B187),COUNTIF(MatchSource!$H:$H,$B187))</f>
        <v>0</v>
      </c>
      <c r="I187" s="501" t="n">
        <f aca="false">SUM($AA187:$AB187)</f>
        <v>0</v>
      </c>
      <c r="J187" s="501" t="s">
        <v>702</v>
      </c>
      <c r="K187" s="512" t="str">
        <f aca="false" t="array" ref="K187:K187">IF(ISNA(INDEX(DraftRosters!$AA$3:$AA$199,MATCH($B187,DraftRosters!$AB$3:$AB$199,0))),"FA",IF(INDEX(DraftRosters!$AA$3:$AA$199,MATCH($B187,DraftRosters!$AB$3:$AB$199,0))="Franchise","Franch",INDEX(DraftRosters!$AA$3:$AA$199,MATCH($B187,DraftRosters!$AB$3:$AB$199,0))))</f>
        <v>FA</v>
      </c>
      <c r="L187" s="499" t="n">
        <v>88</v>
      </c>
      <c r="M187" s="499" t="n">
        <v>110</v>
      </c>
      <c r="N187" s="499" t="n">
        <v>60</v>
      </c>
      <c r="O187" s="499" t="n">
        <v>55</v>
      </c>
      <c r="P187" s="499" t="n">
        <v>60</v>
      </c>
      <c r="Q187" s="501" t="n">
        <v>45</v>
      </c>
      <c r="R187" s="499" t="s">
        <v>839</v>
      </c>
      <c r="S187" s="501"/>
      <c r="T187" s="504" t="s">
        <v>996</v>
      </c>
      <c r="U187" s="505" t="s">
        <v>874</v>
      </c>
      <c r="V187" s="506" t="s">
        <v>902</v>
      </c>
      <c r="W187" s="500" t="str">
        <f aca="false">IFERROR(__xludf.dummyfunction("if(isna(SUM(FILTER(MatchSource!$A:$D,MatchSource!$A:$A=$B187))),0,SUM(FILTER(MatchSource!$A:$D,MatchSource!$A:$A=$B187)))"),"0")</f>
        <v>0</v>
      </c>
      <c r="X187" s="499" t="str">
        <f aca="false">IFERROR(__xludf.dummyfunction("if(isna(SUM(FILTER(MatchSource!$H:$K,MatchSource!$H:$H=$B187))),0,SUM(FILTER(MatchSource!$H:$K,MatchSource!$H:$H=$B187)))"),"0")</f>
        <v>0</v>
      </c>
      <c r="Y187" s="499" t="str">
        <f aca="false">IFERROR(__xludf.dummyfunction("if(isna(ABS(MINUS(SUM(FILTER(MatchSource!$A:$E,MatchSource!$A:$A=$B187)),SUM($W187)))),0,ABS(MINUS(SUM(FILTER(MatchSource!$A:$E,MatchSource!$A:$A=$B187)),SUM($W187))))"),"0")</f>
        <v>0</v>
      </c>
      <c r="Z187" s="499" t="str">
        <f aca="false">IFERROR(__xludf.dummyfunction("if(isna(ABS(MINUS(SUM(FILTER(MatchSource!$H:$L,MatchSource!$H:$H=$B187)),SUM($X187)))),0,ABS(MINUS(SUM(FILTER(MatchSource!$H:$L,MatchSource!$H:$H=$B187)),SUM($X187))))"),"0")</f>
        <v>0</v>
      </c>
      <c r="AA187" s="499" t="str">
        <f aca="false">IFERROR(__xludf.dummyfunction("if(isna(ABS(MINUS(SUM(FILTER(MatchSource!$A:$F,MatchSource!$A:$A=$B187)),SUM($W187,$Y187)))),0,ABS(MINUS(SUM(FILTER(MatchSource!$A:$F,MatchSource!$A:$A=$B187)),SUM($W187, $Y187,))))"),"0")</f>
        <v>0</v>
      </c>
      <c r="AB187" s="501" t="str">
        <f aca="false">IFERROR(__xludf.dummyfunction("if(isna(ABS(MINUS(SUM(FILTER(MatchSource!$H:$M,MatchSource!$H:$H=$B187)),SUM($X187,$Z187)))),0,ABS(MINUS(SUM(FILTER(MatchSource!$H:$M,MatchSource!$H:$H=$B187)),SUM($X187,$Z187))))"),"0")</f>
        <v>0</v>
      </c>
      <c r="AC187" s="507" t="n">
        <f aca="false">SUM(IF(OR($R187="Grass",$R187="Psychic",$R187="Dark"),0-1,IF(OR($R187="Fighting",$R187="Flying",$R187="Fire",$R187="Ghost",$R187="Poison",$R187="Steel",$R187="Fairy"),1,0)),IF(OR($S187="Grass",$S187="Psychic",$S187="Dark"),0-1,IF(OR($S187="Fighting",$S187="Flying",$S187="Fire",$S187="Ghost",$S187="Poison",$S187="Steel",$S187="Fairy"),1,0)))</f>
        <v>0</v>
      </c>
      <c r="AD187" s="507" t="n">
        <f aca="false">SUM(IF(OR($R187="Ghost",$R187="Psychic"),0-1,IF(OR($R187="Fighting",$R187="Dark",$R187="Fairy"),1,0)),IF(OR($S187="Ghost",$S187="Psychic"),0-1,IF(OR($S187="Fighting",$S187="Dark",$S187="Fairy"),1,0)))</f>
        <v>0</v>
      </c>
      <c r="AE187" s="507" t="n">
        <f aca="false">IF(OR($R187="Fairy",$S187="Fairy"),4,SUM(IF($R187="Dragon",0-1,IF($R187="Steel",1,0)),IF($S187="Dragon",0-1,IF($S187="Steel",1,0))))</f>
        <v>0</v>
      </c>
      <c r="AF187" s="507" t="n">
        <f aca="false">IF(OR($R187="Ground",$S187="Ground"),4,SUM(IF(OR($R187="Flying",$R187="Water"),0-1,IF(OR($R187="Dragon",$R187="Electric",$R187="Grass"),1,0)),IF(OR($S187="Flying",$S187="Water"),0-1,IF(OR($S187="Dragon",$S187="Electric",$S187="Grass"),1,0))))</f>
        <v>0</v>
      </c>
      <c r="AG187" s="507" t="n">
        <f aca="false">SUM(IF(OR($R187="Dark",$R187="Dragon",$R187="Fighting"),0-1,IF(OR($R187="Steel",$R187="Poison",$R187="Fire"),1,0)),IF(OR($S187="Dark",$S187="Dragon",$S187="Fighting"),0-1,IF(OR($S187="Steel",$S187="Poison",$S187="Fire"),1,0)))</f>
        <v>0</v>
      </c>
      <c r="AH187" s="507" t="n">
        <f aca="false">IF(OR($R187="Ghost",$S187="Ghost"),4,SUM(IF(OR($R187="Dark",$R187="Ice",$R187="Normal",$R187="Rock",$R187="Steel"),0-1,IF(OR($R187="Bug",$R187="Fairy",$R187="Flying",$R187="Poison",$R187="Psychic"),1,0)),IF(OR($S187="Dark",$S187="Ice",$S187="Normal",$S187="Rock",$S187="Steel"),0-1,IF(OR($S187="Bug",$S187="Fairy",$S187="Flying",$S187="Poison",$S187="Psychic"),1,0))))</f>
        <v>-1</v>
      </c>
      <c r="AI187" s="507" t="n">
        <f aca="false">SUM(IF(OR($R187="Bug",$R187="Grass",$R187="Ice",$R187="Steel"),0-1,IF(OR($R187="Dragon",$R187="Fire",$R187="Rock",$R187="Water"),1,0)),IF(OR($S187="Bug",$S187="Grass",$S187="Ice",$S187="Steel"),0-1,IF(OR($S187="Dragon",$S187="Fire",$S187="Rock",$S187="Water"),1,0)))</f>
        <v>0</v>
      </c>
      <c r="AJ187" s="507" t="n">
        <f aca="false">SUM(IF(OR($R187="Bug",$R187="Grass",$R187="Fighting"),0-1,IF(OR($R187="Electric",$R187="Rock",$R187="Steel"),1,0)),IF(OR($S187="Bug",$S187="Grass",$S187="Fighting"),0-1,IF(OR($S187="Electric",$S187="Rock",$S187="Steel"),1,0)))</f>
        <v>0</v>
      </c>
      <c r="AK187" s="507" t="n">
        <f aca="false">IF(OR($R187="Normal",$S187="Normal"),4,SUM(IF(OR($R187="Ghost",$R187="Psychic"),0-1,IF($R187="Dark",1,0)),IF(OR($S187="Ghost",$S187="Psychic"),0-1,IF($S187="Dark",1,0))))</f>
        <v>4</v>
      </c>
      <c r="AL187" s="507" t="n">
        <f aca="false">SUM(IF(OR($R187="Ground",$R187="Rock",$R187="Water"),0-1,IF(OR($R187="Bug",$R187="Flying",$R187="Fire",$R187="Dragon",$R187="Poison",$R187="Steel",$R187="Grass"),1,0)),IF(OR($S187="Ground",$S187="Rock",$S187="Water"),0-1,IF(OR($S187="Bug",$S187="Flying",$S187="Fire",$S187="Dragon",$S187="Poison",$S187="Steel",$S187="Grass"),1,0)))</f>
        <v>0</v>
      </c>
      <c r="AM187" s="507" t="n">
        <f aca="false">IF(OR($R187="Flying",$S187="Flying"),4,SUM(IF(OR($R187="Electric",$R187="Fire",$R187="Rock",$R187="Steel",$R187="Poison"),0-1,IF(OR($R187="Bug",$R187="Grass"),1,0)),IF(OR($S187="Electric",$S187="Fire",$S187="Rock",$S187="Steel",$S187="Poison"),0-1,IF(OR($S187="Bug",$S187="Grass"),1,0))))</f>
        <v>0</v>
      </c>
      <c r="AN187" s="507" t="n">
        <f aca="false">SUM(IF(OR($R187="Flying",$R187="Dragon",$R187="Grass",$R187="Ground"),0-1,IF(OR($R187="Steel",$R187="Ice",$R187="Fire",$R187="Water"),1,0)),IF(OR($S187="Flying",$S187="Dragon",$S187="Grass",$S187="Ground"),0-1,IF(OR($S187="Steel",$S187="Ice",$S187="Fire",$S187="Water"),1,0)))</f>
        <v>0</v>
      </c>
      <c r="AO187" s="507" t="n">
        <f aca="false">IF(OR($R187="Ghost",$S187="Ghost"),4,SUM(IF(OR($R187="Steel",$R187="Rock"),1,0),IF(OR($S187="Steel",$S187="Rock"),1,0)))</f>
        <v>0</v>
      </c>
      <c r="AP187" s="507" t="n">
        <f aca="false">IF(OR($R187="Steel",$S187="Steel"),4,SUM(IF(OR($R187="Fairy",$R187="Grass"),0-1,IF(OR($R187="Ghost",$R187="Rock",$R187="Ground",$R187="Poison"),1,0)),IF(OR($S187="Fairy",$S187="Grass"),0-1,IF(OR($S187="Ghost",$S187="Rock",$S187="Ground",$S187="Poison"),1,0))))</f>
        <v>0</v>
      </c>
      <c r="AQ187" s="507" t="n">
        <f aca="false">IF(OR($R187="Dark",$S187="Dark"),4,SUM(IF(OR($R187="Fighting",$R187="Poison"),0-1,IF(OR($R187="Psychic",$R187="Steel"),1,0)),IF(OR($S187="Fighting",$S187="Poison"),0-1,IF(OR($S187="Psychic",$S187="Steel"),1,0))))</f>
        <v>0</v>
      </c>
      <c r="AR187" s="507" t="n">
        <f aca="false">SUM(IF(OR($R187="Bug",$R187="Fire",$R187="Flying",$R187="Ice"),0-1,IF(OR($R187="Steel",$R187="Fighting",$R187="Ground"),1,0)),IF(OR($S187="Bug",$S187="Fire",$S187="Flying",$S187="Ice"),0-1,IF(OR($S187="Steel",$S187="Fighting",$S187="Ground"),1,0)))</f>
        <v>0</v>
      </c>
      <c r="AS187" s="507" t="n">
        <f aca="false">SUM(IF(OR($R187="Fairy",$R187="Ice",$R187="Rock"),0-1,IF(OR($R187="Steel",$R187="Electric",$R187="Fire",$R187="Water"),1,0)),IF(OR($S187="Fairy",$S187="Ice",$S187="Rock"),0-1,IF(OR($S187="Steel",$S187="Electric",$S187="Fire",$S187="Water"),1,0)))</f>
        <v>0</v>
      </c>
      <c r="AT187" s="508" t="n">
        <f aca="false">SUM(IF(OR($R187="Fire",$R187="Ground",$R187="Rock"),0-1,IF(OR($R187="Dragon",$R187="Grass",$R187="Water"),1,0)),IF(OR($S187="Fire",$S187="Ground",$S187="Rock"),0-1,IF(OR($S187="Dragon",$S187="Grass",$S187="Water"),1,0)))</f>
        <v>0</v>
      </c>
      <c r="AU187" s="518"/>
    </row>
    <row r="188" customFormat="false" ht="15.75" hidden="false" customHeight="false" outlineLevel="0" collapsed="false">
      <c r="A188" s="497" t="str">
        <f aca="false" t="array" ref="A188:A188">IF(ISNA(INDEX(Source!$U$7:$U$95,MATCH(B188,Source!$V$7:$V$95,0))),"FREE",INDEX(Source!$U$7:$U$95,MATCH(B188,Source!$V$7:$V$95,0)))</f>
        <v>FREE</v>
      </c>
      <c r="B188" s="511" t="s">
        <v>624</v>
      </c>
      <c r="C188" s="511"/>
      <c r="D188" s="511"/>
      <c r="E188" s="499" t="str">
        <f aca="false">IF(SUM($W188:$X188)&gt;0,SUM($W188:$X188),IF($H188&gt;0,0,IF($H188&gt;0,0,"-")))</f>
        <v>-</v>
      </c>
      <c r="F188" s="499" t="str">
        <f aca="false">IF(SUM($Y188:$Z188)&gt;0,SUM($Y188:$Z188),IF($H188&gt;0,0,"-"))</f>
        <v>-</v>
      </c>
      <c r="G188" s="499" t="str">
        <f aca="false">IF($H188&gt;0,minus(E188,F188),"-")</f>
        <v>-</v>
      </c>
      <c r="H188" s="500" t="n">
        <f aca="false">SUM(COUNTIF(MatchSource!$A:$A,$B188),COUNTIF(MatchSource!$H:$H,$B188))</f>
        <v>0</v>
      </c>
      <c r="I188" s="501" t="n">
        <f aca="false">SUM($AA188:$AB188)</f>
        <v>0</v>
      </c>
      <c r="J188" s="501" t="s">
        <v>702</v>
      </c>
      <c r="K188" s="512" t="str">
        <f aca="false" t="array" ref="K188:K188">IF(ISNA(INDEX(DraftRosters!$AA$3:$AA$199,MATCH($B188,DraftRosters!$AB$3:$AB$199,0))),"FA",IF(INDEX(DraftRosters!$AA$3:$AA$199,MATCH($B188,DraftRosters!$AB$3:$AB$199,0))="Franchise","Franch",INDEX(DraftRosters!$AA$3:$AA$199,MATCH($B188,DraftRosters!$AB$3:$AB$199,0))))</f>
        <v>FA</v>
      </c>
      <c r="L188" s="499" t="n">
        <v>85</v>
      </c>
      <c r="M188" s="499" t="n">
        <v>105</v>
      </c>
      <c r="N188" s="499" t="n">
        <v>85</v>
      </c>
      <c r="O188" s="499" t="n">
        <v>40</v>
      </c>
      <c r="P188" s="499" t="n">
        <v>50</v>
      </c>
      <c r="Q188" s="501" t="n">
        <v>40</v>
      </c>
      <c r="R188" s="499" t="s">
        <v>881</v>
      </c>
      <c r="S188" s="501"/>
      <c r="T188" s="504" t="s">
        <v>930</v>
      </c>
      <c r="U188" s="505" t="s">
        <v>898</v>
      </c>
      <c r="V188" s="506" t="s">
        <v>931</v>
      </c>
      <c r="W188" s="500" t="str">
        <f aca="false">IFERROR(__xludf.dummyfunction("if(isna(SUM(FILTER(MatchSource!$A:$D,MatchSource!$A:$A=$B188))),0,SUM(FILTER(MatchSource!$A:$D,MatchSource!$A:$A=$B188)))"),"0")</f>
        <v>0</v>
      </c>
      <c r="X188" s="499" t="str">
        <f aca="false">IFERROR(__xludf.dummyfunction("if(isna(SUM(FILTER(MatchSource!$H:$K,MatchSource!$H:$H=$B188))),0,SUM(FILTER(MatchSource!$H:$K,MatchSource!$H:$H=$B188)))"),"0")</f>
        <v>0</v>
      </c>
      <c r="Y188" s="499" t="str">
        <f aca="false">IFERROR(__xludf.dummyfunction("if(isna(ABS(MINUS(SUM(FILTER(MatchSource!$A:$E,MatchSource!$A:$A=$B188)),SUM($W188)))),0,ABS(MINUS(SUM(FILTER(MatchSource!$A:$E,MatchSource!$A:$A=$B188)),SUM($W188))))"),"0")</f>
        <v>0</v>
      </c>
      <c r="Z188" s="499" t="str">
        <f aca="false">IFERROR(__xludf.dummyfunction("if(isna(ABS(MINUS(SUM(FILTER(MatchSource!$H:$L,MatchSource!$H:$H=$B188)),SUM($X188)))),0,ABS(MINUS(SUM(FILTER(MatchSource!$H:$L,MatchSource!$H:$H=$B188)),SUM($X188))))"),"0")</f>
        <v>0</v>
      </c>
      <c r="AA188" s="499" t="str">
        <f aca="false">IFERROR(__xludf.dummyfunction("if(isna(ABS(MINUS(SUM(FILTER(MatchSource!$A:$F,MatchSource!$A:$A=$B188)),SUM($W188,$Y188)))),0,ABS(MINUS(SUM(FILTER(MatchSource!$A:$F,MatchSource!$A:$A=$B188)),SUM($W188, $Y188,))))"),"0")</f>
        <v>0</v>
      </c>
      <c r="AB188" s="501" t="str">
        <f aca="false">IFERROR(__xludf.dummyfunction("if(isna(ABS(MINUS(SUM(FILTER(MatchSource!$H:$M,MatchSource!$H:$H=$B188)),SUM($X188,$Z188)))),0,ABS(MINUS(SUM(FILTER(MatchSource!$H:$M,MatchSource!$H:$H=$B188)),SUM($X188,$Z188))))"),"0")</f>
        <v>0</v>
      </c>
      <c r="AC188" s="507" t="n">
        <f aca="false">SUM(IF(OR($R188="Grass",$R188="Psychic",$R188="Dark"),0-1,IF(OR($R188="Fighting",$R188="Flying",$R188="Fire",$R188="Ghost",$R188="Poison",$R188="Steel",$R188="Fairy"),1,0)),IF(OR($S188="Grass",$S188="Psychic",$S188="Dark"),0-1,IF(OR($S188="Fighting",$S188="Flying",$S188="Fire",$S188="Ghost",$S188="Poison",$S188="Steel",$S188="Fairy"),1,0)))</f>
        <v>1</v>
      </c>
      <c r="AD188" s="507" t="n">
        <f aca="false">SUM(IF(OR($R188="Ghost",$R188="Psychic"),0-1,IF(OR($R188="Fighting",$R188="Dark",$R188="Fairy"),1,0)),IF(OR($S188="Ghost",$S188="Psychic"),0-1,IF(OR($S188="Fighting",$S188="Dark",$S188="Fairy"),1,0)))</f>
        <v>1</v>
      </c>
      <c r="AE188" s="507" t="n">
        <f aca="false">IF(OR($R188="Fairy",$S188="Fairy"),4,SUM(IF($R188="Dragon",0-1,IF($R188="Steel",1,0)),IF($S188="Dragon",0-1,IF($S188="Steel",1,0))))</f>
        <v>0</v>
      </c>
      <c r="AF188" s="507" t="n">
        <f aca="false">IF(OR($R188="Ground",$S188="Ground"),4,SUM(IF(OR($R188="Flying",$R188="Water"),0-1,IF(OR($R188="Dragon",$R188="Electric",$R188="Grass"),1,0)),IF(OR($S188="Flying",$S188="Water"),0-1,IF(OR($S188="Dragon",$S188="Electric",$S188="Grass"),1,0))))</f>
        <v>0</v>
      </c>
      <c r="AG188" s="507" t="n">
        <f aca="false">SUM(IF(OR($R188="Dark",$R188="Dragon",$R188="Fighting"),0-1,IF(OR($R188="Steel",$R188="Poison",$R188="Fire"),1,0)),IF(OR($S188="Dark",$S188="Dragon",$S188="Fighting"),0-1,IF(OR($S188="Steel",$S188="Poison",$S188="Fire"),1,0)))</f>
        <v>-1</v>
      </c>
      <c r="AH188" s="507" t="n">
        <f aca="false">IF(OR($R188="Ghost",$S188="Ghost"),4,SUM(IF(OR($R188="Dark",$R188="Ice",$R188="Normal",$R188="Rock",$R188="Steel"),0-1,IF(OR($R188="Bug",$R188="Fairy",$R188="Flying",$R188="Poison",$R188="Psychic"),1,0)),IF(OR($S188="Dark",$S188="Ice",$S188="Normal",$S188="Rock",$S188="Steel"),0-1,IF(OR($S188="Bug",$S188="Fairy",$S188="Flying",$S188="Poison",$S188="Psychic"),1,0))))</f>
        <v>0</v>
      </c>
      <c r="AI188" s="507" t="n">
        <f aca="false">SUM(IF(OR($R188="Bug",$R188="Grass",$R188="Ice",$R188="Steel"),0-1,IF(OR($R188="Dragon",$R188="Fire",$R188="Rock",$R188="Water"),1,0)),IF(OR($S188="Bug",$S188="Grass",$S188="Ice",$S188="Steel"),0-1,IF(OR($S188="Dragon",$S188="Fire",$S188="Rock",$S188="Water"),1,0)))</f>
        <v>0</v>
      </c>
      <c r="AJ188" s="507" t="n">
        <f aca="false">SUM(IF(OR($R188="Bug",$R188="Grass",$R188="Fighting"),0-1,IF(OR($R188="Electric",$R188="Rock",$R188="Steel"),1,0)),IF(OR($S188="Bug",$S188="Grass",$S188="Fighting"),0-1,IF(OR($S188="Electric",$S188="Rock",$S188="Steel"),1,0)))</f>
        <v>-1</v>
      </c>
      <c r="AK188" s="507" t="n">
        <f aca="false">IF(OR($R188="Normal",$S188="Normal"),4,SUM(IF(OR($R188="Ghost",$R188="Psychic"),0-1,IF($R188="Dark",1,0)),IF(OR($S188="Ghost",$S188="Psychic"),0-1,IF($S188="Dark",1,0))))</f>
        <v>0</v>
      </c>
      <c r="AL188" s="507" t="n">
        <f aca="false">SUM(IF(OR($R188="Ground",$R188="Rock",$R188="Water"),0-1,IF(OR($R188="Bug",$R188="Flying",$R188="Fire",$R188="Dragon",$R188="Poison",$R188="Steel",$R188="Grass"),1,0)),IF(OR($S188="Ground",$S188="Rock",$S188="Water"),0-1,IF(OR($S188="Bug",$S188="Flying",$S188="Fire",$S188="Dragon",$S188="Poison",$S188="Steel",$S188="Grass"),1,0)))</f>
        <v>0</v>
      </c>
      <c r="AM188" s="507" t="n">
        <f aca="false">IF(OR($R188="Flying",$S188="Flying"),4,SUM(IF(OR($R188="Electric",$R188="Fire",$R188="Rock",$R188="Steel",$R188="Poison"),0-1,IF(OR($R188="Bug",$R188="Grass"),1,0)),IF(OR($S188="Electric",$S188="Fire",$S188="Rock",$S188="Steel",$S188="Poison"),0-1,IF(OR($S188="Bug",$S188="Grass"),1,0))))</f>
        <v>0</v>
      </c>
      <c r="AN188" s="507" t="n">
        <f aca="false">SUM(IF(OR($R188="Flying",$R188="Dragon",$R188="Grass",$R188="Ground"),0-1,IF(OR($R188="Steel",$R188="Ice",$R188="Fire",$R188="Water"),1,0)),IF(OR($S188="Flying",$S188="Dragon",$S188="Grass",$S188="Ground"),0-1,IF(OR($S188="Steel",$S188="Ice",$S188="Fire",$S188="Water"),1,0)))</f>
        <v>0</v>
      </c>
      <c r="AO188" s="507" t="n">
        <f aca="false">IF(OR($R188="Ghost",$S188="Ghost"),4,SUM(IF(OR($R188="Steel",$R188="Rock"),1,0),IF(OR($S188="Steel",$S188="Rock"),1,0)))</f>
        <v>0</v>
      </c>
      <c r="AP188" s="507" t="n">
        <f aca="false">IF(OR($R188="Steel",$S188="Steel"),4,SUM(IF(OR($R188="Fairy",$R188="Grass"),0-1,IF(OR($R188="Ghost",$R188="Rock",$R188="Ground",$R188="Poison"),1,0)),IF(OR($S188="Fairy",$S188="Grass"),0-1,IF(OR($S188="Ghost",$S188="Rock",$S188="Ground",$S188="Poison"),1,0))))</f>
        <v>0</v>
      </c>
      <c r="AQ188" s="507" t="n">
        <f aca="false">IF(OR($R188="Dark",$S188="Dark"),4,SUM(IF(OR($R188="Fighting",$R188="Poison"),0-1,IF(OR($R188="Psychic",$R188="Steel"),1,0)),IF(OR($S188="Fighting",$S188="Poison"),0-1,IF(OR($S188="Psychic",$S188="Steel"),1,0))))</f>
        <v>-1</v>
      </c>
      <c r="AR188" s="507" t="n">
        <f aca="false">SUM(IF(OR($R188="Bug",$R188="Fire",$R188="Flying",$R188="Ice"),0-1,IF(OR($R188="Steel",$R188="Fighting",$R188="Ground"),1,0)),IF(OR($S188="Bug",$S188="Fire",$S188="Flying",$S188="Ice"),0-1,IF(OR($S188="Steel",$S188="Fighting",$S188="Ground"),1,0)))</f>
        <v>1</v>
      </c>
      <c r="AS188" s="507" t="n">
        <f aca="false">SUM(IF(OR($R188="Fairy",$R188="Ice",$R188="Rock"),0-1,IF(OR($R188="Steel",$R188="Electric",$R188="Fire",$R188="Water"),1,0)),IF(OR($S188="Fairy",$S188="Ice",$S188="Rock"),0-1,IF(OR($S188="Steel",$S188="Electric",$S188="Fire",$S188="Water"),1,0)))</f>
        <v>0</v>
      </c>
      <c r="AT188" s="508" t="n">
        <f aca="false">SUM(IF(OR($R188="Fire",$R188="Ground",$R188="Rock"),0-1,IF(OR($R188="Dragon",$R188="Grass",$R188="Water"),1,0)),IF(OR($S188="Fire",$S188="Ground",$S188="Rock"),0-1,IF(OR($S188="Dragon",$S188="Grass",$S188="Water"),1,0)))</f>
        <v>0</v>
      </c>
      <c r="AU188" s="518"/>
    </row>
    <row r="189" customFormat="false" ht="15.75" hidden="false" customHeight="false" outlineLevel="0" collapsed="false">
      <c r="A189" s="510" t="str">
        <f aca="false" t="array" ref="A189:A189">IF(ISNA(INDEX(Source!$U$7:$U$95,MATCH(B189,Source!$V$7:$V$95,0))),"FREE",INDEX(Source!$U$7:$U$95,MATCH(B189,Source!$V$7:$V$95,0)))</f>
        <v>FREE</v>
      </c>
      <c r="B189" s="511" t="s">
        <v>627</v>
      </c>
      <c r="C189" s="511"/>
      <c r="D189" s="511"/>
      <c r="E189" s="499" t="str">
        <f aca="false">IF(SUM($W189:$X189)&gt;0,SUM($W189:$X189),IF($H189&gt;0,0,IF($H189&gt;0,0,"-")))</f>
        <v>-</v>
      </c>
      <c r="F189" s="499" t="str">
        <f aca="false">IF(SUM($Y189:$Z189)&gt;0,SUM($Y189:$Z189),IF($H189&gt;0,0,"-"))</f>
        <v>-</v>
      </c>
      <c r="G189" s="499" t="str">
        <f aca="false">IF($H189&gt;0,minus(E189,F189),"-")</f>
        <v>-</v>
      </c>
      <c r="H189" s="500" t="n">
        <f aca="false">SUM(COUNTIF(MatchSource!$A:$A,$B189),COUNTIF(MatchSource!$H:$H,$B189))</f>
        <v>0</v>
      </c>
      <c r="I189" s="501" t="n">
        <f aca="false">SUM($AA189:$AB189)</f>
        <v>0</v>
      </c>
      <c r="J189" s="501" t="s">
        <v>702</v>
      </c>
      <c r="K189" s="512" t="str">
        <f aca="false" t="array" ref="K189:K189">IF(ISNA(INDEX(DraftRosters!$AA$3:$AA$199,MATCH($B189,DraftRosters!$AB$3:$AB$199,0))),"FA",IF(INDEX(DraftRosters!$AA$3:$AA$199,MATCH($B189,DraftRosters!$AB$3:$AB$199,0))="Franchise","Franch",INDEX(DraftRosters!$AA$3:$AA$199,MATCH($B189,DraftRosters!$AB$3:$AB$199,0))))</f>
        <v>FA</v>
      </c>
      <c r="L189" s="507" t="n">
        <v>223</v>
      </c>
      <c r="M189" s="507" t="n">
        <v>101</v>
      </c>
      <c r="N189" s="507" t="n">
        <v>53</v>
      </c>
      <c r="O189" s="507" t="n">
        <v>97</v>
      </c>
      <c r="P189" s="507" t="n">
        <v>53</v>
      </c>
      <c r="Q189" s="508" t="n">
        <v>43</v>
      </c>
      <c r="R189" s="499" t="s">
        <v>795</v>
      </c>
      <c r="S189" s="501" t="s">
        <v>835</v>
      </c>
      <c r="T189" s="504" t="s">
        <v>889</v>
      </c>
      <c r="U189" s="505"/>
      <c r="V189" s="506"/>
      <c r="W189" s="500" t="str">
        <f aca="false">IFERROR(__xludf.dummyfunction("if(isna(SUM(FILTER(MatchSource!$A:$D,MatchSource!$A:$A=$B189))),0,SUM(FILTER(MatchSource!$A:$D,MatchSource!$A:$A=$B189)))"),"0")</f>
        <v>0</v>
      </c>
      <c r="X189" s="499" t="str">
        <f aca="false">IFERROR(__xludf.dummyfunction("if(isna(SUM(FILTER(MatchSource!$H:$K,MatchSource!$H:$H=$B189))),0,SUM(FILTER(MatchSource!$H:$K,MatchSource!$H:$H=$B189)))"),"0")</f>
        <v>0</v>
      </c>
      <c r="Y189" s="499" t="str">
        <f aca="false">IFERROR(__xludf.dummyfunction("if(isna(ABS(MINUS(SUM(FILTER(MatchSource!$A:$E,MatchSource!$A:$A=$B189)),SUM($W189)))),0,ABS(MINUS(SUM(FILTER(MatchSource!$A:$E,MatchSource!$A:$A=$B189)),SUM($W189))))"),"0")</f>
        <v>0</v>
      </c>
      <c r="Z189" s="499" t="str">
        <f aca="false">IFERROR(__xludf.dummyfunction("if(isna(ABS(MINUS(SUM(FILTER(MatchSource!$H:$L,MatchSource!$H:$H=$B189)),SUM($X189)))),0,ABS(MINUS(SUM(FILTER(MatchSource!$H:$L,MatchSource!$H:$H=$B189)),SUM($X189))))"),"0")</f>
        <v>0</v>
      </c>
      <c r="AA189" s="499" t="str">
        <f aca="false">IFERROR(__xludf.dummyfunction("if(isna(ABS(MINUS(SUM(FILTER(MatchSource!$A:$F,MatchSource!$A:$A=$B189)),SUM($W189,$Y189)))),0,ABS(MINUS(SUM(FILTER(MatchSource!$A:$F,MatchSource!$A:$A=$B189)),SUM($W189, $Y189,))))"),"0")</f>
        <v>0</v>
      </c>
      <c r="AB189" s="501" t="str">
        <f aca="false">IFERROR(__xludf.dummyfunction("if(isna(ABS(MINUS(SUM(FILTER(MatchSource!$H:$M,MatchSource!$H:$H=$B189)),SUM($X189,$Z189)))),0,ABS(MINUS(SUM(FILTER(MatchSource!$H:$M,MatchSource!$H:$H=$B189)),SUM($X189,$Z189))))"),"0")</f>
        <v>0</v>
      </c>
      <c r="AC189" s="507" t="n">
        <f aca="false">SUM(IF(OR($R189="Grass",$R189="Psychic",$R189="Dark"),0-1,IF(OR($R189="Fighting",$R189="Flying",$R189="Fire",$R189="Ghost",$R189="Poison",$R189="Steel",$R189="Fairy"),1,0)),IF(OR($S189="Grass",$S189="Psychic",$S189="Dark"),0-1,IF(OR($S189="Fighting",$S189="Flying",$S189="Fire",$S189="Ghost",$S189="Poison",$S189="Steel",$S189="Fairy"),1,0)))</f>
        <v>-1</v>
      </c>
      <c r="AD189" s="507" t="n">
        <f aca="false">SUM(IF(OR($R189="Ghost",$R189="Psychic"),0-1,IF(OR($R189="Fighting",$R189="Dark",$R189="Fairy"),1,0)),IF(OR($S189="Ghost",$S189="Psychic"),0-1,IF(OR($S189="Fighting",$S189="Dark",$S189="Fairy"),1,0)))</f>
        <v>1</v>
      </c>
      <c r="AE189" s="507" t="n">
        <f aca="false">IF(OR($R189="Fairy",$S189="Fairy"),4,SUM(IF($R189="Dragon",0-1,IF($R189="Steel",1,0)),IF($S189="Dragon",0-1,IF($S189="Steel",1,0))))</f>
        <v>-1</v>
      </c>
      <c r="AF189" s="507" t="n">
        <f aca="false">IF(OR($R189="Ground",$S189="Ground"),4,SUM(IF(OR($R189="Flying",$R189="Water"),0-1,IF(OR($R189="Dragon",$R189="Electric",$R189="Grass"),1,0)),IF(OR($S189="Flying",$S189="Water"),0-1,IF(OR($S189="Dragon",$S189="Electric",$S189="Grass"),1,0))))</f>
        <v>1</v>
      </c>
      <c r="AG189" s="507" t="n">
        <f aca="false">SUM(IF(OR($R189="Dark",$R189="Dragon",$R189="Fighting"),0-1,IF(OR($R189="Steel",$R189="Poison",$R189="Fire"),1,0)),IF(OR($S189="Dark",$S189="Dragon",$S189="Fighting"),0-1,IF(OR($S189="Steel",$S189="Poison",$S189="Fire"),1,0)))</f>
        <v>-2</v>
      </c>
      <c r="AH189" s="507" t="n">
        <f aca="false">IF(OR($R189="Ghost",$S189="Ghost"),4,SUM(IF(OR($R189="Dark",$R189="Ice",$R189="Normal",$R189="Rock",$R189="Steel"),0-1,IF(OR($R189="Bug",$R189="Fairy",$R189="Flying",$R189="Poison",$R189="Psychic"),1,0)),IF(OR($S189="Dark",$S189="Ice",$S189="Normal",$S189="Rock",$S189="Steel"),0-1,IF(OR($S189="Bug",$S189="Fairy",$S189="Flying",$S189="Poison",$S189="Psychic"),1,0))))</f>
        <v>-1</v>
      </c>
      <c r="AI189" s="507" t="n">
        <f aca="false">SUM(IF(OR($R189="Bug",$R189="Grass",$R189="Ice",$R189="Steel"),0-1,IF(OR($R189="Dragon",$R189="Fire",$R189="Rock",$R189="Water"),1,0)),IF(OR($S189="Bug",$S189="Grass",$S189="Ice",$S189="Steel"),0-1,IF(OR($S189="Dragon",$S189="Fire",$S189="Rock",$S189="Water"),1,0)))</f>
        <v>1</v>
      </c>
      <c r="AJ189" s="507" t="n">
        <f aca="false">SUM(IF(OR($R189="Bug",$R189="Grass",$R189="Fighting"),0-1,IF(OR($R189="Electric",$R189="Rock",$R189="Steel"),1,0)),IF(OR($S189="Bug",$S189="Grass",$S189="Fighting"),0-1,IF(OR($S189="Electric",$S189="Rock",$S189="Steel"),1,0)))</f>
        <v>0</v>
      </c>
      <c r="AK189" s="507" t="n">
        <f aca="false">IF(OR($R189="Normal",$S189="Normal"),4,SUM(IF(OR($R189="Ghost",$R189="Psychic"),0-1,IF($R189="Dark",1,0)),IF(OR($S189="Ghost",$S189="Psychic"),0-1,IF($S189="Dark",1,0))))</f>
        <v>1</v>
      </c>
      <c r="AL189" s="507" t="n">
        <f aca="false">SUM(IF(OR($R189="Ground",$R189="Rock",$R189="Water"),0-1,IF(OR($R189="Bug",$R189="Flying",$R189="Fire",$R189="Dragon",$R189="Poison",$R189="Steel",$R189="Grass"),1,0)),IF(OR($S189="Ground",$S189="Rock",$S189="Water"),0-1,IF(OR($S189="Bug",$S189="Flying",$S189="Fire",$S189="Dragon",$S189="Poison",$S189="Steel",$S189="Grass"),1,0)))</f>
        <v>1</v>
      </c>
      <c r="AM189" s="507" t="n">
        <f aca="false">IF(OR($R189="Flying",$S189="Flying"),4,SUM(IF(OR($R189="Electric",$R189="Fire",$R189="Rock",$R189="Steel",$R189="Poison"),0-1,IF(OR($R189="Bug",$R189="Grass"),1,0)),IF(OR($S189="Electric",$S189="Fire",$S189="Rock",$S189="Steel",$S189="Poison"),0-1,IF(OR($S189="Bug",$S189="Grass"),1,0))))</f>
        <v>0</v>
      </c>
      <c r="AN189" s="507" t="n">
        <f aca="false">SUM(IF(OR($R189="Flying",$R189="Dragon",$R189="Grass",$R189="Ground"),0-1,IF(OR($R189="Steel",$R189="Ice",$R189="Fire",$R189="Water"),1,0)),IF(OR($S189="Flying",$S189="Dragon",$S189="Grass",$S189="Ground"),0-1,IF(OR($S189="Steel",$S189="Ice",$S189="Fire",$S189="Water"),1,0)))</f>
        <v>-1</v>
      </c>
      <c r="AO189" s="507" t="n">
        <f aca="false">IF(OR($R189="Ghost",$S189="Ghost"),4,SUM(IF(OR($R189="Steel",$R189="Rock"),1,0),IF(OR($S189="Steel",$S189="Rock"),1,0)))</f>
        <v>0</v>
      </c>
      <c r="AP189" s="507" t="n">
        <f aca="false">IF(OR($R189="Steel",$S189="Steel"),4,SUM(IF(OR($R189="Fairy",$R189="Grass"),0-1,IF(OR($R189="Ghost",$R189="Rock",$R189="Ground",$R189="Poison"),1,0)),IF(OR($S189="Fairy",$S189="Grass"),0-1,IF(OR($S189="Ghost",$S189="Rock",$S189="Ground",$S189="Poison"),1,0))))</f>
        <v>0</v>
      </c>
      <c r="AQ189" s="507" t="n">
        <f aca="false">IF(OR($R189="Dark",$S189="Dark"),4,SUM(IF(OR($R189="Fighting",$R189="Poison"),0-1,IF(OR($R189="Psychic",$R189="Steel"),1,0)),IF(OR($S189="Fighting",$S189="Poison"),0-1,IF(OR($S189="Psychic",$S189="Steel"),1,0))))</f>
        <v>4</v>
      </c>
      <c r="AR189" s="507" t="n">
        <f aca="false">SUM(IF(OR($R189="Bug",$R189="Fire",$R189="Flying",$R189="Ice"),0-1,IF(OR($R189="Steel",$R189="Fighting",$R189="Ground"),1,0)),IF(OR($S189="Bug",$S189="Fire",$S189="Flying",$S189="Ice"),0-1,IF(OR($S189="Steel",$S189="Fighting",$S189="Ground"),1,0)))</f>
        <v>0</v>
      </c>
      <c r="AS189" s="507" t="n">
        <f aca="false">SUM(IF(OR($R189="Fairy",$R189="Ice",$R189="Rock"),0-1,IF(OR($R189="Steel",$R189="Electric",$R189="Fire",$R189="Water"),1,0)),IF(OR($S189="Fairy",$S189="Ice",$S189="Rock"),0-1,IF(OR($S189="Steel",$S189="Electric",$S189="Fire",$S189="Water"),1,0)))</f>
        <v>0</v>
      </c>
      <c r="AT189" s="508" t="n">
        <f aca="false">SUM(IF(OR($R189="Fire",$R189="Ground",$R189="Rock"),0-1,IF(OR($R189="Dragon",$R189="Grass",$R189="Water"),1,0)),IF(OR($S189="Fire",$S189="Ground",$S189="Rock"),0-1,IF(OR($S189="Dragon",$S189="Grass",$S189="Water"),1,0)))</f>
        <v>1</v>
      </c>
      <c r="AU189" s="518"/>
    </row>
    <row r="190" customFormat="false" ht="15.75" hidden="false" customHeight="false" outlineLevel="0" collapsed="false">
      <c r="A190" s="515" t="str">
        <f aca="false" t="array" ref="A190:A190">IF(ISNA(INDEX(Source!$U$7:$U$95,MATCH(B190,Source!$V$7:$V$95,0))),"FREE",INDEX(Source!$U$7:$U$95,MATCH(B190,Source!$V$7:$V$95,0)))</f>
        <v>FREE</v>
      </c>
      <c r="B190" s="511" t="s">
        <v>400</v>
      </c>
      <c r="C190" s="511"/>
      <c r="D190" s="511"/>
      <c r="E190" s="499" t="str">
        <f aca="false">IF(SUM($W190:$X190)&gt;0,SUM($W190:$X190),IF($H190&gt;0,0,IF($H190&gt;0,0,"-")))</f>
        <v>-</v>
      </c>
      <c r="F190" s="499" t="str">
        <f aca="false">IF(SUM($Y190:$Z190)&gt;0,SUM($Y190:$Z190),IF($H190&gt;0,0,"-"))</f>
        <v>-</v>
      </c>
      <c r="G190" s="499" t="str">
        <f aca="false">IF($H190&gt;0,minus(E190,F190),"-")</f>
        <v>-</v>
      </c>
      <c r="H190" s="500" t="n">
        <f aca="false">SUM(COUNTIF(MatchSource!$A:$A,$B190),COUNTIF(MatchSource!$H:$H,$B190))</f>
        <v>0</v>
      </c>
      <c r="I190" s="501" t="n">
        <f aca="false">SUM($AA190:$AB190)</f>
        <v>0</v>
      </c>
      <c r="J190" s="501" t="s">
        <v>699</v>
      </c>
      <c r="K190" s="512" t="str">
        <f aca="false" t="array" ref="K190:K190">IF(ISNA(INDEX(DraftRosters!$AA$3:$AA$199,MATCH($B190,DraftRosters!$AB$3:$AB$199,0))),"FA",IF(INDEX(DraftRosters!$AA$3:$AA$199,MATCH($B190,DraftRosters!$AB$3:$AB$199,0))="Franchise","Franch",INDEX(DraftRosters!$AA$3:$AA$199,MATCH($B190,DraftRosters!$AB$3:$AB$199,0))))</f>
        <v>FA</v>
      </c>
      <c r="L190" s="507" t="n">
        <v>95</v>
      </c>
      <c r="M190" s="507" t="n">
        <v>125</v>
      </c>
      <c r="N190" s="507" t="n">
        <v>79</v>
      </c>
      <c r="O190" s="507" t="n">
        <v>60</v>
      </c>
      <c r="P190" s="507" t="n">
        <v>100</v>
      </c>
      <c r="Q190" s="508" t="n">
        <v>81</v>
      </c>
      <c r="R190" s="499" t="s">
        <v>801</v>
      </c>
      <c r="S190" s="501" t="s">
        <v>811</v>
      </c>
      <c r="T190" s="504" t="s">
        <v>851</v>
      </c>
      <c r="U190" s="505" t="s">
        <v>997</v>
      </c>
      <c r="V190" s="506"/>
      <c r="W190" s="500" t="str">
        <f aca="false">IFERROR(__xludf.dummyfunction("if(isna(SUM(FILTER(MatchSource!$A:$D,MatchSource!$A:$A=$B190))),0,SUM(FILTER(MatchSource!$A:$D,MatchSource!$A:$A=$B190)))"),"0")</f>
        <v>0</v>
      </c>
      <c r="X190" s="499" t="str">
        <f aca="false">IFERROR(__xludf.dummyfunction("if(isna(SUM(FILTER(MatchSource!$H:$K,MatchSource!$H:$H=$B190))),0,SUM(FILTER(MatchSource!$H:$K,MatchSource!$H:$H=$B190)))"),"0")</f>
        <v>0</v>
      </c>
      <c r="Y190" s="499" t="str">
        <f aca="false">IFERROR(__xludf.dummyfunction("if(isna(ABS(MINUS(SUM(FILTER(MatchSource!$A:$E,MatchSource!$A:$A=$B190)),SUM($W190)))),0,ABS(MINUS(SUM(FILTER(MatchSource!$A:$E,MatchSource!$A:$A=$B190)),SUM($W190))))"),"0")</f>
        <v>0</v>
      </c>
      <c r="Z190" s="499" t="str">
        <f aca="false">IFERROR(__xludf.dummyfunction("if(isna(ABS(MINUS(SUM(FILTER(MatchSource!$H:$L,MatchSource!$H:$H=$B190)),SUM($X190)))),0,ABS(MINUS(SUM(FILTER(MatchSource!$H:$L,MatchSource!$H:$H=$B190)),SUM($X190))))"),"0")</f>
        <v>0</v>
      </c>
      <c r="AA190" s="499" t="str">
        <f aca="false">IFERROR(__xludf.dummyfunction("if(isna(ABS(MINUS(SUM(FILTER(MatchSource!$A:$F,MatchSource!$A:$A=$B190)),SUM($W190,$Y190)))),0,ABS(MINUS(SUM(FILTER(MatchSource!$A:$F,MatchSource!$A:$A=$B190)),SUM($W190, $Y190,))))"),"0")</f>
        <v>0</v>
      </c>
      <c r="AB190" s="501" t="str">
        <f aca="false">IFERROR(__xludf.dummyfunction("if(isna(ABS(MINUS(SUM(FILTER(MatchSource!$H:$M,MatchSource!$H:$H=$B190)),SUM($X190,$Z190)))),0,ABS(MINUS(SUM(FILTER(MatchSource!$H:$M,MatchSource!$H:$H=$B190)),SUM($X190,$Z190))))"),"0")</f>
        <v>0</v>
      </c>
      <c r="AC190" s="507" t="n">
        <f aca="false">SUM(IF(OR($R190="Grass",$R190="Psychic",$R190="Dark"),0-1,IF(OR($R190="Fighting",$R190="Flying",$R190="Fire",$R190="Ghost",$R190="Poison",$R190="Steel",$R190="Fairy"),1,0)),IF(OR($S190="Grass",$S190="Psychic",$S190="Dark"),0-1,IF(OR($S190="Fighting",$S190="Flying",$S190="Fire",$S190="Ghost",$S190="Poison",$S190="Steel",$S190="Fairy"),1,0)))</f>
        <v>1</v>
      </c>
      <c r="AD190" s="507" t="n">
        <f aca="false">SUM(IF(OR($R190="Ghost",$R190="Psychic"),0-1,IF(OR($R190="Fighting",$R190="Dark",$R190="Fairy"),1,0)),IF(OR($S190="Ghost",$S190="Psychic"),0-1,IF(OR($S190="Fighting",$S190="Dark",$S190="Fairy"),1,0)))</f>
        <v>0</v>
      </c>
      <c r="AE190" s="507" t="n">
        <f aca="false">IF(OR($R190="Fairy",$S190="Fairy"),4,SUM(IF($R190="Dragon",0-1,IF($R190="Steel",1,0)),IF($S190="Dragon",0-1,IF($S190="Steel",1,0))))</f>
        <v>0</v>
      </c>
      <c r="AF190" s="507" t="n">
        <f aca="false">IF(OR($R190="Ground",$S190="Ground"),4,SUM(IF(OR($R190="Flying",$R190="Water"),0-1,IF(OR($R190="Dragon",$R190="Electric",$R190="Grass"),1,0)),IF(OR($S190="Flying",$S190="Water"),0-1,IF(OR($S190="Dragon",$S190="Electric",$S190="Grass"),1,0))))</f>
        <v>-2</v>
      </c>
      <c r="AG190" s="507" t="n">
        <f aca="false">SUM(IF(OR($R190="Dark",$R190="Dragon",$R190="Fighting"),0-1,IF(OR($R190="Steel",$R190="Poison",$R190="Fire"),1,0)),IF(OR($S190="Dark",$S190="Dragon",$S190="Fighting"),0-1,IF(OR($S190="Steel",$S190="Poison",$S190="Fire"),1,0)))</f>
        <v>0</v>
      </c>
      <c r="AH190" s="507" t="n">
        <f aca="false">IF(OR($R190="Ghost",$S190="Ghost"),4,SUM(IF(OR($R190="Dark",$R190="Ice",$R190="Normal",$R190="Rock",$R190="Steel"),0-1,IF(OR($R190="Bug",$R190="Fairy",$R190="Flying",$R190="Poison",$R190="Psychic"),1,0)),IF(OR($S190="Dark",$S190="Ice",$S190="Normal",$S190="Rock",$S190="Steel"),0-1,IF(OR($S190="Bug",$S190="Fairy",$S190="Flying",$S190="Poison",$S190="Psychic"),1,0))))</f>
        <v>1</v>
      </c>
      <c r="AI190" s="507" t="n">
        <f aca="false">SUM(IF(OR($R190="Bug",$R190="Grass",$R190="Ice",$R190="Steel"),0-1,IF(OR($R190="Dragon",$R190="Fire",$R190="Rock",$R190="Water"),1,0)),IF(OR($S190="Bug",$S190="Grass",$S190="Ice",$S190="Steel"),0-1,IF(OR($S190="Dragon",$S190="Fire",$S190="Rock",$S190="Water"),1,0)))</f>
        <v>1</v>
      </c>
      <c r="AJ190" s="507" t="n">
        <f aca="false">SUM(IF(OR($R190="Bug",$R190="Grass",$R190="Fighting"),0-1,IF(OR($R190="Electric",$R190="Rock",$R190="Steel"),1,0)),IF(OR($S190="Bug",$S190="Grass",$S190="Fighting"),0-1,IF(OR($S190="Electric",$S190="Rock",$S190="Steel"),1,0)))</f>
        <v>0</v>
      </c>
      <c r="AK190" s="507" t="n">
        <f aca="false">IF(OR($R190="Normal",$S190="Normal"),4,SUM(IF(OR($R190="Ghost",$R190="Psychic"),0-1,IF($R190="Dark",1,0)),IF(OR($S190="Ghost",$S190="Psychic"),0-1,IF($S190="Dark",1,0))))</f>
        <v>0</v>
      </c>
      <c r="AL190" s="507" t="n">
        <f aca="false">SUM(IF(OR($R190="Ground",$R190="Rock",$R190="Water"),0-1,IF(OR($R190="Bug",$R190="Flying",$R190="Fire",$R190="Dragon",$R190="Poison",$R190="Steel",$R190="Grass"),1,0)),IF(OR($S190="Ground",$S190="Rock",$S190="Water"),0-1,IF(OR($S190="Bug",$S190="Flying",$S190="Fire",$S190="Dragon",$S190="Poison",$S190="Steel",$S190="Grass"),1,0)))</f>
        <v>0</v>
      </c>
      <c r="AM190" s="507" t="n">
        <f aca="false">IF(OR($R190="Flying",$S190="Flying"),4,SUM(IF(OR($R190="Electric",$R190="Fire",$R190="Rock",$R190="Steel",$R190="Poison"),0-1,IF(OR($R190="Bug",$R190="Grass"),1,0)),IF(OR($S190="Electric",$S190="Fire",$S190="Rock",$S190="Steel",$S190="Poison"),0-1,IF(OR($S190="Bug",$S190="Grass"),1,0))))</f>
        <v>4</v>
      </c>
      <c r="AN190" s="507" t="n">
        <f aca="false">SUM(IF(OR($R190="Flying",$R190="Dragon",$R190="Grass",$R190="Ground"),0-1,IF(OR($R190="Steel",$R190="Ice",$R190="Fire",$R190="Water"),1,0)),IF(OR($S190="Flying",$S190="Dragon",$S190="Grass",$S190="Ground"),0-1,IF(OR($S190="Steel",$S190="Ice",$S190="Fire",$S190="Water"),1,0)))</f>
        <v>0</v>
      </c>
      <c r="AO190" s="507" t="n">
        <f aca="false">IF(OR($R190="Ghost",$S190="Ghost"),4,SUM(IF(OR($R190="Steel",$R190="Rock"),1,0),IF(OR($S190="Steel",$S190="Rock"),1,0)))</f>
        <v>0</v>
      </c>
      <c r="AP190" s="507" t="n">
        <f aca="false">IF(OR($R190="Steel",$S190="Steel"),4,SUM(IF(OR($R190="Fairy",$R190="Grass"),0-1,IF(OR($R190="Ghost",$R190="Rock",$R190="Ground",$R190="Poison"),1,0)),IF(OR($S190="Fairy",$S190="Grass"),0-1,IF(OR($S190="Ghost",$S190="Rock",$S190="Ground",$S190="Poison"),1,0))))</f>
        <v>0</v>
      </c>
      <c r="AQ190" s="507" t="n">
        <f aca="false">IF(OR($R190="Dark",$S190="Dark"),4,SUM(IF(OR($R190="Fighting",$R190="Poison"),0-1,IF(OR($R190="Psychic",$R190="Steel"),1,0)),IF(OR($S190="Fighting",$S190="Poison"),0-1,IF(OR($S190="Psychic",$S190="Steel"),1,0))))</f>
        <v>0</v>
      </c>
      <c r="AR190" s="507" t="n">
        <f aca="false">SUM(IF(OR($R190="Bug",$R190="Fire",$R190="Flying",$R190="Ice"),0-1,IF(OR($R190="Steel",$R190="Fighting",$R190="Ground"),1,0)),IF(OR($S190="Bug",$S190="Fire",$S190="Flying",$S190="Ice"),0-1,IF(OR($S190="Steel",$S190="Fighting",$S190="Ground"),1,0)))</f>
        <v>-1</v>
      </c>
      <c r="AS190" s="507" t="n">
        <f aca="false">SUM(IF(OR($R190="Fairy",$R190="Ice",$R190="Rock"),0-1,IF(OR($R190="Steel",$R190="Electric",$R190="Fire",$R190="Water"),1,0)),IF(OR($S190="Fairy",$S190="Ice",$S190="Rock"),0-1,IF(OR($S190="Steel",$S190="Electric",$S190="Fire",$S190="Water"),1,0)))</f>
        <v>1</v>
      </c>
      <c r="AT190" s="508" t="n">
        <f aca="false">SUM(IF(OR($R190="Fire",$R190="Ground",$R190="Rock"),0-1,IF(OR($R190="Dragon",$R190="Grass",$R190="Water"),1,0)),IF(OR($S190="Fire",$S190="Ground",$S190="Rock"),0-1,IF(OR($S190="Dragon",$S190="Grass",$S190="Water"),1,0)))</f>
        <v>1</v>
      </c>
      <c r="AU190" s="518"/>
    </row>
    <row r="191" customFormat="false" ht="15.75" hidden="false" customHeight="false" outlineLevel="0" collapsed="false">
      <c r="A191" s="515" t="str">
        <f aca="false" t="array" ref="A191:A191">IF(ISNA(INDEX(Source!$U$7:$U$95,MATCH(B191,Source!$V$7:$V$95,0))),"FREE",INDEX(Source!$U$7:$U$95,MATCH(B191,Source!$V$7:$V$95,0)))</f>
        <v>FREE</v>
      </c>
      <c r="B191" s="511" t="s">
        <v>719</v>
      </c>
      <c r="C191" s="511"/>
      <c r="D191" s="511"/>
      <c r="E191" s="499" t="str">
        <f aca="false">IF(SUM($W191:$X191)&gt;0,SUM($W191:$X191),IF($H191&gt;0,0,IF($H191&gt;0,0,"-")))</f>
        <v>-</v>
      </c>
      <c r="F191" s="499" t="str">
        <f aca="false">IF(SUM($Y191:$Z191)&gt;0,SUM($Y191:$Z191),IF($H191&gt;0,0,"-"))</f>
        <v>-</v>
      </c>
      <c r="G191" s="499" t="str">
        <f aca="false">IF($H191&gt;0,minus(E191,F191),"-")</f>
        <v>-</v>
      </c>
      <c r="H191" s="500" t="n">
        <f aca="false">SUM(COUNTIF(MatchSource!$A:$A,$B191),COUNTIF(MatchSource!$H:$H,$B191))</f>
        <v>0</v>
      </c>
      <c r="I191" s="501" t="n">
        <f aca="false">SUM($AA191:$AB191)</f>
        <v>0</v>
      </c>
      <c r="J191" s="501" t="s">
        <v>276</v>
      </c>
      <c r="K191" s="512" t="str">
        <f aca="false" t="array" ref="K191:K191">IF(ISNA(INDEX(DraftRosters!$AA$3:$AA$199,MATCH($B191,DraftRosters!$AB$3:$AB$199,0))),"FA",IF(INDEX(DraftRosters!$AA$3:$AA$199,MATCH($B191,DraftRosters!$AB$3:$AB$199,0))="Franchise","Franch",INDEX(DraftRosters!$AA$3:$AA$199,MATCH($B191,DraftRosters!$AB$3:$AB$199,0))))</f>
        <v>FA</v>
      </c>
      <c r="L191" s="499" t="n">
        <v>95</v>
      </c>
      <c r="M191" s="499" t="n">
        <v>155</v>
      </c>
      <c r="N191" s="499" t="n">
        <v>109</v>
      </c>
      <c r="O191" s="499" t="n">
        <v>70</v>
      </c>
      <c r="P191" s="499" t="n">
        <v>130</v>
      </c>
      <c r="Q191" s="501" t="n">
        <v>81</v>
      </c>
      <c r="R191" s="499" t="s">
        <v>795</v>
      </c>
      <c r="S191" s="501" t="s">
        <v>811</v>
      </c>
      <c r="T191" s="504" t="s">
        <v>848</v>
      </c>
      <c r="U191" s="513"/>
      <c r="V191" s="514"/>
      <c r="W191" s="500" t="str">
        <f aca="false">IFERROR(__xludf.dummyfunction("if(isna(SUM(FILTER(MatchSource!$A:$D,MatchSource!$A:$A=$B191))),0,SUM(FILTER(MatchSource!$A:$D,MatchSource!$A:$A=$B191)))"),"0")</f>
        <v>0</v>
      </c>
      <c r="X191" s="499" t="str">
        <f aca="false">IFERROR(__xludf.dummyfunction("if(isna(SUM(FILTER(MatchSource!$H:$K,MatchSource!$H:$H=$B191))),0,SUM(FILTER(MatchSource!$H:$K,MatchSource!$H:$H=$B191)))"),"0")</f>
        <v>0</v>
      </c>
      <c r="Y191" s="499" t="str">
        <f aca="false">IFERROR(__xludf.dummyfunction("if(isna(ABS(MINUS(SUM(FILTER(MatchSource!$A:$E,MatchSource!$A:$A=$B191)),SUM($W191)))),0,ABS(MINUS(SUM(FILTER(MatchSource!$A:$E,MatchSource!$A:$A=$B191)),SUM($W191))))"),"0")</f>
        <v>0</v>
      </c>
      <c r="Z191" s="499" t="str">
        <f aca="false">IFERROR(__xludf.dummyfunction("if(isna(ABS(MINUS(SUM(FILTER(MatchSource!$H:$L,MatchSource!$H:$H=$B191)),SUM($X191)))),0,ABS(MINUS(SUM(FILTER(MatchSource!$H:$L,MatchSource!$H:$H=$B191)),SUM($X191))))"),"0")</f>
        <v>0</v>
      </c>
      <c r="AA191" s="499" t="str">
        <f aca="false">IFERROR(__xludf.dummyfunction("if(isna(ABS(MINUS(SUM(FILTER(MatchSource!$A:$F,MatchSource!$A:$A=$B191)),SUM($W191,$Y191)))),0,ABS(MINUS(SUM(FILTER(MatchSource!$A:$F,MatchSource!$A:$A=$B191)),SUM($W191, $Y191,))))"),"0")</f>
        <v>0</v>
      </c>
      <c r="AB191" s="501" t="str">
        <f aca="false">IFERROR(__xludf.dummyfunction("if(isna(ABS(MINUS(SUM(FILTER(MatchSource!$H:$M,MatchSource!$H:$H=$B191)),SUM($X191,$Z191)))),0,ABS(MINUS(SUM(FILTER(MatchSource!$H:$M,MatchSource!$H:$H=$B191)),SUM($X191,$Z191))))"),"0")</f>
        <v>0</v>
      </c>
      <c r="AC191" s="507" t="n">
        <f aca="false">SUM(IF(OR($R191="Grass",$R191="Psychic",$R191="Dark"),0-1,IF(OR($R191="Fighting",$R191="Flying",$R191="Fire",$R191="Ghost",$R191="Poison",$R191="Steel",$R191="Fairy"),1,0)),IF(OR($S191="Grass",$S191="Psychic",$S191="Dark"),0-1,IF(OR($S191="Fighting",$S191="Flying",$S191="Fire",$S191="Ghost",$S191="Poison",$S191="Steel",$S191="Fairy"),1,0)))</f>
        <v>-1</v>
      </c>
      <c r="AD191" s="507" t="n">
        <f aca="false">SUM(IF(OR($R191="Ghost",$R191="Psychic"),0-1,IF(OR($R191="Fighting",$R191="Dark",$R191="Fairy"),1,0)),IF(OR($S191="Ghost",$S191="Psychic"),0-1,IF(OR($S191="Fighting",$S191="Dark",$S191="Fairy"),1,0)))</f>
        <v>1</v>
      </c>
      <c r="AE191" s="507" t="n">
        <f aca="false">IF(OR($R191="Fairy",$S191="Fairy"),4,SUM(IF($R191="Dragon",0-1,IF($R191="Steel",1,0)),IF($S191="Dragon",0-1,IF($S191="Steel",1,0))))</f>
        <v>0</v>
      </c>
      <c r="AF191" s="507" t="n">
        <f aca="false">IF(OR($R191="Ground",$S191="Ground"),4,SUM(IF(OR($R191="Flying",$R191="Water"),0-1,IF(OR($R191="Dragon",$R191="Electric",$R191="Grass"),1,0)),IF(OR($S191="Flying",$S191="Water"),0-1,IF(OR($S191="Dragon",$S191="Electric",$S191="Grass"),1,0))))</f>
        <v>-1</v>
      </c>
      <c r="AG191" s="507" t="n">
        <f aca="false">SUM(IF(OR($R191="Dark",$R191="Dragon",$R191="Fighting"),0-1,IF(OR($R191="Steel",$R191="Poison",$R191="Fire"),1,0)),IF(OR($S191="Dark",$S191="Dragon",$S191="Fighting"),0-1,IF(OR($S191="Steel",$S191="Poison",$S191="Fire"),1,0)))</f>
        <v>-1</v>
      </c>
      <c r="AH191" s="507" t="n">
        <f aca="false">IF(OR($R191="Ghost",$S191="Ghost"),4,SUM(IF(OR($R191="Dark",$R191="Ice",$R191="Normal",$R191="Rock",$R191="Steel"),0-1,IF(OR($R191="Bug",$R191="Fairy",$R191="Flying",$R191="Poison",$R191="Psychic"),1,0)),IF(OR($S191="Dark",$S191="Ice",$S191="Normal",$S191="Rock",$S191="Steel"),0-1,IF(OR($S191="Bug",$S191="Fairy",$S191="Flying",$S191="Poison",$S191="Psychic"),1,0))))</f>
        <v>-1</v>
      </c>
      <c r="AI191" s="507" t="n">
        <f aca="false">SUM(IF(OR($R191="Bug",$R191="Grass",$R191="Ice",$R191="Steel"),0-1,IF(OR($R191="Dragon",$R191="Fire",$R191="Rock",$R191="Water"),1,0)),IF(OR($S191="Bug",$S191="Grass",$S191="Ice",$S191="Steel"),0-1,IF(OR($S191="Dragon",$S191="Fire",$S191="Rock",$S191="Water"),1,0)))</f>
        <v>1</v>
      </c>
      <c r="AJ191" s="507" t="n">
        <f aca="false">SUM(IF(OR($R191="Bug",$R191="Grass",$R191="Fighting"),0-1,IF(OR($R191="Electric",$R191="Rock",$R191="Steel"),1,0)),IF(OR($S191="Bug",$S191="Grass",$S191="Fighting"),0-1,IF(OR($S191="Electric",$S191="Rock",$S191="Steel"),1,0)))</f>
        <v>0</v>
      </c>
      <c r="AK191" s="507" t="n">
        <f aca="false">IF(OR($R191="Normal",$S191="Normal"),4,SUM(IF(OR($R191="Ghost",$R191="Psychic"),0-1,IF($R191="Dark",1,0)),IF(OR($S191="Ghost",$S191="Psychic"),0-1,IF($S191="Dark",1,0))))</f>
        <v>1</v>
      </c>
      <c r="AL191" s="507" t="n">
        <f aca="false">SUM(IF(OR($R191="Ground",$R191="Rock",$R191="Water"),0-1,IF(OR($R191="Bug",$R191="Flying",$R191="Fire",$R191="Dragon",$R191="Poison",$R191="Steel",$R191="Grass"),1,0)),IF(OR($S191="Ground",$S191="Rock",$S191="Water"),0-1,IF(OR($S191="Bug",$S191="Flying",$S191="Fire",$S191="Dragon",$S191="Poison",$S191="Steel",$S191="Grass"),1,0)))</f>
        <v>-1</v>
      </c>
      <c r="AM191" s="507" t="n">
        <f aca="false">IF(OR($R191="Flying",$S191="Flying"),4,SUM(IF(OR($R191="Electric",$R191="Fire",$R191="Rock",$R191="Steel",$R191="Poison"),0-1,IF(OR($R191="Bug",$R191="Grass"),1,0)),IF(OR($S191="Electric",$S191="Fire",$S191="Rock",$S191="Steel",$S191="Poison"),0-1,IF(OR($S191="Bug",$S191="Grass"),1,0))))</f>
        <v>0</v>
      </c>
      <c r="AN191" s="507" t="n">
        <f aca="false">SUM(IF(OR($R191="Flying",$R191="Dragon",$R191="Grass",$R191="Ground"),0-1,IF(OR($R191="Steel",$R191="Ice",$R191="Fire",$R191="Water"),1,0)),IF(OR($S191="Flying",$S191="Dragon",$S191="Grass",$S191="Ground"),0-1,IF(OR($S191="Steel",$S191="Ice",$S191="Fire",$S191="Water"),1,0)))</f>
        <v>1</v>
      </c>
      <c r="AO191" s="507" t="n">
        <f aca="false">IF(OR($R191="Ghost",$S191="Ghost"),4,SUM(IF(OR($R191="Steel",$R191="Rock"),1,0),IF(OR($S191="Steel",$S191="Rock"),1,0)))</f>
        <v>0</v>
      </c>
      <c r="AP191" s="507" t="n">
        <f aca="false">IF(OR($R191="Steel",$S191="Steel"),4,SUM(IF(OR($R191="Fairy",$R191="Grass"),0-1,IF(OR($R191="Ghost",$R191="Rock",$R191="Ground",$R191="Poison"),1,0)),IF(OR($S191="Fairy",$S191="Grass"),0-1,IF(OR($S191="Ghost",$S191="Rock",$S191="Ground",$S191="Poison"),1,0))))</f>
        <v>0</v>
      </c>
      <c r="AQ191" s="507" t="n">
        <f aca="false">IF(OR($R191="Dark",$S191="Dark"),4,SUM(IF(OR($R191="Fighting",$R191="Poison"),0-1,IF(OR($R191="Psychic",$R191="Steel"),1,0)),IF(OR($S191="Fighting",$S191="Poison"),0-1,IF(OR($S191="Psychic",$S191="Steel"),1,0))))</f>
        <v>4</v>
      </c>
      <c r="AR191" s="507" t="n">
        <f aca="false">SUM(IF(OR($R191="Bug",$R191="Fire",$R191="Flying",$R191="Ice"),0-1,IF(OR($R191="Steel",$R191="Fighting",$R191="Ground"),1,0)),IF(OR($S191="Bug",$S191="Fire",$S191="Flying",$S191="Ice"),0-1,IF(OR($S191="Steel",$S191="Fighting",$S191="Ground"),1,0)))</f>
        <v>0</v>
      </c>
      <c r="AS191" s="507" t="n">
        <f aca="false">SUM(IF(OR($R191="Fairy",$R191="Ice",$R191="Rock"),0-1,IF(OR($R191="Steel",$R191="Electric",$R191="Fire",$R191="Water"),1,0)),IF(OR($S191="Fairy",$S191="Ice",$S191="Rock"),0-1,IF(OR($S191="Steel",$S191="Electric",$S191="Fire",$S191="Water"),1,0)))</f>
        <v>1</v>
      </c>
      <c r="AT191" s="508" t="n">
        <f aca="false">SUM(IF(OR($R191="Fire",$R191="Ground",$R191="Rock"),0-1,IF(OR($R191="Dragon",$R191="Grass",$R191="Water"),1,0)),IF(OR($S191="Fire",$S191="Ground",$S191="Rock"),0-1,IF(OR($S191="Dragon",$S191="Grass",$S191="Water"),1,0)))</f>
        <v>1</v>
      </c>
      <c r="AU191" s="518"/>
    </row>
    <row r="192" customFormat="false" ht="15.75" hidden="false" customHeight="false" outlineLevel="0" collapsed="false">
      <c r="A192" s="510" t="str">
        <f aca="false" t="array" ref="A192:A192">IF(ISNA(INDEX(Source!$U$7:$U$95,MATCH(B192,Source!$V$7:$V$95,0))),"FREE",INDEX(Source!$U$7:$U$95,MATCH(B192,Source!$V$7:$V$95,0)))</f>
        <v>FREE</v>
      </c>
      <c r="B192" s="511" t="s">
        <v>508</v>
      </c>
      <c r="C192" s="511"/>
      <c r="D192" s="511"/>
      <c r="E192" s="499" t="str">
        <f aca="false">IF(SUM($W192:$X192)&gt;0,SUM($W192:$X192),IF($H192&gt;0,0,IF($H192&gt;0,0,"-")))</f>
        <v>-</v>
      </c>
      <c r="F192" s="499" t="str">
        <f aca="false">IF(SUM($Y192:$Z192)&gt;0,SUM($Y192:$Z192),IF($H192&gt;0,0,"-"))</f>
        <v>-</v>
      </c>
      <c r="G192" s="499" t="str">
        <f aca="false">IF($H192&gt;0,minus(E192,F192),"-")</f>
        <v>-</v>
      </c>
      <c r="H192" s="500" t="n">
        <f aca="false">SUM(COUNTIF(MatchSource!$A:$A,$B192),COUNTIF(MatchSource!$H:$H,$B192))</f>
        <v>0</v>
      </c>
      <c r="I192" s="501" t="n">
        <f aca="false">SUM($AA192:$AB192)</f>
        <v>0</v>
      </c>
      <c r="J192" s="501" t="s">
        <v>701</v>
      </c>
      <c r="K192" s="512" t="str">
        <f aca="false" t="array" ref="K192:K192">IF(ISNA(INDEX(DraftRosters!$AA$3:$AA$199,MATCH($B192,DraftRosters!$AB$3:$AB$199,0))),"FA",IF(INDEX(DraftRosters!$AA$3:$AA$199,MATCH($B192,DraftRosters!$AB$3:$AB$199,0))="Franchise","Franch",INDEX(DraftRosters!$AA$3:$AA$199,MATCH($B192,DraftRosters!$AB$3:$AB$199,0))))</f>
        <v>FA</v>
      </c>
      <c r="L192" s="499" t="n">
        <v>144</v>
      </c>
      <c r="M192" s="499" t="n">
        <v>120</v>
      </c>
      <c r="N192" s="499" t="n">
        <v>60</v>
      </c>
      <c r="O192" s="499" t="n">
        <v>40</v>
      </c>
      <c r="P192" s="499" t="n">
        <v>60</v>
      </c>
      <c r="Q192" s="501" t="n">
        <v>50</v>
      </c>
      <c r="R192" s="499" t="s">
        <v>881</v>
      </c>
      <c r="S192" s="501"/>
      <c r="T192" s="504" t="s">
        <v>930</v>
      </c>
      <c r="U192" s="505" t="s">
        <v>898</v>
      </c>
      <c r="V192" s="506" t="s">
        <v>868</v>
      </c>
      <c r="W192" s="500" t="str">
        <f aca="false">IFERROR(__xludf.dummyfunction("if(isna(SUM(FILTER(MatchSource!$A:$D,MatchSource!$A:$A=$B192))),0,SUM(FILTER(MatchSource!$A:$D,MatchSource!$A:$A=$B192)))"),"0")</f>
        <v>0</v>
      </c>
      <c r="X192" s="499" t="str">
        <f aca="false">IFERROR(__xludf.dummyfunction("if(isna(SUM(FILTER(MatchSource!$H:$K,MatchSource!$H:$H=$B192))),0,SUM(FILTER(MatchSource!$H:$K,MatchSource!$H:$H=$B192)))"),"0")</f>
        <v>0</v>
      </c>
      <c r="Y192" s="499" t="str">
        <f aca="false">IFERROR(__xludf.dummyfunction("if(isna(ABS(MINUS(SUM(FILTER(MatchSource!$A:$E,MatchSource!$A:$A=$B192)),SUM($W192)))),0,ABS(MINUS(SUM(FILTER(MatchSource!$A:$E,MatchSource!$A:$A=$B192)),SUM($W192))))"),"0")</f>
        <v>0</v>
      </c>
      <c r="Z192" s="499" t="str">
        <f aca="false">IFERROR(__xludf.dummyfunction("if(isna(ABS(MINUS(SUM(FILTER(MatchSource!$H:$L,MatchSource!$H:$H=$B192)),SUM($X192)))),0,ABS(MINUS(SUM(FILTER(MatchSource!$H:$L,MatchSource!$H:$H=$B192)),SUM($X192))))"),"0")</f>
        <v>0</v>
      </c>
      <c r="AA192" s="499" t="str">
        <f aca="false">IFERROR(__xludf.dummyfunction("if(isna(ABS(MINUS(SUM(FILTER(MatchSource!$A:$F,MatchSource!$A:$A=$B192)),SUM($W192,$Y192)))),0,ABS(MINUS(SUM(FILTER(MatchSource!$A:$F,MatchSource!$A:$A=$B192)),SUM($W192, $Y192,))))"),"0")</f>
        <v>0</v>
      </c>
      <c r="AB192" s="501" t="str">
        <f aca="false">IFERROR(__xludf.dummyfunction("if(isna(ABS(MINUS(SUM(FILTER(MatchSource!$H:$M,MatchSource!$H:$H=$B192)),SUM($X192,$Z192)))),0,ABS(MINUS(SUM(FILTER(MatchSource!$H:$M,MatchSource!$H:$H=$B192)),SUM($X192,$Z192))))"),"0")</f>
        <v>0</v>
      </c>
      <c r="AC192" s="507" t="n">
        <f aca="false">SUM(IF(OR($R192="Grass",$R192="Psychic",$R192="Dark"),0-1,IF(OR($R192="Fighting",$R192="Flying",$R192="Fire",$R192="Ghost",$R192="Poison",$R192="Steel",$R192="Fairy"),1,0)),IF(OR($S192="Grass",$S192="Psychic",$S192="Dark"),0-1,IF(OR($S192="Fighting",$S192="Flying",$S192="Fire",$S192="Ghost",$S192="Poison",$S192="Steel",$S192="Fairy"),1,0)))</f>
        <v>1</v>
      </c>
      <c r="AD192" s="507" t="n">
        <f aca="false">SUM(IF(OR($R192="Ghost",$R192="Psychic"),0-1,IF(OR($R192="Fighting",$R192="Dark",$R192="Fairy"),1,0)),IF(OR($S192="Ghost",$S192="Psychic"),0-1,IF(OR($S192="Fighting",$S192="Dark",$S192="Fairy"),1,0)))</f>
        <v>1</v>
      </c>
      <c r="AE192" s="507" t="n">
        <f aca="false">IF(OR($R192="Fairy",$S192="Fairy"),4,SUM(IF($R192="Dragon",0-1,IF($R192="Steel",1,0)),IF($S192="Dragon",0-1,IF($S192="Steel",1,0))))</f>
        <v>0</v>
      </c>
      <c r="AF192" s="507" t="n">
        <f aca="false">IF(OR($R192="Ground",$S192="Ground"),4,SUM(IF(OR($R192="Flying",$R192="Water"),0-1,IF(OR($R192="Dragon",$R192="Electric",$R192="Grass"),1,0)),IF(OR($S192="Flying",$S192="Water"),0-1,IF(OR($S192="Dragon",$S192="Electric",$S192="Grass"),1,0))))</f>
        <v>0</v>
      </c>
      <c r="AG192" s="507" t="n">
        <f aca="false">SUM(IF(OR($R192="Dark",$R192="Dragon",$R192="Fighting"),0-1,IF(OR($R192="Steel",$R192="Poison",$R192="Fire"),1,0)),IF(OR($S192="Dark",$S192="Dragon",$S192="Fighting"),0-1,IF(OR($S192="Steel",$S192="Poison",$S192="Fire"),1,0)))</f>
        <v>-1</v>
      </c>
      <c r="AH192" s="507" t="n">
        <f aca="false">IF(OR($R192="Ghost",$S192="Ghost"),4,SUM(IF(OR($R192="Dark",$R192="Ice",$R192="Normal",$R192="Rock",$R192="Steel"),0-1,IF(OR($R192="Bug",$R192="Fairy",$R192="Flying",$R192="Poison",$R192="Psychic"),1,0)),IF(OR($S192="Dark",$S192="Ice",$S192="Normal",$S192="Rock",$S192="Steel"),0-1,IF(OR($S192="Bug",$S192="Fairy",$S192="Flying",$S192="Poison",$S192="Psychic"),1,0))))</f>
        <v>0</v>
      </c>
      <c r="AI192" s="507" t="n">
        <f aca="false">SUM(IF(OR($R192="Bug",$R192="Grass",$R192="Ice",$R192="Steel"),0-1,IF(OR($R192="Dragon",$R192="Fire",$R192="Rock",$R192="Water"),1,0)),IF(OR($S192="Bug",$S192="Grass",$S192="Ice",$S192="Steel"),0-1,IF(OR($S192="Dragon",$S192="Fire",$S192="Rock",$S192="Water"),1,0)))</f>
        <v>0</v>
      </c>
      <c r="AJ192" s="507" t="n">
        <f aca="false">SUM(IF(OR($R192="Bug",$R192="Grass",$R192="Fighting"),0-1,IF(OR($R192="Electric",$R192="Rock",$R192="Steel"),1,0)),IF(OR($S192="Bug",$S192="Grass",$S192="Fighting"),0-1,IF(OR($S192="Electric",$S192="Rock",$S192="Steel"),1,0)))</f>
        <v>-1</v>
      </c>
      <c r="AK192" s="507" t="n">
        <f aca="false">IF(OR($R192="Normal",$S192="Normal"),4,SUM(IF(OR($R192="Ghost",$R192="Psychic"),0-1,IF($R192="Dark",1,0)),IF(OR($S192="Ghost",$S192="Psychic"),0-1,IF($S192="Dark",1,0))))</f>
        <v>0</v>
      </c>
      <c r="AL192" s="507" t="n">
        <f aca="false">SUM(IF(OR($R192="Ground",$R192="Rock",$R192="Water"),0-1,IF(OR($R192="Bug",$R192="Flying",$R192="Fire",$R192="Dragon",$R192="Poison",$R192="Steel",$R192="Grass"),1,0)),IF(OR($S192="Ground",$S192="Rock",$S192="Water"),0-1,IF(OR($S192="Bug",$S192="Flying",$S192="Fire",$S192="Dragon",$S192="Poison",$S192="Steel",$S192="Grass"),1,0)))</f>
        <v>0</v>
      </c>
      <c r="AM192" s="507" t="n">
        <f aca="false">IF(OR($R192="Flying",$S192="Flying"),4,SUM(IF(OR($R192="Electric",$R192="Fire",$R192="Rock",$R192="Steel",$R192="Poison"),0-1,IF(OR($R192="Bug",$R192="Grass"),1,0)),IF(OR($S192="Electric",$S192="Fire",$S192="Rock",$S192="Steel",$S192="Poison"),0-1,IF(OR($S192="Bug",$S192="Grass"),1,0))))</f>
        <v>0</v>
      </c>
      <c r="AN192" s="507" t="n">
        <f aca="false">SUM(IF(OR($R192="Flying",$R192="Dragon",$R192="Grass",$R192="Ground"),0-1,IF(OR($R192="Steel",$R192="Ice",$R192="Fire",$R192="Water"),1,0)),IF(OR($S192="Flying",$S192="Dragon",$S192="Grass",$S192="Ground"),0-1,IF(OR($S192="Steel",$S192="Ice",$S192="Fire",$S192="Water"),1,0)))</f>
        <v>0</v>
      </c>
      <c r="AO192" s="507" t="n">
        <f aca="false">IF(OR($R192="Ghost",$S192="Ghost"),4,SUM(IF(OR($R192="Steel",$R192="Rock"),1,0),IF(OR($S192="Steel",$S192="Rock"),1,0)))</f>
        <v>0</v>
      </c>
      <c r="AP192" s="507" t="n">
        <f aca="false">IF(OR($R192="Steel",$S192="Steel"),4,SUM(IF(OR($R192="Fairy",$R192="Grass"),0-1,IF(OR($R192="Ghost",$R192="Rock",$R192="Ground",$R192="Poison"),1,0)),IF(OR($S192="Fairy",$S192="Grass"),0-1,IF(OR($S192="Ghost",$S192="Rock",$S192="Ground",$S192="Poison"),1,0))))</f>
        <v>0</v>
      </c>
      <c r="AQ192" s="507" t="n">
        <f aca="false">IF(OR($R192="Dark",$S192="Dark"),4,SUM(IF(OR($R192="Fighting",$R192="Poison"),0-1,IF(OR($R192="Psychic",$R192="Steel"),1,0)),IF(OR($S192="Fighting",$S192="Poison"),0-1,IF(OR($S192="Psychic",$S192="Steel"),1,0))))</f>
        <v>-1</v>
      </c>
      <c r="AR192" s="507" t="n">
        <f aca="false">SUM(IF(OR($R192="Bug",$R192="Fire",$R192="Flying",$R192="Ice"),0-1,IF(OR($R192="Steel",$R192="Fighting",$R192="Ground"),1,0)),IF(OR($S192="Bug",$S192="Fire",$S192="Flying",$S192="Ice"),0-1,IF(OR($S192="Steel",$S192="Fighting",$S192="Ground"),1,0)))</f>
        <v>1</v>
      </c>
      <c r="AS192" s="507" t="n">
        <f aca="false">SUM(IF(OR($R192="Fairy",$R192="Ice",$R192="Rock"),0-1,IF(OR($R192="Steel",$R192="Electric",$R192="Fire",$R192="Water"),1,0)),IF(OR($S192="Fairy",$S192="Ice",$S192="Rock"),0-1,IF(OR($S192="Steel",$S192="Electric",$S192="Fire",$S192="Water"),1,0)))</f>
        <v>0</v>
      </c>
      <c r="AT192" s="508" t="n">
        <f aca="false">SUM(IF(OR($R192="Fire",$R192="Ground",$R192="Rock"),0-1,IF(OR($R192="Dragon",$R192="Grass",$R192="Water"),1,0)),IF(OR($S192="Fire",$S192="Ground",$S192="Rock"),0-1,IF(OR($S192="Dragon",$S192="Grass",$S192="Water"),1,0)))</f>
        <v>0</v>
      </c>
      <c r="AU192" s="518"/>
    </row>
    <row r="193" customFormat="false" ht="15.75" hidden="false" customHeight="false" outlineLevel="0" collapsed="false">
      <c r="A193" s="510" t="str">
        <f aca="false" t="array" ref="A193:A193">IF(ISNA(INDEX(Source!$U$7:$U$95,MATCH(B193,Source!$V$7:$V$95,0))),"FREE",INDEX(Source!$U$7:$U$95,MATCH(B193,Source!$V$7:$V$95,0)))</f>
        <v>FREE</v>
      </c>
      <c r="B193" s="511" t="s">
        <v>630</v>
      </c>
      <c r="C193" s="511"/>
      <c r="D193" s="511"/>
      <c r="E193" s="499" t="str">
        <f aca="false">IF(SUM($W193:$X193)&gt;0,SUM($W193:$X193),IF($H193&gt;0,0,IF($H193&gt;0,0,"-")))</f>
        <v>-</v>
      </c>
      <c r="F193" s="499" t="str">
        <f aca="false">IF(SUM($Y193:$Z193)&gt;0,SUM($Y193:$Z193),IF($H193&gt;0,0,"-"))</f>
        <v>-</v>
      </c>
      <c r="G193" s="499" t="str">
        <f aca="false">IF($H193&gt;0,minus(E193,F193),"-")</f>
        <v>-</v>
      </c>
      <c r="H193" s="500" t="n">
        <f aca="false">SUM(COUNTIF(MatchSource!$A:$A,$B193),COUNTIF(MatchSource!$H:$H,$B193))</f>
        <v>0</v>
      </c>
      <c r="I193" s="501" t="n">
        <f aca="false">SUM($AA193:$AB193)</f>
        <v>0</v>
      </c>
      <c r="J193" s="501" t="s">
        <v>702</v>
      </c>
      <c r="K193" s="512" t="str">
        <f aca="false" t="array" ref="K193:K193">IF(ISNA(INDEX(DraftRosters!$AA$3:$AA$199,MATCH($B193,DraftRosters!$AB$3:$AB$199,0))),"FA",IF(INDEX(DraftRosters!$AA$3:$AA$199,MATCH($B193,DraftRosters!$AB$3:$AB$199,0))="Franchise","Franch",INDEX(DraftRosters!$AA$3:$AA$199,MATCH($B193,DraftRosters!$AB$3:$AB$199,0))))</f>
        <v>FA</v>
      </c>
      <c r="L193" s="499" t="n">
        <v>45</v>
      </c>
      <c r="M193" s="499" t="n">
        <v>50</v>
      </c>
      <c r="N193" s="499" t="n">
        <v>45</v>
      </c>
      <c r="O193" s="499" t="n">
        <v>115</v>
      </c>
      <c r="P193" s="499" t="n">
        <v>55</v>
      </c>
      <c r="Q193" s="501" t="n">
        <v>95</v>
      </c>
      <c r="R193" s="499" t="s">
        <v>802</v>
      </c>
      <c r="S193" s="501" t="s">
        <v>843</v>
      </c>
      <c r="T193" s="504" t="s">
        <v>866</v>
      </c>
      <c r="U193" s="505"/>
      <c r="V193" s="506"/>
      <c r="W193" s="500" t="str">
        <f aca="false">IFERROR(__xludf.dummyfunction("if(isna(SUM(FILTER(MatchSource!$A:$D,MatchSource!$A:$A=$B193))),0,SUM(FILTER(MatchSource!$A:$D,MatchSource!$A:$A=$B193)))"),"0")</f>
        <v>0</v>
      </c>
      <c r="X193" s="499" t="str">
        <f aca="false">IFERROR(__xludf.dummyfunction("if(isna(SUM(FILTER(MatchSource!$H:$K,MatchSource!$H:$H=$B193))),0,SUM(FILTER(MatchSource!$H:$K,MatchSource!$H:$H=$B193)))"),"0")</f>
        <v>0</v>
      </c>
      <c r="Y193" s="499" t="str">
        <f aca="false">IFERROR(__xludf.dummyfunction("if(isna(ABS(MINUS(SUM(FILTER(MatchSource!$A:$E,MatchSource!$A:$A=$B193)),SUM($W193)))),0,ABS(MINUS(SUM(FILTER(MatchSource!$A:$E,MatchSource!$A:$A=$B193)),SUM($W193))))"),"0")</f>
        <v>0</v>
      </c>
      <c r="Z193" s="499" t="str">
        <f aca="false">IFERROR(__xludf.dummyfunction("if(isna(ABS(MINUS(SUM(FILTER(MatchSource!$H:$L,MatchSource!$H:$H=$B193)),SUM($X193)))),0,ABS(MINUS(SUM(FILTER(MatchSource!$H:$L,MatchSource!$H:$H=$B193)),SUM($X193))))"),"0")</f>
        <v>0</v>
      </c>
      <c r="AA193" s="499" t="str">
        <f aca="false">IFERROR(__xludf.dummyfunction("if(isna(ABS(MINUS(SUM(FILTER(MatchSource!$A:$F,MatchSource!$A:$A=$B193)),SUM($W193,$Y193)))),0,ABS(MINUS(SUM(FILTER(MatchSource!$A:$F,MatchSource!$A:$A=$B193)),SUM($W193, $Y193,))))"),"0")</f>
        <v>0</v>
      </c>
      <c r="AB193" s="501" t="str">
        <f aca="false">IFERROR(__xludf.dummyfunction("if(isna(ABS(MINUS(SUM(FILTER(MatchSource!$H:$M,MatchSource!$H:$H=$B193)),SUM($X193,$Z193)))),0,ABS(MINUS(SUM(FILTER(MatchSource!$H:$M,MatchSource!$H:$H=$B193)),SUM($X193,$Z193))))"),"0")</f>
        <v>0</v>
      </c>
      <c r="AC193" s="507" t="n">
        <f aca="false">SUM(IF(OR($R193="Grass",$R193="Psychic",$R193="Dark"),0-1,IF(OR($R193="Fighting",$R193="Flying",$R193="Fire",$R193="Ghost",$R193="Poison",$R193="Steel",$R193="Fairy"),1,0)),IF(OR($S193="Grass",$S193="Psychic",$S193="Dark"),0-1,IF(OR($S193="Fighting",$S193="Flying",$S193="Fire",$S193="Ghost",$S193="Poison",$S193="Steel",$S193="Fairy"),1,0)))</f>
        <v>2</v>
      </c>
      <c r="AD193" s="507" t="n">
        <f aca="false">SUM(IF(OR($R193="Ghost",$R193="Psychic"),0-1,IF(OR($R193="Fighting",$R193="Dark",$R193="Fairy"),1,0)),IF(OR($S193="Ghost",$S193="Psychic"),0-1,IF(OR($S193="Fighting",$S193="Dark",$S193="Fairy"),1,0)))</f>
        <v>-1</v>
      </c>
      <c r="AE193" s="507" t="n">
        <f aca="false">IF(OR($R193="Fairy",$S193="Fairy"),4,SUM(IF($R193="Dragon",0-1,IF($R193="Steel",1,0)),IF($S193="Dragon",0-1,IF($S193="Steel",1,0))))</f>
        <v>0</v>
      </c>
      <c r="AF193" s="507" t="n">
        <f aca="false">IF(OR($R193="Ground",$S193="Ground"),4,SUM(IF(OR($R193="Flying",$R193="Water"),0-1,IF(OR($R193="Dragon",$R193="Electric",$R193="Grass"),1,0)),IF(OR($S193="Flying",$S193="Water"),0-1,IF(OR($S193="Dragon",$S193="Electric",$S193="Grass"),1,0))))</f>
        <v>0</v>
      </c>
      <c r="AG193" s="507" t="n">
        <f aca="false">SUM(IF(OR($R193="Dark",$R193="Dragon",$R193="Fighting"),0-1,IF(OR($R193="Steel",$R193="Poison",$R193="Fire"),1,0)),IF(OR($S193="Dark",$S193="Dragon",$S193="Fighting"),0-1,IF(OR($S193="Steel",$S193="Poison",$S193="Fire"),1,0)))</f>
        <v>1</v>
      </c>
      <c r="AH193" s="507" t="n">
        <f aca="false">IF(OR($R193="Ghost",$S193="Ghost"),4,SUM(IF(OR($R193="Dark",$R193="Ice",$R193="Normal",$R193="Rock",$R193="Steel"),0-1,IF(OR($R193="Bug",$R193="Fairy",$R193="Flying",$R193="Poison",$R193="Psychic"),1,0)),IF(OR($S193="Dark",$S193="Ice",$S193="Normal",$S193="Rock",$S193="Steel"),0-1,IF(OR($S193="Bug",$S193="Fairy",$S193="Flying",$S193="Poison",$S193="Psychic"),1,0))))</f>
        <v>4</v>
      </c>
      <c r="AI193" s="507" t="n">
        <f aca="false">SUM(IF(OR($R193="Bug",$R193="Grass",$R193="Ice",$R193="Steel"),0-1,IF(OR($R193="Dragon",$R193="Fire",$R193="Rock",$R193="Water"),1,0)),IF(OR($S193="Bug",$S193="Grass",$S193="Ice",$S193="Steel"),0-1,IF(OR($S193="Dragon",$S193="Fire",$S193="Rock",$S193="Water"),1,0)))</f>
        <v>0</v>
      </c>
      <c r="AJ193" s="507" t="n">
        <f aca="false">SUM(IF(OR($R193="Bug",$R193="Grass",$R193="Fighting"),0-1,IF(OR($R193="Electric",$R193="Rock",$R193="Steel"),1,0)),IF(OR($S193="Bug",$S193="Grass",$S193="Fighting"),0-1,IF(OR($S193="Electric",$S193="Rock",$S193="Steel"),1,0)))</f>
        <v>0</v>
      </c>
      <c r="AK193" s="507" t="n">
        <f aca="false">IF(OR($R193="Normal",$S193="Normal"),4,SUM(IF(OR($R193="Ghost",$R193="Psychic"),0-1,IF($R193="Dark",1,0)),IF(OR($S193="Ghost",$S193="Psychic"),0-1,IF($S193="Dark",1,0))))</f>
        <v>-1</v>
      </c>
      <c r="AL193" s="507" t="n">
        <f aca="false">SUM(IF(OR($R193="Ground",$R193="Rock",$R193="Water"),0-1,IF(OR($R193="Bug",$R193="Flying",$R193="Fire",$R193="Dragon",$R193="Poison",$R193="Steel",$R193="Grass"),1,0)),IF(OR($S193="Ground",$S193="Rock",$S193="Water"),0-1,IF(OR($S193="Bug",$S193="Flying",$S193="Fire",$S193="Dragon",$S193="Poison",$S193="Steel",$S193="Grass"),1,0)))</f>
        <v>1</v>
      </c>
      <c r="AM193" s="507" t="n">
        <f aca="false">IF(OR($R193="Flying",$S193="Flying"),4,SUM(IF(OR($R193="Electric",$R193="Fire",$R193="Rock",$R193="Steel",$R193="Poison"),0-1,IF(OR($R193="Bug",$R193="Grass"),1,0)),IF(OR($S193="Electric",$S193="Fire",$S193="Rock",$S193="Steel",$S193="Poison"),0-1,IF(OR($S193="Bug",$S193="Grass"),1,0))))</f>
        <v>-1</v>
      </c>
      <c r="AN193" s="507" t="n">
        <f aca="false">SUM(IF(OR($R193="Flying",$R193="Dragon",$R193="Grass",$R193="Ground"),0-1,IF(OR($R193="Steel",$R193="Ice",$R193="Fire",$R193="Water"),1,0)),IF(OR($S193="Flying",$S193="Dragon",$S193="Grass",$S193="Ground"),0-1,IF(OR($S193="Steel",$S193="Ice",$S193="Fire",$S193="Water"),1,0)))</f>
        <v>0</v>
      </c>
      <c r="AO193" s="507" t="n">
        <f aca="false">IF(OR($R193="Ghost",$S193="Ghost"),4,SUM(IF(OR($R193="Steel",$R193="Rock"),1,0),IF(OR($S193="Steel",$S193="Rock"),1,0)))</f>
        <v>4</v>
      </c>
      <c r="AP193" s="507" t="n">
        <f aca="false">IF(OR($R193="Steel",$S193="Steel"),4,SUM(IF(OR($R193="Fairy",$R193="Grass"),0-1,IF(OR($R193="Ghost",$R193="Rock",$R193="Ground",$R193="Poison"),1,0)),IF(OR($S193="Fairy",$S193="Grass"),0-1,IF(OR($S193="Ghost",$S193="Rock",$S193="Ground",$S193="Poison"),1,0))))</f>
        <v>2</v>
      </c>
      <c r="AQ193" s="507" t="n">
        <f aca="false">IF(OR($R193="Dark",$S193="Dark"),4,SUM(IF(OR($R193="Fighting",$R193="Poison"),0-1,IF(OR($R193="Psychic",$R193="Steel"),1,0)),IF(OR($S193="Fighting",$S193="Poison"),0-1,IF(OR($S193="Psychic",$S193="Steel"),1,0))))</f>
        <v>-1</v>
      </c>
      <c r="AR193" s="507" t="n">
        <f aca="false">SUM(IF(OR($R193="Bug",$R193="Fire",$R193="Flying",$R193="Ice"),0-1,IF(OR($R193="Steel",$R193="Fighting",$R193="Ground"),1,0)),IF(OR($S193="Bug",$S193="Fire",$S193="Flying",$S193="Ice"),0-1,IF(OR($S193="Steel",$S193="Fighting",$S193="Ground"),1,0)))</f>
        <v>0</v>
      </c>
      <c r="AS193" s="507" t="n">
        <f aca="false">SUM(IF(OR($R193="Fairy",$R193="Ice",$R193="Rock"),0-1,IF(OR($R193="Steel",$R193="Electric",$R193="Fire",$R193="Water"),1,0)),IF(OR($S193="Fairy",$S193="Ice",$S193="Rock"),0-1,IF(OR($S193="Steel",$S193="Electric",$S193="Fire",$S193="Water"),1,0)))</f>
        <v>0</v>
      </c>
      <c r="AT193" s="508" t="n">
        <f aca="false">SUM(IF(OR($R193="Fire",$R193="Ground",$R193="Rock"),0-1,IF(OR($R193="Dragon",$R193="Grass",$R193="Water"),1,0)),IF(OR($S193="Fire",$S193="Ground",$S193="Rock"),0-1,IF(OR($S193="Dragon",$S193="Grass",$S193="Water"),1,0)))</f>
        <v>0</v>
      </c>
      <c r="AU193" s="518"/>
    </row>
    <row r="194" customFormat="false" ht="15.75" hidden="false" customHeight="false" outlineLevel="0" collapsed="false">
      <c r="A194" s="510" t="str">
        <f aca="false" t="array" ref="A194:A194">IF(ISNA(INDEX(Source!$U$7:$U$95,MATCH(B194,Source!$V$7:$V$95,0))),"FREE",INDEX(Source!$U$7:$U$95,MATCH(B194,Source!$V$7:$V$95,0)))</f>
        <v>SEA</v>
      </c>
      <c r="B194" s="511" t="s">
        <v>46</v>
      </c>
      <c r="C194" s="511"/>
      <c r="D194" s="511"/>
      <c r="E194" s="499" t="n">
        <f aca="false">IF(SUM($W194:$X194)&gt;0,SUM($W194:$X194),IF($H194&gt;0,0,IF($H194&gt;0,0,"-")))</f>
        <v>0</v>
      </c>
      <c r="F194" s="499" t="n">
        <f aca="false">IF(SUM($Y194:$Z194)&gt;0,SUM($Y194:$Z194),IF($H194&gt;0,0,"-"))</f>
        <v>0</v>
      </c>
      <c r="G194" s="499" t="e">
        <f aca="false">IF($H194&gt;0,minus(E194,F194),"-")</f>
        <v>#NAME?</v>
      </c>
      <c r="H194" s="500" t="n">
        <f aca="false">SUM(COUNTIF(MatchSource!$A:$A,$B194),COUNTIF(MatchSource!$H:$H,$B194))</f>
        <v>7</v>
      </c>
      <c r="I194" s="501" t="n">
        <f aca="false">SUM($AA194:$AB194)</f>
        <v>0</v>
      </c>
      <c r="J194" s="501" t="s">
        <v>699</v>
      </c>
      <c r="K194" s="512" t="n">
        <f aca="false" t="array" ref="K194:K194">IF(ISNA(INDEX(DraftRosters!$AA$3:$AA$199,MATCH($B194,DraftRosters!$AB$3:$AB$199,0))),"FA",IF(INDEX(DraftRosters!$AA$3:$AA$199,MATCH($B194,DraftRosters!$AB$3:$AB$199,0))="Franchise","Franch",INDEX(DraftRosters!$AA$3:$AA$199,MATCH($B194,DraftRosters!$AB$3:$AB$199,0))))</f>
        <v>7</v>
      </c>
      <c r="L194" s="507" t="n">
        <v>78</v>
      </c>
      <c r="M194" s="507" t="n">
        <v>92</v>
      </c>
      <c r="N194" s="507" t="n">
        <v>77</v>
      </c>
      <c r="O194" s="507" t="n">
        <v>74</v>
      </c>
      <c r="P194" s="507" t="n">
        <v>63</v>
      </c>
      <c r="Q194" s="508" t="n">
        <v>118</v>
      </c>
      <c r="R194" s="499" t="s">
        <v>881</v>
      </c>
      <c r="S194" s="501" t="s">
        <v>801</v>
      </c>
      <c r="T194" s="505" t="s">
        <v>947</v>
      </c>
      <c r="U194" s="505" t="s">
        <v>821</v>
      </c>
      <c r="V194" s="506" t="s">
        <v>848</v>
      </c>
      <c r="W194" s="500" t="str">
        <f aca="false">IFERROR(__xludf.dummyfunction("if(isna(SUM(FILTER(MatchSource!$A:$D,MatchSource!$A:$A=$B194))),0,SUM(FILTER(MatchSource!$A:$D,MatchSource!$A:$A=$B194)))"),"1")</f>
        <v>1</v>
      </c>
      <c r="X194" s="499" t="str">
        <f aca="false">IFERROR(__xludf.dummyfunction("if(isna(SUM(FILTER(MatchSource!$H:$K,MatchSource!$H:$H=$B194))),0,SUM(FILTER(MatchSource!$H:$K,MatchSource!$H:$H=$B194)))"),"3")</f>
        <v>3</v>
      </c>
      <c r="Y194" s="499" t="str">
        <f aca="false">IFERROR(__xludf.dummyfunction("if(isna(ABS(MINUS(SUM(FILTER(MatchSource!$A:$E,MatchSource!$A:$A=$B194)),SUM($W194)))),0,ABS(MINUS(SUM(FILTER(MatchSource!$A:$E,MatchSource!$A:$A=$B194)),SUM($W194))))"),"3")</f>
        <v>3</v>
      </c>
      <c r="Z194" s="499" t="str">
        <f aca="false">IFERROR(__xludf.dummyfunction("if(isna(ABS(MINUS(SUM(FILTER(MatchSource!$H:$L,MatchSource!$H:$H=$B194)),SUM($X194)))),0,ABS(MINUS(SUM(FILTER(MatchSource!$H:$L,MatchSource!$H:$H=$B194)),SUM($X194))))"),"1")</f>
        <v>1</v>
      </c>
      <c r="AA194" s="499" t="str">
        <f aca="false">IFERROR(__xludf.dummyfunction("if(isna(ABS(MINUS(SUM(FILTER(MatchSource!$A:$F,MatchSource!$A:$A=$B194)),SUM($W194,$Y194)))),0,ABS(MINUS(SUM(FILTER(MatchSource!$A:$F,MatchSource!$A:$A=$B194)),SUM($W194, $Y194,))))"),"1")</f>
        <v>1</v>
      </c>
      <c r="AB194" s="501" t="str">
        <f aca="false">IFERROR(__xludf.dummyfunction("if(isna(ABS(MINUS(SUM(FILTER(MatchSource!$H:$M,MatchSource!$H:$H=$B194)),SUM($X194,$Z194)))),0,ABS(MINUS(SUM(FILTER(MatchSource!$H:$M,MatchSource!$H:$H=$B194)),SUM($X194,$Z194))))"),"4")</f>
        <v>4</v>
      </c>
      <c r="AC194" s="507" t="n">
        <f aca="false">SUM(IF(OR($R194="Grass",$R194="Psychic",$R194="Dark"),0-1,IF(OR($R194="Fighting",$R194="Flying",$R194="Fire",$R194="Ghost",$R194="Poison",$R194="Steel",$R194="Fairy"),1,0)),IF(OR($S194="Grass",$S194="Psychic",$S194="Dark"),0-1,IF(OR($S194="Fighting",$S194="Flying",$S194="Fire",$S194="Ghost",$S194="Poison",$S194="Steel",$S194="Fairy"),1,0)))</f>
        <v>2</v>
      </c>
      <c r="AD194" s="507" t="n">
        <f aca="false">SUM(IF(OR($R194="Ghost",$R194="Psychic"),0-1,IF(OR($R194="Fighting",$R194="Dark",$R194="Fairy"),1,0)),IF(OR($S194="Ghost",$S194="Psychic"),0-1,IF(OR($S194="Fighting",$S194="Dark",$S194="Fairy"),1,0)))</f>
        <v>1</v>
      </c>
      <c r="AE194" s="507" t="n">
        <f aca="false">IF(OR($R194="Fairy",$S194="Fairy"),4,SUM(IF($R194="Dragon",0-1,IF($R194="Steel",1,0)),IF($S194="Dragon",0-1,IF($S194="Steel",1,0))))</f>
        <v>0</v>
      </c>
      <c r="AF194" s="507" t="n">
        <f aca="false">IF(OR($R194="Ground",$S194="Ground"),4,SUM(IF(OR($R194="Flying",$R194="Water"),0-1,IF(OR($R194="Dragon",$R194="Electric",$R194="Grass"),1,0)),IF(OR($S194="Flying",$S194="Water"),0-1,IF(OR($S194="Dragon",$S194="Electric",$S194="Grass"),1,0))))</f>
        <v>-1</v>
      </c>
      <c r="AG194" s="507" t="n">
        <f aca="false">SUM(IF(OR($R194="Dark",$R194="Dragon",$R194="Fighting"),0-1,IF(OR($R194="Steel",$R194="Poison",$R194="Fire"),1,0)),IF(OR($S194="Dark",$S194="Dragon",$S194="Fighting"),0-1,IF(OR($S194="Steel",$S194="Poison",$S194="Fire"),1,0)))</f>
        <v>-1</v>
      </c>
      <c r="AH194" s="507" t="n">
        <f aca="false">IF(OR($R194="Ghost",$S194="Ghost"),4,SUM(IF(OR($R194="Dark",$R194="Ice",$R194="Normal",$R194="Rock",$R194="Steel"),0-1,IF(OR($R194="Bug",$R194="Fairy",$R194="Flying",$R194="Poison",$R194="Psychic"),1,0)),IF(OR($S194="Dark",$S194="Ice",$S194="Normal",$S194="Rock",$S194="Steel"),0-1,IF(OR($S194="Bug",$S194="Fairy",$S194="Flying",$S194="Poison",$S194="Psychic"),1,0))))</f>
        <v>1</v>
      </c>
      <c r="AI194" s="507" t="n">
        <f aca="false">SUM(IF(OR($R194="Bug",$R194="Grass",$R194="Ice",$R194="Steel"),0-1,IF(OR($R194="Dragon",$R194="Fire",$R194="Rock",$R194="Water"),1,0)),IF(OR($S194="Bug",$S194="Grass",$S194="Ice",$S194="Steel"),0-1,IF(OR($S194="Dragon",$S194="Fire",$S194="Rock",$S194="Water"),1,0)))</f>
        <v>0</v>
      </c>
      <c r="AJ194" s="507" t="n">
        <f aca="false">SUM(IF(OR($R194="Bug",$R194="Grass",$R194="Fighting"),0-1,IF(OR($R194="Electric",$R194="Rock",$R194="Steel"),1,0)),IF(OR($S194="Bug",$S194="Grass",$S194="Fighting"),0-1,IF(OR($S194="Electric",$S194="Rock",$S194="Steel"),1,0)))</f>
        <v>-1</v>
      </c>
      <c r="AK194" s="507" t="n">
        <f aca="false">IF(OR($R194="Normal",$S194="Normal"),4,SUM(IF(OR($R194="Ghost",$R194="Psychic"),0-1,IF($R194="Dark",1,0)),IF(OR($S194="Ghost",$S194="Psychic"),0-1,IF($S194="Dark",1,0))))</f>
        <v>0</v>
      </c>
      <c r="AL194" s="507" t="n">
        <f aca="false">SUM(IF(OR($R194="Ground",$R194="Rock",$R194="Water"),0-1,IF(OR($R194="Bug",$R194="Flying",$R194="Fire",$R194="Dragon",$R194="Poison",$R194="Steel",$R194="Grass"),1,0)),IF(OR($S194="Ground",$S194="Rock",$S194="Water"),0-1,IF(OR($S194="Bug",$S194="Flying",$S194="Fire",$S194="Dragon",$S194="Poison",$S194="Steel",$S194="Grass"),1,0)))</f>
        <v>1</v>
      </c>
      <c r="AM194" s="507" t="n">
        <f aca="false">IF(OR($R194="Flying",$S194="Flying"),4,SUM(IF(OR($R194="Electric",$R194="Fire",$R194="Rock",$R194="Steel",$R194="Poison"),0-1,IF(OR($R194="Bug",$R194="Grass"),1,0)),IF(OR($S194="Electric",$S194="Fire",$S194="Rock",$S194="Steel",$S194="Poison"),0-1,IF(OR($S194="Bug",$S194="Grass"),1,0))))</f>
        <v>4</v>
      </c>
      <c r="AN194" s="507" t="n">
        <f aca="false">SUM(IF(OR($R194="Flying",$R194="Dragon",$R194="Grass",$R194="Ground"),0-1,IF(OR($R194="Steel",$R194="Ice",$R194="Fire",$R194="Water"),1,0)),IF(OR($S194="Flying",$S194="Dragon",$S194="Grass",$S194="Ground"),0-1,IF(OR($S194="Steel",$S194="Ice",$S194="Fire",$S194="Water"),1,0)))</f>
        <v>-1</v>
      </c>
      <c r="AO194" s="507" t="n">
        <f aca="false">IF(OR($R194="Ghost",$S194="Ghost"),4,SUM(IF(OR($R194="Steel",$R194="Rock"),1,0),IF(OR($S194="Steel",$S194="Rock"),1,0)))</f>
        <v>0</v>
      </c>
      <c r="AP194" s="507" t="n">
        <f aca="false">IF(OR($R194="Steel",$S194="Steel"),4,SUM(IF(OR($R194="Fairy",$R194="Grass"),0-1,IF(OR($R194="Ghost",$R194="Rock",$R194="Ground",$R194="Poison"),1,0)),IF(OR($S194="Fairy",$S194="Grass"),0-1,IF(OR($S194="Ghost",$S194="Rock",$S194="Ground",$S194="Poison"),1,0))))</f>
        <v>0</v>
      </c>
      <c r="AQ194" s="507" t="n">
        <f aca="false">IF(OR($R194="Dark",$S194="Dark"),4,SUM(IF(OR($R194="Fighting",$R194="Poison"),0-1,IF(OR($R194="Psychic",$R194="Steel"),1,0)),IF(OR($S194="Fighting",$S194="Poison"),0-1,IF(OR($S194="Psychic",$S194="Steel"),1,0))))</f>
        <v>-1</v>
      </c>
      <c r="AR194" s="507" t="n">
        <f aca="false">SUM(IF(OR($R194="Bug",$R194="Fire",$R194="Flying",$R194="Ice"),0-1,IF(OR($R194="Steel",$R194="Fighting",$R194="Ground"),1,0)),IF(OR($S194="Bug",$S194="Fire",$S194="Flying",$S194="Ice"),0-1,IF(OR($S194="Steel",$S194="Fighting",$S194="Ground"),1,0)))</f>
        <v>0</v>
      </c>
      <c r="AS194" s="507" t="n">
        <f aca="false">SUM(IF(OR($R194="Fairy",$R194="Ice",$R194="Rock"),0-1,IF(OR($R194="Steel",$R194="Electric",$R194="Fire",$R194="Water"),1,0)),IF(OR($S194="Fairy",$S194="Ice",$S194="Rock"),0-1,IF(OR($S194="Steel",$S194="Electric",$S194="Fire",$S194="Water"),1,0)))</f>
        <v>0</v>
      </c>
      <c r="AT194" s="508" t="n">
        <f aca="false">SUM(IF(OR($R194="Fire",$R194="Ground",$R194="Rock"),0-1,IF(OR($R194="Dragon",$R194="Grass",$R194="Water"),1,0)),IF(OR($S194="Fire",$S194="Ground",$S194="Rock"),0-1,IF(OR($S194="Dragon",$S194="Grass",$S194="Water"),1,0)))</f>
        <v>0</v>
      </c>
      <c r="AU194" s="518"/>
    </row>
    <row r="195" customFormat="false" ht="15.75" hidden="false" customHeight="false" outlineLevel="0" collapsed="false">
      <c r="A195" s="510" t="str">
        <f aca="false" t="array" ref="A195:A195">IF(ISNA(INDEX(Source!$U$7:$U$95,MATCH(B195,Source!$V$7:$V$95,0))),"FREE",INDEX(Source!$U$7:$U$95,MATCH(B195,Source!$V$7:$V$95,0)))</f>
        <v>FREE</v>
      </c>
      <c r="B195" s="511" t="s">
        <v>410</v>
      </c>
      <c r="C195" s="511"/>
      <c r="D195" s="511"/>
      <c r="E195" s="499" t="str">
        <f aca="false">IF(SUM($W195:$X195)&gt;0,SUM($W195:$X195),IF($H195&gt;0,0,IF($H195&gt;0,0,"-")))</f>
        <v>-</v>
      </c>
      <c r="F195" s="499" t="str">
        <f aca="false">IF(SUM($Y195:$Z195)&gt;0,SUM($Y195:$Z195),IF($H195&gt;0,0,"-"))</f>
        <v>-</v>
      </c>
      <c r="G195" s="499" t="str">
        <f aca="false">IF($H195&gt;0,minus(E195,F195),"-")</f>
        <v>-</v>
      </c>
      <c r="H195" s="500" t="n">
        <f aca="false">SUM(COUNTIF(MatchSource!$A:$A,$B195),COUNTIF(MatchSource!$H:$H,$B195))</f>
        <v>0</v>
      </c>
      <c r="I195" s="501" t="n">
        <f aca="false">SUM($AA195:$AB195)</f>
        <v>0</v>
      </c>
      <c r="J195" s="501" t="s">
        <v>699</v>
      </c>
      <c r="K195" s="512" t="str">
        <f aca="false" t="array" ref="K195:K195">IF(ISNA(INDEX(DraftRosters!$AA$3:$AA$199,MATCH($B195,DraftRosters!$AB$3:$AB$199,0))),"FA",IF(INDEX(DraftRosters!$AA$3:$AA$199,MATCH($B195,DraftRosters!$AB$3:$AB$199,0))="Franchise","Franch",INDEX(DraftRosters!$AA$3:$AA$199,MATCH($B195,DraftRosters!$AB$3:$AB$199,0))))</f>
        <v>FA</v>
      </c>
      <c r="L195" s="499" t="n">
        <v>76</v>
      </c>
      <c r="M195" s="499" t="n">
        <v>147</v>
      </c>
      <c r="N195" s="499" t="n">
        <v>90</v>
      </c>
      <c r="O195" s="499" t="n">
        <v>60</v>
      </c>
      <c r="P195" s="499" t="n">
        <v>70</v>
      </c>
      <c r="Q195" s="501" t="n">
        <v>97</v>
      </c>
      <c r="R195" s="499" t="s">
        <v>835</v>
      </c>
      <c r="S195" s="501"/>
      <c r="T195" s="505" t="s">
        <v>822</v>
      </c>
      <c r="U195" s="505" t="s">
        <v>877</v>
      </c>
      <c r="V195" s="506" t="s">
        <v>848</v>
      </c>
      <c r="W195" s="500" t="str">
        <f aca="false">IFERROR(__xludf.dummyfunction("if(isna(SUM(FILTER(MatchSource!$A:$D,MatchSource!$A:$A=$B195))),0,SUM(FILTER(MatchSource!$A:$D,MatchSource!$A:$A=$B195)))"),"0")</f>
        <v>0</v>
      </c>
      <c r="X195" s="499" t="str">
        <f aca="false">IFERROR(__xludf.dummyfunction("if(isna(SUM(FILTER(MatchSource!$H:$K,MatchSource!$H:$H=$B195))),0,SUM(FILTER(MatchSource!$H:$K,MatchSource!$H:$H=$B195)))"),"0")</f>
        <v>0</v>
      </c>
      <c r="Y195" s="499" t="str">
        <f aca="false">IFERROR(__xludf.dummyfunction("if(isna(ABS(MINUS(SUM(FILTER(MatchSource!$A:$E,MatchSource!$A:$A=$B195)),SUM($W195)))),0,ABS(MINUS(SUM(FILTER(MatchSource!$A:$E,MatchSource!$A:$A=$B195)),SUM($W195))))"),"0")</f>
        <v>0</v>
      </c>
      <c r="Z195" s="499" t="str">
        <f aca="false">IFERROR(__xludf.dummyfunction("if(isna(ABS(MINUS(SUM(FILTER(MatchSource!$H:$L,MatchSource!$H:$H=$B195)),SUM($X195)))),0,ABS(MINUS(SUM(FILTER(MatchSource!$H:$L,MatchSource!$H:$H=$B195)),SUM($X195))))"),"0")</f>
        <v>0</v>
      </c>
      <c r="AA195" s="499" t="str">
        <f aca="false">IFERROR(__xludf.dummyfunction("if(isna(ABS(MINUS(SUM(FILTER(MatchSource!$A:$F,MatchSource!$A:$A=$B195)),SUM($W195,$Y195)))),0,ABS(MINUS(SUM(FILTER(MatchSource!$A:$F,MatchSource!$A:$A=$B195)),SUM($W195, $Y195,))))"),"0")</f>
        <v>0</v>
      </c>
      <c r="AB195" s="501" t="str">
        <f aca="false">IFERROR(__xludf.dummyfunction("if(isna(ABS(MINUS(SUM(FILTER(MatchSource!$H:$M,MatchSource!$H:$H=$B195)),SUM($X195,$Z195)))),0,ABS(MINUS(SUM(FILTER(MatchSource!$H:$M,MatchSource!$H:$H=$B195)),SUM($X195,$Z195))))"),"0")</f>
        <v>0</v>
      </c>
      <c r="AC195" s="507" t="n">
        <f aca="false">SUM(IF(OR($R195="Grass",$R195="Psychic",$R195="Dark"),0-1,IF(OR($R195="Fighting",$R195="Flying",$R195="Fire",$R195="Ghost",$R195="Poison",$R195="Steel",$R195="Fairy"),1,0)),IF(OR($S195="Grass",$S195="Psychic",$S195="Dark"),0-1,IF(OR($S195="Fighting",$S195="Flying",$S195="Fire",$S195="Ghost",$S195="Poison",$S195="Steel",$S195="Fairy"),1,0)))</f>
        <v>0</v>
      </c>
      <c r="AD195" s="507" t="n">
        <f aca="false">SUM(IF(OR($R195="Ghost",$R195="Psychic"),0-1,IF(OR($R195="Fighting",$R195="Dark",$R195="Fairy"),1,0)),IF(OR($S195="Ghost",$S195="Psychic"),0-1,IF(OR($S195="Fighting",$S195="Dark",$S195="Fairy"),1,0)))</f>
        <v>0</v>
      </c>
      <c r="AE195" s="507" t="n">
        <f aca="false">IF(OR($R195="Fairy",$S195="Fairy"),4,SUM(IF($R195="Dragon",0-1,IF($R195="Steel",1,0)),IF($S195="Dragon",0-1,IF($S195="Steel",1,0))))</f>
        <v>-1</v>
      </c>
      <c r="AF195" s="507" t="n">
        <f aca="false">IF(OR($R195="Ground",$S195="Ground"),4,SUM(IF(OR($R195="Flying",$R195="Water"),0-1,IF(OR($R195="Dragon",$R195="Electric",$R195="Grass"),1,0)),IF(OR($S195="Flying",$S195="Water"),0-1,IF(OR($S195="Dragon",$S195="Electric",$S195="Grass"),1,0))))</f>
        <v>1</v>
      </c>
      <c r="AG195" s="507" t="n">
        <f aca="false">SUM(IF(OR($R195="Dark",$R195="Dragon",$R195="Fighting"),0-1,IF(OR($R195="Steel",$R195="Poison",$R195="Fire"),1,0)),IF(OR($S195="Dark",$S195="Dragon",$S195="Fighting"),0-1,IF(OR($S195="Steel",$S195="Poison",$S195="Fire"),1,0)))</f>
        <v>-1</v>
      </c>
      <c r="AH195" s="507" t="n">
        <f aca="false">IF(OR($R195="Ghost",$S195="Ghost"),4,SUM(IF(OR($R195="Dark",$R195="Ice",$R195="Normal",$R195="Rock",$R195="Steel"),0-1,IF(OR($R195="Bug",$R195="Fairy",$R195="Flying",$R195="Poison",$R195="Psychic"),1,0)),IF(OR($S195="Dark",$S195="Ice",$S195="Normal",$S195="Rock",$S195="Steel"),0-1,IF(OR($S195="Bug",$S195="Fairy",$S195="Flying",$S195="Poison",$S195="Psychic"),1,0))))</f>
        <v>0</v>
      </c>
      <c r="AI195" s="507" t="n">
        <f aca="false">SUM(IF(OR($R195="Bug",$R195="Grass",$R195="Ice",$R195="Steel"),0-1,IF(OR($R195="Dragon",$R195="Fire",$R195="Rock",$R195="Water"),1,0)),IF(OR($S195="Bug",$S195="Grass",$S195="Ice",$S195="Steel"),0-1,IF(OR($S195="Dragon",$S195="Fire",$S195="Rock",$S195="Water"),1,0)))</f>
        <v>1</v>
      </c>
      <c r="AJ195" s="507" t="n">
        <f aca="false">SUM(IF(OR($R195="Bug",$R195="Grass",$R195="Fighting"),0-1,IF(OR($R195="Electric",$R195="Rock",$R195="Steel"),1,0)),IF(OR($S195="Bug",$S195="Grass",$S195="Fighting"),0-1,IF(OR($S195="Electric",$S195="Rock",$S195="Steel"),1,0)))</f>
        <v>0</v>
      </c>
      <c r="AK195" s="507" t="n">
        <f aca="false">IF(OR($R195="Normal",$S195="Normal"),4,SUM(IF(OR($R195="Ghost",$R195="Psychic"),0-1,IF($R195="Dark",1,0)),IF(OR($S195="Ghost",$S195="Psychic"),0-1,IF($S195="Dark",1,0))))</f>
        <v>0</v>
      </c>
      <c r="AL195" s="507" t="n">
        <f aca="false">SUM(IF(OR($R195="Ground",$R195="Rock",$R195="Water"),0-1,IF(OR($R195="Bug",$R195="Flying",$R195="Fire",$R195="Dragon",$R195="Poison",$R195="Steel",$R195="Grass"),1,0)),IF(OR($S195="Ground",$S195="Rock",$S195="Water"),0-1,IF(OR($S195="Bug",$S195="Flying",$S195="Fire",$S195="Dragon",$S195="Poison",$S195="Steel",$S195="Grass"),1,0)))</f>
        <v>1</v>
      </c>
      <c r="AM195" s="507" t="n">
        <f aca="false">IF(OR($R195="Flying",$S195="Flying"),4,SUM(IF(OR($R195="Electric",$R195="Fire",$R195="Rock",$R195="Steel",$R195="Poison"),0-1,IF(OR($R195="Bug",$R195="Grass"),1,0)),IF(OR($S195="Electric",$S195="Fire",$S195="Rock",$S195="Steel",$S195="Poison"),0-1,IF(OR($S195="Bug",$S195="Grass"),1,0))))</f>
        <v>0</v>
      </c>
      <c r="AN195" s="507" t="n">
        <f aca="false">SUM(IF(OR($R195="Flying",$R195="Dragon",$R195="Grass",$R195="Ground"),0-1,IF(OR($R195="Steel",$R195="Ice",$R195="Fire",$R195="Water"),1,0)),IF(OR($S195="Flying",$S195="Dragon",$S195="Grass",$S195="Ground"),0-1,IF(OR($S195="Steel",$S195="Ice",$S195="Fire",$S195="Water"),1,0)))</f>
        <v>-1</v>
      </c>
      <c r="AO195" s="507" t="n">
        <f aca="false">IF(OR($R195="Ghost",$S195="Ghost"),4,SUM(IF(OR($R195="Steel",$R195="Rock"),1,0),IF(OR($S195="Steel",$S195="Rock"),1,0)))</f>
        <v>0</v>
      </c>
      <c r="AP195" s="507" t="n">
        <f aca="false">IF(OR($R195="Steel",$S195="Steel"),4,SUM(IF(OR($R195="Fairy",$R195="Grass"),0-1,IF(OR($R195="Ghost",$R195="Rock",$R195="Ground",$R195="Poison"),1,0)),IF(OR($S195="Fairy",$S195="Grass"),0-1,IF(OR($S195="Ghost",$S195="Rock",$S195="Ground",$S195="Poison"),1,0))))</f>
        <v>0</v>
      </c>
      <c r="AQ195" s="507" t="n">
        <f aca="false">IF(OR($R195="Dark",$S195="Dark"),4,SUM(IF(OR($R195="Fighting",$R195="Poison"),0-1,IF(OR($R195="Psychic",$R195="Steel"),1,0)),IF(OR($S195="Fighting",$S195="Poison"),0-1,IF(OR($S195="Psychic",$S195="Steel"),1,0))))</f>
        <v>0</v>
      </c>
      <c r="AR195" s="507" t="n">
        <f aca="false">SUM(IF(OR($R195="Bug",$R195="Fire",$R195="Flying",$R195="Ice"),0-1,IF(OR($R195="Steel",$R195="Fighting",$R195="Ground"),1,0)),IF(OR($S195="Bug",$S195="Fire",$S195="Flying",$S195="Ice"),0-1,IF(OR($S195="Steel",$S195="Fighting",$S195="Ground"),1,0)))</f>
        <v>0</v>
      </c>
      <c r="AS195" s="507" t="n">
        <f aca="false">SUM(IF(OR($R195="Fairy",$R195="Ice",$R195="Rock"),0-1,IF(OR($R195="Steel",$R195="Electric",$R195="Fire",$R195="Water"),1,0)),IF(OR($S195="Fairy",$S195="Ice",$S195="Rock"),0-1,IF(OR($S195="Steel",$S195="Electric",$S195="Fire",$S195="Water"),1,0)))</f>
        <v>0</v>
      </c>
      <c r="AT195" s="508" t="n">
        <f aca="false">SUM(IF(OR($R195="Fire",$R195="Ground",$R195="Rock"),0-1,IF(OR($R195="Dragon",$R195="Grass",$R195="Water"),1,0)),IF(OR($S195="Fire",$S195="Ground",$S195="Rock"),0-1,IF(OR($S195="Dragon",$S195="Grass",$S195="Water"),1,0)))</f>
        <v>1</v>
      </c>
      <c r="AU195" s="518"/>
    </row>
    <row r="196" customFormat="false" ht="15.75" hidden="false" customHeight="false" outlineLevel="0" collapsed="false">
      <c r="A196" s="510" t="str">
        <f aca="false" t="array" ref="A196:A196">IF(ISNA(INDEX(Source!$U$7:$U$95,MATCH(B196,Source!$V$7:$V$95,0))),"FREE",INDEX(Source!$U$7:$U$95,MATCH(B196,Source!$V$7:$V$95,0)))</f>
        <v>FREE</v>
      </c>
      <c r="B196" s="511" t="s">
        <v>633</v>
      </c>
      <c r="C196" s="511"/>
      <c r="D196" s="511"/>
      <c r="E196" s="499" t="str">
        <f aca="false">IF(SUM($W196:$X196)&gt;0,SUM($W196:$X196),IF($H196&gt;0,0,IF($H196&gt;0,0,"-")))</f>
        <v>-</v>
      </c>
      <c r="F196" s="499" t="str">
        <f aca="false">IF(SUM($Y196:$Z196)&gt;0,SUM($Y196:$Z196),IF($H196&gt;0,0,"-"))</f>
        <v>-</v>
      </c>
      <c r="G196" s="499" t="str">
        <f aca="false">IF($H196&gt;0,minus(E196,F196),"-")</f>
        <v>-</v>
      </c>
      <c r="H196" s="500" t="n">
        <f aca="false">SUM(COUNTIF(MatchSource!$A:$A,$B196),COUNTIF(MatchSource!$H:$H,$B196))</f>
        <v>0</v>
      </c>
      <c r="I196" s="501" t="n">
        <f aca="false">SUM($AA196:$AB196)</f>
        <v>0</v>
      </c>
      <c r="J196" s="501" t="s">
        <v>702</v>
      </c>
      <c r="K196" s="512" t="str">
        <f aca="false" t="array" ref="K196:K196">IF(ISNA(INDEX(DraftRosters!$AA$3:$AA$199,MATCH($B196,DraftRosters!$AB$3:$AB$199,0))),"FA",IF(INDEX(DraftRosters!$AA$3:$AA$199,MATCH($B196,DraftRosters!$AB$3:$AB$199,0))="Franchise","Franch",INDEX(DraftRosters!$AA$3:$AA$199,MATCH($B196,DraftRosters!$AB$3:$AB$199,0))))</f>
        <v>FA</v>
      </c>
      <c r="L196" s="499" t="n">
        <v>85</v>
      </c>
      <c r="M196" s="499" t="n">
        <v>97</v>
      </c>
      <c r="N196" s="499" t="n">
        <v>66</v>
      </c>
      <c r="O196" s="499" t="n">
        <v>105</v>
      </c>
      <c r="P196" s="499" t="n">
        <v>66</v>
      </c>
      <c r="Q196" s="501" t="n">
        <v>65</v>
      </c>
      <c r="R196" s="499" t="s">
        <v>800</v>
      </c>
      <c r="S196" s="501"/>
      <c r="T196" s="504" t="s">
        <v>853</v>
      </c>
      <c r="U196" s="505" t="s">
        <v>998</v>
      </c>
      <c r="V196" s="506" t="s">
        <v>995</v>
      </c>
      <c r="W196" s="500" t="str">
        <f aca="false">IFERROR(__xludf.dummyfunction("if(isna(SUM(FILTER(MatchSource!$A:$D,MatchSource!$A:$A=$B196))),0,SUM(FILTER(MatchSource!$A:$D,MatchSource!$A:$A=$B196)))"),"0")</f>
        <v>0</v>
      </c>
      <c r="X196" s="499" t="str">
        <f aca="false">IFERROR(__xludf.dummyfunction("if(isna(SUM(FILTER(MatchSource!$H:$K,MatchSource!$H:$H=$B196))),0,SUM(FILTER(MatchSource!$H:$K,MatchSource!$H:$H=$B196)))"),"0")</f>
        <v>0</v>
      </c>
      <c r="Y196" s="499" t="str">
        <f aca="false">IFERROR(__xludf.dummyfunction("if(isna(ABS(MINUS(SUM(FILTER(MatchSource!$A:$E,MatchSource!$A:$A=$B196)),SUM($W196)))),0,ABS(MINUS(SUM(FILTER(MatchSource!$A:$E,MatchSource!$A:$A=$B196)),SUM($W196))))"),"0")</f>
        <v>0</v>
      </c>
      <c r="Z196" s="499" t="str">
        <f aca="false">IFERROR(__xludf.dummyfunction("if(isna(ABS(MINUS(SUM(FILTER(MatchSource!$H:$L,MatchSource!$H:$H=$B196)),SUM($X196)))),0,ABS(MINUS(SUM(FILTER(MatchSource!$H:$L,MatchSource!$H:$H=$B196)),SUM($X196))))"),"0")</f>
        <v>0</v>
      </c>
      <c r="AA196" s="499" t="str">
        <f aca="false">IFERROR(__xludf.dummyfunction("if(isna(ABS(MINUS(SUM(FILTER(MatchSource!$A:$F,MatchSource!$A:$A=$B196)),SUM($W196,$Y196)))),0,ABS(MINUS(SUM(FILTER(MatchSource!$A:$F,MatchSource!$A:$A=$B196)),SUM($W196, $Y196,))))"),"0")</f>
        <v>0</v>
      </c>
      <c r="AB196" s="501" t="str">
        <f aca="false">IFERROR(__xludf.dummyfunction("if(isna(ABS(MINUS(SUM(FILTER(MatchSource!$H:$M,MatchSource!$H:$H=$B196)),SUM($X196,$Z196)))),0,ABS(MINUS(SUM(FILTER(MatchSource!$H:$M,MatchSource!$H:$H=$B196)),SUM($X196,$Z196))))"),"0")</f>
        <v>0</v>
      </c>
      <c r="AC196" s="507" t="n">
        <f aca="false">SUM(IF(OR($R196="Grass",$R196="Psychic",$R196="Dark"),0-1,IF(OR($R196="Fighting",$R196="Flying",$R196="Fire",$R196="Ghost",$R196="Poison",$R196="Steel",$R196="Fairy"),1,0)),IF(OR($S196="Grass",$S196="Psychic",$S196="Dark"),0-1,IF(OR($S196="Fighting",$S196="Flying",$S196="Fire",$S196="Ghost",$S196="Poison",$S196="Steel",$S196="Fairy"),1,0)))</f>
        <v>1</v>
      </c>
      <c r="AD196" s="507" t="n">
        <f aca="false">SUM(IF(OR($R196="Ghost",$R196="Psychic"),0-1,IF(OR($R196="Fighting",$R196="Dark",$R196="Fairy"),1,0)),IF(OR($S196="Ghost",$S196="Psychic"),0-1,IF(OR($S196="Fighting",$S196="Dark",$S196="Fairy"),1,0)))</f>
        <v>0</v>
      </c>
      <c r="AE196" s="507" t="n">
        <f aca="false">IF(OR($R196="Fairy",$S196="Fairy"),4,SUM(IF($R196="Dragon",0-1,IF($R196="Steel",1,0)),IF($S196="Dragon",0-1,IF($S196="Steel",1,0))))</f>
        <v>0</v>
      </c>
      <c r="AF196" s="507" t="n">
        <f aca="false">IF(OR($R196="Ground",$S196="Ground"),4,SUM(IF(OR($R196="Flying",$R196="Water"),0-1,IF(OR($R196="Dragon",$R196="Electric",$R196="Grass"),1,0)),IF(OR($S196="Flying",$S196="Water"),0-1,IF(OR($S196="Dragon",$S196="Electric",$S196="Grass"),1,0))))</f>
        <v>0</v>
      </c>
      <c r="AG196" s="507" t="n">
        <f aca="false">SUM(IF(OR($R196="Dark",$R196="Dragon",$R196="Fighting"),0-1,IF(OR($R196="Steel",$R196="Poison",$R196="Fire"),1,0)),IF(OR($S196="Dark",$S196="Dragon",$S196="Fighting"),0-1,IF(OR($S196="Steel",$S196="Poison",$S196="Fire"),1,0)))</f>
        <v>1</v>
      </c>
      <c r="AH196" s="507" t="n">
        <f aca="false">IF(OR($R196="Ghost",$S196="Ghost"),4,SUM(IF(OR($R196="Dark",$R196="Ice",$R196="Normal",$R196="Rock",$R196="Steel"),0-1,IF(OR($R196="Bug",$R196="Fairy",$R196="Flying",$R196="Poison",$R196="Psychic"),1,0)),IF(OR($S196="Dark",$S196="Ice",$S196="Normal",$S196="Rock",$S196="Steel"),0-1,IF(OR($S196="Bug",$S196="Fairy",$S196="Flying",$S196="Poison",$S196="Psychic"),1,0))))</f>
        <v>0</v>
      </c>
      <c r="AI196" s="507" t="n">
        <f aca="false">SUM(IF(OR($R196="Bug",$R196="Grass",$R196="Ice",$R196="Steel"),0-1,IF(OR($R196="Dragon",$R196="Fire",$R196="Rock",$R196="Water"),1,0)),IF(OR($S196="Bug",$S196="Grass",$S196="Ice",$S196="Steel"),0-1,IF(OR($S196="Dragon",$S196="Fire",$S196="Rock",$S196="Water"),1,0)))</f>
        <v>1</v>
      </c>
      <c r="AJ196" s="507" t="n">
        <f aca="false">SUM(IF(OR($R196="Bug",$R196="Grass",$R196="Fighting"),0-1,IF(OR($R196="Electric",$R196="Rock",$R196="Steel"),1,0)),IF(OR($S196="Bug",$S196="Grass",$S196="Fighting"),0-1,IF(OR($S196="Electric",$S196="Rock",$S196="Steel"),1,0)))</f>
        <v>0</v>
      </c>
      <c r="AK196" s="507" t="n">
        <f aca="false">IF(OR($R196="Normal",$S196="Normal"),4,SUM(IF(OR($R196="Ghost",$R196="Psychic"),0-1,IF($R196="Dark",1,0)),IF(OR($S196="Ghost",$S196="Psychic"),0-1,IF($S196="Dark",1,0))))</f>
        <v>0</v>
      </c>
      <c r="AL196" s="507" t="n">
        <f aca="false">SUM(IF(OR($R196="Ground",$R196="Rock",$R196="Water"),0-1,IF(OR($R196="Bug",$R196="Flying",$R196="Fire",$R196="Dragon",$R196="Poison",$R196="Steel",$R196="Grass"),1,0)),IF(OR($S196="Ground",$S196="Rock",$S196="Water"),0-1,IF(OR($S196="Bug",$S196="Flying",$S196="Fire",$S196="Dragon",$S196="Poison",$S196="Steel",$S196="Grass"),1,0)))</f>
        <v>1</v>
      </c>
      <c r="AM196" s="507" t="n">
        <f aca="false">IF(OR($R196="Flying",$S196="Flying"),4,SUM(IF(OR($R196="Electric",$R196="Fire",$R196="Rock",$R196="Steel",$R196="Poison"),0-1,IF(OR($R196="Bug",$R196="Grass"),1,0)),IF(OR($S196="Electric",$S196="Fire",$S196="Rock",$S196="Steel",$S196="Poison"),0-1,IF(OR($S196="Bug",$S196="Grass"),1,0))))</f>
        <v>-1</v>
      </c>
      <c r="AN196" s="507" t="n">
        <f aca="false">SUM(IF(OR($R196="Flying",$R196="Dragon",$R196="Grass",$R196="Ground"),0-1,IF(OR($R196="Steel",$R196="Ice",$R196="Fire",$R196="Water"),1,0)),IF(OR($S196="Flying",$S196="Dragon",$S196="Grass",$S196="Ground"),0-1,IF(OR($S196="Steel",$S196="Ice",$S196="Fire",$S196="Water"),1,0)))</f>
        <v>1</v>
      </c>
      <c r="AO196" s="507" t="n">
        <f aca="false">IF(OR($R196="Ghost",$S196="Ghost"),4,SUM(IF(OR($R196="Steel",$R196="Rock"),1,0),IF(OR($S196="Steel",$S196="Rock"),1,0)))</f>
        <v>0</v>
      </c>
      <c r="AP196" s="507" t="n">
        <f aca="false">IF(OR($R196="Steel",$S196="Steel"),4,SUM(IF(OR($R196="Fairy",$R196="Grass"),0-1,IF(OR($R196="Ghost",$R196="Rock",$R196="Ground",$R196="Poison"),1,0)),IF(OR($S196="Fairy",$S196="Grass"),0-1,IF(OR($S196="Ghost",$S196="Rock",$S196="Ground",$S196="Poison"),1,0))))</f>
        <v>0</v>
      </c>
      <c r="AQ196" s="507" t="n">
        <f aca="false">IF(OR($R196="Dark",$S196="Dark"),4,SUM(IF(OR($R196="Fighting",$R196="Poison"),0-1,IF(OR($R196="Psychic",$R196="Steel"),1,0)),IF(OR($S196="Fighting",$S196="Poison"),0-1,IF(OR($S196="Psychic",$S196="Steel"),1,0))))</f>
        <v>0</v>
      </c>
      <c r="AR196" s="507" t="n">
        <f aca="false">SUM(IF(OR($R196="Bug",$R196="Fire",$R196="Flying",$R196="Ice"),0-1,IF(OR($R196="Steel",$R196="Fighting",$R196="Ground"),1,0)),IF(OR($S196="Bug",$S196="Fire",$S196="Flying",$S196="Ice"),0-1,IF(OR($S196="Steel",$S196="Fighting",$S196="Ground"),1,0)))</f>
        <v>-1</v>
      </c>
      <c r="AS196" s="507" t="n">
        <f aca="false">SUM(IF(OR($R196="Fairy",$R196="Ice",$R196="Rock"),0-1,IF(OR($R196="Steel",$R196="Electric",$R196="Fire",$R196="Water"),1,0)),IF(OR($S196="Fairy",$S196="Ice",$S196="Rock"),0-1,IF(OR($S196="Steel",$S196="Electric",$S196="Fire",$S196="Water"),1,0)))</f>
        <v>1</v>
      </c>
      <c r="AT196" s="508" t="n">
        <f aca="false">SUM(IF(OR($R196="Fire",$R196="Ground",$R196="Rock"),0-1,IF(OR($R196="Dragon",$R196="Grass",$R196="Water"),1,0)),IF(OR($S196="Fire",$S196="Ground",$S196="Rock"),0-1,IF(OR($S196="Dragon",$S196="Grass",$S196="Water"),1,0)))</f>
        <v>-1</v>
      </c>
      <c r="AU196" s="518"/>
    </row>
    <row r="197" customFormat="false" ht="15.75" hidden="false" customHeight="false" outlineLevel="0" collapsed="false">
      <c r="A197" s="510" t="str">
        <f aca="false" t="array" ref="A197:A197">IF(ISNA(INDEX(Source!$U$7:$U$95,MATCH(B197,Source!$V$7:$V$95,0))),"FREE",INDEX(Source!$U$7:$U$95,MATCH(B197,Source!$V$7:$V$95,0)))</f>
        <v>FREE</v>
      </c>
      <c r="B197" s="511" t="s">
        <v>342</v>
      </c>
      <c r="C197" s="511"/>
      <c r="D197" s="511"/>
      <c r="E197" s="499" t="str">
        <f aca="false">IF(SUM($W197:$X197)&gt;0,SUM($W197:$X197),IF($H197&gt;0,0,IF($H197&gt;0,0,"-")))</f>
        <v>-</v>
      </c>
      <c r="F197" s="499" t="str">
        <f aca="false">IF(SUM($Y197:$Z197)&gt;0,SUM($Y197:$Z197),IF($H197&gt;0,0,"-"))</f>
        <v>-</v>
      </c>
      <c r="G197" s="499" t="str">
        <f aca="false">IF($H197&gt;0,minus(E197,F197),"-")</f>
        <v>-</v>
      </c>
      <c r="H197" s="500" t="n">
        <f aca="false">SUM(COUNTIF(MatchSource!$A:$A,$B197),COUNTIF(MatchSource!$H:$H,$B197))</f>
        <v>0</v>
      </c>
      <c r="I197" s="501" t="n">
        <f aca="false">SUM($AA197:$AB197)</f>
        <v>0</v>
      </c>
      <c r="J197" s="501" t="s">
        <v>698</v>
      </c>
      <c r="K197" s="512" t="str">
        <f aca="false" t="array" ref="K197:K197">IF(ISNA(INDEX(DraftRosters!$AA$3:$AA$199,MATCH($B197,DraftRosters!$AB$3:$AB$199,0))),"FA",IF(INDEX(DraftRosters!$AA$3:$AA$199,MATCH($B197,DraftRosters!$AB$3:$AB$199,0))="Franchise","Franch",INDEX(DraftRosters!$AA$3:$AA$199,MATCH($B197,DraftRosters!$AB$3:$AB$199,0))))</f>
        <v>FA</v>
      </c>
      <c r="L197" s="507" t="n">
        <v>91</v>
      </c>
      <c r="M197" s="507" t="n">
        <v>90</v>
      </c>
      <c r="N197" s="507" t="n">
        <v>106</v>
      </c>
      <c r="O197" s="507" t="n">
        <v>130</v>
      </c>
      <c r="P197" s="507" t="n">
        <v>106</v>
      </c>
      <c r="Q197" s="508" t="n">
        <v>77</v>
      </c>
      <c r="R197" s="499" t="s">
        <v>800</v>
      </c>
      <c r="S197" s="501" t="s">
        <v>810</v>
      </c>
      <c r="T197" s="504" t="s">
        <v>853</v>
      </c>
      <c r="U197" s="505"/>
      <c r="V197" s="506"/>
      <c r="W197" s="500" t="str">
        <f aca="false">IFERROR(__xludf.dummyfunction("if(isna(SUM(FILTER(MatchSource!$A:$D,MatchSource!$A:$A=$B197))),0,SUM(FILTER(MatchSource!$A:$D,MatchSource!$A:$A=$B197)))"),"0")</f>
        <v>0</v>
      </c>
      <c r="X197" s="499" t="str">
        <f aca="false">IFERROR(__xludf.dummyfunction("if(isna(SUM(FILTER(MatchSource!$H:$K,MatchSource!$H:$H=$B197))),0,SUM(FILTER(MatchSource!$H:$K,MatchSource!$H:$H=$B197)))"),"0")</f>
        <v>0</v>
      </c>
      <c r="Y197" s="499" t="str">
        <f aca="false">IFERROR(__xludf.dummyfunction("if(isna(ABS(MINUS(SUM(FILTER(MatchSource!$A:$E,MatchSource!$A:$A=$B197)),SUM($W197)))),0,ABS(MINUS(SUM(FILTER(MatchSource!$A:$E,MatchSource!$A:$A=$B197)),SUM($W197))))"),"0")</f>
        <v>0</v>
      </c>
      <c r="Z197" s="499" t="str">
        <f aca="false">IFERROR(__xludf.dummyfunction("if(isna(ABS(MINUS(SUM(FILTER(MatchSource!$H:$L,MatchSource!$H:$H=$B197)),SUM($X197)))),0,ABS(MINUS(SUM(FILTER(MatchSource!$H:$L,MatchSource!$H:$H=$B197)),SUM($X197))))"),"0")</f>
        <v>0</v>
      </c>
      <c r="AA197" s="499" t="str">
        <f aca="false">IFERROR(__xludf.dummyfunction("if(isna(ABS(MINUS(SUM(FILTER(MatchSource!$A:$F,MatchSource!$A:$A=$B197)),SUM($W197,$Y197)))),0,ABS(MINUS(SUM(FILTER(MatchSource!$A:$F,MatchSource!$A:$A=$B197)),SUM($W197, $Y197,))))"),"0")</f>
        <v>0</v>
      </c>
      <c r="AB197" s="501" t="str">
        <f aca="false">IFERROR(__xludf.dummyfunction("if(isna(ABS(MINUS(SUM(FILTER(MatchSource!$H:$M,MatchSource!$H:$H=$B197)),SUM($X197,$Z197)))),0,ABS(MINUS(SUM(FILTER(MatchSource!$H:$M,MatchSource!$H:$H=$B197)),SUM($X197,$Z197))))"),"0")</f>
        <v>0</v>
      </c>
      <c r="AC197" s="507" t="n">
        <f aca="false">SUM(IF(OR($R197="Grass",$R197="Psychic",$R197="Dark"),0-1,IF(OR($R197="Fighting",$R197="Flying",$R197="Fire",$R197="Ghost",$R197="Poison",$R197="Steel",$R197="Fairy"),1,0)),IF(OR($S197="Grass",$S197="Psychic",$S197="Dark"),0-1,IF(OR($S197="Fighting",$S197="Flying",$S197="Fire",$S197="Ghost",$S197="Poison",$S197="Steel",$S197="Fairy"),1,0)))</f>
        <v>2</v>
      </c>
      <c r="AD197" s="507" t="n">
        <f aca="false">SUM(IF(OR($R197="Ghost",$R197="Psychic"),0-1,IF(OR($R197="Fighting",$R197="Dark",$R197="Fairy"),1,0)),IF(OR($S197="Ghost",$S197="Psychic"),0-1,IF(OR($S197="Fighting",$S197="Dark",$S197="Fairy"),1,0)))</f>
        <v>0</v>
      </c>
      <c r="AE197" s="507" t="n">
        <f aca="false">IF(OR($R197="Fairy",$S197="Fairy"),4,SUM(IF($R197="Dragon",0-1,IF($R197="Steel",1,0)),IF($S197="Dragon",0-1,IF($S197="Steel",1,0))))</f>
        <v>1</v>
      </c>
      <c r="AF197" s="507" t="n">
        <f aca="false">IF(OR($R197="Ground",$S197="Ground"),4,SUM(IF(OR($R197="Flying",$R197="Water"),0-1,IF(OR($R197="Dragon",$R197="Electric",$R197="Grass"),1,0)),IF(OR($S197="Flying",$S197="Water"),0-1,IF(OR($S197="Dragon",$S197="Electric",$S197="Grass"),1,0))))</f>
        <v>0</v>
      </c>
      <c r="AG197" s="507" t="n">
        <f aca="false">SUM(IF(OR($R197="Dark",$R197="Dragon",$R197="Fighting"),0-1,IF(OR($R197="Steel",$R197="Poison",$R197="Fire"),1,0)),IF(OR($S197="Dark",$S197="Dragon",$S197="Fighting"),0-1,IF(OR($S197="Steel",$S197="Poison",$S197="Fire"),1,0)))</f>
        <v>2</v>
      </c>
      <c r="AH197" s="507" t="n">
        <f aca="false">IF(OR($R197="Ghost",$S197="Ghost"),4,SUM(IF(OR($R197="Dark",$R197="Ice",$R197="Normal",$R197="Rock",$R197="Steel"),0-1,IF(OR($R197="Bug",$R197="Fairy",$R197="Flying",$R197="Poison",$R197="Psychic"),1,0)),IF(OR($S197="Dark",$S197="Ice",$S197="Normal",$S197="Rock",$S197="Steel"),0-1,IF(OR($S197="Bug",$S197="Fairy",$S197="Flying",$S197="Poison",$S197="Psychic"),1,0))))</f>
        <v>-1</v>
      </c>
      <c r="AI197" s="507" t="n">
        <f aca="false">SUM(IF(OR($R197="Bug",$R197="Grass",$R197="Ice",$R197="Steel"),0-1,IF(OR($R197="Dragon",$R197="Fire",$R197="Rock",$R197="Water"),1,0)),IF(OR($S197="Bug",$S197="Grass",$S197="Ice",$S197="Steel"),0-1,IF(OR($S197="Dragon",$S197="Fire",$S197="Rock",$S197="Water"),1,0)))</f>
        <v>0</v>
      </c>
      <c r="AJ197" s="507" t="n">
        <f aca="false">SUM(IF(OR($R197="Bug",$R197="Grass",$R197="Fighting"),0-1,IF(OR($R197="Electric",$R197="Rock",$R197="Steel"),1,0)),IF(OR($S197="Bug",$S197="Grass",$S197="Fighting"),0-1,IF(OR($S197="Electric",$S197="Rock",$S197="Steel"),1,0)))</f>
        <v>1</v>
      </c>
      <c r="AK197" s="507" t="n">
        <f aca="false">IF(OR($R197="Normal",$S197="Normal"),4,SUM(IF(OR($R197="Ghost",$R197="Psychic"),0-1,IF($R197="Dark",1,0)),IF(OR($S197="Ghost",$S197="Psychic"),0-1,IF($S197="Dark",1,0))))</f>
        <v>0</v>
      </c>
      <c r="AL197" s="507" t="n">
        <f aca="false">SUM(IF(OR($R197="Ground",$R197="Rock",$R197="Water"),0-1,IF(OR($R197="Bug",$R197="Flying",$R197="Fire",$R197="Dragon",$R197="Poison",$R197="Steel",$R197="Grass"),1,0)),IF(OR($S197="Ground",$S197="Rock",$S197="Water"),0-1,IF(OR($S197="Bug",$S197="Flying",$S197="Fire",$S197="Dragon",$S197="Poison",$S197="Steel",$S197="Grass"),1,0)))</f>
        <v>2</v>
      </c>
      <c r="AM197" s="507" t="n">
        <f aca="false">IF(OR($R197="Flying",$S197="Flying"),4,SUM(IF(OR($R197="Electric",$R197="Fire",$R197="Rock",$R197="Steel",$R197="Poison"),0-1,IF(OR($R197="Bug",$R197="Grass"),1,0)),IF(OR($S197="Electric",$S197="Fire",$S197="Rock",$S197="Steel",$S197="Poison"),0-1,IF(OR($S197="Bug",$S197="Grass"),1,0))))</f>
        <v>-2</v>
      </c>
      <c r="AN197" s="507" t="n">
        <f aca="false">SUM(IF(OR($R197="Flying",$R197="Dragon",$R197="Grass",$R197="Ground"),0-1,IF(OR($R197="Steel",$R197="Ice",$R197="Fire",$R197="Water"),1,0)),IF(OR($S197="Flying",$S197="Dragon",$S197="Grass",$S197="Ground"),0-1,IF(OR($S197="Steel",$S197="Ice",$S197="Fire",$S197="Water"),1,0)))</f>
        <v>2</v>
      </c>
      <c r="AO197" s="507" t="n">
        <f aca="false">IF(OR($R197="Ghost",$S197="Ghost"),4,SUM(IF(OR($R197="Steel",$R197="Rock"),1,0),IF(OR($S197="Steel",$S197="Rock"),1,0)))</f>
        <v>1</v>
      </c>
      <c r="AP197" s="507" t="n">
        <f aca="false">IF(OR($R197="Steel",$S197="Steel"),4,SUM(IF(OR($R197="Fairy",$R197="Grass"),0-1,IF(OR($R197="Ghost",$R197="Rock",$R197="Ground",$R197="Poison"),1,0)),IF(OR($S197="Fairy",$S197="Grass"),0-1,IF(OR($S197="Ghost",$S197="Rock",$S197="Ground",$S197="Poison"),1,0))))</f>
        <v>4</v>
      </c>
      <c r="AQ197" s="507" t="n">
        <f aca="false">IF(OR($R197="Dark",$S197="Dark"),4,SUM(IF(OR($R197="Fighting",$R197="Poison"),0-1,IF(OR($R197="Psychic",$R197="Steel"),1,0)),IF(OR($S197="Fighting",$S197="Poison"),0-1,IF(OR($S197="Psychic",$S197="Steel"),1,0))))</f>
        <v>1</v>
      </c>
      <c r="AR197" s="507" t="n">
        <f aca="false">SUM(IF(OR($R197="Bug",$R197="Fire",$R197="Flying",$R197="Ice"),0-1,IF(OR($R197="Steel",$R197="Fighting",$R197="Ground"),1,0)),IF(OR($S197="Bug",$S197="Fire",$S197="Flying",$S197="Ice"),0-1,IF(OR($S197="Steel",$S197="Fighting",$S197="Ground"),1,0)))</f>
        <v>0</v>
      </c>
      <c r="AS197" s="507" t="n">
        <f aca="false">SUM(IF(OR($R197="Fairy",$R197="Ice",$R197="Rock"),0-1,IF(OR($R197="Steel",$R197="Electric",$R197="Fire",$R197="Water"),1,0)),IF(OR($S197="Fairy",$S197="Ice",$S197="Rock"),0-1,IF(OR($S197="Steel",$S197="Electric",$S197="Fire",$S197="Water"),1,0)))</f>
        <v>2</v>
      </c>
      <c r="AT197" s="508" t="n">
        <f aca="false">SUM(IF(OR($R197="Fire",$R197="Ground",$R197="Rock"),0-1,IF(OR($R197="Dragon",$R197="Grass",$R197="Water"),1,0)),IF(OR($S197="Fire",$S197="Ground",$S197="Rock"),0-1,IF(OR($S197="Dragon",$S197="Grass",$S197="Water"),1,0)))</f>
        <v>-1</v>
      </c>
      <c r="AU197" s="518"/>
    </row>
    <row r="198" customFormat="false" ht="15.75" hidden="false" customHeight="false" outlineLevel="0" collapsed="false">
      <c r="A198" s="515" t="str">
        <f aca="false" t="array" ref="A198:A198">IF(ISNA(INDEX(Source!$U$7:$U$95,MATCH(B198,Source!$V$7:$V$95,0))),"FREE",INDEX(Source!$U$7:$U$95,MATCH(B198,Source!$V$7:$V$95,0)))</f>
        <v>SEA</v>
      </c>
      <c r="B198" s="511" t="s">
        <v>119</v>
      </c>
      <c r="C198" s="511"/>
      <c r="D198" s="511"/>
      <c r="E198" s="499" t="n">
        <f aca="false">IF(SUM($W198:$X198)&gt;0,SUM($W198:$X198),IF($H198&gt;0,0,IF($H198&gt;0,0,"-")))</f>
        <v>0</v>
      </c>
      <c r="F198" s="499" t="n">
        <f aca="false">IF(SUM($Y198:$Z198)&gt;0,SUM($Y198:$Z198),IF($H198&gt;0,0,"-"))</f>
        <v>0</v>
      </c>
      <c r="G198" s="499" t="e">
        <f aca="false">IF($H198&gt;0,minus(E198,F198),"-")</f>
        <v>#NAME?</v>
      </c>
      <c r="H198" s="500" t="n">
        <f aca="false">SUM(COUNTIF(MatchSource!$A:$A,$B198),COUNTIF(MatchSource!$H:$H,$B198))</f>
        <v>2</v>
      </c>
      <c r="I198" s="501" t="n">
        <f aca="false">SUM($AA198:$AB198)</f>
        <v>0</v>
      </c>
      <c r="J198" s="501" t="s">
        <v>700</v>
      </c>
      <c r="K198" s="512" t="str">
        <f aca="false" t="array" ref="K198:K198">IF(ISNA(INDEX(DraftRosters!$AA$3:$AA$199,MATCH($B198,DraftRosters!$AB$3:$AB$199,0))),"FA",IF(INDEX(DraftRosters!$AA$3:$AA$199,MATCH($B198,DraftRosters!$AB$3:$AB$199,0))="Franchise","Franch",INDEX(DraftRosters!$AA$3:$AA$199,MATCH($B198,DraftRosters!$AB$3:$AB$199,0))))</f>
        <v>FA</v>
      </c>
      <c r="L198" s="499" t="n">
        <v>65</v>
      </c>
      <c r="M198" s="499" t="n">
        <v>55</v>
      </c>
      <c r="N198" s="499" t="n">
        <v>52</v>
      </c>
      <c r="O198" s="499" t="n">
        <v>109</v>
      </c>
      <c r="P198" s="499" t="n">
        <v>94</v>
      </c>
      <c r="Q198" s="501" t="n">
        <v>109</v>
      </c>
      <c r="R198" s="499" t="s">
        <v>845</v>
      </c>
      <c r="S198" s="501" t="s">
        <v>839</v>
      </c>
      <c r="T198" s="504" t="s">
        <v>999</v>
      </c>
      <c r="U198" s="505" t="s">
        <v>915</v>
      </c>
      <c r="V198" s="506" t="s">
        <v>906</v>
      </c>
      <c r="W198" s="500" t="str">
        <f aca="false">IFERROR(__xludf.dummyfunction("if(isna(SUM(FILTER(MatchSource!$A:$D,MatchSource!$A:$A=$B198))),0,SUM(FILTER(MatchSource!$A:$D,MatchSource!$A:$A=$B198)))"),"0")</f>
        <v>0</v>
      </c>
      <c r="X198" s="499" t="str">
        <f aca="false">IFERROR(__xludf.dummyfunction("if(isna(SUM(FILTER(MatchSource!$H:$K,MatchSource!$H:$H=$B198))),0,SUM(FILTER(MatchSource!$H:$K,MatchSource!$H:$H=$B198)))"),"4")</f>
        <v>4</v>
      </c>
      <c r="Y198" s="499" t="str">
        <f aca="false">IFERROR(__xludf.dummyfunction("if(isna(ABS(MINUS(SUM(FILTER(MatchSource!$A:$E,MatchSource!$A:$A=$B198)),SUM($W198)))),0,ABS(MINUS(SUM(FILTER(MatchSource!$A:$E,MatchSource!$A:$A=$B198)),SUM($W198))))"),"0")</f>
        <v>0</v>
      </c>
      <c r="Z198" s="499" t="str">
        <f aca="false">IFERROR(__xludf.dummyfunction("if(isna(ABS(MINUS(SUM(FILTER(MatchSource!$H:$L,MatchSource!$H:$H=$B198)),SUM($X198)))),0,ABS(MINUS(SUM(FILTER(MatchSource!$H:$L,MatchSource!$H:$H=$B198)),SUM($X198))))"),"2")</f>
        <v>2</v>
      </c>
      <c r="AA198" s="499" t="str">
        <f aca="false">IFERROR(__xludf.dummyfunction("if(isna(ABS(MINUS(SUM(FILTER(MatchSource!$A:$F,MatchSource!$A:$A=$B198)),SUM($W198,$Y198)))),0,ABS(MINUS(SUM(FILTER(MatchSource!$A:$F,MatchSource!$A:$A=$B198)),SUM($W198, $Y198,))))"),"0")</f>
        <v>0</v>
      </c>
      <c r="AB198" s="501" t="str">
        <f aca="false">IFERROR(__xludf.dummyfunction("if(isna(ABS(MINUS(SUM(FILTER(MatchSource!$H:$M,MatchSource!$H:$H=$B198)),SUM($X198,$Z198)))),0,ABS(MINUS(SUM(FILTER(MatchSource!$H:$M,MatchSource!$H:$H=$B198)),SUM($X198,$Z198))))"),"1")</f>
        <v>1</v>
      </c>
      <c r="AC198" s="507" t="n">
        <f aca="false">SUM(IF(OR($R198="Grass",$R198="Psychic",$R198="Dark"),0-1,IF(OR($R198="Fighting",$R198="Flying",$R198="Fire",$R198="Ghost",$R198="Poison",$R198="Steel",$R198="Fairy"),1,0)),IF(OR($S198="Grass",$S198="Psychic",$S198="Dark"),0-1,IF(OR($S198="Fighting",$S198="Flying",$S198="Fire",$S198="Ghost",$S198="Poison",$S198="Steel",$S198="Fairy"),1,0)))</f>
        <v>0</v>
      </c>
      <c r="AD198" s="507" t="n">
        <f aca="false">SUM(IF(OR($R198="Ghost",$R198="Psychic"),0-1,IF(OR($R198="Fighting",$R198="Dark",$R198="Fairy"),1,0)),IF(OR($S198="Ghost",$S198="Psychic"),0-1,IF(OR($S198="Fighting",$S198="Dark",$S198="Fairy"),1,0)))</f>
        <v>0</v>
      </c>
      <c r="AE198" s="507" t="n">
        <f aca="false">IF(OR($R198="Fairy",$S198="Fairy"),4,SUM(IF($R198="Dragon",0-1,IF($R198="Steel",1,0)),IF($S198="Dragon",0-1,IF($S198="Steel",1,0))))</f>
        <v>0</v>
      </c>
      <c r="AF198" s="507" t="n">
        <f aca="false">IF(OR($R198="Ground",$S198="Ground"),4,SUM(IF(OR($R198="Flying",$R198="Water"),0-1,IF(OR($R198="Dragon",$R198="Electric",$R198="Grass"),1,0)),IF(OR($S198="Flying",$S198="Water"),0-1,IF(OR($S198="Dragon",$S198="Electric",$S198="Grass"),1,0))))</f>
        <v>1</v>
      </c>
      <c r="AG198" s="507" t="n">
        <f aca="false">SUM(IF(OR($R198="Dark",$R198="Dragon",$R198="Fighting"),0-1,IF(OR($R198="Steel",$R198="Poison",$R198="Fire"),1,0)),IF(OR($S198="Dark",$S198="Dragon",$S198="Fighting"),0-1,IF(OR($S198="Steel",$S198="Poison",$S198="Fire"),1,0)))</f>
        <v>0</v>
      </c>
      <c r="AH198" s="507" t="n">
        <f aca="false">IF(OR($R198="Ghost",$S198="Ghost"),4,SUM(IF(OR($R198="Dark",$R198="Ice",$R198="Normal",$R198="Rock",$R198="Steel"),0-1,IF(OR($R198="Bug",$R198="Fairy",$R198="Flying",$R198="Poison",$R198="Psychic"),1,0)),IF(OR($S198="Dark",$S198="Ice",$S198="Normal",$S198="Rock",$S198="Steel"),0-1,IF(OR($S198="Bug",$S198="Fairy",$S198="Flying",$S198="Poison",$S198="Psychic"),1,0))))</f>
        <v>-1</v>
      </c>
      <c r="AI198" s="507" t="n">
        <f aca="false">SUM(IF(OR($R198="Bug",$R198="Grass",$R198="Ice",$R198="Steel"),0-1,IF(OR($R198="Dragon",$R198="Fire",$R198="Rock",$R198="Water"),1,0)),IF(OR($S198="Bug",$S198="Grass",$S198="Ice",$S198="Steel"),0-1,IF(OR($S198="Dragon",$S198="Fire",$S198="Rock",$S198="Water"),1,0)))</f>
        <v>0</v>
      </c>
      <c r="AJ198" s="507" t="n">
        <f aca="false">SUM(IF(OR($R198="Bug",$R198="Grass",$R198="Fighting"),0-1,IF(OR($R198="Electric",$R198="Rock",$R198="Steel"),1,0)),IF(OR($S198="Bug",$S198="Grass",$S198="Fighting"),0-1,IF(OR($S198="Electric",$S198="Rock",$S198="Steel"),1,0)))</f>
        <v>1</v>
      </c>
      <c r="AK198" s="507" t="n">
        <f aca="false">IF(OR($R198="Normal",$S198="Normal"),4,SUM(IF(OR($R198="Ghost",$R198="Psychic"),0-1,IF($R198="Dark",1,0)),IF(OR($S198="Ghost",$S198="Psychic"),0-1,IF($S198="Dark",1,0))))</f>
        <v>4</v>
      </c>
      <c r="AL198" s="507" t="n">
        <f aca="false">SUM(IF(OR($R198="Ground",$R198="Rock",$R198="Water"),0-1,IF(OR($R198="Bug",$R198="Flying",$R198="Fire",$R198="Dragon",$R198="Poison",$R198="Steel",$R198="Grass"),1,0)),IF(OR($S198="Ground",$S198="Rock",$S198="Water"),0-1,IF(OR($S198="Bug",$S198="Flying",$S198="Fire",$S198="Dragon",$S198="Poison",$S198="Steel",$S198="Grass"),1,0)))</f>
        <v>0</v>
      </c>
      <c r="AM198" s="507" t="n">
        <f aca="false">IF(OR($R198="Flying",$S198="Flying"),4,SUM(IF(OR($R198="Electric",$R198="Fire",$R198="Rock",$R198="Steel",$R198="Poison"),0-1,IF(OR($R198="Bug",$R198="Grass"),1,0)),IF(OR($S198="Electric",$S198="Fire",$S198="Rock",$S198="Steel",$S198="Poison"),0-1,IF(OR($S198="Bug",$S198="Grass"),1,0))))</f>
        <v>-1</v>
      </c>
      <c r="AN198" s="507" t="n">
        <f aca="false">SUM(IF(OR($R198="Flying",$R198="Dragon",$R198="Grass",$R198="Ground"),0-1,IF(OR($R198="Steel",$R198="Ice",$R198="Fire",$R198="Water"),1,0)),IF(OR($S198="Flying",$S198="Dragon",$S198="Grass",$S198="Ground"),0-1,IF(OR($S198="Steel",$S198="Ice",$S198="Fire",$S198="Water"),1,0)))</f>
        <v>0</v>
      </c>
      <c r="AO198" s="507" t="n">
        <f aca="false">IF(OR($R198="Ghost",$S198="Ghost"),4,SUM(IF(OR($R198="Steel",$R198="Rock"),1,0),IF(OR($S198="Steel",$S198="Rock"),1,0)))</f>
        <v>0</v>
      </c>
      <c r="AP198" s="507" t="n">
        <f aca="false">IF(OR($R198="Steel",$S198="Steel"),4,SUM(IF(OR($R198="Fairy",$R198="Grass"),0-1,IF(OR($R198="Ghost",$R198="Rock",$R198="Ground",$R198="Poison"),1,0)),IF(OR($S198="Fairy",$S198="Grass"),0-1,IF(OR($S198="Ghost",$S198="Rock",$S198="Ground",$S198="Poison"),1,0))))</f>
        <v>0</v>
      </c>
      <c r="AQ198" s="507" t="n">
        <f aca="false">IF(OR($R198="Dark",$S198="Dark"),4,SUM(IF(OR($R198="Fighting",$R198="Poison"),0-1,IF(OR($R198="Psychic",$R198="Steel"),1,0)),IF(OR($S198="Fighting",$S198="Poison"),0-1,IF(OR($S198="Psychic",$S198="Steel"),1,0))))</f>
        <v>0</v>
      </c>
      <c r="AR198" s="507" t="n">
        <f aca="false">SUM(IF(OR($R198="Bug",$R198="Fire",$R198="Flying",$R198="Ice"),0-1,IF(OR($R198="Steel",$R198="Fighting",$R198="Ground"),1,0)),IF(OR($S198="Bug",$S198="Fire",$S198="Flying",$S198="Ice"),0-1,IF(OR($S198="Steel",$S198="Fighting",$S198="Ground"),1,0)))</f>
        <v>0</v>
      </c>
      <c r="AS198" s="507" t="n">
        <f aca="false">SUM(IF(OR($R198="Fairy",$R198="Ice",$R198="Rock"),0-1,IF(OR($R198="Steel",$R198="Electric",$R198="Fire",$R198="Water"),1,0)),IF(OR($S198="Fairy",$S198="Ice",$S198="Rock"),0-1,IF(OR($S198="Steel",$S198="Electric",$S198="Fire",$S198="Water"),1,0)))</f>
        <v>1</v>
      </c>
      <c r="AT198" s="508" t="n">
        <f aca="false">SUM(IF(OR($R198="Fire",$R198="Ground",$R198="Rock"),0-1,IF(OR($R198="Dragon",$R198="Grass",$R198="Water"),1,0)),IF(OR($S198="Fire",$S198="Ground",$S198="Rock"),0-1,IF(OR($S198="Dragon",$S198="Grass",$S198="Water"),1,0)))</f>
        <v>0</v>
      </c>
      <c r="AU198" s="518"/>
    </row>
    <row r="199" customFormat="false" ht="15.75" hidden="false" customHeight="false" outlineLevel="0" collapsed="false">
      <c r="A199" s="515" t="str">
        <f aca="false" t="array" ref="A199:A199">IF(ISNA(INDEX(Source!$U$7:$U$95,MATCH(B199,Source!$V$7:$V$95,0))),"FREE",INDEX(Source!$U$7:$U$95,MATCH(B199,Source!$V$7:$V$95,0)))</f>
        <v>FREE</v>
      </c>
      <c r="B199" s="511" t="s">
        <v>448</v>
      </c>
      <c r="C199" s="511"/>
      <c r="D199" s="511"/>
      <c r="E199" s="499" t="str">
        <f aca="false">IF(SUM($W199:$X199)&gt;0,SUM($W199:$X199),IF($H199&gt;0,0,IF($H199&gt;0,0,"-")))</f>
        <v>-</v>
      </c>
      <c r="F199" s="499" t="str">
        <f aca="false">IF(SUM($Y199:$Z199)&gt;0,SUM($Y199:$Z199),IF($H199&gt;0,0,"-"))</f>
        <v>-</v>
      </c>
      <c r="G199" s="499" t="str">
        <f aca="false">IF($H199&gt;0,minus(E199,F199),"-")</f>
        <v>-</v>
      </c>
      <c r="H199" s="500" t="n">
        <f aca="false">SUM(COUNTIF(MatchSource!$A:$A,$B199),COUNTIF(MatchSource!$H:$H,$B199))</f>
        <v>0</v>
      </c>
      <c r="I199" s="501" t="n">
        <f aca="false">SUM($AA199:$AB199)</f>
        <v>0</v>
      </c>
      <c r="J199" s="501" t="s">
        <v>700</v>
      </c>
      <c r="K199" s="512" t="str">
        <f aca="false" t="array" ref="K199:K199">IF(ISNA(INDEX(DraftRosters!$AA$3:$AA$199,MATCH($B199,DraftRosters!$AB$3:$AB$199,0))),"FA",IF(INDEX(DraftRosters!$AA$3:$AA$199,MATCH($B199,DraftRosters!$AB$3:$AB$199,0))="Franchise","Franch",INDEX(DraftRosters!$AA$3:$AA$199,MATCH($B199,DraftRosters!$AB$3:$AB$199,0))))</f>
        <v>FA</v>
      </c>
      <c r="L199" s="499" t="n">
        <v>80</v>
      </c>
      <c r="M199" s="499" t="n">
        <v>125</v>
      </c>
      <c r="N199" s="499" t="n">
        <v>75</v>
      </c>
      <c r="O199" s="499" t="n">
        <v>40</v>
      </c>
      <c r="P199" s="499" t="n">
        <v>95</v>
      </c>
      <c r="Q199" s="501" t="n">
        <v>85</v>
      </c>
      <c r="R199" s="499" t="s">
        <v>794</v>
      </c>
      <c r="S199" s="501" t="s">
        <v>881</v>
      </c>
      <c r="T199" s="504" t="s">
        <v>930</v>
      </c>
      <c r="U199" s="505" t="s">
        <v>857</v>
      </c>
      <c r="V199" s="506" t="s">
        <v>997</v>
      </c>
      <c r="W199" s="500" t="str">
        <f aca="false">IFERROR(__xludf.dummyfunction("if(isna(SUM(FILTER(MatchSource!$A:$D,MatchSource!$A:$A=$B199))),0,SUM(FILTER(MatchSource!$A:$D,MatchSource!$A:$A=$B199)))"),"0")</f>
        <v>0</v>
      </c>
      <c r="X199" s="499" t="str">
        <f aca="false">IFERROR(__xludf.dummyfunction("if(isna(SUM(FILTER(MatchSource!$H:$K,MatchSource!$H:$H=$B199))),0,SUM(FILTER(MatchSource!$H:$K,MatchSource!$H:$H=$B199)))"),"0")</f>
        <v>0</v>
      </c>
      <c r="Y199" s="499" t="str">
        <f aca="false">IFERROR(__xludf.dummyfunction("if(isna(ABS(MINUS(SUM(FILTER(MatchSource!$A:$E,MatchSource!$A:$A=$B199)),SUM($W199)))),0,ABS(MINUS(SUM(FILTER(MatchSource!$A:$E,MatchSource!$A:$A=$B199)),SUM($W199))))"),"0")</f>
        <v>0</v>
      </c>
      <c r="Z199" s="499" t="str">
        <f aca="false">IFERROR(__xludf.dummyfunction("if(isna(ABS(MINUS(SUM(FILTER(MatchSource!$H:$L,MatchSource!$H:$H=$B199)),SUM($X199)))),0,ABS(MINUS(SUM(FILTER(MatchSource!$H:$L,MatchSource!$H:$H=$B199)),SUM($X199))))"),"0")</f>
        <v>0</v>
      </c>
      <c r="AA199" s="499" t="str">
        <f aca="false">IFERROR(__xludf.dummyfunction("if(isna(ABS(MINUS(SUM(FILTER(MatchSource!$A:$F,MatchSource!$A:$A=$B199)),SUM($W199,$Y199)))),0,ABS(MINUS(SUM(FILTER(MatchSource!$A:$F,MatchSource!$A:$A=$B199)),SUM($W199, $Y199,))))"),"0")</f>
        <v>0</v>
      </c>
      <c r="AB199" s="501" t="str">
        <f aca="false">IFERROR(__xludf.dummyfunction("if(isna(ABS(MINUS(SUM(FILTER(MatchSource!$H:$M,MatchSource!$H:$H=$B199)),SUM($X199,$Z199)))),0,ABS(MINUS(SUM(FILTER(MatchSource!$H:$M,MatchSource!$H:$H=$B199)),SUM($X199,$Z199))))"),"0")</f>
        <v>0</v>
      </c>
      <c r="AC199" s="507" t="n">
        <f aca="false">SUM(IF(OR($R199="Grass",$R199="Psychic",$R199="Dark"),0-1,IF(OR($R199="Fighting",$R199="Flying",$R199="Fire",$R199="Ghost",$R199="Poison",$R199="Steel",$R199="Fairy"),1,0)),IF(OR($S199="Grass",$S199="Psychic",$S199="Dark"),0-1,IF(OR($S199="Fighting",$S199="Flying",$S199="Fire",$S199="Ghost",$S199="Poison",$S199="Steel",$S199="Fairy"),1,0)))</f>
        <v>1</v>
      </c>
      <c r="AD199" s="507" t="n">
        <f aca="false">SUM(IF(OR($R199="Ghost",$R199="Psychic"),0-1,IF(OR($R199="Fighting",$R199="Dark",$R199="Fairy"),1,0)),IF(OR($S199="Ghost",$S199="Psychic"),0-1,IF(OR($S199="Fighting",$S199="Dark",$S199="Fairy"),1,0)))</f>
        <v>1</v>
      </c>
      <c r="AE199" s="507" t="n">
        <f aca="false">IF(OR($R199="Fairy",$S199="Fairy"),4,SUM(IF($R199="Dragon",0-1,IF($R199="Steel",1,0)),IF($S199="Dragon",0-1,IF($S199="Steel",1,0))))</f>
        <v>0</v>
      </c>
      <c r="AF199" s="507" t="n">
        <f aca="false">IF(OR($R199="Ground",$S199="Ground"),4,SUM(IF(OR($R199="Flying",$R199="Water"),0-1,IF(OR($R199="Dragon",$R199="Electric",$R199="Grass"),1,0)),IF(OR($S199="Flying",$S199="Water"),0-1,IF(OR($S199="Dragon",$S199="Electric",$S199="Grass"),1,0))))</f>
        <v>0</v>
      </c>
      <c r="AG199" s="507" t="n">
        <f aca="false">SUM(IF(OR($R199="Dark",$R199="Dragon",$R199="Fighting"),0-1,IF(OR($R199="Steel",$R199="Poison",$R199="Fire"),1,0)),IF(OR($S199="Dark",$S199="Dragon",$S199="Fighting"),0-1,IF(OR($S199="Steel",$S199="Poison",$S199="Fire"),1,0)))</f>
        <v>-1</v>
      </c>
      <c r="AH199" s="507" t="n">
        <f aca="false">IF(OR($R199="Ghost",$S199="Ghost"),4,SUM(IF(OR($R199="Dark",$R199="Ice",$R199="Normal",$R199="Rock",$R199="Steel"),0-1,IF(OR($R199="Bug",$R199="Fairy",$R199="Flying",$R199="Poison",$R199="Psychic"),1,0)),IF(OR($S199="Dark",$S199="Ice",$S199="Normal",$S199="Rock",$S199="Steel"),0-1,IF(OR($S199="Bug",$S199="Fairy",$S199="Flying",$S199="Poison",$S199="Psychic"),1,0))))</f>
        <v>1</v>
      </c>
      <c r="AI199" s="507" t="n">
        <f aca="false">SUM(IF(OR($R199="Bug",$R199="Grass",$R199="Ice",$R199="Steel"),0-1,IF(OR($R199="Dragon",$R199="Fire",$R199="Rock",$R199="Water"),1,0)),IF(OR($S199="Bug",$S199="Grass",$S199="Ice",$S199="Steel"),0-1,IF(OR($S199="Dragon",$S199="Fire",$S199="Rock",$S199="Water"),1,0)))</f>
        <v>-1</v>
      </c>
      <c r="AJ199" s="507" t="n">
        <f aca="false">SUM(IF(OR($R199="Bug",$R199="Grass",$R199="Fighting"),0-1,IF(OR($R199="Electric",$R199="Rock",$R199="Steel"),1,0)),IF(OR($S199="Bug",$S199="Grass",$S199="Fighting"),0-1,IF(OR($S199="Electric",$S199="Rock",$S199="Steel"),1,0)))</f>
        <v>-2</v>
      </c>
      <c r="AK199" s="507" t="n">
        <f aca="false">IF(OR($R199="Normal",$S199="Normal"),4,SUM(IF(OR($R199="Ghost",$R199="Psychic"),0-1,IF($R199="Dark",1,0)),IF(OR($S199="Ghost",$S199="Psychic"),0-1,IF($S199="Dark",1,0))))</f>
        <v>0</v>
      </c>
      <c r="AL199" s="507" t="n">
        <f aca="false">SUM(IF(OR($R199="Ground",$R199="Rock",$R199="Water"),0-1,IF(OR($R199="Bug",$R199="Flying",$R199="Fire",$R199="Dragon",$R199="Poison",$R199="Steel",$R199="Grass"),1,0)),IF(OR($S199="Ground",$S199="Rock",$S199="Water"),0-1,IF(OR($S199="Bug",$S199="Flying",$S199="Fire",$S199="Dragon",$S199="Poison",$S199="Steel",$S199="Grass"),1,0)))</f>
        <v>1</v>
      </c>
      <c r="AM199" s="507" t="n">
        <f aca="false">IF(OR($R199="Flying",$S199="Flying"),4,SUM(IF(OR($R199="Electric",$R199="Fire",$R199="Rock",$R199="Steel",$R199="Poison"),0-1,IF(OR($R199="Bug",$R199="Grass"),1,0)),IF(OR($S199="Electric",$S199="Fire",$S199="Rock",$S199="Steel",$S199="Poison"),0-1,IF(OR($S199="Bug",$S199="Grass"),1,0))))</f>
        <v>1</v>
      </c>
      <c r="AN199" s="507" t="n">
        <f aca="false">SUM(IF(OR($R199="Flying",$R199="Dragon",$R199="Grass",$R199="Ground"),0-1,IF(OR($R199="Steel",$R199="Ice",$R199="Fire",$R199="Water"),1,0)),IF(OR($S199="Flying",$S199="Dragon",$S199="Grass",$S199="Ground"),0-1,IF(OR($S199="Steel",$S199="Ice",$S199="Fire",$S199="Water"),1,0)))</f>
        <v>0</v>
      </c>
      <c r="AO199" s="507" t="n">
        <f aca="false">IF(OR($R199="Ghost",$S199="Ghost"),4,SUM(IF(OR($R199="Steel",$R199="Rock"),1,0),IF(OR($S199="Steel",$S199="Rock"),1,0)))</f>
        <v>0</v>
      </c>
      <c r="AP199" s="507" t="n">
        <f aca="false">IF(OR($R199="Steel",$S199="Steel"),4,SUM(IF(OR($R199="Fairy",$R199="Grass"),0-1,IF(OR($R199="Ghost",$R199="Rock",$R199="Ground",$R199="Poison"),1,0)),IF(OR($S199="Fairy",$S199="Grass"),0-1,IF(OR($S199="Ghost",$S199="Rock",$S199="Ground",$S199="Poison"),1,0))))</f>
        <v>0</v>
      </c>
      <c r="AQ199" s="507" t="n">
        <f aca="false">IF(OR($R199="Dark",$S199="Dark"),4,SUM(IF(OR($R199="Fighting",$R199="Poison"),0-1,IF(OR($R199="Psychic",$R199="Steel"),1,0)),IF(OR($S199="Fighting",$S199="Poison"),0-1,IF(OR($S199="Psychic",$S199="Steel"),1,0))))</f>
        <v>-1</v>
      </c>
      <c r="AR199" s="507" t="n">
        <f aca="false">SUM(IF(OR($R199="Bug",$R199="Fire",$R199="Flying",$R199="Ice"),0-1,IF(OR($R199="Steel",$R199="Fighting",$R199="Ground"),1,0)),IF(OR($S199="Bug",$S199="Fire",$S199="Flying",$S199="Ice"),0-1,IF(OR($S199="Steel",$S199="Fighting",$S199="Ground"),1,0)))</f>
        <v>0</v>
      </c>
      <c r="AS199" s="507" t="n">
        <f aca="false">SUM(IF(OR($R199="Fairy",$R199="Ice",$R199="Rock"),0-1,IF(OR($R199="Steel",$R199="Electric",$R199="Fire",$R199="Water"),1,0)),IF(OR($S199="Fairy",$S199="Ice",$S199="Rock"),0-1,IF(OR($S199="Steel",$S199="Electric",$S199="Fire",$S199="Water"),1,0)))</f>
        <v>0</v>
      </c>
      <c r="AT199" s="508" t="n">
        <f aca="false">SUM(IF(OR($R199="Fire",$R199="Ground",$R199="Rock"),0-1,IF(OR($R199="Dragon",$R199="Grass",$R199="Water"),1,0)),IF(OR($S199="Fire",$S199="Ground",$S199="Rock"),0-1,IF(OR($S199="Dragon",$S199="Grass",$S199="Water"),1,0)))</f>
        <v>0</v>
      </c>
      <c r="AU199" s="518"/>
    </row>
    <row r="200" customFormat="false" ht="15.75" hidden="false" customHeight="false" outlineLevel="0" collapsed="false">
      <c r="A200" s="515" t="str">
        <f aca="false" t="array" ref="A200:A200">IF(ISNA(INDEX(Source!$U$7:$U$95,MATCH(B200,Source!$V$7:$V$95,0))),"FREE",INDEX(Source!$U$7:$U$95,MATCH(B200,Source!$V$7:$V$95,0)))</f>
        <v>FREE</v>
      </c>
      <c r="B200" s="511" t="s">
        <v>722</v>
      </c>
      <c r="C200" s="511"/>
      <c r="D200" s="511"/>
      <c r="E200" s="499" t="str">
        <f aca="false">IF(SUM($W200:$X200)&gt;0,SUM($W200:$X200),IF($H200&gt;0,0,IF($H200&gt;0,0,"-")))</f>
        <v>-</v>
      </c>
      <c r="F200" s="499" t="str">
        <f aca="false">IF(SUM($Y200:$Z200)&gt;0,SUM($Y200:$Z200),IF($H200&gt;0,0,"-"))</f>
        <v>-</v>
      </c>
      <c r="G200" s="499" t="str">
        <f aca="false">IF($H200&gt;0,minus(E200,F200),"-")</f>
        <v>-</v>
      </c>
      <c r="H200" s="500" t="n">
        <f aca="false">SUM(COUNTIF(MatchSource!$A:$A,$B200),COUNTIF(MatchSource!$H:$H,$B200))</f>
        <v>0</v>
      </c>
      <c r="I200" s="501" t="n">
        <f aca="false">SUM($AA200:$AB200)</f>
        <v>0</v>
      </c>
      <c r="J200" s="501" t="s">
        <v>276</v>
      </c>
      <c r="K200" s="512" t="str">
        <f aca="false" t="array" ref="K200:K200">IF(ISNA(INDEX(DraftRosters!$AA$3:$AA$199,MATCH($B200,DraftRosters!$AB$3:$AB$199,0))),"FA",IF(INDEX(DraftRosters!$AA$3:$AA$199,MATCH($B200,DraftRosters!$AB$3:$AB$199,0))="Franchise","Franch",INDEX(DraftRosters!$AA$3:$AA$199,MATCH($B200,DraftRosters!$AB$3:$AB$199,0))))</f>
        <v>FA</v>
      </c>
      <c r="L200" s="499" t="n">
        <v>80</v>
      </c>
      <c r="M200" s="499" t="n">
        <v>185</v>
      </c>
      <c r="N200" s="499" t="n">
        <v>115</v>
      </c>
      <c r="O200" s="499" t="n">
        <v>40</v>
      </c>
      <c r="P200" s="499" t="n">
        <v>105</v>
      </c>
      <c r="Q200" s="501" t="n">
        <v>75</v>
      </c>
      <c r="R200" s="499" t="s">
        <v>794</v>
      </c>
      <c r="S200" s="501" t="s">
        <v>881</v>
      </c>
      <c r="T200" s="504" t="s">
        <v>841</v>
      </c>
      <c r="U200" s="513"/>
      <c r="V200" s="514"/>
      <c r="W200" s="500" t="str">
        <f aca="false">IFERROR(__xludf.dummyfunction("if(isna(SUM(FILTER(MatchSource!$A:$D,MatchSource!$A:$A=$B200))),0,SUM(FILTER(MatchSource!$A:$D,MatchSource!$A:$A=$B200)))"),"0")</f>
        <v>0</v>
      </c>
      <c r="X200" s="499" t="str">
        <f aca="false">IFERROR(__xludf.dummyfunction("if(isna(SUM(FILTER(MatchSource!$H:$K,MatchSource!$H:$H=$B200))),0,SUM(FILTER(MatchSource!$H:$K,MatchSource!$H:$H=$B200)))"),"0")</f>
        <v>0</v>
      </c>
      <c r="Y200" s="499" t="str">
        <f aca="false">IFERROR(__xludf.dummyfunction("if(isna(ABS(MINUS(SUM(FILTER(MatchSource!$A:$E,MatchSource!$A:$A=$B200)),SUM($W200)))),0,ABS(MINUS(SUM(FILTER(MatchSource!$A:$E,MatchSource!$A:$A=$B200)),SUM($W200))))"),"0")</f>
        <v>0</v>
      </c>
      <c r="Z200" s="499" t="str">
        <f aca="false">IFERROR(__xludf.dummyfunction("if(isna(ABS(MINUS(SUM(FILTER(MatchSource!$H:$L,MatchSource!$H:$H=$B200)),SUM($X200)))),0,ABS(MINUS(SUM(FILTER(MatchSource!$H:$L,MatchSource!$H:$H=$B200)),SUM($X200))))"),"0")</f>
        <v>0</v>
      </c>
      <c r="AA200" s="499" t="str">
        <f aca="false">IFERROR(__xludf.dummyfunction("if(isna(ABS(MINUS(SUM(FILTER(MatchSource!$A:$F,MatchSource!$A:$A=$B200)),SUM($W200,$Y200)))),0,ABS(MINUS(SUM(FILTER(MatchSource!$A:$F,MatchSource!$A:$A=$B200)),SUM($W200, $Y200,))))"),"0")</f>
        <v>0</v>
      </c>
      <c r="AB200" s="501" t="str">
        <f aca="false">IFERROR(__xludf.dummyfunction("if(isna(ABS(MINUS(SUM(FILTER(MatchSource!$H:$M,MatchSource!$H:$H=$B200)),SUM($X200,$Z200)))),0,ABS(MINUS(SUM(FILTER(MatchSource!$H:$M,MatchSource!$H:$H=$B200)),SUM($X200,$Z200))))"),"0")</f>
        <v>0</v>
      </c>
      <c r="AC200" s="507" t="n">
        <f aca="false">SUM(IF(OR($R200="Grass",$R200="Psychic",$R200="Dark"),0-1,IF(OR($R200="Fighting",$R200="Flying",$R200="Fire",$R200="Ghost",$R200="Poison",$R200="Steel",$R200="Fairy"),1,0)),IF(OR($S200="Grass",$S200="Psychic",$S200="Dark"),0-1,IF(OR($S200="Fighting",$S200="Flying",$S200="Fire",$S200="Ghost",$S200="Poison",$S200="Steel",$S200="Fairy"),1,0)))</f>
        <v>1</v>
      </c>
      <c r="AD200" s="507" t="n">
        <f aca="false">SUM(IF(OR($R200="Ghost",$R200="Psychic"),0-1,IF(OR($R200="Fighting",$R200="Dark",$R200="Fairy"),1,0)),IF(OR($S200="Ghost",$S200="Psychic"),0-1,IF(OR($S200="Fighting",$S200="Dark",$S200="Fairy"),1,0)))</f>
        <v>1</v>
      </c>
      <c r="AE200" s="507" t="n">
        <f aca="false">IF(OR($R200="Fairy",$S200="Fairy"),4,SUM(IF($R200="Dragon",0-1,IF($R200="Steel",1,0)),IF($S200="Dragon",0-1,IF($S200="Steel",1,0))))</f>
        <v>0</v>
      </c>
      <c r="AF200" s="507" t="n">
        <f aca="false">IF(OR($R200="Ground",$S200="Ground"),4,SUM(IF(OR($R200="Flying",$R200="Water"),0-1,IF(OR($R200="Dragon",$R200="Electric",$R200="Grass"),1,0)),IF(OR($S200="Flying",$S200="Water"),0-1,IF(OR($S200="Dragon",$S200="Electric",$S200="Grass"),1,0))))</f>
        <v>0</v>
      </c>
      <c r="AG200" s="507" t="n">
        <f aca="false">SUM(IF(OR($R200="Dark",$R200="Dragon",$R200="Fighting"),0-1,IF(OR($R200="Steel",$R200="Poison",$R200="Fire"),1,0)),IF(OR($S200="Dark",$S200="Dragon",$S200="Fighting"),0-1,IF(OR($S200="Steel",$S200="Poison",$S200="Fire"),1,0)))</f>
        <v>-1</v>
      </c>
      <c r="AH200" s="507" t="n">
        <f aca="false">IF(OR($R200="Ghost",$S200="Ghost"),4,SUM(IF(OR($R200="Dark",$R200="Ice",$R200="Normal",$R200="Rock",$R200="Steel"),0-1,IF(OR($R200="Bug",$R200="Fairy",$R200="Flying",$R200="Poison",$R200="Psychic"),1,0)),IF(OR($S200="Dark",$S200="Ice",$S200="Normal",$S200="Rock",$S200="Steel"),0-1,IF(OR($S200="Bug",$S200="Fairy",$S200="Flying",$S200="Poison",$S200="Psychic"),1,0))))</f>
        <v>1</v>
      </c>
      <c r="AI200" s="507" t="n">
        <f aca="false">SUM(IF(OR($R200="Bug",$R200="Grass",$R200="Ice",$R200="Steel"),0-1,IF(OR($R200="Dragon",$R200="Fire",$R200="Rock",$R200="Water"),1,0)),IF(OR($S200="Bug",$S200="Grass",$S200="Ice",$S200="Steel"),0-1,IF(OR($S200="Dragon",$S200="Fire",$S200="Rock",$S200="Water"),1,0)))</f>
        <v>-1</v>
      </c>
      <c r="AJ200" s="507" t="n">
        <f aca="false">SUM(IF(OR($R200="Bug",$R200="Grass",$R200="Fighting"),0-1,IF(OR($R200="Electric",$R200="Rock",$R200="Steel"),1,0)),IF(OR($S200="Bug",$S200="Grass",$S200="Fighting"),0-1,IF(OR($S200="Electric",$S200="Rock",$S200="Steel"),1,0)))</f>
        <v>-2</v>
      </c>
      <c r="AK200" s="507" t="n">
        <f aca="false">IF(OR($R200="Normal",$S200="Normal"),4,SUM(IF(OR($R200="Ghost",$R200="Psychic"),0-1,IF($R200="Dark",1,0)),IF(OR($S200="Ghost",$S200="Psychic"),0-1,IF($S200="Dark",1,0))))</f>
        <v>0</v>
      </c>
      <c r="AL200" s="507" t="n">
        <f aca="false">SUM(IF(OR($R200="Ground",$R200="Rock",$R200="Water"),0-1,IF(OR($R200="Bug",$R200="Flying",$R200="Fire",$R200="Dragon",$R200="Poison",$R200="Steel",$R200="Grass"),1,0)),IF(OR($S200="Ground",$S200="Rock",$S200="Water"),0-1,IF(OR($S200="Bug",$S200="Flying",$S200="Fire",$S200="Dragon",$S200="Poison",$S200="Steel",$S200="Grass"),1,0)))</f>
        <v>1</v>
      </c>
      <c r="AM200" s="507" t="n">
        <f aca="false">IF(OR($R200="Flying",$S200="Flying"),4,SUM(IF(OR($R200="Electric",$R200="Fire",$R200="Rock",$R200="Steel",$R200="Poison"),0-1,IF(OR($R200="Bug",$R200="Grass"),1,0)),IF(OR($S200="Electric",$S200="Fire",$S200="Rock",$S200="Steel",$S200="Poison"),0-1,IF(OR($S200="Bug",$S200="Grass"),1,0))))</f>
        <v>1</v>
      </c>
      <c r="AN200" s="507" t="n">
        <f aca="false">SUM(IF(OR($R200="Flying",$R200="Dragon",$R200="Grass",$R200="Ground"),0-1,IF(OR($R200="Steel",$R200="Ice",$R200="Fire",$R200="Water"),1,0)),IF(OR($S200="Flying",$S200="Dragon",$S200="Grass",$S200="Ground"),0-1,IF(OR($S200="Steel",$S200="Ice",$S200="Fire",$S200="Water"),1,0)))</f>
        <v>0</v>
      </c>
      <c r="AO200" s="507" t="n">
        <f aca="false">IF(OR($R200="Ghost",$S200="Ghost"),4,SUM(IF(OR($R200="Steel",$R200="Rock"),1,0),IF(OR($S200="Steel",$S200="Rock"),1,0)))</f>
        <v>0</v>
      </c>
      <c r="AP200" s="507" t="n">
        <f aca="false">IF(OR($R200="Steel",$S200="Steel"),4,SUM(IF(OR($R200="Fairy",$R200="Grass"),0-1,IF(OR($R200="Ghost",$R200="Rock",$R200="Ground",$R200="Poison"),1,0)),IF(OR($S200="Fairy",$S200="Grass"),0-1,IF(OR($S200="Ghost",$S200="Rock",$S200="Ground",$S200="Poison"),1,0))))</f>
        <v>0</v>
      </c>
      <c r="AQ200" s="507" t="n">
        <f aca="false">IF(OR($R200="Dark",$S200="Dark"),4,SUM(IF(OR($R200="Fighting",$R200="Poison"),0-1,IF(OR($R200="Psychic",$R200="Steel"),1,0)),IF(OR($S200="Fighting",$S200="Poison"),0-1,IF(OR($S200="Psychic",$S200="Steel"),1,0))))</f>
        <v>-1</v>
      </c>
      <c r="AR200" s="507" t="n">
        <f aca="false">SUM(IF(OR($R200="Bug",$R200="Fire",$R200="Flying",$R200="Ice"),0-1,IF(OR($R200="Steel",$R200="Fighting",$R200="Ground"),1,0)),IF(OR($S200="Bug",$S200="Fire",$S200="Flying",$S200="Ice"),0-1,IF(OR($S200="Steel",$S200="Fighting",$S200="Ground"),1,0)))</f>
        <v>0</v>
      </c>
      <c r="AS200" s="507" t="n">
        <f aca="false">SUM(IF(OR($R200="Fairy",$R200="Ice",$R200="Rock"),0-1,IF(OR($R200="Steel",$R200="Electric",$R200="Fire",$R200="Water"),1,0)),IF(OR($S200="Fairy",$S200="Ice",$S200="Rock"),0-1,IF(OR($S200="Steel",$S200="Electric",$S200="Fire",$S200="Water"),1,0)))</f>
        <v>0</v>
      </c>
      <c r="AT200" s="508" t="n">
        <f aca="false">SUM(IF(OR($R200="Fire",$R200="Ground",$R200="Rock"),0-1,IF(OR($R200="Dragon",$R200="Grass",$R200="Water"),1,0)),IF(OR($S200="Fire",$S200="Ground",$S200="Rock"),0-1,IF(OR($S200="Dragon",$S200="Grass",$S200="Water"),1,0)))</f>
        <v>0</v>
      </c>
      <c r="AU200" s="518"/>
    </row>
    <row r="201" customFormat="false" ht="15.75" hidden="false" customHeight="false" outlineLevel="0" collapsed="false">
      <c r="A201" s="515" t="str">
        <f aca="false" t="array" ref="A201:A201">IF(ISNA(INDEX(Source!$U$7:$U$95,MATCH(B201,Source!$V$7:$V$95,0))),"FREE",INDEX(Source!$U$7:$U$95,MATCH(B201,Source!$V$7:$V$95,0)))</f>
        <v>FREE</v>
      </c>
      <c r="B201" s="511" t="s">
        <v>349</v>
      </c>
      <c r="C201" s="511"/>
      <c r="D201" s="511"/>
      <c r="E201" s="499" t="str">
        <f aca="false">IF(SUM($W201:$X201)&gt;0,SUM($W201:$X201),IF($H201&gt;0,0,IF($H201&gt;0,0,"-")))</f>
        <v>-</v>
      </c>
      <c r="F201" s="499" t="str">
        <f aca="false">IF(SUM($Y201:$Z201)&gt;0,SUM($Y201:$Z201),IF($H201&gt;0,0,"-"))</f>
        <v>-</v>
      </c>
      <c r="G201" s="499" t="str">
        <f aca="false">IF($H201&gt;0,minus(E201,F201),"-")</f>
        <v>-</v>
      </c>
      <c r="H201" s="500" t="n">
        <f aca="false">SUM(COUNTIF(MatchSource!$A:$A,$B201),COUNTIF(MatchSource!$H:$H,$B201))</f>
        <v>0</v>
      </c>
      <c r="I201" s="501" t="n">
        <f aca="false">SUM($AA201:$AB201)</f>
        <v>0</v>
      </c>
      <c r="J201" s="501" t="s">
        <v>698</v>
      </c>
      <c r="K201" s="512" t="str">
        <f aca="false" t="array" ref="K201:K201">IF(ISNA(INDEX(DraftRosters!$AA$3:$AA$199,MATCH($B201,DraftRosters!$AB$3:$AB$199,0))),"FA",IF(INDEX(DraftRosters!$AA$3:$AA$199,MATCH($B201,DraftRosters!$AB$3:$AB$199,0))="Franchise","Franch",INDEX(DraftRosters!$AA$3:$AA$199,MATCH($B201,DraftRosters!$AB$3:$AB$199,0))))</f>
        <v>FA</v>
      </c>
      <c r="L201" s="507" t="n">
        <v>108</v>
      </c>
      <c r="M201" s="507" t="n">
        <v>112</v>
      </c>
      <c r="N201" s="507" t="n">
        <v>118</v>
      </c>
      <c r="O201" s="507" t="n">
        <v>68</v>
      </c>
      <c r="P201" s="507" t="n">
        <v>72</v>
      </c>
      <c r="Q201" s="508" t="n">
        <v>47</v>
      </c>
      <c r="R201" s="499" t="s">
        <v>907</v>
      </c>
      <c r="S201" s="501"/>
      <c r="T201" s="504" t="s">
        <v>959</v>
      </c>
      <c r="U201" s="505" t="s">
        <v>980</v>
      </c>
      <c r="V201" s="506"/>
      <c r="W201" s="500" t="str">
        <f aca="false">IFERROR(__xludf.dummyfunction("if(isna(SUM(FILTER(MatchSource!$A:$D,MatchSource!$A:$A=$B201))),0,SUM(FILTER(MatchSource!$A:$D,MatchSource!$A:$A=$B201)))"),"0")</f>
        <v>0</v>
      </c>
      <c r="X201" s="499" t="str">
        <f aca="false">IFERROR(__xludf.dummyfunction("if(isna(SUM(FILTER(MatchSource!$H:$K,MatchSource!$H:$H=$B201))),0,SUM(FILTER(MatchSource!$H:$K,MatchSource!$H:$H=$B201)))"),"0")</f>
        <v>0</v>
      </c>
      <c r="Y201" s="499" t="str">
        <f aca="false">IFERROR(__xludf.dummyfunction("if(isna(ABS(MINUS(SUM(FILTER(MatchSource!$A:$E,MatchSource!$A:$A=$B201)),SUM($W201)))),0,ABS(MINUS(SUM(FILTER(MatchSource!$A:$E,MatchSource!$A:$A=$B201)),SUM($W201))))"),"0")</f>
        <v>0</v>
      </c>
      <c r="Z201" s="499" t="str">
        <f aca="false">IFERROR(__xludf.dummyfunction("if(isna(ABS(MINUS(SUM(FILTER(MatchSource!$H:$L,MatchSource!$H:$H=$B201)),SUM($X201)))),0,ABS(MINUS(SUM(FILTER(MatchSource!$H:$L,MatchSource!$H:$H=$B201)),SUM($X201))))"),"0")</f>
        <v>0</v>
      </c>
      <c r="AA201" s="499" t="str">
        <f aca="false">IFERROR(__xludf.dummyfunction("if(isna(ABS(MINUS(SUM(FILTER(MatchSource!$A:$F,MatchSource!$A:$A=$B201)),SUM($W201,$Y201)))),0,ABS(MINUS(SUM(FILTER(MatchSource!$A:$F,MatchSource!$A:$A=$B201)),SUM($W201, $Y201,))))"),"0")</f>
        <v>0</v>
      </c>
      <c r="AB201" s="501" t="str">
        <f aca="false">IFERROR(__xludf.dummyfunction("if(isna(ABS(MINUS(SUM(FILTER(MatchSource!$H:$M,MatchSource!$H:$H=$B201)),SUM($X201,$Z201)))),0,ABS(MINUS(SUM(FILTER(MatchSource!$H:$M,MatchSource!$H:$H=$B201)),SUM($X201,$Z201))))"),"0")</f>
        <v>0</v>
      </c>
      <c r="AC201" s="507" t="n">
        <f aca="false">SUM(IF(OR($R201="Grass",$R201="Psychic",$R201="Dark"),0-1,IF(OR($R201="Fighting",$R201="Flying",$R201="Fire",$R201="Ghost",$R201="Poison",$R201="Steel",$R201="Fairy"),1,0)),IF(OR($S201="Grass",$S201="Psychic",$S201="Dark"),0-1,IF(OR($S201="Fighting",$S201="Flying",$S201="Fire",$S201="Ghost",$S201="Poison",$S201="Steel",$S201="Fairy"),1,0)))</f>
        <v>0</v>
      </c>
      <c r="AD201" s="507" t="n">
        <f aca="false">SUM(IF(OR($R201="Ghost",$R201="Psychic"),0-1,IF(OR($R201="Fighting",$R201="Dark",$R201="Fairy"),1,0)),IF(OR($S201="Ghost",$S201="Psychic"),0-1,IF(OR($S201="Fighting",$S201="Dark",$S201="Fairy"),1,0)))</f>
        <v>0</v>
      </c>
      <c r="AE201" s="507" t="n">
        <f aca="false">IF(OR($R201="Fairy",$S201="Fairy"),4,SUM(IF($R201="Dragon",0-1,IF($R201="Steel",1,0)),IF($S201="Dragon",0-1,IF($S201="Steel",1,0))))</f>
        <v>0</v>
      </c>
      <c r="AF201" s="507" t="n">
        <f aca="false">IF(OR($R201="Ground",$S201="Ground"),4,SUM(IF(OR($R201="Flying",$R201="Water"),0-1,IF(OR($R201="Dragon",$R201="Electric",$R201="Grass"),1,0)),IF(OR($S201="Flying",$S201="Water"),0-1,IF(OR($S201="Dragon",$S201="Electric",$S201="Grass"),1,0))))</f>
        <v>4</v>
      </c>
      <c r="AG201" s="507" t="n">
        <f aca="false">SUM(IF(OR($R201="Dark",$R201="Dragon",$R201="Fighting"),0-1,IF(OR($R201="Steel",$R201="Poison",$R201="Fire"),1,0)),IF(OR($S201="Dark",$S201="Dragon",$S201="Fighting"),0-1,IF(OR($S201="Steel",$S201="Poison",$S201="Fire"),1,0)))</f>
        <v>0</v>
      </c>
      <c r="AH201" s="507" t="n">
        <f aca="false">IF(OR($R201="Ghost",$S201="Ghost"),4,SUM(IF(OR($R201="Dark",$R201="Ice",$R201="Normal",$R201="Rock",$R201="Steel"),0-1,IF(OR($R201="Bug",$R201="Fairy",$R201="Flying",$R201="Poison",$R201="Psychic"),1,0)),IF(OR($S201="Dark",$S201="Ice",$S201="Normal",$S201="Rock",$S201="Steel"),0-1,IF(OR($S201="Bug",$S201="Fairy",$S201="Flying",$S201="Poison",$S201="Psychic"),1,0))))</f>
        <v>0</v>
      </c>
      <c r="AI201" s="507" t="n">
        <f aca="false">SUM(IF(OR($R201="Bug",$R201="Grass",$R201="Ice",$R201="Steel"),0-1,IF(OR($R201="Dragon",$R201="Fire",$R201="Rock",$R201="Water"),1,0)),IF(OR($S201="Bug",$S201="Grass",$S201="Ice",$S201="Steel"),0-1,IF(OR($S201="Dragon",$S201="Fire",$S201="Rock",$S201="Water"),1,0)))</f>
        <v>0</v>
      </c>
      <c r="AJ201" s="507" t="n">
        <f aca="false">SUM(IF(OR($R201="Bug",$R201="Grass",$R201="Fighting"),0-1,IF(OR($R201="Electric",$R201="Rock",$R201="Steel"),1,0)),IF(OR($S201="Bug",$S201="Grass",$S201="Fighting"),0-1,IF(OR($S201="Electric",$S201="Rock",$S201="Steel"),1,0)))</f>
        <v>0</v>
      </c>
      <c r="AK201" s="507" t="n">
        <f aca="false">IF(OR($R201="Normal",$S201="Normal"),4,SUM(IF(OR($R201="Ghost",$R201="Psychic"),0-1,IF($R201="Dark",1,0)),IF(OR($S201="Ghost",$S201="Psychic"),0-1,IF($S201="Dark",1,0))))</f>
        <v>0</v>
      </c>
      <c r="AL201" s="507" t="n">
        <f aca="false">SUM(IF(OR($R201="Ground",$R201="Rock",$R201="Water"),0-1,IF(OR($R201="Bug",$R201="Flying",$R201="Fire",$R201="Dragon",$R201="Poison",$R201="Steel",$R201="Grass"),1,0)),IF(OR($S201="Ground",$S201="Rock",$S201="Water"),0-1,IF(OR($S201="Bug",$S201="Flying",$S201="Fire",$S201="Dragon",$S201="Poison",$S201="Steel",$S201="Grass"),1,0)))</f>
        <v>-1</v>
      </c>
      <c r="AM201" s="507" t="n">
        <f aca="false">IF(OR($R201="Flying",$S201="Flying"),4,SUM(IF(OR($R201="Electric",$R201="Fire",$R201="Rock",$R201="Steel",$R201="Poison"),0-1,IF(OR($R201="Bug",$R201="Grass"),1,0)),IF(OR($S201="Electric",$S201="Fire",$S201="Rock",$S201="Steel",$S201="Poison"),0-1,IF(OR($S201="Bug",$S201="Grass"),1,0))))</f>
        <v>0</v>
      </c>
      <c r="AN201" s="507" t="n">
        <f aca="false">SUM(IF(OR($R201="Flying",$R201="Dragon",$R201="Grass",$R201="Ground"),0-1,IF(OR($R201="Steel",$R201="Ice",$R201="Fire",$R201="Water"),1,0)),IF(OR($S201="Flying",$S201="Dragon",$S201="Grass",$S201="Ground"),0-1,IF(OR($S201="Steel",$S201="Ice",$S201="Fire",$S201="Water"),1,0)))</f>
        <v>-1</v>
      </c>
      <c r="AO201" s="507" t="n">
        <f aca="false">IF(OR($R201="Ghost",$S201="Ghost"),4,SUM(IF(OR($R201="Steel",$R201="Rock"),1,0),IF(OR($S201="Steel",$S201="Rock"),1,0)))</f>
        <v>0</v>
      </c>
      <c r="AP201" s="507" t="n">
        <f aca="false">IF(OR($R201="Steel",$S201="Steel"),4,SUM(IF(OR($R201="Fairy",$R201="Grass"),0-1,IF(OR($R201="Ghost",$R201="Rock",$R201="Ground",$R201="Poison"),1,0)),IF(OR($S201="Fairy",$S201="Grass"),0-1,IF(OR($S201="Ghost",$S201="Rock",$S201="Ground",$S201="Poison"),1,0))))</f>
        <v>1</v>
      </c>
      <c r="AQ201" s="507" t="n">
        <f aca="false">IF(OR($R201="Dark",$S201="Dark"),4,SUM(IF(OR($R201="Fighting",$R201="Poison"),0-1,IF(OR($R201="Psychic",$R201="Steel"),1,0)),IF(OR($S201="Fighting",$S201="Poison"),0-1,IF(OR($S201="Psychic",$S201="Steel"),1,0))))</f>
        <v>0</v>
      </c>
      <c r="AR201" s="507" t="n">
        <f aca="false">SUM(IF(OR($R201="Bug",$R201="Fire",$R201="Flying",$R201="Ice"),0-1,IF(OR($R201="Steel",$R201="Fighting",$R201="Ground"),1,0)),IF(OR($S201="Bug",$S201="Fire",$S201="Flying",$S201="Ice"),0-1,IF(OR($S201="Steel",$S201="Fighting",$S201="Ground"),1,0)))</f>
        <v>1</v>
      </c>
      <c r="AS201" s="507" t="n">
        <f aca="false">SUM(IF(OR($R201="Fairy",$R201="Ice",$R201="Rock"),0-1,IF(OR($R201="Steel",$R201="Electric",$R201="Fire",$R201="Water"),1,0)),IF(OR($S201="Fairy",$S201="Ice",$S201="Rock"),0-1,IF(OR($S201="Steel",$S201="Electric",$S201="Fire",$S201="Water"),1,0)))</f>
        <v>0</v>
      </c>
      <c r="AT201" s="508" t="n">
        <f aca="false">SUM(IF(OR($R201="Fire",$R201="Ground",$R201="Rock"),0-1,IF(OR($R201="Dragon",$R201="Grass",$R201="Water"),1,0)),IF(OR($S201="Fire",$S201="Ground",$S201="Rock"),0-1,IF(OR($S201="Dragon",$S201="Grass",$S201="Water"),1,0)))</f>
        <v>-1</v>
      </c>
      <c r="AU201" s="518"/>
    </row>
    <row r="202" customFormat="false" ht="15.75" hidden="false" customHeight="false" outlineLevel="0" collapsed="false">
      <c r="A202" s="510" t="str">
        <f aca="false" t="array" ref="A202:A202">IF(ISNA(INDEX(Source!$U$7:$U$95,MATCH(B202,Source!$V$7:$V$95,0))),"FREE",INDEX(Source!$U$7:$U$95,MATCH(B202,Source!$V$7:$V$95,0)))</f>
        <v>FREE</v>
      </c>
      <c r="B202" s="511" t="s">
        <v>511</v>
      </c>
      <c r="C202" s="511"/>
      <c r="D202" s="511"/>
      <c r="E202" s="499" t="str">
        <f aca="false">IF(SUM($W202:$X202)&gt;0,SUM($W202:$X202),IF($H202&gt;0,0,IF($H202&gt;0,0,"-")))</f>
        <v>-</v>
      </c>
      <c r="F202" s="499" t="str">
        <f aca="false">IF(SUM($Y202:$Z202)&gt;0,SUM($Y202:$Z202),IF($H202&gt;0,0,"-"))</f>
        <v>-</v>
      </c>
      <c r="G202" s="499" t="str">
        <f aca="false">IF($H202&gt;0,minus(E202,F202),"-")</f>
        <v>-</v>
      </c>
      <c r="H202" s="500" t="n">
        <f aca="false">SUM(COUNTIF(MatchSource!$A:$A,$B202),COUNTIF(MatchSource!$H:$H,$B202))</f>
        <v>0</v>
      </c>
      <c r="I202" s="501" t="n">
        <f aca="false">SUM($AA202:$AB202)</f>
        <v>0</v>
      </c>
      <c r="J202" s="501" t="s">
        <v>701</v>
      </c>
      <c r="K202" s="512" t="str">
        <f aca="false" t="array" ref="K202:K202">IF(ISNA(INDEX(DraftRosters!$AA$3:$AA$199,MATCH($B202,DraftRosters!$AB$3:$AB$199,0))),"FA",IF(INDEX(DraftRosters!$AA$3:$AA$199,MATCH($B202,DraftRosters!$AB$3:$AB$199,0))="Franchise","Franch",INDEX(DraftRosters!$AA$3:$AA$199,MATCH($B202,DraftRosters!$AB$3:$AB$199,0))))</f>
        <v>FA</v>
      </c>
      <c r="L202" s="499" t="n">
        <v>50</v>
      </c>
      <c r="M202" s="499" t="n">
        <v>105</v>
      </c>
      <c r="N202" s="499" t="n">
        <v>79</v>
      </c>
      <c r="O202" s="499" t="n">
        <v>35</v>
      </c>
      <c r="P202" s="499" t="n">
        <v>110</v>
      </c>
      <c r="Q202" s="501" t="n">
        <v>76</v>
      </c>
      <c r="R202" s="499" t="s">
        <v>881</v>
      </c>
      <c r="S202" s="501"/>
      <c r="T202" s="504" t="s">
        <v>829</v>
      </c>
      <c r="U202" s="505" t="s">
        <v>897</v>
      </c>
      <c r="V202" s="506" t="s">
        <v>931</v>
      </c>
      <c r="W202" s="500" t="str">
        <f aca="false">IFERROR(__xludf.dummyfunction("if(isna(SUM(FILTER(MatchSource!$A:$D,MatchSource!$A:$A=$B202))),0,SUM(FILTER(MatchSource!$A:$D,MatchSource!$A:$A=$B202)))"),"0")</f>
        <v>0</v>
      </c>
      <c r="X202" s="499" t="str">
        <f aca="false">IFERROR(__xludf.dummyfunction("if(isna(SUM(FILTER(MatchSource!$H:$K,MatchSource!$H:$H=$B202))),0,SUM(FILTER(MatchSource!$H:$K,MatchSource!$H:$H=$B202)))"),"0")</f>
        <v>0</v>
      </c>
      <c r="Y202" s="499" t="str">
        <f aca="false">IFERROR(__xludf.dummyfunction("if(isna(ABS(MINUS(SUM(FILTER(MatchSource!$A:$E,MatchSource!$A:$A=$B202)),SUM($W202)))),0,ABS(MINUS(SUM(FILTER(MatchSource!$A:$E,MatchSource!$A:$A=$B202)),SUM($W202))))"),"0")</f>
        <v>0</v>
      </c>
      <c r="Z202" s="499" t="str">
        <f aca="false">IFERROR(__xludf.dummyfunction("if(isna(ABS(MINUS(SUM(FILTER(MatchSource!$H:$L,MatchSource!$H:$H=$B202)),SUM($X202)))),0,ABS(MINUS(SUM(FILTER(MatchSource!$H:$L,MatchSource!$H:$H=$B202)),SUM($X202))))"),"0")</f>
        <v>0</v>
      </c>
      <c r="AA202" s="499" t="str">
        <f aca="false">IFERROR(__xludf.dummyfunction("if(isna(ABS(MINUS(SUM(FILTER(MatchSource!$A:$F,MatchSource!$A:$A=$B202)),SUM($W202,$Y202)))),0,ABS(MINUS(SUM(FILTER(MatchSource!$A:$F,MatchSource!$A:$A=$B202)),SUM($W202, $Y202,))))"),"0")</f>
        <v>0</v>
      </c>
      <c r="AB202" s="501" t="str">
        <f aca="false">IFERROR(__xludf.dummyfunction("if(isna(ABS(MINUS(SUM(FILTER(MatchSource!$H:$M,MatchSource!$H:$H=$B202)),SUM($X202,$Z202)))),0,ABS(MINUS(SUM(FILTER(MatchSource!$H:$M,MatchSource!$H:$H=$B202)),SUM($X202,$Z202))))"),"0")</f>
        <v>0</v>
      </c>
      <c r="AC202" s="507" t="n">
        <f aca="false">SUM(IF(OR($R202="Grass",$R202="Psychic",$R202="Dark"),0-1,IF(OR($R202="Fighting",$R202="Flying",$R202="Fire",$R202="Ghost",$R202="Poison",$R202="Steel",$R202="Fairy"),1,0)),IF(OR($S202="Grass",$S202="Psychic",$S202="Dark"),0-1,IF(OR($S202="Fighting",$S202="Flying",$S202="Fire",$S202="Ghost",$S202="Poison",$S202="Steel",$S202="Fairy"),1,0)))</f>
        <v>1</v>
      </c>
      <c r="AD202" s="507" t="n">
        <f aca="false">SUM(IF(OR($R202="Ghost",$R202="Psychic"),0-1,IF(OR($R202="Fighting",$R202="Dark",$R202="Fairy"),1,0)),IF(OR($S202="Ghost",$S202="Psychic"),0-1,IF(OR($S202="Fighting",$S202="Dark",$S202="Fairy"),1,0)))</f>
        <v>1</v>
      </c>
      <c r="AE202" s="507" t="n">
        <f aca="false">IF(OR($R202="Fairy",$S202="Fairy"),4,SUM(IF($R202="Dragon",0-1,IF($R202="Steel",1,0)),IF($S202="Dragon",0-1,IF($S202="Steel",1,0))))</f>
        <v>0</v>
      </c>
      <c r="AF202" s="507" t="n">
        <f aca="false">IF(OR($R202="Ground",$S202="Ground"),4,SUM(IF(OR($R202="Flying",$R202="Water"),0-1,IF(OR($R202="Dragon",$R202="Electric",$R202="Grass"),1,0)),IF(OR($S202="Flying",$S202="Water"),0-1,IF(OR($S202="Dragon",$S202="Electric",$S202="Grass"),1,0))))</f>
        <v>0</v>
      </c>
      <c r="AG202" s="507" t="n">
        <f aca="false">SUM(IF(OR($R202="Dark",$R202="Dragon",$R202="Fighting"),0-1,IF(OR($R202="Steel",$R202="Poison",$R202="Fire"),1,0)),IF(OR($S202="Dark",$S202="Dragon",$S202="Fighting"),0-1,IF(OR($S202="Steel",$S202="Poison",$S202="Fire"),1,0)))</f>
        <v>-1</v>
      </c>
      <c r="AH202" s="507" t="n">
        <f aca="false">IF(OR($R202="Ghost",$S202="Ghost"),4,SUM(IF(OR($R202="Dark",$R202="Ice",$R202="Normal",$R202="Rock",$R202="Steel"),0-1,IF(OR($R202="Bug",$R202="Fairy",$R202="Flying",$R202="Poison",$R202="Psychic"),1,0)),IF(OR($S202="Dark",$S202="Ice",$S202="Normal",$S202="Rock",$S202="Steel"),0-1,IF(OR($S202="Bug",$S202="Fairy",$S202="Flying",$S202="Poison",$S202="Psychic"),1,0))))</f>
        <v>0</v>
      </c>
      <c r="AI202" s="507" t="n">
        <f aca="false">SUM(IF(OR($R202="Bug",$R202="Grass",$R202="Ice",$R202="Steel"),0-1,IF(OR($R202="Dragon",$R202="Fire",$R202="Rock",$R202="Water"),1,0)),IF(OR($S202="Bug",$S202="Grass",$S202="Ice",$S202="Steel"),0-1,IF(OR($S202="Dragon",$S202="Fire",$S202="Rock",$S202="Water"),1,0)))</f>
        <v>0</v>
      </c>
      <c r="AJ202" s="507" t="n">
        <f aca="false">SUM(IF(OR($R202="Bug",$R202="Grass",$R202="Fighting"),0-1,IF(OR($R202="Electric",$R202="Rock",$R202="Steel"),1,0)),IF(OR($S202="Bug",$S202="Grass",$S202="Fighting"),0-1,IF(OR($S202="Electric",$S202="Rock",$S202="Steel"),1,0)))</f>
        <v>-1</v>
      </c>
      <c r="AK202" s="507" t="n">
        <f aca="false">IF(OR($R202="Normal",$S202="Normal"),4,SUM(IF(OR($R202="Ghost",$R202="Psychic"),0-1,IF($R202="Dark",1,0)),IF(OR($S202="Ghost",$S202="Psychic"),0-1,IF($S202="Dark",1,0))))</f>
        <v>0</v>
      </c>
      <c r="AL202" s="507" t="n">
        <f aca="false">SUM(IF(OR($R202="Ground",$R202="Rock",$R202="Water"),0-1,IF(OR($R202="Bug",$R202="Flying",$R202="Fire",$R202="Dragon",$R202="Poison",$R202="Steel",$R202="Grass"),1,0)),IF(OR($S202="Ground",$S202="Rock",$S202="Water"),0-1,IF(OR($S202="Bug",$S202="Flying",$S202="Fire",$S202="Dragon",$S202="Poison",$S202="Steel",$S202="Grass"),1,0)))</f>
        <v>0</v>
      </c>
      <c r="AM202" s="507" t="n">
        <f aca="false">IF(OR($R202="Flying",$S202="Flying"),4,SUM(IF(OR($R202="Electric",$R202="Fire",$R202="Rock",$R202="Steel",$R202="Poison"),0-1,IF(OR($R202="Bug",$R202="Grass"),1,0)),IF(OR($S202="Electric",$S202="Fire",$S202="Rock",$S202="Steel",$S202="Poison"),0-1,IF(OR($S202="Bug",$S202="Grass"),1,0))))</f>
        <v>0</v>
      </c>
      <c r="AN202" s="507" t="n">
        <f aca="false">SUM(IF(OR($R202="Flying",$R202="Dragon",$R202="Grass",$R202="Ground"),0-1,IF(OR($R202="Steel",$R202="Ice",$R202="Fire",$R202="Water"),1,0)),IF(OR($S202="Flying",$S202="Dragon",$S202="Grass",$S202="Ground"),0-1,IF(OR($S202="Steel",$S202="Ice",$S202="Fire",$S202="Water"),1,0)))</f>
        <v>0</v>
      </c>
      <c r="AO202" s="507" t="n">
        <f aca="false">IF(OR($R202="Ghost",$S202="Ghost"),4,SUM(IF(OR($R202="Steel",$R202="Rock"),1,0),IF(OR($S202="Steel",$S202="Rock"),1,0)))</f>
        <v>0</v>
      </c>
      <c r="AP202" s="507" t="n">
        <f aca="false">IF(OR($R202="Steel",$S202="Steel"),4,SUM(IF(OR($R202="Fairy",$R202="Grass"),0-1,IF(OR($R202="Ghost",$R202="Rock",$R202="Ground",$R202="Poison"),1,0)),IF(OR($S202="Fairy",$S202="Grass"),0-1,IF(OR($S202="Ghost",$S202="Rock",$S202="Ground",$S202="Poison"),1,0))))</f>
        <v>0</v>
      </c>
      <c r="AQ202" s="507" t="n">
        <f aca="false">IF(OR($R202="Dark",$S202="Dark"),4,SUM(IF(OR($R202="Fighting",$R202="Poison"),0-1,IF(OR($R202="Psychic",$R202="Steel"),1,0)),IF(OR($S202="Fighting",$S202="Poison"),0-1,IF(OR($S202="Psychic",$S202="Steel"),1,0))))</f>
        <v>-1</v>
      </c>
      <c r="AR202" s="507" t="n">
        <f aca="false">SUM(IF(OR($R202="Bug",$R202="Fire",$R202="Flying",$R202="Ice"),0-1,IF(OR($R202="Steel",$R202="Fighting",$R202="Ground"),1,0)),IF(OR($S202="Bug",$S202="Fire",$S202="Flying",$S202="Ice"),0-1,IF(OR($S202="Steel",$S202="Fighting",$S202="Ground"),1,0)))</f>
        <v>1</v>
      </c>
      <c r="AS202" s="507" t="n">
        <f aca="false">SUM(IF(OR($R202="Fairy",$R202="Ice",$R202="Rock"),0-1,IF(OR($R202="Steel",$R202="Electric",$R202="Fire",$R202="Water"),1,0)),IF(OR($S202="Fairy",$S202="Ice",$S202="Rock"),0-1,IF(OR($S202="Steel",$S202="Electric",$S202="Fire",$S202="Water"),1,0)))</f>
        <v>0</v>
      </c>
      <c r="AT202" s="508" t="n">
        <f aca="false">SUM(IF(OR($R202="Fire",$R202="Ground",$R202="Rock"),0-1,IF(OR($R202="Dragon",$R202="Grass",$R202="Water"),1,0)),IF(OR($S202="Fire",$S202="Ground",$S202="Rock"),0-1,IF(OR($S202="Dragon",$S202="Grass",$S202="Water"),1,0)))</f>
        <v>0</v>
      </c>
      <c r="AU202" s="518"/>
    </row>
    <row r="203" customFormat="false" ht="15.75" hidden="false" customHeight="false" outlineLevel="0" collapsed="false">
      <c r="A203" s="510" t="str">
        <f aca="false" t="array" ref="A203:A203">IF(ISNA(INDEX(Source!$U$7:$U$95,MATCH(B203,Source!$V$7:$V$95,0))),"FREE",INDEX(Source!$U$7:$U$95,MATCH(B203,Source!$V$7:$V$95,0)))</f>
        <v>FREE</v>
      </c>
      <c r="B203" s="511" t="s">
        <v>515</v>
      </c>
      <c r="C203" s="511"/>
      <c r="D203" s="511"/>
      <c r="E203" s="499" t="str">
        <f aca="false">IF(SUM($W203:$X203)&gt;0,SUM($W203:$X203),IF($H203&gt;0,0,IF($H203&gt;0,0,"-")))</f>
        <v>-</v>
      </c>
      <c r="F203" s="499" t="str">
        <f aca="false">IF(SUM($Y203:$Z203)&gt;0,SUM($Y203:$Z203),IF($H203&gt;0,0,"-"))</f>
        <v>-</v>
      </c>
      <c r="G203" s="499" t="str">
        <f aca="false">IF($H203&gt;0,minus(E203,F203),"-")</f>
        <v>-</v>
      </c>
      <c r="H203" s="500" t="n">
        <f aca="false">SUM(COUNTIF(MatchSource!$A:$A,$B203),COUNTIF(MatchSource!$H:$H,$B203))</f>
        <v>0</v>
      </c>
      <c r="I203" s="501" t="n">
        <f aca="false">SUM($AA203:$AB203)</f>
        <v>0</v>
      </c>
      <c r="J203" s="501" t="s">
        <v>701</v>
      </c>
      <c r="K203" s="512" t="str">
        <f aca="false" t="array" ref="K203:K203">IF(ISNA(INDEX(DraftRosters!$AA$3:$AA$199,MATCH($B203,DraftRosters!$AB$3:$AB$199,0))),"FA",IF(INDEX(DraftRosters!$AA$3:$AA$199,MATCH($B203,DraftRosters!$AB$3:$AB$199,0))="Franchise","Franch",INDEX(DraftRosters!$AA$3:$AA$199,MATCH($B203,DraftRosters!$AB$3:$AB$199,0))))</f>
        <v>FA</v>
      </c>
      <c r="L203" s="499" t="n">
        <v>50</v>
      </c>
      <c r="M203" s="499" t="n">
        <v>120</v>
      </c>
      <c r="N203" s="499" t="n">
        <v>53</v>
      </c>
      <c r="O203" s="499" t="n">
        <v>35</v>
      </c>
      <c r="P203" s="499" t="n">
        <v>110</v>
      </c>
      <c r="Q203" s="501" t="n">
        <v>87</v>
      </c>
      <c r="R203" s="499" t="s">
        <v>881</v>
      </c>
      <c r="S203" s="501"/>
      <c r="T203" s="504" t="s">
        <v>947</v>
      </c>
      <c r="U203" s="505" t="s">
        <v>821</v>
      </c>
      <c r="V203" s="506" t="s">
        <v>896</v>
      </c>
      <c r="W203" s="500" t="str">
        <f aca="false">IFERROR(__xludf.dummyfunction("if(isna(SUM(FILTER(MatchSource!$A:$D,MatchSource!$A:$A=$B203))),0,SUM(FILTER(MatchSource!$A:$D,MatchSource!$A:$A=$B203)))"),"0")</f>
        <v>0</v>
      </c>
      <c r="X203" s="499" t="str">
        <f aca="false">IFERROR(__xludf.dummyfunction("if(isna(SUM(FILTER(MatchSource!$H:$K,MatchSource!$H:$H=$B203))),0,SUM(FILTER(MatchSource!$H:$K,MatchSource!$H:$H=$B203)))"),"0")</f>
        <v>0</v>
      </c>
      <c r="Y203" s="499" t="str">
        <f aca="false">IFERROR(__xludf.dummyfunction("if(isna(ABS(MINUS(SUM(FILTER(MatchSource!$A:$E,MatchSource!$A:$A=$B203)),SUM($W203)))),0,ABS(MINUS(SUM(FILTER(MatchSource!$A:$E,MatchSource!$A:$A=$B203)),SUM($W203))))"),"0")</f>
        <v>0</v>
      </c>
      <c r="Z203" s="499" t="str">
        <f aca="false">IFERROR(__xludf.dummyfunction("if(isna(ABS(MINUS(SUM(FILTER(MatchSource!$H:$L,MatchSource!$H:$H=$B203)),SUM($X203)))),0,ABS(MINUS(SUM(FILTER(MatchSource!$H:$L,MatchSource!$H:$H=$B203)),SUM($X203))))"),"0")</f>
        <v>0</v>
      </c>
      <c r="AA203" s="499" t="str">
        <f aca="false">IFERROR(__xludf.dummyfunction("if(isna(ABS(MINUS(SUM(FILTER(MatchSource!$A:$F,MatchSource!$A:$A=$B203)),SUM($W203,$Y203)))),0,ABS(MINUS(SUM(FILTER(MatchSource!$A:$F,MatchSource!$A:$A=$B203)),SUM($W203, $Y203,))))"),"0")</f>
        <v>0</v>
      </c>
      <c r="AB203" s="501" t="str">
        <f aca="false">IFERROR(__xludf.dummyfunction("if(isna(ABS(MINUS(SUM(FILTER(MatchSource!$H:$M,MatchSource!$H:$H=$B203)),SUM($X203,$Z203)))),0,ABS(MINUS(SUM(FILTER(MatchSource!$H:$M,MatchSource!$H:$H=$B203)),SUM($X203,$Z203))))"),"0")</f>
        <v>0</v>
      </c>
      <c r="AC203" s="507" t="n">
        <f aca="false">SUM(IF(OR($R203="Grass",$R203="Psychic",$R203="Dark"),0-1,IF(OR($R203="Fighting",$R203="Flying",$R203="Fire",$R203="Ghost",$R203="Poison",$R203="Steel",$R203="Fairy"),1,0)),IF(OR($S203="Grass",$S203="Psychic",$S203="Dark"),0-1,IF(OR($S203="Fighting",$S203="Flying",$S203="Fire",$S203="Ghost",$S203="Poison",$S203="Steel",$S203="Fairy"),1,0)))</f>
        <v>1</v>
      </c>
      <c r="AD203" s="507" t="n">
        <f aca="false">SUM(IF(OR($R203="Ghost",$R203="Psychic"),0-1,IF(OR($R203="Fighting",$R203="Dark",$R203="Fairy"),1,0)),IF(OR($S203="Ghost",$S203="Psychic"),0-1,IF(OR($S203="Fighting",$S203="Dark",$S203="Fairy"),1,0)))</f>
        <v>1</v>
      </c>
      <c r="AE203" s="507" t="n">
        <f aca="false">IF(OR($R203="Fairy",$S203="Fairy"),4,SUM(IF($R203="Dragon",0-1,IF($R203="Steel",1,0)),IF($S203="Dragon",0-1,IF($S203="Steel",1,0))))</f>
        <v>0</v>
      </c>
      <c r="AF203" s="507" t="n">
        <f aca="false">IF(OR($R203="Ground",$S203="Ground"),4,SUM(IF(OR($R203="Flying",$R203="Water"),0-1,IF(OR($R203="Dragon",$R203="Electric",$R203="Grass"),1,0)),IF(OR($S203="Flying",$S203="Water"),0-1,IF(OR($S203="Dragon",$S203="Electric",$S203="Grass"),1,0))))</f>
        <v>0</v>
      </c>
      <c r="AG203" s="507" t="n">
        <f aca="false">SUM(IF(OR($R203="Dark",$R203="Dragon",$R203="Fighting"),0-1,IF(OR($R203="Steel",$R203="Poison",$R203="Fire"),1,0)),IF(OR($S203="Dark",$S203="Dragon",$S203="Fighting"),0-1,IF(OR($S203="Steel",$S203="Poison",$S203="Fire"),1,0)))</f>
        <v>-1</v>
      </c>
      <c r="AH203" s="507" t="n">
        <f aca="false">IF(OR($R203="Ghost",$S203="Ghost"),4,SUM(IF(OR($R203="Dark",$R203="Ice",$R203="Normal",$R203="Rock",$R203="Steel"),0-1,IF(OR($R203="Bug",$R203="Fairy",$R203="Flying",$R203="Poison",$R203="Psychic"),1,0)),IF(OR($S203="Dark",$S203="Ice",$S203="Normal",$S203="Rock",$S203="Steel"),0-1,IF(OR($S203="Bug",$S203="Fairy",$S203="Flying",$S203="Poison",$S203="Psychic"),1,0))))</f>
        <v>0</v>
      </c>
      <c r="AI203" s="507" t="n">
        <f aca="false">SUM(IF(OR($R203="Bug",$R203="Grass",$R203="Ice",$R203="Steel"),0-1,IF(OR($R203="Dragon",$R203="Fire",$R203="Rock",$R203="Water"),1,0)),IF(OR($S203="Bug",$S203="Grass",$S203="Ice",$S203="Steel"),0-1,IF(OR($S203="Dragon",$S203="Fire",$S203="Rock",$S203="Water"),1,0)))</f>
        <v>0</v>
      </c>
      <c r="AJ203" s="507" t="n">
        <f aca="false">SUM(IF(OR($R203="Bug",$R203="Grass",$R203="Fighting"),0-1,IF(OR($R203="Electric",$R203="Rock",$R203="Steel"),1,0)),IF(OR($S203="Bug",$S203="Grass",$S203="Fighting"),0-1,IF(OR($S203="Electric",$S203="Rock",$S203="Steel"),1,0)))</f>
        <v>-1</v>
      </c>
      <c r="AK203" s="507" t="n">
        <f aca="false">IF(OR($R203="Normal",$S203="Normal"),4,SUM(IF(OR($R203="Ghost",$R203="Psychic"),0-1,IF($R203="Dark",1,0)),IF(OR($S203="Ghost",$S203="Psychic"),0-1,IF($S203="Dark",1,0))))</f>
        <v>0</v>
      </c>
      <c r="AL203" s="507" t="n">
        <f aca="false">SUM(IF(OR($R203="Ground",$R203="Rock",$R203="Water"),0-1,IF(OR($R203="Bug",$R203="Flying",$R203="Fire",$R203="Dragon",$R203="Poison",$R203="Steel",$R203="Grass"),1,0)),IF(OR($S203="Ground",$S203="Rock",$S203="Water"),0-1,IF(OR($S203="Bug",$S203="Flying",$S203="Fire",$S203="Dragon",$S203="Poison",$S203="Steel",$S203="Grass"),1,0)))</f>
        <v>0</v>
      </c>
      <c r="AM203" s="507" t="n">
        <f aca="false">IF(OR($R203="Flying",$S203="Flying"),4,SUM(IF(OR($R203="Electric",$R203="Fire",$R203="Rock",$R203="Steel",$R203="Poison"),0-1,IF(OR($R203="Bug",$R203="Grass"),1,0)),IF(OR($S203="Electric",$S203="Fire",$S203="Rock",$S203="Steel",$S203="Poison"),0-1,IF(OR($S203="Bug",$S203="Grass"),1,0))))</f>
        <v>0</v>
      </c>
      <c r="AN203" s="507" t="n">
        <f aca="false">SUM(IF(OR($R203="Flying",$R203="Dragon",$R203="Grass",$R203="Ground"),0-1,IF(OR($R203="Steel",$R203="Ice",$R203="Fire",$R203="Water"),1,0)),IF(OR($S203="Flying",$S203="Dragon",$S203="Grass",$S203="Ground"),0-1,IF(OR($S203="Steel",$S203="Ice",$S203="Fire",$S203="Water"),1,0)))</f>
        <v>0</v>
      </c>
      <c r="AO203" s="507" t="n">
        <f aca="false">IF(OR($R203="Ghost",$S203="Ghost"),4,SUM(IF(OR($R203="Steel",$R203="Rock"),1,0),IF(OR($S203="Steel",$S203="Rock"),1,0)))</f>
        <v>0</v>
      </c>
      <c r="AP203" s="507" t="n">
        <f aca="false">IF(OR($R203="Steel",$S203="Steel"),4,SUM(IF(OR($R203="Fairy",$R203="Grass"),0-1,IF(OR($R203="Ghost",$R203="Rock",$R203="Ground",$R203="Poison"),1,0)),IF(OR($S203="Fairy",$S203="Grass"),0-1,IF(OR($S203="Ghost",$S203="Rock",$S203="Ground",$S203="Poison"),1,0))))</f>
        <v>0</v>
      </c>
      <c r="AQ203" s="507" t="n">
        <f aca="false">IF(OR($R203="Dark",$S203="Dark"),4,SUM(IF(OR($R203="Fighting",$R203="Poison"),0-1,IF(OR($R203="Psychic",$R203="Steel"),1,0)),IF(OR($S203="Fighting",$S203="Poison"),0-1,IF(OR($S203="Psychic",$S203="Steel"),1,0))))</f>
        <v>-1</v>
      </c>
      <c r="AR203" s="507" t="n">
        <f aca="false">SUM(IF(OR($R203="Bug",$R203="Fire",$R203="Flying",$R203="Ice"),0-1,IF(OR($R203="Steel",$R203="Fighting",$R203="Ground"),1,0)),IF(OR($S203="Bug",$S203="Fire",$S203="Flying",$S203="Ice"),0-1,IF(OR($S203="Steel",$S203="Fighting",$S203="Ground"),1,0)))</f>
        <v>1</v>
      </c>
      <c r="AS203" s="507" t="n">
        <f aca="false">SUM(IF(OR($R203="Fairy",$R203="Ice",$R203="Rock"),0-1,IF(OR($R203="Steel",$R203="Electric",$R203="Fire",$R203="Water"),1,0)),IF(OR($S203="Fairy",$S203="Ice",$S203="Rock"),0-1,IF(OR($S203="Steel",$S203="Electric",$S203="Fire",$S203="Water"),1,0)))</f>
        <v>0</v>
      </c>
      <c r="AT203" s="508" t="n">
        <f aca="false">SUM(IF(OR($R203="Fire",$R203="Ground",$R203="Rock"),0-1,IF(OR($R203="Dragon",$R203="Grass",$R203="Water"),1,0)),IF(OR($S203="Fire",$S203="Ground",$S203="Rock"),0-1,IF(OR($S203="Dragon",$S203="Grass",$S203="Water"),1,0)))</f>
        <v>0</v>
      </c>
      <c r="AU203" s="518"/>
    </row>
    <row r="204" customFormat="false" ht="15.75" hidden="false" customHeight="false" outlineLevel="0" collapsed="false">
      <c r="A204" s="510" t="str">
        <f aca="false" t="array" ref="A204:A204">IF(ISNA(INDEX(Source!$U$7:$U$95,MATCH(B204,Source!$V$7:$V$95,0))),"FREE",INDEX(Source!$U$7:$U$95,MATCH(B204,Source!$V$7:$V$95,0)))</f>
        <v>FREE</v>
      </c>
      <c r="B204" s="511" t="s">
        <v>520</v>
      </c>
      <c r="C204" s="511"/>
      <c r="D204" s="511"/>
      <c r="E204" s="499" t="str">
        <f aca="false">IF(SUM($W204:$X204)&gt;0,SUM($W204:$X204),IF($H204&gt;0,0,IF($H204&gt;0,0,"-")))</f>
        <v>-</v>
      </c>
      <c r="F204" s="499" t="str">
        <f aca="false">IF(SUM($Y204:$Z204)&gt;0,SUM($Y204:$Z204),IF($H204&gt;0,0,"-"))</f>
        <v>-</v>
      </c>
      <c r="G204" s="499" t="str">
        <f aca="false">IF($H204&gt;0,minus(E204,F204),"-")</f>
        <v>-</v>
      </c>
      <c r="H204" s="500" t="n">
        <f aca="false">SUM(COUNTIF(MatchSource!$A:$A,$B204),COUNTIF(MatchSource!$H:$H,$B204))</f>
        <v>0</v>
      </c>
      <c r="I204" s="501" t="n">
        <f aca="false">SUM($AA204:$AB204)</f>
        <v>0</v>
      </c>
      <c r="J204" s="501" t="s">
        <v>701</v>
      </c>
      <c r="K204" s="512" t="str">
        <f aca="false" t="array" ref="K204:K204">IF(ISNA(INDEX(DraftRosters!$AA$3:$AA$199,MATCH($B204,DraftRosters!$AB$3:$AB$199,0))),"FA",IF(INDEX(DraftRosters!$AA$3:$AA$199,MATCH($B204,DraftRosters!$AB$3:$AB$199,0))="Franchise","Franch",INDEX(DraftRosters!$AA$3:$AA$199,MATCH($B204,DraftRosters!$AB$3:$AB$199,0))))</f>
        <v>FA</v>
      </c>
      <c r="L204" s="499" t="n">
        <v>50</v>
      </c>
      <c r="M204" s="499" t="n">
        <v>95</v>
      </c>
      <c r="N204" s="499" t="n">
        <v>95</v>
      </c>
      <c r="O204" s="499" t="n">
        <v>35</v>
      </c>
      <c r="P204" s="499" t="n">
        <v>110</v>
      </c>
      <c r="Q204" s="501" t="n">
        <v>70</v>
      </c>
      <c r="R204" s="499" t="s">
        <v>881</v>
      </c>
      <c r="S204" s="501"/>
      <c r="T204" s="504" t="s">
        <v>851</v>
      </c>
      <c r="U204" s="505" t="s">
        <v>842</v>
      </c>
      <c r="V204" s="506" t="s">
        <v>976</v>
      </c>
      <c r="W204" s="500" t="str">
        <f aca="false">IFERROR(__xludf.dummyfunction("if(isna(SUM(FILTER(MatchSource!$A:$D,MatchSource!$A:$A=$B204))),0,SUM(FILTER(MatchSource!$A:$D,MatchSource!$A:$A=$B204)))"),"0")</f>
        <v>0</v>
      </c>
      <c r="X204" s="499" t="str">
        <f aca="false">IFERROR(__xludf.dummyfunction("if(isna(SUM(FILTER(MatchSource!$H:$K,MatchSource!$H:$H=$B204))),0,SUM(FILTER(MatchSource!$H:$K,MatchSource!$H:$H=$B204)))"),"0")</f>
        <v>0</v>
      </c>
      <c r="Y204" s="499" t="str">
        <f aca="false">IFERROR(__xludf.dummyfunction("if(isna(ABS(MINUS(SUM(FILTER(MatchSource!$A:$E,MatchSource!$A:$A=$B204)),SUM($W204)))),0,ABS(MINUS(SUM(FILTER(MatchSource!$A:$E,MatchSource!$A:$A=$B204)),SUM($W204))))"),"0")</f>
        <v>0</v>
      </c>
      <c r="Z204" s="499" t="str">
        <f aca="false">IFERROR(__xludf.dummyfunction("if(isna(ABS(MINUS(SUM(FILTER(MatchSource!$H:$L,MatchSource!$H:$H=$B204)),SUM($X204)))),0,ABS(MINUS(SUM(FILTER(MatchSource!$H:$L,MatchSource!$H:$H=$B204)),SUM($X204))))"),"0")</f>
        <v>0</v>
      </c>
      <c r="AA204" s="499" t="str">
        <f aca="false">IFERROR(__xludf.dummyfunction("if(isna(ABS(MINUS(SUM(FILTER(MatchSource!$A:$F,MatchSource!$A:$A=$B204)),SUM($W204,$Y204)))),0,ABS(MINUS(SUM(FILTER(MatchSource!$A:$F,MatchSource!$A:$A=$B204)),SUM($W204, $Y204,))))"),"0")</f>
        <v>0</v>
      </c>
      <c r="AB204" s="501" t="str">
        <f aca="false">IFERROR(__xludf.dummyfunction("if(isna(ABS(MINUS(SUM(FILTER(MatchSource!$H:$M,MatchSource!$H:$H=$B204)),SUM($X204,$Z204)))),0,ABS(MINUS(SUM(FILTER(MatchSource!$H:$M,MatchSource!$H:$H=$B204)),SUM($X204,$Z204))))"),"0")</f>
        <v>0</v>
      </c>
      <c r="AC204" s="507" t="n">
        <f aca="false">SUM(IF(OR($R204="Grass",$R204="Psychic",$R204="Dark"),0-1,IF(OR($R204="Fighting",$R204="Flying",$R204="Fire",$R204="Ghost",$R204="Poison",$R204="Steel",$R204="Fairy"),1,0)),IF(OR($S204="Grass",$S204="Psychic",$S204="Dark"),0-1,IF(OR($S204="Fighting",$S204="Flying",$S204="Fire",$S204="Ghost",$S204="Poison",$S204="Steel",$S204="Fairy"),1,0)))</f>
        <v>1</v>
      </c>
      <c r="AD204" s="507" t="n">
        <f aca="false">SUM(IF(OR($R204="Ghost",$R204="Psychic"),0-1,IF(OR($R204="Fighting",$R204="Dark",$R204="Fairy"),1,0)),IF(OR($S204="Ghost",$S204="Psychic"),0-1,IF(OR($S204="Fighting",$S204="Dark",$S204="Fairy"),1,0)))</f>
        <v>1</v>
      </c>
      <c r="AE204" s="507" t="n">
        <f aca="false">IF(OR($R204="Fairy",$S204="Fairy"),4,SUM(IF($R204="Dragon",0-1,IF($R204="Steel",1,0)),IF($S204="Dragon",0-1,IF($S204="Steel",1,0))))</f>
        <v>0</v>
      </c>
      <c r="AF204" s="507" t="n">
        <f aca="false">IF(OR($R204="Ground",$S204="Ground"),4,SUM(IF(OR($R204="Flying",$R204="Water"),0-1,IF(OR($R204="Dragon",$R204="Electric",$R204="Grass"),1,0)),IF(OR($S204="Flying",$S204="Water"),0-1,IF(OR($S204="Dragon",$S204="Electric",$S204="Grass"),1,0))))</f>
        <v>0</v>
      </c>
      <c r="AG204" s="507" t="n">
        <f aca="false">SUM(IF(OR($R204="Dark",$R204="Dragon",$R204="Fighting"),0-1,IF(OR($R204="Steel",$R204="Poison",$R204="Fire"),1,0)),IF(OR($S204="Dark",$S204="Dragon",$S204="Fighting"),0-1,IF(OR($S204="Steel",$S204="Poison",$S204="Fire"),1,0)))</f>
        <v>-1</v>
      </c>
      <c r="AH204" s="507" t="n">
        <f aca="false">IF(OR($R204="Ghost",$S204="Ghost"),4,SUM(IF(OR($R204="Dark",$R204="Ice",$R204="Normal",$R204="Rock",$R204="Steel"),0-1,IF(OR($R204="Bug",$R204="Fairy",$R204="Flying",$R204="Poison",$R204="Psychic"),1,0)),IF(OR($S204="Dark",$S204="Ice",$S204="Normal",$S204="Rock",$S204="Steel"),0-1,IF(OR($S204="Bug",$S204="Fairy",$S204="Flying",$S204="Poison",$S204="Psychic"),1,0))))</f>
        <v>0</v>
      </c>
      <c r="AI204" s="507" t="n">
        <f aca="false">SUM(IF(OR($R204="Bug",$R204="Grass",$R204="Ice",$R204="Steel"),0-1,IF(OR($R204="Dragon",$R204="Fire",$R204="Rock",$R204="Water"),1,0)),IF(OR($S204="Bug",$S204="Grass",$S204="Ice",$S204="Steel"),0-1,IF(OR($S204="Dragon",$S204="Fire",$S204="Rock",$S204="Water"),1,0)))</f>
        <v>0</v>
      </c>
      <c r="AJ204" s="507" t="n">
        <f aca="false">SUM(IF(OR($R204="Bug",$R204="Grass",$R204="Fighting"),0-1,IF(OR($R204="Electric",$R204="Rock",$R204="Steel"),1,0)),IF(OR($S204="Bug",$S204="Grass",$S204="Fighting"),0-1,IF(OR($S204="Electric",$S204="Rock",$S204="Steel"),1,0)))</f>
        <v>-1</v>
      </c>
      <c r="AK204" s="507" t="n">
        <f aca="false">IF(OR($R204="Normal",$S204="Normal"),4,SUM(IF(OR($R204="Ghost",$R204="Psychic"),0-1,IF($R204="Dark",1,0)),IF(OR($S204="Ghost",$S204="Psychic"),0-1,IF($S204="Dark",1,0))))</f>
        <v>0</v>
      </c>
      <c r="AL204" s="507" t="n">
        <f aca="false">SUM(IF(OR($R204="Ground",$R204="Rock",$R204="Water"),0-1,IF(OR($R204="Bug",$R204="Flying",$R204="Fire",$R204="Dragon",$R204="Poison",$R204="Steel",$R204="Grass"),1,0)),IF(OR($S204="Ground",$S204="Rock",$S204="Water"),0-1,IF(OR($S204="Bug",$S204="Flying",$S204="Fire",$S204="Dragon",$S204="Poison",$S204="Steel",$S204="Grass"),1,0)))</f>
        <v>0</v>
      </c>
      <c r="AM204" s="507" t="n">
        <f aca="false">IF(OR($R204="Flying",$S204="Flying"),4,SUM(IF(OR($R204="Electric",$R204="Fire",$R204="Rock",$R204="Steel",$R204="Poison"),0-1,IF(OR($R204="Bug",$R204="Grass"),1,0)),IF(OR($S204="Electric",$S204="Fire",$S204="Rock",$S204="Steel",$S204="Poison"),0-1,IF(OR($S204="Bug",$S204="Grass"),1,0))))</f>
        <v>0</v>
      </c>
      <c r="AN204" s="507" t="n">
        <f aca="false">SUM(IF(OR($R204="Flying",$R204="Dragon",$R204="Grass",$R204="Ground"),0-1,IF(OR($R204="Steel",$R204="Ice",$R204="Fire",$R204="Water"),1,0)),IF(OR($S204="Flying",$S204="Dragon",$S204="Grass",$S204="Ground"),0-1,IF(OR($S204="Steel",$S204="Ice",$S204="Fire",$S204="Water"),1,0)))</f>
        <v>0</v>
      </c>
      <c r="AO204" s="507" t="n">
        <f aca="false">IF(OR($R204="Ghost",$S204="Ghost"),4,SUM(IF(OR($R204="Steel",$R204="Rock"),1,0),IF(OR($S204="Steel",$S204="Rock"),1,0)))</f>
        <v>0</v>
      </c>
      <c r="AP204" s="507" t="n">
        <f aca="false">IF(OR($R204="Steel",$S204="Steel"),4,SUM(IF(OR($R204="Fairy",$R204="Grass"),0-1,IF(OR($R204="Ghost",$R204="Rock",$R204="Ground",$R204="Poison"),1,0)),IF(OR($S204="Fairy",$S204="Grass"),0-1,IF(OR($S204="Ghost",$S204="Rock",$S204="Ground",$S204="Poison"),1,0))))</f>
        <v>0</v>
      </c>
      <c r="AQ204" s="507" t="n">
        <f aca="false">IF(OR($R204="Dark",$S204="Dark"),4,SUM(IF(OR($R204="Fighting",$R204="Poison"),0-1,IF(OR($R204="Psychic",$R204="Steel"),1,0)),IF(OR($S204="Fighting",$S204="Poison"),0-1,IF(OR($S204="Psychic",$S204="Steel"),1,0))))</f>
        <v>-1</v>
      </c>
      <c r="AR204" s="507" t="n">
        <f aca="false">SUM(IF(OR($R204="Bug",$R204="Fire",$R204="Flying",$R204="Ice"),0-1,IF(OR($R204="Steel",$R204="Fighting",$R204="Ground"),1,0)),IF(OR($S204="Bug",$S204="Fire",$S204="Flying",$S204="Ice"),0-1,IF(OR($S204="Steel",$S204="Fighting",$S204="Ground"),1,0)))</f>
        <v>1</v>
      </c>
      <c r="AS204" s="507" t="n">
        <f aca="false">SUM(IF(OR($R204="Fairy",$R204="Ice",$R204="Rock"),0-1,IF(OR($R204="Steel",$R204="Electric",$R204="Fire",$R204="Water"),1,0)),IF(OR($S204="Fairy",$S204="Ice",$S204="Rock"),0-1,IF(OR($S204="Steel",$S204="Electric",$S204="Fire",$S204="Water"),1,0)))</f>
        <v>0</v>
      </c>
      <c r="AT204" s="508" t="n">
        <f aca="false">SUM(IF(OR($R204="Fire",$R204="Ground",$R204="Rock"),0-1,IF(OR($R204="Dragon",$R204="Grass",$R204="Water"),1,0)),IF(OR($S204="Fire",$S204="Ground",$S204="Rock"),0-1,IF(OR($S204="Dragon",$S204="Grass",$S204="Water"),1,0)))</f>
        <v>0</v>
      </c>
      <c r="AU204" s="518"/>
    </row>
    <row r="205" customFormat="false" ht="15.75" hidden="false" customHeight="false" outlineLevel="0" collapsed="false">
      <c r="A205" s="510" t="str">
        <f aca="false" t="array" ref="A205:A205">IF(ISNA(INDEX(Source!$U$7:$U$95,MATCH(B205,Source!$V$7:$V$95,0))),"FREE",INDEX(Source!$U$7:$U$95,MATCH(B205,Source!$V$7:$V$95,0)))</f>
        <v>FREE</v>
      </c>
      <c r="B205" s="511" t="s">
        <v>450</v>
      </c>
      <c r="C205" s="511"/>
      <c r="D205" s="511"/>
      <c r="E205" s="499" t="str">
        <f aca="false">IF(SUM($W205:$X205)&gt;0,SUM($W205:$X205),IF($H205&gt;0,0,IF($H205&gt;0,0,"-")))</f>
        <v>-</v>
      </c>
      <c r="F205" s="499" t="str">
        <f aca="false">IF(SUM($Y205:$Z205)&gt;0,SUM($Y205:$Z205),IF($H205&gt;0,0,"-"))</f>
        <v>-</v>
      </c>
      <c r="G205" s="499" t="str">
        <f aca="false">IF($H205&gt;0,minus(E205,F205),"-")</f>
        <v>-</v>
      </c>
      <c r="H205" s="500" t="n">
        <f aca="false">SUM(COUNTIF(MatchSource!$A:$A,$B205),COUNTIF(MatchSource!$H:$H,$B205))</f>
        <v>0</v>
      </c>
      <c r="I205" s="501" t="n">
        <f aca="false">SUM($AA205:$AB205)</f>
        <v>0</v>
      </c>
      <c r="J205" s="501" t="s">
        <v>700</v>
      </c>
      <c r="K205" s="512" t="str">
        <f aca="false" t="array" ref="K205:K205">IF(ISNA(INDEX(DraftRosters!$AA$3:$AA$199,MATCH($B205,DraftRosters!$AB$3:$AB$199,0))),"FA",IF(INDEX(DraftRosters!$AA$3:$AA$199,MATCH($B205,DraftRosters!$AB$3:$AB$199,0))="Franchise","Franch",INDEX(DraftRosters!$AA$3:$AA$199,MATCH($B205,DraftRosters!$AB$3:$AB$199,0))))</f>
        <v>FA</v>
      </c>
      <c r="L205" s="499" t="n">
        <v>100</v>
      </c>
      <c r="M205" s="499" t="n">
        <v>125</v>
      </c>
      <c r="N205" s="499" t="n">
        <v>52</v>
      </c>
      <c r="O205" s="499" t="n">
        <v>105</v>
      </c>
      <c r="P205" s="499" t="n">
        <v>52</v>
      </c>
      <c r="Q205" s="501" t="n">
        <v>71</v>
      </c>
      <c r="R205" s="499" t="s">
        <v>795</v>
      </c>
      <c r="S205" s="501" t="s">
        <v>801</v>
      </c>
      <c r="T205" s="504" t="s">
        <v>855</v>
      </c>
      <c r="U205" s="505" t="s">
        <v>817</v>
      </c>
      <c r="V205" s="506" t="s">
        <v>997</v>
      </c>
      <c r="W205" s="500" t="str">
        <f aca="false">IFERROR(__xludf.dummyfunction("if(isna(SUM(FILTER(MatchSource!$A:$D,MatchSource!$A:$A=$B205))),0,SUM(FILTER(MatchSource!$A:$D,MatchSource!$A:$A=$B205)))"),"0")</f>
        <v>0</v>
      </c>
      <c r="X205" s="499" t="str">
        <f aca="false">IFERROR(__xludf.dummyfunction("if(isna(SUM(FILTER(MatchSource!$H:$K,MatchSource!$H:$H=$B205))),0,SUM(FILTER(MatchSource!$H:$K,MatchSource!$H:$H=$B205)))"),"0")</f>
        <v>0</v>
      </c>
      <c r="Y205" s="499" t="str">
        <f aca="false">IFERROR(__xludf.dummyfunction("if(isna(ABS(MINUS(SUM(FILTER(MatchSource!$A:$E,MatchSource!$A:$A=$B205)),SUM($W205)))),0,ABS(MINUS(SUM(FILTER(MatchSource!$A:$E,MatchSource!$A:$A=$B205)),SUM($W205))))"),"0")</f>
        <v>0</v>
      </c>
      <c r="Z205" s="499" t="str">
        <f aca="false">IFERROR(__xludf.dummyfunction("if(isna(ABS(MINUS(SUM(FILTER(MatchSource!$H:$L,MatchSource!$H:$H=$B205)),SUM($X205)))),0,ABS(MINUS(SUM(FILTER(MatchSource!$H:$L,MatchSource!$H:$H=$B205)),SUM($X205))))"),"0")</f>
        <v>0</v>
      </c>
      <c r="AA205" s="499" t="str">
        <f aca="false">IFERROR(__xludf.dummyfunction("if(isna(ABS(MINUS(SUM(FILTER(MatchSource!$A:$F,MatchSource!$A:$A=$B205)),SUM($W205,$Y205)))),0,ABS(MINUS(SUM(FILTER(MatchSource!$A:$F,MatchSource!$A:$A=$B205)),SUM($W205, $Y205,))))"),"0")</f>
        <v>0</v>
      </c>
      <c r="AB205" s="501" t="str">
        <f aca="false">IFERROR(__xludf.dummyfunction("if(isna(ABS(MINUS(SUM(FILTER(MatchSource!$H:$M,MatchSource!$H:$H=$B205)),SUM($X205,$Z205)))),0,ABS(MINUS(SUM(FILTER(MatchSource!$H:$M,MatchSource!$H:$H=$B205)),SUM($X205,$Z205))))"),"0")</f>
        <v>0</v>
      </c>
      <c r="AC205" s="507" t="n">
        <f aca="false">SUM(IF(OR($R205="Grass",$R205="Psychic",$R205="Dark"),0-1,IF(OR($R205="Fighting",$R205="Flying",$R205="Fire",$R205="Ghost",$R205="Poison",$R205="Steel",$R205="Fairy"),1,0)),IF(OR($S205="Grass",$S205="Psychic",$S205="Dark"),0-1,IF(OR($S205="Fighting",$S205="Flying",$S205="Fire",$S205="Ghost",$S205="Poison",$S205="Steel",$S205="Fairy"),1,0)))</f>
        <v>0</v>
      </c>
      <c r="AD205" s="507" t="n">
        <f aca="false">SUM(IF(OR($R205="Ghost",$R205="Psychic"),0-1,IF(OR($R205="Fighting",$R205="Dark",$R205="Fairy"),1,0)),IF(OR($S205="Ghost",$S205="Psychic"),0-1,IF(OR($S205="Fighting",$S205="Dark",$S205="Fairy"),1,0)))</f>
        <v>1</v>
      </c>
      <c r="AE205" s="507" t="n">
        <f aca="false">IF(OR($R205="Fairy",$S205="Fairy"),4,SUM(IF($R205="Dragon",0-1,IF($R205="Steel",1,0)),IF($S205="Dragon",0-1,IF($S205="Steel",1,0))))</f>
        <v>0</v>
      </c>
      <c r="AF205" s="507" t="n">
        <f aca="false">IF(OR($R205="Ground",$S205="Ground"),4,SUM(IF(OR($R205="Flying",$R205="Water"),0-1,IF(OR($R205="Dragon",$R205="Electric",$R205="Grass"),1,0)),IF(OR($S205="Flying",$S205="Water"),0-1,IF(OR($S205="Dragon",$S205="Electric",$S205="Grass"),1,0))))</f>
        <v>-1</v>
      </c>
      <c r="AG205" s="507" t="n">
        <f aca="false">SUM(IF(OR($R205="Dark",$R205="Dragon",$R205="Fighting"),0-1,IF(OR($R205="Steel",$R205="Poison",$R205="Fire"),1,0)),IF(OR($S205="Dark",$S205="Dragon",$S205="Fighting"),0-1,IF(OR($S205="Steel",$S205="Poison",$S205="Fire"),1,0)))</f>
        <v>-1</v>
      </c>
      <c r="AH205" s="507" t="n">
        <f aca="false">IF(OR($R205="Ghost",$S205="Ghost"),4,SUM(IF(OR($R205="Dark",$R205="Ice",$R205="Normal",$R205="Rock",$R205="Steel"),0-1,IF(OR($R205="Bug",$R205="Fairy",$R205="Flying",$R205="Poison",$R205="Psychic"),1,0)),IF(OR($S205="Dark",$S205="Ice",$S205="Normal",$S205="Rock",$S205="Steel"),0-1,IF(OR($S205="Bug",$S205="Fairy",$S205="Flying",$S205="Poison",$S205="Psychic"),1,0))))</f>
        <v>0</v>
      </c>
      <c r="AI205" s="507" t="n">
        <f aca="false">SUM(IF(OR($R205="Bug",$R205="Grass",$R205="Ice",$R205="Steel"),0-1,IF(OR($R205="Dragon",$R205="Fire",$R205="Rock",$R205="Water"),1,0)),IF(OR($S205="Bug",$S205="Grass",$S205="Ice",$S205="Steel"),0-1,IF(OR($S205="Dragon",$S205="Fire",$S205="Rock",$S205="Water"),1,0)))</f>
        <v>0</v>
      </c>
      <c r="AJ205" s="507" t="n">
        <f aca="false">SUM(IF(OR($R205="Bug",$R205="Grass",$R205="Fighting"),0-1,IF(OR($R205="Electric",$R205="Rock",$R205="Steel"),1,0)),IF(OR($S205="Bug",$S205="Grass",$S205="Fighting"),0-1,IF(OR($S205="Electric",$S205="Rock",$S205="Steel"),1,0)))</f>
        <v>0</v>
      </c>
      <c r="AK205" s="507" t="n">
        <f aca="false">IF(OR($R205="Normal",$S205="Normal"),4,SUM(IF(OR($R205="Ghost",$R205="Psychic"),0-1,IF($R205="Dark",1,0)),IF(OR($S205="Ghost",$S205="Psychic"),0-1,IF($S205="Dark",1,0))))</f>
        <v>1</v>
      </c>
      <c r="AL205" s="507" t="n">
        <f aca="false">SUM(IF(OR($R205="Ground",$R205="Rock",$R205="Water"),0-1,IF(OR($R205="Bug",$R205="Flying",$R205="Fire",$R205="Dragon",$R205="Poison",$R205="Steel",$R205="Grass"),1,0)),IF(OR($S205="Ground",$S205="Rock",$S205="Water"),0-1,IF(OR($S205="Bug",$S205="Flying",$S205="Fire",$S205="Dragon",$S205="Poison",$S205="Steel",$S205="Grass"),1,0)))</f>
        <v>1</v>
      </c>
      <c r="AM205" s="507" t="n">
        <f aca="false">IF(OR($R205="Flying",$S205="Flying"),4,SUM(IF(OR($R205="Electric",$R205="Fire",$R205="Rock",$R205="Steel",$R205="Poison"),0-1,IF(OR($R205="Bug",$R205="Grass"),1,0)),IF(OR($S205="Electric",$S205="Fire",$S205="Rock",$S205="Steel",$S205="Poison"),0-1,IF(OR($S205="Bug",$S205="Grass"),1,0))))</f>
        <v>4</v>
      </c>
      <c r="AN205" s="507" t="n">
        <f aca="false">SUM(IF(OR($R205="Flying",$R205="Dragon",$R205="Grass",$R205="Ground"),0-1,IF(OR($R205="Steel",$R205="Ice",$R205="Fire",$R205="Water"),1,0)),IF(OR($S205="Flying",$S205="Dragon",$S205="Grass",$S205="Ground"),0-1,IF(OR($S205="Steel",$S205="Ice",$S205="Fire",$S205="Water"),1,0)))</f>
        <v>-1</v>
      </c>
      <c r="AO205" s="507" t="n">
        <f aca="false">IF(OR($R205="Ghost",$S205="Ghost"),4,SUM(IF(OR($R205="Steel",$R205="Rock"),1,0),IF(OR($S205="Steel",$S205="Rock"),1,0)))</f>
        <v>0</v>
      </c>
      <c r="AP205" s="507" t="n">
        <f aca="false">IF(OR($R205="Steel",$S205="Steel"),4,SUM(IF(OR($R205="Fairy",$R205="Grass"),0-1,IF(OR($R205="Ghost",$R205="Rock",$R205="Ground",$R205="Poison"),1,0)),IF(OR($S205="Fairy",$S205="Grass"),0-1,IF(OR($S205="Ghost",$S205="Rock",$S205="Ground",$S205="Poison"),1,0))))</f>
        <v>0</v>
      </c>
      <c r="AQ205" s="507" t="n">
        <f aca="false">IF(OR($R205="Dark",$S205="Dark"),4,SUM(IF(OR($R205="Fighting",$R205="Poison"),0-1,IF(OR($R205="Psychic",$R205="Steel"),1,0)),IF(OR($S205="Fighting",$S205="Poison"),0-1,IF(OR($S205="Psychic",$S205="Steel"),1,0))))</f>
        <v>4</v>
      </c>
      <c r="AR205" s="507" t="n">
        <f aca="false">SUM(IF(OR($R205="Bug",$R205="Fire",$R205="Flying",$R205="Ice"),0-1,IF(OR($R205="Steel",$R205="Fighting",$R205="Ground"),1,0)),IF(OR($S205="Bug",$S205="Fire",$S205="Flying",$S205="Ice"),0-1,IF(OR($S205="Steel",$S205="Fighting",$S205="Ground"),1,0)))</f>
        <v>-1</v>
      </c>
      <c r="AS205" s="507" t="n">
        <f aca="false">SUM(IF(OR($R205="Fairy",$R205="Ice",$R205="Rock"),0-1,IF(OR($R205="Steel",$R205="Electric",$R205="Fire",$R205="Water"),1,0)),IF(OR($S205="Fairy",$S205="Ice",$S205="Rock"),0-1,IF(OR($S205="Steel",$S205="Electric",$S205="Fire",$S205="Water"),1,0)))</f>
        <v>0</v>
      </c>
      <c r="AT205" s="508" t="n">
        <f aca="false">SUM(IF(OR($R205="Fire",$R205="Ground",$R205="Rock"),0-1,IF(OR($R205="Dragon",$R205="Grass",$R205="Water"),1,0)),IF(OR($S205="Fire",$S205="Ground",$S205="Rock"),0-1,IF(OR($S205="Dragon",$S205="Grass",$S205="Water"),1,0)))</f>
        <v>0</v>
      </c>
      <c r="AU205" s="518"/>
    </row>
    <row r="206" customFormat="false" ht="15.75" hidden="false" customHeight="false" outlineLevel="0" collapsed="false">
      <c r="A206" s="510" t="str">
        <f aca="false" t="array" ref="A206:A206">IF(ISNA(INDEX(Source!$U$7:$U$95,MATCH(B206,Source!$V$7:$V$95,0))),"FREE",INDEX(Source!$U$7:$U$95,MATCH(B206,Source!$V$7:$V$95,0)))</f>
        <v>FREE</v>
      </c>
      <c r="B206" s="511" t="s">
        <v>455</v>
      </c>
      <c r="C206" s="511"/>
      <c r="D206" s="511"/>
      <c r="E206" s="499" t="str">
        <f aca="false">IF(SUM($W206:$X206)&gt;0,SUM($W206:$X206),IF($H206&gt;0,0,IF($H206&gt;0,0,"-")))</f>
        <v>-</v>
      </c>
      <c r="F206" s="499" t="str">
        <f aca="false">IF(SUM($Y206:$Z206)&gt;0,SUM($Y206:$Z206),IF($H206&gt;0,0,"-"))</f>
        <v>-</v>
      </c>
      <c r="G206" s="499" t="str">
        <f aca="false">IF($H206&gt;0,minus(E206,F206),"-")</f>
        <v>-</v>
      </c>
      <c r="H206" s="500" t="n">
        <f aca="false">SUM(COUNTIF(MatchSource!$A:$A,$B206),COUNTIF(MatchSource!$H:$H,$B206))</f>
        <v>0</v>
      </c>
      <c r="I206" s="501" t="n">
        <f aca="false">SUM($AA206:$AB206)</f>
        <v>0</v>
      </c>
      <c r="J206" s="501" t="s">
        <v>700</v>
      </c>
      <c r="K206" s="512" t="str">
        <f aca="false" t="array" ref="K206:K206">IF(ISNA(INDEX(DraftRosters!$AA$3:$AA$199,MATCH($B206,DraftRosters!$AB$3:$AB$199,0))),"FA",IF(INDEX(DraftRosters!$AA$3:$AA$199,MATCH($B206,DraftRosters!$AB$3:$AB$199,0))="Franchise","Franch",INDEX(DraftRosters!$AA$3:$AA$199,MATCH($B206,DraftRosters!$AB$3:$AB$199,0))))</f>
        <v>FA</v>
      </c>
      <c r="L206" s="499" t="n">
        <v>80</v>
      </c>
      <c r="M206" s="499" t="n">
        <v>110</v>
      </c>
      <c r="N206" s="499" t="n">
        <v>60</v>
      </c>
      <c r="O206" s="499" t="n">
        <v>150</v>
      </c>
      <c r="P206" s="499" t="n">
        <v>130</v>
      </c>
      <c r="Q206" s="501" t="n">
        <v>70</v>
      </c>
      <c r="R206" s="499" t="s">
        <v>802</v>
      </c>
      <c r="S206" s="501" t="s">
        <v>828</v>
      </c>
      <c r="T206" s="504" t="s">
        <v>943</v>
      </c>
      <c r="U206" s="505"/>
      <c r="V206" s="506"/>
      <c r="W206" s="500" t="str">
        <f aca="false">IFERROR(__xludf.dummyfunction("if(isna(SUM(FILTER(MatchSource!$A:$D,MatchSource!$A:$A=$B206))),0,SUM(FILTER(MatchSource!$A:$D,MatchSource!$A:$A=$B206)))"),"0")</f>
        <v>0</v>
      </c>
      <c r="X206" s="499" t="str">
        <f aca="false">IFERROR(__xludf.dummyfunction("if(isna(SUM(FILTER(MatchSource!$H:$K,MatchSource!$H:$H=$B206))),0,SUM(FILTER(MatchSource!$H:$K,MatchSource!$H:$H=$B206)))"),"0")</f>
        <v>0</v>
      </c>
      <c r="Y206" s="499" t="str">
        <f aca="false">IFERROR(__xludf.dummyfunction("if(isna(ABS(MINUS(SUM(FILTER(MatchSource!$A:$E,MatchSource!$A:$A=$B206)),SUM($W206)))),0,ABS(MINUS(SUM(FILTER(MatchSource!$A:$E,MatchSource!$A:$A=$B206)),SUM($W206))))"),"0")</f>
        <v>0</v>
      </c>
      <c r="Z206" s="499" t="str">
        <f aca="false">IFERROR(__xludf.dummyfunction("if(isna(ABS(MINUS(SUM(FILTER(MatchSource!$H:$L,MatchSource!$H:$H=$B206)),SUM($X206)))),0,ABS(MINUS(SUM(FILTER(MatchSource!$H:$L,MatchSource!$H:$H=$B206)),SUM($X206))))"),"0")</f>
        <v>0</v>
      </c>
      <c r="AA206" s="499" t="str">
        <f aca="false">IFERROR(__xludf.dummyfunction("if(isna(ABS(MINUS(SUM(FILTER(MatchSource!$A:$F,MatchSource!$A:$A=$B206)),SUM($W206,$Y206)))),0,ABS(MINUS(SUM(FILTER(MatchSource!$A:$F,MatchSource!$A:$A=$B206)),SUM($W206, $Y206,))))"),"0")</f>
        <v>0</v>
      </c>
      <c r="AB206" s="501" t="str">
        <f aca="false">IFERROR(__xludf.dummyfunction("if(isna(ABS(MINUS(SUM(FILTER(MatchSource!$H:$M,MatchSource!$H:$H=$B206)),SUM($X206,$Z206)))),0,ABS(MINUS(SUM(FILTER(MatchSource!$H:$M,MatchSource!$H:$H=$B206)),SUM($X206,$Z206))))"),"0")</f>
        <v>0</v>
      </c>
      <c r="AC206" s="507" t="n">
        <f aca="false">SUM(IF(OR($R206="Grass",$R206="Psychic",$R206="Dark"),0-1,IF(OR($R206="Fighting",$R206="Flying",$R206="Fire",$R206="Ghost",$R206="Poison",$R206="Steel",$R206="Fairy"),1,0)),IF(OR($S206="Grass",$S206="Psychic",$S206="Dark"),0-1,IF(OR($S206="Fighting",$S206="Flying",$S206="Fire",$S206="Ghost",$S206="Poison",$S206="Steel",$S206="Fairy"),1,0)))</f>
        <v>0</v>
      </c>
      <c r="AD206" s="507" t="n">
        <f aca="false">SUM(IF(OR($R206="Ghost",$R206="Psychic"),0-1,IF(OR($R206="Fighting",$R206="Dark",$R206="Fairy"),1,0)),IF(OR($S206="Ghost",$S206="Psychic"),0-1,IF(OR($S206="Fighting",$S206="Dark",$S206="Fairy"),1,0)))</f>
        <v>-2</v>
      </c>
      <c r="AE206" s="507" t="n">
        <f aca="false">IF(OR($R206="Fairy",$S206="Fairy"),4,SUM(IF($R206="Dragon",0-1,IF($R206="Steel",1,0)),IF($S206="Dragon",0-1,IF($S206="Steel",1,0))))</f>
        <v>0</v>
      </c>
      <c r="AF206" s="507" t="n">
        <f aca="false">IF(OR($R206="Ground",$S206="Ground"),4,SUM(IF(OR($R206="Flying",$R206="Water"),0-1,IF(OR($R206="Dragon",$R206="Electric",$R206="Grass"),1,0)),IF(OR($S206="Flying",$S206="Water"),0-1,IF(OR($S206="Dragon",$S206="Electric",$S206="Grass"),1,0))))</f>
        <v>0</v>
      </c>
      <c r="AG206" s="507" t="n">
        <f aca="false">SUM(IF(OR($R206="Dark",$R206="Dragon",$R206="Fighting"),0-1,IF(OR($R206="Steel",$R206="Poison",$R206="Fire"),1,0)),IF(OR($S206="Dark",$S206="Dragon",$S206="Fighting"),0-1,IF(OR($S206="Steel",$S206="Poison",$S206="Fire"),1,0)))</f>
        <v>0</v>
      </c>
      <c r="AH206" s="507" t="n">
        <f aca="false">IF(OR($R206="Ghost",$S206="Ghost"),4,SUM(IF(OR($R206="Dark",$R206="Ice",$R206="Normal",$R206="Rock",$R206="Steel"),0-1,IF(OR($R206="Bug",$R206="Fairy",$R206="Flying",$R206="Poison",$R206="Psychic"),1,0)),IF(OR($S206="Dark",$S206="Ice",$S206="Normal",$S206="Rock",$S206="Steel"),0-1,IF(OR($S206="Bug",$S206="Fairy",$S206="Flying",$S206="Poison",$S206="Psychic"),1,0))))</f>
        <v>4</v>
      </c>
      <c r="AI206" s="507" t="n">
        <f aca="false">SUM(IF(OR($R206="Bug",$R206="Grass",$R206="Ice",$R206="Steel"),0-1,IF(OR($R206="Dragon",$R206="Fire",$R206="Rock",$R206="Water"),1,0)),IF(OR($S206="Bug",$S206="Grass",$S206="Ice",$S206="Steel"),0-1,IF(OR($S206="Dragon",$S206="Fire",$S206="Rock",$S206="Water"),1,0)))</f>
        <v>0</v>
      </c>
      <c r="AJ206" s="507" t="n">
        <f aca="false">SUM(IF(OR($R206="Bug",$R206="Grass",$R206="Fighting"),0-1,IF(OR($R206="Electric",$R206="Rock",$R206="Steel"),1,0)),IF(OR($S206="Bug",$S206="Grass",$S206="Fighting"),0-1,IF(OR($S206="Electric",$S206="Rock",$S206="Steel"),1,0)))</f>
        <v>0</v>
      </c>
      <c r="AK206" s="507" t="n">
        <f aca="false">IF(OR($R206="Normal",$S206="Normal"),4,SUM(IF(OR($R206="Ghost",$R206="Psychic"),0-1,IF($R206="Dark",1,0)),IF(OR($S206="Ghost",$S206="Psychic"),0-1,IF($S206="Dark",1,0))))</f>
        <v>-2</v>
      </c>
      <c r="AL206" s="507" t="n">
        <f aca="false">SUM(IF(OR($R206="Ground",$R206="Rock",$R206="Water"),0-1,IF(OR($R206="Bug",$R206="Flying",$R206="Fire",$R206="Dragon",$R206="Poison",$R206="Steel",$R206="Grass"),1,0)),IF(OR($S206="Ground",$S206="Rock",$S206="Water"),0-1,IF(OR($S206="Bug",$S206="Flying",$S206="Fire",$S206="Dragon",$S206="Poison",$S206="Steel",$S206="Grass"),1,0)))</f>
        <v>0</v>
      </c>
      <c r="AM206" s="507" t="n">
        <f aca="false">IF(OR($R206="Flying",$S206="Flying"),4,SUM(IF(OR($R206="Electric",$R206="Fire",$R206="Rock",$R206="Steel",$R206="Poison"),0-1,IF(OR($R206="Bug",$R206="Grass"),1,0)),IF(OR($S206="Electric",$S206="Fire",$S206="Rock",$S206="Steel",$S206="Poison"),0-1,IF(OR($S206="Bug",$S206="Grass"),1,0))))</f>
        <v>0</v>
      </c>
      <c r="AN206" s="507" t="n">
        <f aca="false">SUM(IF(OR($R206="Flying",$R206="Dragon",$R206="Grass",$R206="Ground"),0-1,IF(OR($R206="Steel",$R206="Ice",$R206="Fire",$R206="Water"),1,0)),IF(OR($S206="Flying",$S206="Dragon",$S206="Grass",$S206="Ground"),0-1,IF(OR($S206="Steel",$S206="Ice",$S206="Fire",$S206="Water"),1,0)))</f>
        <v>0</v>
      </c>
      <c r="AO206" s="507" t="n">
        <f aca="false">IF(OR($R206="Ghost",$S206="Ghost"),4,SUM(IF(OR($R206="Steel",$R206="Rock"),1,0),IF(OR($S206="Steel",$S206="Rock"),1,0)))</f>
        <v>4</v>
      </c>
      <c r="AP206" s="507" t="n">
        <f aca="false">IF(OR($R206="Steel",$S206="Steel"),4,SUM(IF(OR($R206="Fairy",$R206="Grass"),0-1,IF(OR($R206="Ghost",$R206="Rock",$R206="Ground",$R206="Poison"),1,0)),IF(OR($S206="Fairy",$S206="Grass"),0-1,IF(OR($S206="Ghost",$S206="Rock",$S206="Ground",$S206="Poison"),1,0))))</f>
        <v>1</v>
      </c>
      <c r="AQ206" s="507" t="n">
        <f aca="false">IF(OR($R206="Dark",$S206="Dark"),4,SUM(IF(OR($R206="Fighting",$R206="Poison"),0-1,IF(OR($R206="Psychic",$R206="Steel"),1,0)),IF(OR($S206="Fighting",$S206="Poison"),0-1,IF(OR($S206="Psychic",$S206="Steel"),1,0))))</f>
        <v>1</v>
      </c>
      <c r="AR206" s="507" t="n">
        <f aca="false">SUM(IF(OR($R206="Bug",$R206="Fire",$R206="Flying",$R206="Ice"),0-1,IF(OR($R206="Steel",$R206="Fighting",$R206="Ground"),1,0)),IF(OR($S206="Bug",$S206="Fire",$S206="Flying",$S206="Ice"),0-1,IF(OR($S206="Steel",$S206="Fighting",$S206="Ground"),1,0)))</f>
        <v>0</v>
      </c>
      <c r="AS206" s="507" t="n">
        <f aca="false">SUM(IF(OR($R206="Fairy",$R206="Ice",$R206="Rock"),0-1,IF(OR($R206="Steel",$R206="Electric",$R206="Fire",$R206="Water"),1,0)),IF(OR($S206="Fairy",$S206="Ice",$S206="Rock"),0-1,IF(OR($S206="Steel",$S206="Electric",$S206="Fire",$S206="Water"),1,0)))</f>
        <v>0</v>
      </c>
      <c r="AT206" s="508" t="n">
        <f aca="false">SUM(IF(OR($R206="Fire",$R206="Ground",$R206="Rock"),0-1,IF(OR($R206="Dragon",$R206="Grass",$R206="Water"),1,0)),IF(OR($S206="Fire",$S206="Ground",$S206="Rock"),0-1,IF(OR($S206="Dragon",$S206="Grass",$S206="Water"),1,0)))</f>
        <v>0</v>
      </c>
      <c r="AU206" s="518"/>
    </row>
    <row r="207" customFormat="false" ht="15.75" hidden="false" customHeight="false" outlineLevel="0" collapsed="false">
      <c r="A207" s="510" t="str">
        <f aca="false" t="array" ref="A207:A207">IF(ISNA(INDEX(Source!$U$7:$U$95,MATCH(B207,Source!$V$7:$V$95,0))),"FREE",INDEX(Source!$U$7:$U$95,MATCH(B207,Source!$V$7:$V$95,0)))</f>
        <v>FREE</v>
      </c>
      <c r="B207" s="511" t="s">
        <v>1000</v>
      </c>
      <c r="C207" s="511"/>
      <c r="D207" s="511"/>
      <c r="E207" s="499" t="str">
        <f aca="false">IF(SUM($W207:$X207)&gt;0,SUM($W207:$X207),IF($H207&gt;0,0,IF($H207&gt;0,0,"-")))</f>
        <v>-</v>
      </c>
      <c r="F207" s="499" t="str">
        <f aca="false">IF(SUM($Y207:$Z207)&gt;0,SUM($Y207:$Z207),IF($H207&gt;0,0,"-"))</f>
        <v>-</v>
      </c>
      <c r="G207" s="499" t="str">
        <f aca="false">IF($H207&gt;0,minus(E207,F207),"-")</f>
        <v>-</v>
      </c>
      <c r="H207" s="500" t="n">
        <f aca="false">SUM(COUNTIF(MatchSource!$A:$A,$B207),COUNTIF(MatchSource!$H:$H,$B207))</f>
        <v>0</v>
      </c>
      <c r="I207" s="501" t="n">
        <f aca="false">SUM($AA207:$AB207)</f>
        <v>0</v>
      </c>
      <c r="J207" s="501" t="s">
        <v>888</v>
      </c>
      <c r="K207" s="512" t="str">
        <f aca="false" t="array" ref="K207:K207">IF(ISNA(INDEX(DraftRosters!$AA$3:$AA$199,MATCH($B207,DraftRosters!$AB$3:$AB$199,0))),"FA",IF(INDEX(DraftRosters!$AA$3:$AA$199,MATCH($B207,DraftRosters!$AB$3:$AB$199,0))="Franchise","Franch",INDEX(DraftRosters!$AA$3:$AA$199,MATCH($B207,DraftRosters!$AB$3:$AB$199,0))))</f>
        <v>FA</v>
      </c>
      <c r="L207" s="499" t="n">
        <v>80</v>
      </c>
      <c r="M207" s="499" t="n">
        <v>160</v>
      </c>
      <c r="N207" s="499" t="n">
        <v>60</v>
      </c>
      <c r="O207" s="499" t="n">
        <v>170</v>
      </c>
      <c r="P207" s="499" t="n">
        <v>130</v>
      </c>
      <c r="Q207" s="501" t="n">
        <v>80</v>
      </c>
      <c r="R207" s="499" t="s">
        <v>795</v>
      </c>
      <c r="S207" s="501" t="s">
        <v>828</v>
      </c>
      <c r="T207" s="504" t="s">
        <v>943</v>
      </c>
      <c r="U207" s="505"/>
      <c r="V207" s="506"/>
      <c r="W207" s="500" t="str">
        <f aca="false">IFERROR(__xludf.dummyfunction("if(isna(SUM(FILTER(MatchSource!$A:$D,MatchSource!$A:$A=$B207))),0,SUM(FILTER(MatchSource!$A:$D,MatchSource!$A:$A=$B207)))"),"0")</f>
        <v>0</v>
      </c>
      <c r="X207" s="499" t="str">
        <f aca="false">IFERROR(__xludf.dummyfunction("if(isna(SUM(FILTER(MatchSource!$H:$K,MatchSource!$H:$H=$B207))),0,SUM(FILTER(MatchSource!$H:$K,MatchSource!$H:$H=$B207)))"),"0")</f>
        <v>0</v>
      </c>
      <c r="Y207" s="499" t="str">
        <f aca="false">IFERROR(__xludf.dummyfunction("if(isna(ABS(MINUS(SUM(FILTER(MatchSource!$A:$E,MatchSource!$A:$A=$B207)),SUM($W207)))),0,ABS(MINUS(SUM(FILTER(MatchSource!$A:$E,MatchSource!$A:$A=$B207)),SUM($W207))))"),"0")</f>
        <v>0</v>
      </c>
      <c r="Z207" s="499" t="str">
        <f aca="false">IFERROR(__xludf.dummyfunction("if(isna(ABS(MINUS(SUM(FILTER(MatchSource!$H:$L,MatchSource!$H:$H=$B207)),SUM($X207)))),0,ABS(MINUS(SUM(FILTER(MatchSource!$H:$L,MatchSource!$H:$H=$B207)),SUM($X207))))"),"0")</f>
        <v>0</v>
      </c>
      <c r="AA207" s="499" t="str">
        <f aca="false">IFERROR(__xludf.dummyfunction("if(isna(ABS(MINUS(SUM(FILTER(MatchSource!$A:$F,MatchSource!$A:$A=$B207)),SUM($W207,$Y207)))),0,ABS(MINUS(SUM(FILTER(MatchSource!$A:$F,MatchSource!$A:$A=$B207)),SUM($W207, $Y207,))))"),"0")</f>
        <v>0</v>
      </c>
      <c r="AB207" s="501" t="str">
        <f aca="false">IFERROR(__xludf.dummyfunction("if(isna(ABS(MINUS(SUM(FILTER(MatchSource!$H:$M,MatchSource!$H:$H=$B207)),SUM($X207,$Z207)))),0,ABS(MINUS(SUM(FILTER(MatchSource!$H:$M,MatchSource!$H:$H=$B207)),SUM($X207,$Z207))))"),"0")</f>
        <v>0</v>
      </c>
      <c r="AC207" s="507" t="n">
        <f aca="false">SUM(IF(OR($R207="Grass",$R207="Psychic",$R207="Dark"),0-1,IF(OR($R207="Fighting",$R207="Flying",$R207="Fire",$R207="Ghost",$R207="Poison",$R207="Steel",$R207="Fairy"),1,0)),IF(OR($S207="Grass",$S207="Psychic",$S207="Dark"),0-1,IF(OR($S207="Fighting",$S207="Flying",$S207="Fire",$S207="Ghost",$S207="Poison",$S207="Steel",$S207="Fairy"),1,0)))</f>
        <v>-2</v>
      </c>
      <c r="AD207" s="507" t="n">
        <f aca="false">SUM(IF(OR($R207="Ghost",$R207="Psychic"),0-1,IF(OR($R207="Fighting",$R207="Dark",$R207="Fairy"),1,0)),IF(OR($S207="Ghost",$S207="Psychic"),0-1,IF(OR($S207="Fighting",$S207="Dark",$S207="Fairy"),1,0)))</f>
        <v>0</v>
      </c>
      <c r="AE207" s="507" t="n">
        <f aca="false">IF(OR($R207="Fairy",$S207="Fairy"),4,SUM(IF($R207="Dragon",0-1,IF($R207="Steel",1,0)),IF($S207="Dragon",0-1,IF($S207="Steel",1,0))))</f>
        <v>0</v>
      </c>
      <c r="AF207" s="507" t="n">
        <f aca="false">IF(OR($R207="Ground",$S207="Ground"),4,SUM(IF(OR($R207="Flying",$R207="Water"),0-1,IF(OR($R207="Dragon",$R207="Electric",$R207="Grass"),1,0)),IF(OR($S207="Flying",$S207="Water"),0-1,IF(OR($S207="Dragon",$S207="Electric",$S207="Grass"),1,0))))</f>
        <v>0</v>
      </c>
      <c r="AG207" s="507" t="n">
        <f aca="false">SUM(IF(OR($R207="Dark",$R207="Dragon",$R207="Fighting"),0-1,IF(OR($R207="Steel",$R207="Poison",$R207="Fire"),1,0)),IF(OR($S207="Dark",$S207="Dragon",$S207="Fighting"),0-1,IF(OR($S207="Steel",$S207="Poison",$S207="Fire"),1,0)))</f>
        <v>-1</v>
      </c>
      <c r="AH207" s="507" t="n">
        <f aca="false">IF(OR($R207="Ghost",$S207="Ghost"),4,SUM(IF(OR($R207="Dark",$R207="Ice",$R207="Normal",$R207="Rock",$R207="Steel"),0-1,IF(OR($R207="Bug",$R207="Fairy",$R207="Flying",$R207="Poison",$R207="Psychic"),1,0)),IF(OR($S207="Dark",$S207="Ice",$S207="Normal",$S207="Rock",$S207="Steel"),0-1,IF(OR($S207="Bug",$S207="Fairy",$S207="Flying",$S207="Poison",$S207="Psychic"),1,0))))</f>
        <v>0</v>
      </c>
      <c r="AI207" s="507" t="n">
        <f aca="false">SUM(IF(OR($R207="Bug",$R207="Grass",$R207="Ice",$R207="Steel"),0-1,IF(OR($R207="Dragon",$R207="Fire",$R207="Rock",$R207="Water"),1,0)),IF(OR($S207="Bug",$S207="Grass",$S207="Ice",$S207="Steel"),0-1,IF(OR($S207="Dragon",$S207="Fire",$S207="Rock",$S207="Water"),1,0)))</f>
        <v>0</v>
      </c>
      <c r="AJ207" s="507" t="n">
        <f aca="false">SUM(IF(OR($R207="Bug",$R207="Grass",$R207="Fighting"),0-1,IF(OR($R207="Electric",$R207="Rock",$R207="Steel"),1,0)),IF(OR($S207="Bug",$S207="Grass",$S207="Fighting"),0-1,IF(OR($S207="Electric",$S207="Rock",$S207="Steel"),1,0)))</f>
        <v>0</v>
      </c>
      <c r="AK207" s="507" t="n">
        <f aca="false">IF(OR($R207="Normal",$S207="Normal"),4,SUM(IF(OR($R207="Ghost",$R207="Psychic"),0-1,IF($R207="Dark",1,0)),IF(OR($S207="Ghost",$S207="Psychic"),0-1,IF($S207="Dark",1,0))))</f>
        <v>0</v>
      </c>
      <c r="AL207" s="507" t="n">
        <f aca="false">SUM(IF(OR($R207="Ground",$R207="Rock",$R207="Water"),0-1,IF(OR($R207="Bug",$R207="Flying",$R207="Fire",$R207="Dragon",$R207="Poison",$R207="Steel",$R207="Grass"),1,0)),IF(OR($S207="Ground",$S207="Rock",$S207="Water"),0-1,IF(OR($S207="Bug",$S207="Flying",$S207="Fire",$S207="Dragon",$S207="Poison",$S207="Steel",$S207="Grass"),1,0)))</f>
        <v>0</v>
      </c>
      <c r="AM207" s="507" t="n">
        <f aca="false">IF(OR($R207="Flying",$S207="Flying"),4,SUM(IF(OR($R207="Electric",$R207="Fire",$R207="Rock",$R207="Steel",$R207="Poison"),0-1,IF(OR($R207="Bug",$R207="Grass"),1,0)),IF(OR($S207="Electric",$S207="Fire",$S207="Rock",$S207="Steel",$S207="Poison"),0-1,IF(OR($S207="Bug",$S207="Grass"),1,0))))</f>
        <v>0</v>
      </c>
      <c r="AN207" s="507" t="n">
        <f aca="false">SUM(IF(OR($R207="Flying",$R207="Dragon",$R207="Grass",$R207="Ground"),0-1,IF(OR($R207="Steel",$R207="Ice",$R207="Fire",$R207="Water"),1,0)),IF(OR($S207="Flying",$S207="Dragon",$S207="Grass",$S207="Ground"),0-1,IF(OR($S207="Steel",$S207="Ice",$S207="Fire",$S207="Water"),1,0)))</f>
        <v>0</v>
      </c>
      <c r="AO207" s="507" t="n">
        <f aca="false">IF(OR($R207="Ghost",$S207="Ghost"),4,SUM(IF(OR($R207="Steel",$R207="Rock"),1,0),IF(OR($S207="Steel",$S207="Rock"),1,0)))</f>
        <v>0</v>
      </c>
      <c r="AP207" s="507" t="n">
        <f aca="false">IF(OR($R207="Steel",$S207="Steel"),4,SUM(IF(OR($R207="Fairy",$R207="Grass"),0-1,IF(OR($R207="Ghost",$R207="Rock",$R207="Ground",$R207="Poison"),1,0)),IF(OR($S207="Fairy",$S207="Grass"),0-1,IF(OR($S207="Ghost",$S207="Rock",$S207="Ground",$S207="Poison"),1,0))))</f>
        <v>0</v>
      </c>
      <c r="AQ207" s="507" t="n">
        <f aca="false">IF(OR($R207="Dark",$S207="Dark"),4,SUM(IF(OR($R207="Fighting",$R207="Poison"),0-1,IF(OR($R207="Psychic",$R207="Steel"),1,0)),IF(OR($S207="Fighting",$S207="Poison"),0-1,IF(OR($S207="Psychic",$S207="Steel"),1,0))))</f>
        <v>4</v>
      </c>
      <c r="AR207" s="507" t="n">
        <f aca="false">SUM(IF(OR($R207="Bug",$R207="Fire",$R207="Flying",$R207="Ice"),0-1,IF(OR($R207="Steel",$R207="Fighting",$R207="Ground"),1,0)),IF(OR($S207="Bug",$S207="Fire",$S207="Flying",$S207="Ice"),0-1,IF(OR($S207="Steel",$S207="Fighting",$S207="Ground"),1,0)))</f>
        <v>0</v>
      </c>
      <c r="AS207" s="507" t="n">
        <f aca="false">SUM(IF(OR($R207="Fairy",$R207="Ice",$R207="Rock"),0-1,IF(OR($R207="Steel",$R207="Electric",$R207="Fire",$R207="Water"),1,0)),IF(OR($S207="Fairy",$S207="Ice",$S207="Rock"),0-1,IF(OR($S207="Steel",$S207="Electric",$S207="Fire",$S207="Water"),1,0)))</f>
        <v>0</v>
      </c>
      <c r="AT207" s="508" t="n">
        <f aca="false">SUM(IF(OR($R207="Fire",$R207="Ground",$R207="Rock"),0-1,IF(OR($R207="Dragon",$R207="Grass",$R207="Water"),1,0)),IF(OR($S207="Fire",$S207="Ground",$S207="Rock"),0-1,IF(OR($S207="Dragon",$S207="Grass",$S207="Water"),1,0)))</f>
        <v>0</v>
      </c>
      <c r="AU207" s="518"/>
    </row>
    <row r="208" customFormat="false" ht="15.75" hidden="false" customHeight="false" outlineLevel="0" collapsed="false">
      <c r="A208" s="515" t="str">
        <f aca="false" t="array" ref="A208:A208">IF(ISNA(INDEX(Source!$U$7:$U$95,MATCH(B208,Source!$V$7:$V$95,0))),"FREE",INDEX(Source!$U$7:$U$95,MATCH(B208,Source!$V$7:$V$95,0)))</f>
        <v>FREE</v>
      </c>
      <c r="B208" s="511" t="s">
        <v>523</v>
      </c>
      <c r="C208" s="511"/>
      <c r="D208" s="511"/>
      <c r="E208" s="499" t="str">
        <f aca="false">IF(SUM($W208:$X208)&gt;0,SUM($W208:$X208),IF($H208&gt;0,0,IF($H208&gt;0,0,"-")))</f>
        <v>-</v>
      </c>
      <c r="F208" s="499" t="str">
        <f aca="false">IF(SUM($Y208:$Z208)&gt;0,SUM($Y208:$Z208),IF($H208&gt;0,0,"-"))</f>
        <v>-</v>
      </c>
      <c r="G208" s="499" t="str">
        <f aca="false">IF($H208&gt;0,minus(E208,F208),"-")</f>
        <v>-</v>
      </c>
      <c r="H208" s="500" t="n">
        <f aca="false">SUM(COUNTIF(MatchSource!$A:$A,$B208),COUNTIF(MatchSource!$H:$H,$B208))</f>
        <v>0</v>
      </c>
      <c r="I208" s="501" t="n">
        <f aca="false">SUM($AA208:$AB208)</f>
        <v>0</v>
      </c>
      <c r="J208" s="501" t="s">
        <v>701</v>
      </c>
      <c r="K208" s="512" t="str">
        <f aca="false" t="array" ref="K208:K208">IF(ISNA(INDEX(DraftRosters!$AA$3:$AA$199,MATCH($B208,DraftRosters!$AB$3:$AB$199,0))),"FA",IF(INDEX(DraftRosters!$AA$3:$AA$199,MATCH($B208,DraftRosters!$AB$3:$AB$199,0))="Franchise","Franch",INDEX(DraftRosters!$AA$3:$AA$199,MATCH($B208,DraftRosters!$AB$3:$AB$199,0))))</f>
        <v>FA</v>
      </c>
      <c r="L208" s="499" t="n">
        <v>75</v>
      </c>
      <c r="M208" s="499" t="n">
        <v>90</v>
      </c>
      <c r="N208" s="499" t="n">
        <v>50</v>
      </c>
      <c r="O208" s="499" t="n">
        <v>110</v>
      </c>
      <c r="P208" s="499" t="n">
        <v>80</v>
      </c>
      <c r="Q208" s="501" t="n">
        <v>95</v>
      </c>
      <c r="R208" s="499" t="s">
        <v>795</v>
      </c>
      <c r="S208" s="501" t="s">
        <v>800</v>
      </c>
      <c r="T208" s="505" t="s">
        <v>948</v>
      </c>
      <c r="U208" s="505" t="s">
        <v>822</v>
      </c>
      <c r="V208" s="506" t="s">
        <v>853</v>
      </c>
      <c r="W208" s="500" t="str">
        <f aca="false">IFERROR(__xludf.dummyfunction("if(isna(SUM(FILTER(MatchSource!$A:$D,MatchSource!$A:$A=$B208))),0,SUM(FILTER(MatchSource!$A:$D,MatchSource!$A:$A=$B208)))"),"0")</f>
        <v>0</v>
      </c>
      <c r="X208" s="499" t="str">
        <f aca="false">IFERROR(__xludf.dummyfunction("if(isna(SUM(FILTER(MatchSource!$H:$K,MatchSource!$H:$H=$B208))),0,SUM(FILTER(MatchSource!$H:$K,MatchSource!$H:$H=$B208)))"),"0")</f>
        <v>0</v>
      </c>
      <c r="Y208" s="499" t="str">
        <f aca="false">IFERROR(__xludf.dummyfunction("if(isna(ABS(MINUS(SUM(FILTER(MatchSource!$A:$E,MatchSource!$A:$A=$B208)),SUM($W208)))),0,ABS(MINUS(SUM(FILTER(MatchSource!$A:$E,MatchSource!$A:$A=$B208)),SUM($W208))))"),"0")</f>
        <v>0</v>
      </c>
      <c r="Z208" s="499" t="str">
        <f aca="false">IFERROR(__xludf.dummyfunction("if(isna(ABS(MINUS(SUM(FILTER(MatchSource!$H:$L,MatchSource!$H:$H=$B208)),SUM($X208)))),0,ABS(MINUS(SUM(FILTER(MatchSource!$H:$L,MatchSource!$H:$H=$B208)),SUM($X208))))"),"0")</f>
        <v>0</v>
      </c>
      <c r="AA208" s="499" t="str">
        <f aca="false">IFERROR(__xludf.dummyfunction("if(isna(ABS(MINUS(SUM(FILTER(MatchSource!$A:$F,MatchSource!$A:$A=$B208)),SUM($W208,$Y208)))),0,ABS(MINUS(SUM(FILTER(MatchSource!$A:$F,MatchSource!$A:$A=$B208)),SUM($W208, $Y208,))))"),"0")</f>
        <v>0</v>
      </c>
      <c r="AB208" s="501" t="str">
        <f aca="false">IFERROR(__xludf.dummyfunction("if(isna(ABS(MINUS(SUM(FILTER(MatchSource!$H:$M,MatchSource!$H:$H=$B208)),SUM($X208,$Z208)))),0,ABS(MINUS(SUM(FILTER(MatchSource!$H:$M,MatchSource!$H:$H=$B208)),SUM($X208,$Z208))))"),"0")</f>
        <v>0</v>
      </c>
      <c r="AC208" s="507" t="n">
        <f aca="false">SUM(IF(OR($R208="Grass",$R208="Psychic",$R208="Dark"),0-1,IF(OR($R208="Fighting",$R208="Flying",$R208="Fire",$R208="Ghost",$R208="Poison",$R208="Steel",$R208="Fairy"),1,0)),IF(OR($S208="Grass",$S208="Psychic",$S208="Dark"),0-1,IF(OR($S208="Fighting",$S208="Flying",$S208="Fire",$S208="Ghost",$S208="Poison",$S208="Steel",$S208="Fairy"),1,0)))</f>
        <v>0</v>
      </c>
      <c r="AD208" s="507" t="n">
        <f aca="false">SUM(IF(OR($R208="Ghost",$R208="Psychic"),0-1,IF(OR($R208="Fighting",$R208="Dark",$R208="Fairy"),1,0)),IF(OR($S208="Ghost",$S208="Psychic"),0-1,IF(OR($S208="Fighting",$S208="Dark",$S208="Fairy"),1,0)))</f>
        <v>1</v>
      </c>
      <c r="AE208" s="507" t="n">
        <f aca="false">IF(OR($R208="Fairy",$S208="Fairy"),4,SUM(IF($R208="Dragon",0-1,IF($R208="Steel",1,0)),IF($S208="Dragon",0-1,IF($S208="Steel",1,0))))</f>
        <v>0</v>
      </c>
      <c r="AF208" s="507" t="n">
        <f aca="false">IF(OR($R208="Ground",$S208="Ground"),4,SUM(IF(OR($R208="Flying",$R208="Water"),0-1,IF(OR($R208="Dragon",$R208="Electric",$R208="Grass"),1,0)),IF(OR($S208="Flying",$S208="Water"),0-1,IF(OR($S208="Dragon",$S208="Electric",$S208="Grass"),1,0))))</f>
        <v>0</v>
      </c>
      <c r="AG208" s="507" t="n">
        <f aca="false">SUM(IF(OR($R208="Dark",$R208="Dragon",$R208="Fighting"),0-1,IF(OR($R208="Steel",$R208="Poison",$R208="Fire"),1,0)),IF(OR($S208="Dark",$S208="Dragon",$S208="Fighting"),0-1,IF(OR($S208="Steel",$S208="Poison",$S208="Fire"),1,0)))</f>
        <v>0</v>
      </c>
      <c r="AH208" s="507" t="n">
        <f aca="false">IF(OR($R208="Ghost",$S208="Ghost"),4,SUM(IF(OR($R208="Dark",$R208="Ice",$R208="Normal",$R208="Rock",$R208="Steel"),0-1,IF(OR($R208="Bug",$R208="Fairy",$R208="Flying",$R208="Poison",$R208="Psychic"),1,0)),IF(OR($S208="Dark",$S208="Ice",$S208="Normal",$S208="Rock",$S208="Steel"),0-1,IF(OR($S208="Bug",$S208="Fairy",$S208="Flying",$S208="Poison",$S208="Psychic"),1,0))))</f>
        <v>-1</v>
      </c>
      <c r="AI208" s="507" t="n">
        <f aca="false">SUM(IF(OR($R208="Bug",$R208="Grass",$R208="Ice",$R208="Steel"),0-1,IF(OR($R208="Dragon",$R208="Fire",$R208="Rock",$R208="Water"),1,0)),IF(OR($S208="Bug",$S208="Grass",$S208="Ice",$S208="Steel"),0-1,IF(OR($S208="Dragon",$S208="Fire",$S208="Rock",$S208="Water"),1,0)))</f>
        <v>1</v>
      </c>
      <c r="AJ208" s="507" t="n">
        <f aca="false">SUM(IF(OR($R208="Bug",$R208="Grass",$R208="Fighting"),0-1,IF(OR($R208="Electric",$R208="Rock",$R208="Steel"),1,0)),IF(OR($S208="Bug",$S208="Grass",$S208="Fighting"),0-1,IF(OR($S208="Electric",$S208="Rock",$S208="Steel"),1,0)))</f>
        <v>0</v>
      </c>
      <c r="AK208" s="507" t="n">
        <f aca="false">IF(OR($R208="Normal",$S208="Normal"),4,SUM(IF(OR($R208="Ghost",$R208="Psychic"),0-1,IF($R208="Dark",1,0)),IF(OR($S208="Ghost",$S208="Psychic"),0-1,IF($S208="Dark",1,0))))</f>
        <v>1</v>
      </c>
      <c r="AL208" s="507" t="n">
        <f aca="false">SUM(IF(OR($R208="Ground",$R208="Rock",$R208="Water"),0-1,IF(OR($R208="Bug",$R208="Flying",$R208="Fire",$R208="Dragon",$R208="Poison",$R208="Steel",$R208="Grass"),1,0)),IF(OR($S208="Ground",$S208="Rock",$S208="Water"),0-1,IF(OR($S208="Bug",$S208="Flying",$S208="Fire",$S208="Dragon",$S208="Poison",$S208="Steel",$S208="Grass"),1,0)))</f>
        <v>1</v>
      </c>
      <c r="AM208" s="507" t="n">
        <f aca="false">IF(OR($R208="Flying",$S208="Flying"),4,SUM(IF(OR($R208="Electric",$R208="Fire",$R208="Rock",$R208="Steel",$R208="Poison"),0-1,IF(OR($R208="Bug",$R208="Grass"),1,0)),IF(OR($S208="Electric",$S208="Fire",$S208="Rock",$S208="Steel",$S208="Poison"),0-1,IF(OR($S208="Bug",$S208="Grass"),1,0))))</f>
        <v>-1</v>
      </c>
      <c r="AN208" s="507" t="n">
        <f aca="false">SUM(IF(OR($R208="Flying",$R208="Dragon",$R208="Grass",$R208="Ground"),0-1,IF(OR($R208="Steel",$R208="Ice",$R208="Fire",$R208="Water"),1,0)),IF(OR($S208="Flying",$S208="Dragon",$S208="Grass",$S208="Ground"),0-1,IF(OR($S208="Steel",$S208="Ice",$S208="Fire",$S208="Water"),1,0)))</f>
        <v>1</v>
      </c>
      <c r="AO208" s="507" t="n">
        <f aca="false">IF(OR($R208="Ghost",$S208="Ghost"),4,SUM(IF(OR($R208="Steel",$R208="Rock"),1,0),IF(OR($S208="Steel",$S208="Rock"),1,0)))</f>
        <v>0</v>
      </c>
      <c r="AP208" s="507" t="n">
        <f aca="false">IF(OR($R208="Steel",$S208="Steel"),4,SUM(IF(OR($R208="Fairy",$R208="Grass"),0-1,IF(OR($R208="Ghost",$R208="Rock",$R208="Ground",$R208="Poison"),1,0)),IF(OR($S208="Fairy",$S208="Grass"),0-1,IF(OR($S208="Ghost",$S208="Rock",$S208="Ground",$S208="Poison"),1,0))))</f>
        <v>0</v>
      </c>
      <c r="AQ208" s="507" t="n">
        <f aca="false">IF(OR($R208="Dark",$S208="Dark"),4,SUM(IF(OR($R208="Fighting",$R208="Poison"),0-1,IF(OR($R208="Psychic",$R208="Steel"),1,0)),IF(OR($S208="Fighting",$S208="Poison"),0-1,IF(OR($S208="Psychic",$S208="Steel"),1,0))))</f>
        <v>4</v>
      </c>
      <c r="AR208" s="507" t="n">
        <f aca="false">SUM(IF(OR($R208="Bug",$R208="Fire",$R208="Flying",$R208="Ice"),0-1,IF(OR($R208="Steel",$R208="Fighting",$R208="Ground"),1,0)),IF(OR($S208="Bug",$S208="Fire",$S208="Flying",$S208="Ice"),0-1,IF(OR($S208="Steel",$S208="Fighting",$S208="Ground"),1,0)))</f>
        <v>-1</v>
      </c>
      <c r="AS208" s="507" t="n">
        <f aca="false">SUM(IF(OR($R208="Fairy",$R208="Ice",$R208="Rock"),0-1,IF(OR($R208="Steel",$R208="Electric",$R208="Fire",$R208="Water"),1,0)),IF(OR($S208="Fairy",$S208="Ice",$S208="Rock"),0-1,IF(OR($S208="Steel",$S208="Electric",$S208="Fire",$S208="Water"),1,0)))</f>
        <v>1</v>
      </c>
      <c r="AT208" s="508" t="n">
        <f aca="false">SUM(IF(OR($R208="Fire",$R208="Ground",$R208="Rock"),0-1,IF(OR($R208="Dragon",$R208="Grass",$R208="Water"),1,0)),IF(OR($S208="Fire",$S208="Ground",$S208="Rock"),0-1,IF(OR($S208="Dragon",$S208="Grass",$S208="Water"),1,0)))</f>
        <v>-1</v>
      </c>
      <c r="AU208" s="518"/>
    </row>
    <row r="209" customFormat="false" ht="15.75" hidden="false" customHeight="false" outlineLevel="0" collapsed="false">
      <c r="A209" s="515" t="str">
        <f aca="false" t="array" ref="A209:A209">IF(ISNA(INDEX(Source!$U$7:$U$95,MATCH(B209,Source!$V$7:$V$95,0))),"FREE",INDEX(Source!$U$7:$U$95,MATCH(B209,Source!$V$7:$V$95,0)))</f>
        <v>FREE</v>
      </c>
      <c r="B209" s="511" t="s">
        <v>726</v>
      </c>
      <c r="C209" s="511"/>
      <c r="D209" s="511"/>
      <c r="E209" s="499" t="str">
        <f aca="false">IF(SUM($W209:$X209)&gt;0,SUM($W209:$X209),IF($H209&gt;0,0,IF($H209&gt;0,0,"-")))</f>
        <v>-</v>
      </c>
      <c r="F209" s="499" t="str">
        <f aca="false">IF(SUM($Y209:$Z209)&gt;0,SUM($Y209:$Z209),IF($H209&gt;0,0,"-"))</f>
        <v>-</v>
      </c>
      <c r="G209" s="499" t="str">
        <f aca="false">IF($H209&gt;0,minus(E209,F209),"-")</f>
        <v>-</v>
      </c>
      <c r="H209" s="500" t="n">
        <f aca="false">SUM(COUNTIF(MatchSource!$A:$A,$B209),COUNTIF(MatchSource!$H:$H,$B209))</f>
        <v>0</v>
      </c>
      <c r="I209" s="501" t="n">
        <f aca="false">SUM($AA209:$AB209)</f>
        <v>0</v>
      </c>
      <c r="J209" s="501" t="s">
        <v>278</v>
      </c>
      <c r="K209" s="512" t="str">
        <f aca="false" t="array" ref="K209:K209">IF(ISNA(INDEX(DraftRosters!$AA$3:$AA$199,MATCH($B209,DraftRosters!$AB$3:$AB$199,0))),"FA",IF(INDEX(DraftRosters!$AA$3:$AA$199,MATCH($B209,DraftRosters!$AB$3:$AB$199,0))="Franchise","Franch",INDEX(DraftRosters!$AA$3:$AA$199,MATCH($B209,DraftRosters!$AB$3:$AB$199,0))))</f>
        <v>FA</v>
      </c>
      <c r="L209" s="499" t="n">
        <v>75</v>
      </c>
      <c r="M209" s="499" t="n">
        <v>90</v>
      </c>
      <c r="N209" s="499" t="n">
        <v>90</v>
      </c>
      <c r="O209" s="499" t="n">
        <v>140</v>
      </c>
      <c r="P209" s="499" t="n">
        <v>90</v>
      </c>
      <c r="Q209" s="501" t="n">
        <v>115</v>
      </c>
      <c r="R209" s="499" t="s">
        <v>795</v>
      </c>
      <c r="S209" s="501" t="s">
        <v>800</v>
      </c>
      <c r="T209" s="505" t="s">
        <v>915</v>
      </c>
      <c r="U209" s="513"/>
      <c r="V209" s="514"/>
      <c r="W209" s="500" t="str">
        <f aca="false">IFERROR(__xludf.dummyfunction("if(isna(SUM(FILTER(MatchSource!$A:$D,MatchSource!$A:$A=$B209))),0,SUM(FILTER(MatchSource!$A:$D,MatchSource!$A:$A=$B209)))"),"0")</f>
        <v>0</v>
      </c>
      <c r="X209" s="499" t="str">
        <f aca="false">IFERROR(__xludf.dummyfunction("if(isna(SUM(FILTER(MatchSource!$H:$K,MatchSource!$H:$H=$B209))),0,SUM(FILTER(MatchSource!$H:$K,MatchSource!$H:$H=$B209)))"),"0")</f>
        <v>0</v>
      </c>
      <c r="Y209" s="499" t="str">
        <f aca="false">IFERROR(__xludf.dummyfunction("if(isna(ABS(MINUS(SUM(FILTER(MatchSource!$A:$E,MatchSource!$A:$A=$B209)),SUM($W209)))),0,ABS(MINUS(SUM(FILTER(MatchSource!$A:$E,MatchSource!$A:$A=$B209)),SUM($W209))))"),"0")</f>
        <v>0</v>
      </c>
      <c r="Z209" s="499" t="str">
        <f aca="false">IFERROR(__xludf.dummyfunction("if(isna(ABS(MINUS(SUM(FILTER(MatchSource!$H:$L,MatchSource!$H:$H=$B209)),SUM($X209)))),0,ABS(MINUS(SUM(FILTER(MatchSource!$H:$L,MatchSource!$H:$H=$B209)),SUM($X209))))"),"0")</f>
        <v>0</v>
      </c>
      <c r="AA209" s="499" t="str">
        <f aca="false">IFERROR(__xludf.dummyfunction("if(isna(ABS(MINUS(SUM(FILTER(MatchSource!$A:$F,MatchSource!$A:$A=$B209)),SUM($W209,$Y209)))),0,ABS(MINUS(SUM(FILTER(MatchSource!$A:$F,MatchSource!$A:$A=$B209)),SUM($W209, $Y209,))))"),"0")</f>
        <v>0</v>
      </c>
      <c r="AB209" s="501" t="str">
        <f aca="false">IFERROR(__xludf.dummyfunction("if(isna(ABS(MINUS(SUM(FILTER(MatchSource!$H:$M,MatchSource!$H:$H=$B209)),SUM($X209,$Z209)))),0,ABS(MINUS(SUM(FILTER(MatchSource!$H:$M,MatchSource!$H:$H=$B209)),SUM($X209,$Z209))))"),"0")</f>
        <v>0</v>
      </c>
      <c r="AC209" s="507" t="n">
        <f aca="false">SUM(IF(OR($R209="Grass",$R209="Psychic",$R209="Dark"),0-1,IF(OR($R209="Fighting",$R209="Flying",$R209="Fire",$R209="Ghost",$R209="Poison",$R209="Steel",$R209="Fairy"),1,0)),IF(OR($S209="Grass",$S209="Psychic",$S209="Dark"),0-1,IF(OR($S209="Fighting",$S209="Flying",$S209="Fire",$S209="Ghost",$S209="Poison",$S209="Steel",$S209="Fairy"),1,0)))</f>
        <v>0</v>
      </c>
      <c r="AD209" s="507" t="n">
        <f aca="false">SUM(IF(OR($R209="Ghost",$R209="Psychic"),0-1,IF(OR($R209="Fighting",$R209="Dark",$R209="Fairy"),1,0)),IF(OR($S209="Ghost",$S209="Psychic"),0-1,IF(OR($S209="Fighting",$S209="Dark",$S209="Fairy"),1,0)))</f>
        <v>1</v>
      </c>
      <c r="AE209" s="507" t="n">
        <f aca="false">IF(OR($R209="Fairy",$S209="Fairy"),4,SUM(IF($R209="Dragon",0-1,IF($R209="Steel",1,0)),IF($S209="Dragon",0-1,IF($S209="Steel",1,0))))</f>
        <v>0</v>
      </c>
      <c r="AF209" s="507" t="n">
        <f aca="false">IF(OR($R209="Ground",$S209="Ground"),4,SUM(IF(OR($R209="Flying",$R209="Water"),0-1,IF(OR($R209="Dragon",$R209="Electric",$R209="Grass"),1,0)),IF(OR($S209="Flying",$S209="Water"),0-1,IF(OR($S209="Dragon",$S209="Electric",$S209="Grass"),1,0))))</f>
        <v>0</v>
      </c>
      <c r="AG209" s="507" t="n">
        <f aca="false">SUM(IF(OR($R209="Dark",$R209="Dragon",$R209="Fighting"),0-1,IF(OR($R209="Steel",$R209="Poison",$R209="Fire"),1,0)),IF(OR($S209="Dark",$S209="Dragon",$S209="Fighting"),0-1,IF(OR($S209="Steel",$S209="Poison",$S209="Fire"),1,0)))</f>
        <v>0</v>
      </c>
      <c r="AH209" s="507" t="n">
        <f aca="false">IF(OR($R209="Ghost",$S209="Ghost"),4,SUM(IF(OR($R209="Dark",$R209="Ice",$R209="Normal",$R209="Rock",$R209="Steel"),0-1,IF(OR($R209="Bug",$R209="Fairy",$R209="Flying",$R209="Poison",$R209="Psychic"),1,0)),IF(OR($S209="Dark",$S209="Ice",$S209="Normal",$S209="Rock",$S209="Steel"),0-1,IF(OR($S209="Bug",$S209="Fairy",$S209="Flying",$S209="Poison",$S209="Psychic"),1,0))))</f>
        <v>-1</v>
      </c>
      <c r="AI209" s="507" t="n">
        <f aca="false">SUM(IF(OR($R209="Bug",$R209="Grass",$R209="Ice",$R209="Steel"),0-1,IF(OR($R209="Dragon",$R209="Fire",$R209="Rock",$R209="Water"),1,0)),IF(OR($S209="Bug",$S209="Grass",$S209="Ice",$S209="Steel"),0-1,IF(OR($S209="Dragon",$S209="Fire",$S209="Rock",$S209="Water"),1,0)))</f>
        <v>1</v>
      </c>
      <c r="AJ209" s="507" t="n">
        <f aca="false">SUM(IF(OR($R209="Bug",$R209="Grass",$R209="Fighting"),0-1,IF(OR($R209="Electric",$R209="Rock",$R209="Steel"),1,0)),IF(OR($S209="Bug",$S209="Grass",$S209="Fighting"),0-1,IF(OR($S209="Electric",$S209="Rock",$S209="Steel"),1,0)))</f>
        <v>0</v>
      </c>
      <c r="AK209" s="507" t="n">
        <f aca="false">IF(OR($R209="Normal",$S209="Normal"),4,SUM(IF(OR($R209="Ghost",$R209="Psychic"),0-1,IF($R209="Dark",1,0)),IF(OR($S209="Ghost",$S209="Psychic"),0-1,IF($S209="Dark",1,0))))</f>
        <v>1</v>
      </c>
      <c r="AL209" s="507" t="n">
        <f aca="false">SUM(IF(OR($R209="Ground",$R209="Rock",$R209="Water"),0-1,IF(OR($R209="Bug",$R209="Flying",$R209="Fire",$R209="Dragon",$R209="Poison",$R209="Steel",$R209="Grass"),1,0)),IF(OR($S209="Ground",$S209="Rock",$S209="Water"),0-1,IF(OR($S209="Bug",$S209="Flying",$S209="Fire",$S209="Dragon",$S209="Poison",$S209="Steel",$S209="Grass"),1,0)))</f>
        <v>1</v>
      </c>
      <c r="AM209" s="507" t="n">
        <f aca="false">IF(OR($R209="Flying",$S209="Flying"),4,SUM(IF(OR($R209="Electric",$R209="Fire",$R209="Rock",$R209="Steel",$R209="Poison"),0-1,IF(OR($R209="Bug",$R209="Grass"),1,0)),IF(OR($S209="Electric",$S209="Fire",$S209="Rock",$S209="Steel",$S209="Poison"),0-1,IF(OR($S209="Bug",$S209="Grass"),1,0))))</f>
        <v>-1</v>
      </c>
      <c r="AN209" s="507" t="n">
        <f aca="false">SUM(IF(OR($R209="Flying",$R209="Dragon",$R209="Grass",$R209="Ground"),0-1,IF(OR($R209="Steel",$R209="Ice",$R209="Fire",$R209="Water"),1,0)),IF(OR($S209="Flying",$S209="Dragon",$S209="Grass",$S209="Ground"),0-1,IF(OR($S209="Steel",$S209="Ice",$S209="Fire",$S209="Water"),1,0)))</f>
        <v>1</v>
      </c>
      <c r="AO209" s="507" t="n">
        <f aca="false">IF(OR($R209="Ghost",$S209="Ghost"),4,SUM(IF(OR($R209="Steel",$R209="Rock"),1,0),IF(OR($S209="Steel",$S209="Rock"),1,0)))</f>
        <v>0</v>
      </c>
      <c r="AP209" s="507" t="n">
        <f aca="false">IF(OR($R209="Steel",$S209="Steel"),4,SUM(IF(OR($R209="Fairy",$R209="Grass"),0-1,IF(OR($R209="Ghost",$R209="Rock",$R209="Ground",$R209="Poison"),1,0)),IF(OR($S209="Fairy",$S209="Grass"),0-1,IF(OR($S209="Ghost",$S209="Rock",$S209="Ground",$S209="Poison"),1,0))))</f>
        <v>0</v>
      </c>
      <c r="AQ209" s="507" t="n">
        <f aca="false">IF(OR($R209="Dark",$S209="Dark"),4,SUM(IF(OR($R209="Fighting",$R209="Poison"),0-1,IF(OR($R209="Psychic",$R209="Steel"),1,0)),IF(OR($S209="Fighting",$S209="Poison"),0-1,IF(OR($S209="Psychic",$S209="Steel"),1,0))))</f>
        <v>4</v>
      </c>
      <c r="AR209" s="507" t="n">
        <f aca="false">SUM(IF(OR($R209="Bug",$R209="Fire",$R209="Flying",$R209="Ice"),0-1,IF(OR($R209="Steel",$R209="Fighting",$R209="Ground"),1,0)),IF(OR($S209="Bug",$S209="Fire",$S209="Flying",$S209="Ice"),0-1,IF(OR($S209="Steel",$S209="Fighting",$S209="Ground"),1,0)))</f>
        <v>-1</v>
      </c>
      <c r="AS209" s="507" t="n">
        <f aca="false">SUM(IF(OR($R209="Fairy",$R209="Ice",$R209="Rock"),0-1,IF(OR($R209="Steel",$R209="Electric",$R209="Fire",$R209="Water"),1,0)),IF(OR($S209="Fairy",$S209="Ice",$S209="Rock"),0-1,IF(OR($S209="Steel",$S209="Electric",$S209="Fire",$S209="Water"),1,0)))</f>
        <v>1</v>
      </c>
      <c r="AT209" s="508" t="n">
        <f aca="false">SUM(IF(OR($R209="Fire",$R209="Ground",$R209="Rock"),0-1,IF(OR($R209="Dragon",$R209="Grass",$R209="Water"),1,0)),IF(OR($S209="Fire",$S209="Ground",$S209="Rock"),0-1,IF(OR($S209="Dragon",$S209="Grass",$S209="Water"),1,0)))</f>
        <v>-1</v>
      </c>
      <c r="AU209" s="518"/>
    </row>
    <row r="210" customFormat="false" ht="15.75" hidden="false" customHeight="false" outlineLevel="0" collapsed="false">
      <c r="A210" s="515" t="str">
        <f aca="false" t="array" ref="A210:A210">IF(ISNA(INDEX(Source!$U$7:$U$95,MATCH(B210,Source!$V$7:$V$95,0))),"FREE",INDEX(Source!$U$7:$U$95,MATCH(B210,Source!$V$7:$V$95,0)))</f>
        <v>FREE</v>
      </c>
      <c r="B210" s="511" t="s">
        <v>636</v>
      </c>
      <c r="C210" s="511"/>
      <c r="D210" s="511"/>
      <c r="E210" s="499" t="str">
        <f aca="false">IF(SUM($W210:$X210)&gt;0,SUM($W210:$X210),IF($H210&gt;0,0,IF($H210&gt;0,0,"-")))</f>
        <v>-</v>
      </c>
      <c r="F210" s="499" t="str">
        <f aca="false">IF(SUM($Y210:$Z210)&gt;0,SUM($Y210:$Z210),IF($H210&gt;0,0,"-"))</f>
        <v>-</v>
      </c>
      <c r="G210" s="499" t="str">
        <f aca="false">IF($H210&gt;0,minus(E210,F210),"-")</f>
        <v>-</v>
      </c>
      <c r="H210" s="500" t="n">
        <f aca="false">SUM(COUNTIF(MatchSource!$A:$A,$B210),COUNTIF(MatchSource!$H:$H,$B210))</f>
        <v>0</v>
      </c>
      <c r="I210" s="501" t="n">
        <f aca="false">SUM($AA210:$AB210)</f>
        <v>0</v>
      </c>
      <c r="J210" s="501" t="s">
        <v>702</v>
      </c>
      <c r="K210" s="512" t="str">
        <f aca="false" t="array" ref="K210:K210">IF(ISNA(INDEX(DraftRosters!$AA$3:$AA$199,MATCH($B210,DraftRosters!$AB$3:$AB$199,0))),"FA",IF(INDEX(DraftRosters!$AA$3:$AA$199,MATCH($B210,DraftRosters!$AB$3:$AB$199,0))="Franchise","Franch",INDEX(DraftRosters!$AA$3:$AA$199,MATCH($B210,DraftRosters!$AB$3:$AB$199,0))))</f>
        <v>FA</v>
      </c>
      <c r="L210" s="499" t="n">
        <v>55</v>
      </c>
      <c r="M210" s="499" t="n">
        <v>104</v>
      </c>
      <c r="N210" s="499" t="n">
        <v>105</v>
      </c>
      <c r="O210" s="499" t="n">
        <v>94</v>
      </c>
      <c r="P210" s="499" t="n">
        <v>75</v>
      </c>
      <c r="Q210" s="501" t="n">
        <v>52</v>
      </c>
      <c r="R210" s="499" t="s">
        <v>811</v>
      </c>
      <c r="S210" s="501"/>
      <c r="T210" s="505" t="s">
        <v>859</v>
      </c>
      <c r="U210" s="505" t="s">
        <v>973</v>
      </c>
      <c r="V210" s="506"/>
      <c r="W210" s="500" t="str">
        <f aca="false">IFERROR(__xludf.dummyfunction("if(isna(SUM(FILTER(MatchSource!$A:$D,MatchSource!$A:$A=$B210))),0,SUM(FILTER(MatchSource!$A:$D,MatchSource!$A:$A=$B210)))"),"0")</f>
        <v>0</v>
      </c>
      <c r="X210" s="499" t="str">
        <f aca="false">IFERROR(__xludf.dummyfunction("if(isna(SUM(FILTER(MatchSource!$H:$K,MatchSource!$H:$H=$B210))),0,SUM(FILTER(MatchSource!$H:$K,MatchSource!$H:$H=$B210)))"),"0")</f>
        <v>0</v>
      </c>
      <c r="Y210" s="499" t="str">
        <f aca="false">IFERROR(__xludf.dummyfunction("if(isna(ABS(MINUS(SUM(FILTER(MatchSource!$A:$E,MatchSource!$A:$A=$B210)),SUM($W210)))),0,ABS(MINUS(SUM(FILTER(MatchSource!$A:$E,MatchSource!$A:$A=$B210)),SUM($W210))))"),"0")</f>
        <v>0</v>
      </c>
      <c r="Z210" s="499" t="str">
        <f aca="false">IFERROR(__xludf.dummyfunction("if(isna(ABS(MINUS(SUM(FILTER(MatchSource!$H:$L,MatchSource!$H:$H=$B210)),SUM($X210)))),0,ABS(MINUS(SUM(FILTER(MatchSource!$H:$L,MatchSource!$H:$H=$B210)),SUM($X210))))"),"0")</f>
        <v>0</v>
      </c>
      <c r="AA210" s="499" t="str">
        <f aca="false">IFERROR(__xludf.dummyfunction("if(isna(ABS(MINUS(SUM(FILTER(MatchSource!$A:$F,MatchSource!$A:$A=$B210)),SUM($W210,$Y210)))),0,ABS(MINUS(SUM(FILTER(MatchSource!$A:$F,MatchSource!$A:$A=$B210)),SUM($W210, $Y210,))))"),"0")</f>
        <v>0</v>
      </c>
      <c r="AB210" s="501" t="str">
        <f aca="false">IFERROR(__xludf.dummyfunction("if(isna(ABS(MINUS(SUM(FILTER(MatchSource!$H:$M,MatchSource!$H:$H=$B210)),SUM($X210,$Z210)))),0,ABS(MINUS(SUM(FILTER(MatchSource!$H:$M,MatchSource!$H:$H=$B210)),SUM($X210,$Z210))))"),"0")</f>
        <v>0</v>
      </c>
      <c r="AC210" s="507" t="n">
        <f aca="false">SUM(IF(OR($R210="Grass",$R210="Psychic",$R210="Dark"),0-1,IF(OR($R210="Fighting",$R210="Flying",$R210="Fire",$R210="Ghost",$R210="Poison",$R210="Steel",$R210="Fairy"),1,0)),IF(OR($S210="Grass",$S210="Psychic",$S210="Dark"),0-1,IF(OR($S210="Fighting",$S210="Flying",$S210="Fire",$S210="Ghost",$S210="Poison",$S210="Steel",$S210="Fairy"),1,0)))</f>
        <v>0</v>
      </c>
      <c r="AD210" s="507" t="n">
        <f aca="false">SUM(IF(OR($R210="Ghost",$R210="Psychic"),0-1,IF(OR($R210="Fighting",$R210="Dark",$R210="Fairy"),1,0)),IF(OR($S210="Ghost",$S210="Psychic"),0-1,IF(OR($S210="Fighting",$S210="Dark",$S210="Fairy"),1,0)))</f>
        <v>0</v>
      </c>
      <c r="AE210" s="507" t="n">
        <f aca="false">IF(OR($R210="Fairy",$S210="Fairy"),4,SUM(IF($R210="Dragon",0-1,IF($R210="Steel",1,0)),IF($S210="Dragon",0-1,IF($S210="Steel",1,0))))</f>
        <v>0</v>
      </c>
      <c r="AF210" s="507" t="n">
        <f aca="false">IF(OR($R210="Ground",$S210="Ground"),4,SUM(IF(OR($R210="Flying",$R210="Water"),0-1,IF(OR($R210="Dragon",$R210="Electric",$R210="Grass"),1,0)),IF(OR($S210="Flying",$S210="Water"),0-1,IF(OR($S210="Dragon",$S210="Electric",$S210="Grass"),1,0))))</f>
        <v>-1</v>
      </c>
      <c r="AG210" s="507" t="n">
        <f aca="false">SUM(IF(OR($R210="Dark",$R210="Dragon",$R210="Fighting"),0-1,IF(OR($R210="Steel",$R210="Poison",$R210="Fire"),1,0)),IF(OR($S210="Dark",$S210="Dragon",$S210="Fighting"),0-1,IF(OR($S210="Steel",$S210="Poison",$S210="Fire"),1,0)))</f>
        <v>0</v>
      </c>
      <c r="AH210" s="507" t="n">
        <f aca="false">IF(OR($R210="Ghost",$S210="Ghost"),4,SUM(IF(OR($R210="Dark",$R210="Ice",$R210="Normal",$R210="Rock",$R210="Steel"),0-1,IF(OR($R210="Bug",$R210="Fairy",$R210="Flying",$R210="Poison",$R210="Psychic"),1,0)),IF(OR($S210="Dark",$S210="Ice",$S210="Normal",$S210="Rock",$S210="Steel"),0-1,IF(OR($S210="Bug",$S210="Fairy",$S210="Flying",$S210="Poison",$S210="Psychic"),1,0))))</f>
        <v>0</v>
      </c>
      <c r="AI210" s="507" t="n">
        <f aca="false">SUM(IF(OR($R210="Bug",$R210="Grass",$R210="Ice",$R210="Steel"),0-1,IF(OR($R210="Dragon",$R210="Fire",$R210="Rock",$R210="Water"),1,0)),IF(OR($S210="Bug",$S210="Grass",$S210="Ice",$S210="Steel"),0-1,IF(OR($S210="Dragon",$S210="Fire",$S210="Rock",$S210="Water"),1,0)))</f>
        <v>1</v>
      </c>
      <c r="AJ210" s="507" t="n">
        <f aca="false">SUM(IF(OR($R210="Bug",$R210="Grass",$R210="Fighting"),0-1,IF(OR($R210="Electric",$R210="Rock",$R210="Steel"),1,0)),IF(OR($S210="Bug",$S210="Grass",$S210="Fighting"),0-1,IF(OR($S210="Electric",$S210="Rock",$S210="Steel"),1,0)))</f>
        <v>0</v>
      </c>
      <c r="AK210" s="507" t="n">
        <f aca="false">IF(OR($R210="Normal",$S210="Normal"),4,SUM(IF(OR($R210="Ghost",$R210="Psychic"),0-1,IF($R210="Dark",1,0)),IF(OR($S210="Ghost",$S210="Psychic"),0-1,IF($S210="Dark",1,0))))</f>
        <v>0</v>
      </c>
      <c r="AL210" s="507" t="n">
        <f aca="false">SUM(IF(OR($R210="Ground",$R210="Rock",$R210="Water"),0-1,IF(OR($R210="Bug",$R210="Flying",$R210="Fire",$R210="Dragon",$R210="Poison",$R210="Steel",$R210="Grass"),1,0)),IF(OR($S210="Ground",$S210="Rock",$S210="Water"),0-1,IF(OR($S210="Bug",$S210="Flying",$S210="Fire",$S210="Dragon",$S210="Poison",$S210="Steel",$S210="Grass"),1,0)))</f>
        <v>-1</v>
      </c>
      <c r="AM210" s="507" t="n">
        <f aca="false">IF(OR($R210="Flying",$S210="Flying"),4,SUM(IF(OR($R210="Electric",$R210="Fire",$R210="Rock",$R210="Steel",$R210="Poison"),0-1,IF(OR($R210="Bug",$R210="Grass"),1,0)),IF(OR($S210="Electric",$S210="Fire",$S210="Rock",$S210="Steel",$S210="Poison"),0-1,IF(OR($S210="Bug",$S210="Grass"),1,0))))</f>
        <v>0</v>
      </c>
      <c r="AN210" s="507" t="n">
        <f aca="false">SUM(IF(OR($R210="Flying",$R210="Dragon",$R210="Grass",$R210="Ground"),0-1,IF(OR($R210="Steel",$R210="Ice",$R210="Fire",$R210="Water"),1,0)),IF(OR($S210="Flying",$S210="Dragon",$S210="Grass",$S210="Ground"),0-1,IF(OR($S210="Steel",$S210="Ice",$S210="Fire",$S210="Water"),1,0)))</f>
        <v>1</v>
      </c>
      <c r="AO210" s="507" t="n">
        <f aca="false">IF(OR($R210="Ghost",$S210="Ghost"),4,SUM(IF(OR($R210="Steel",$R210="Rock"),1,0),IF(OR($S210="Steel",$S210="Rock"),1,0)))</f>
        <v>0</v>
      </c>
      <c r="AP210" s="507" t="n">
        <f aca="false">IF(OR($R210="Steel",$S210="Steel"),4,SUM(IF(OR($R210="Fairy",$R210="Grass"),0-1,IF(OR($R210="Ghost",$R210="Rock",$R210="Ground",$R210="Poison"),1,0)),IF(OR($S210="Fairy",$S210="Grass"),0-1,IF(OR($S210="Ghost",$S210="Rock",$S210="Ground",$S210="Poison"),1,0))))</f>
        <v>0</v>
      </c>
      <c r="AQ210" s="507" t="n">
        <f aca="false">IF(OR($R210="Dark",$S210="Dark"),4,SUM(IF(OR($R210="Fighting",$R210="Poison"),0-1,IF(OR($R210="Psychic",$R210="Steel"),1,0)),IF(OR($S210="Fighting",$S210="Poison"),0-1,IF(OR($S210="Psychic",$S210="Steel"),1,0))))</f>
        <v>0</v>
      </c>
      <c r="AR210" s="507" t="n">
        <f aca="false">SUM(IF(OR($R210="Bug",$R210="Fire",$R210="Flying",$R210="Ice"),0-1,IF(OR($R210="Steel",$R210="Fighting",$R210="Ground"),1,0)),IF(OR($S210="Bug",$S210="Fire",$S210="Flying",$S210="Ice"),0-1,IF(OR($S210="Steel",$S210="Fighting",$S210="Ground"),1,0)))</f>
        <v>0</v>
      </c>
      <c r="AS210" s="507" t="n">
        <f aca="false">SUM(IF(OR($R210="Fairy",$R210="Ice",$R210="Rock"),0-1,IF(OR($R210="Steel",$R210="Electric",$R210="Fire",$R210="Water"),1,0)),IF(OR($S210="Fairy",$S210="Ice",$S210="Rock"),0-1,IF(OR($S210="Steel",$S210="Electric",$S210="Fire",$S210="Water"),1,0)))</f>
        <v>1</v>
      </c>
      <c r="AT210" s="508" t="n">
        <f aca="false">SUM(IF(OR($R210="Fire",$R210="Ground",$R210="Rock"),0-1,IF(OR($R210="Dragon",$R210="Grass",$R210="Water"),1,0)),IF(OR($S210="Fire",$S210="Ground",$S210="Rock"),0-1,IF(OR($S210="Dragon",$S210="Grass",$S210="Water"),1,0)))</f>
        <v>1</v>
      </c>
      <c r="AU210" s="518"/>
    </row>
    <row r="211" customFormat="false" ht="15.75" hidden="false" customHeight="false" outlineLevel="0" collapsed="false">
      <c r="A211" s="515" t="str">
        <f aca="false" t="array" ref="A211:A211">IF(ISNA(INDEX(Source!$U$7:$U$95,MATCH(B211,Source!$V$7:$V$95,0))),"FREE",INDEX(Source!$U$7:$U$95,MATCH(B211,Source!$V$7:$V$95,0)))</f>
        <v>BBG</v>
      </c>
      <c r="B211" s="511" t="s">
        <v>100</v>
      </c>
      <c r="C211" s="511"/>
      <c r="D211" s="511"/>
      <c r="E211" s="499" t="n">
        <f aca="false">IF(SUM($W211:$X211)&gt;0,SUM($W211:$X211),IF($H211&gt;0,0,IF($H211&gt;0,0,"-")))</f>
        <v>0</v>
      </c>
      <c r="F211" s="499" t="n">
        <f aca="false">IF(SUM($Y211:$Z211)&gt;0,SUM($Y211:$Z211),IF($H211&gt;0,0,"-"))</f>
        <v>0</v>
      </c>
      <c r="G211" s="499" t="e">
        <f aca="false">IF($H211&gt;0,minus(E211,F211),"-")</f>
        <v>#NAME?</v>
      </c>
      <c r="H211" s="500" t="n">
        <f aca="false">SUM(COUNTIF(MatchSource!$A:$A,$B211),COUNTIF(MatchSource!$H:$H,$B211))</f>
        <v>4</v>
      </c>
      <c r="I211" s="501" t="n">
        <f aca="false">SUM($AA211:$AB211)</f>
        <v>0</v>
      </c>
      <c r="J211" s="501" t="s">
        <v>699</v>
      </c>
      <c r="K211" s="512" t="n">
        <f aca="false" t="array" ref="K211:K211">IF(ISNA(INDEX(DraftRosters!$AA$3:$AA$199,MATCH($B211,DraftRosters!$AB$3:$AB$199,0))),"FA",IF(INDEX(DraftRosters!$AA$3:$AA$199,MATCH($B211,DraftRosters!$AB$3:$AB$199,0))="Franchise","Franch",INDEX(DraftRosters!$AA$3:$AA$199,MATCH($B211,DraftRosters!$AB$3:$AB$199,0))))</f>
        <v>12</v>
      </c>
      <c r="L211" s="507" t="n">
        <v>92</v>
      </c>
      <c r="M211" s="507" t="n">
        <v>105</v>
      </c>
      <c r="N211" s="507" t="n">
        <v>90</v>
      </c>
      <c r="O211" s="507" t="n">
        <v>125</v>
      </c>
      <c r="P211" s="507" t="n">
        <v>90</v>
      </c>
      <c r="Q211" s="508" t="n">
        <v>98</v>
      </c>
      <c r="R211" s="499" t="s">
        <v>795</v>
      </c>
      <c r="S211" s="501" t="s">
        <v>835</v>
      </c>
      <c r="T211" s="505" t="s">
        <v>866</v>
      </c>
      <c r="U211" s="505"/>
      <c r="V211" s="506"/>
      <c r="W211" s="500" t="str">
        <f aca="false">IFERROR(__xludf.dummyfunction("if(isna(SUM(FILTER(MatchSource!$A:$D,MatchSource!$A:$A=$B211))),0,SUM(FILTER(MatchSource!$A:$D,MatchSource!$A:$A=$B211)))"),"0")</f>
        <v>0</v>
      </c>
      <c r="X211" s="499" t="str">
        <f aca="false">IFERROR(__xludf.dummyfunction("if(isna(SUM(FILTER(MatchSource!$H:$K,MatchSource!$H:$H=$B211))),0,SUM(FILTER(MatchSource!$H:$K,MatchSource!$H:$H=$B211)))"),"0")</f>
        <v>0</v>
      </c>
      <c r="Y211" s="499" t="str">
        <f aca="false">IFERROR(__xludf.dummyfunction("if(isna(ABS(MINUS(SUM(FILTER(MatchSource!$A:$E,MatchSource!$A:$A=$B211)),SUM($W211)))),0,ABS(MINUS(SUM(FILTER(MatchSource!$A:$E,MatchSource!$A:$A=$B211)),SUM($W211))))"),"1")</f>
        <v>1</v>
      </c>
      <c r="Z211" s="499" t="str">
        <f aca="false">IFERROR(__xludf.dummyfunction("if(isna(ABS(MINUS(SUM(FILTER(MatchSource!$H:$L,MatchSource!$H:$H=$B211)),SUM($X211)))),0,ABS(MINUS(SUM(FILTER(MatchSource!$H:$L,MatchSource!$H:$H=$B211)),SUM($X211))))"),"1")</f>
        <v>1</v>
      </c>
      <c r="AA211" s="499" t="str">
        <f aca="false">IFERROR(__xludf.dummyfunction("if(isna(ABS(MINUS(SUM(FILTER(MatchSource!$A:$F,MatchSource!$A:$A=$B211)),SUM($W211,$Y211)))),0,ABS(MINUS(SUM(FILTER(MatchSource!$A:$F,MatchSource!$A:$A=$B211)),SUM($W211, $Y211,))))"),"1")</f>
        <v>1</v>
      </c>
      <c r="AB211" s="501" t="str">
        <f aca="false">IFERROR(__xludf.dummyfunction("if(isna(ABS(MINUS(SUM(FILTER(MatchSource!$H:$M,MatchSource!$H:$H=$B211)),SUM($X211,$Z211)))),0,ABS(MINUS(SUM(FILTER(MatchSource!$H:$M,MatchSource!$H:$H=$B211)),SUM($X211,$Z211))))"),"1")</f>
        <v>1</v>
      </c>
      <c r="AC211" s="507" t="n">
        <f aca="false">SUM(IF(OR($R211="Grass",$R211="Psychic",$R211="Dark"),0-1,IF(OR($R211="Fighting",$R211="Flying",$R211="Fire",$R211="Ghost",$R211="Poison",$R211="Steel",$R211="Fairy"),1,0)),IF(OR($S211="Grass",$S211="Psychic",$S211="Dark"),0-1,IF(OR($S211="Fighting",$S211="Flying",$S211="Fire",$S211="Ghost",$S211="Poison",$S211="Steel",$S211="Fairy"),1,0)))</f>
        <v>-1</v>
      </c>
      <c r="AD211" s="507" t="n">
        <f aca="false">SUM(IF(OR($R211="Ghost",$R211="Psychic"),0-1,IF(OR($R211="Fighting",$R211="Dark",$R211="Fairy"),1,0)),IF(OR($S211="Ghost",$S211="Psychic"),0-1,IF(OR($S211="Fighting",$S211="Dark",$S211="Fairy"),1,0)))</f>
        <v>1</v>
      </c>
      <c r="AE211" s="507" t="n">
        <f aca="false">IF(OR($R211="Fairy",$S211="Fairy"),4,SUM(IF($R211="Dragon",0-1,IF($R211="Steel",1,0)),IF($S211="Dragon",0-1,IF($S211="Steel",1,0))))</f>
        <v>-1</v>
      </c>
      <c r="AF211" s="507" t="n">
        <f aca="false">IF(OR($R211="Ground",$S211="Ground"),4,SUM(IF(OR($R211="Flying",$R211="Water"),0-1,IF(OR($R211="Dragon",$R211="Electric",$R211="Grass"),1,0)),IF(OR($S211="Flying",$S211="Water"),0-1,IF(OR($S211="Dragon",$S211="Electric",$S211="Grass"),1,0))))</f>
        <v>1</v>
      </c>
      <c r="AG211" s="507" t="n">
        <f aca="false">SUM(IF(OR($R211="Dark",$R211="Dragon",$R211="Fighting"),0-1,IF(OR($R211="Steel",$R211="Poison",$R211="Fire"),1,0)),IF(OR($S211="Dark",$S211="Dragon",$S211="Fighting"),0-1,IF(OR($S211="Steel",$S211="Poison",$S211="Fire"),1,0)))</f>
        <v>-2</v>
      </c>
      <c r="AH211" s="507" t="n">
        <f aca="false">IF(OR($R211="Ghost",$S211="Ghost"),4,SUM(IF(OR($R211="Dark",$R211="Ice",$R211="Normal",$R211="Rock",$R211="Steel"),0-1,IF(OR($R211="Bug",$R211="Fairy",$R211="Flying",$R211="Poison",$R211="Psychic"),1,0)),IF(OR($S211="Dark",$S211="Ice",$S211="Normal",$S211="Rock",$S211="Steel"),0-1,IF(OR($S211="Bug",$S211="Fairy",$S211="Flying",$S211="Poison",$S211="Psychic"),1,0))))</f>
        <v>-1</v>
      </c>
      <c r="AI211" s="507" t="n">
        <f aca="false">SUM(IF(OR($R211="Bug",$R211="Grass",$R211="Ice",$R211="Steel"),0-1,IF(OR($R211="Dragon",$R211="Fire",$R211="Rock",$R211="Water"),1,0)),IF(OR($S211="Bug",$S211="Grass",$S211="Ice",$S211="Steel"),0-1,IF(OR($S211="Dragon",$S211="Fire",$S211="Rock",$S211="Water"),1,0)))</f>
        <v>1</v>
      </c>
      <c r="AJ211" s="507" t="n">
        <f aca="false">SUM(IF(OR($R211="Bug",$R211="Grass",$R211="Fighting"),0-1,IF(OR($R211="Electric",$R211="Rock",$R211="Steel"),1,0)),IF(OR($S211="Bug",$S211="Grass",$S211="Fighting"),0-1,IF(OR($S211="Electric",$S211="Rock",$S211="Steel"),1,0)))</f>
        <v>0</v>
      </c>
      <c r="AK211" s="507" t="n">
        <f aca="false">IF(OR($R211="Normal",$S211="Normal"),4,SUM(IF(OR($R211="Ghost",$R211="Psychic"),0-1,IF($R211="Dark",1,0)),IF(OR($S211="Ghost",$S211="Psychic"),0-1,IF($S211="Dark",1,0))))</f>
        <v>1</v>
      </c>
      <c r="AL211" s="507" t="n">
        <f aca="false">SUM(IF(OR($R211="Ground",$R211="Rock",$R211="Water"),0-1,IF(OR($R211="Bug",$R211="Flying",$R211="Fire",$R211="Dragon",$R211="Poison",$R211="Steel",$R211="Grass"),1,0)),IF(OR($S211="Ground",$S211="Rock",$S211="Water"),0-1,IF(OR($S211="Bug",$S211="Flying",$S211="Fire",$S211="Dragon",$S211="Poison",$S211="Steel",$S211="Grass"),1,0)))</f>
        <v>1</v>
      </c>
      <c r="AM211" s="507" t="n">
        <f aca="false">IF(OR($R211="Flying",$S211="Flying"),4,SUM(IF(OR($R211="Electric",$R211="Fire",$R211="Rock",$R211="Steel",$R211="Poison"),0-1,IF(OR($R211="Bug",$R211="Grass"),1,0)),IF(OR($S211="Electric",$S211="Fire",$S211="Rock",$S211="Steel",$S211="Poison"),0-1,IF(OR($S211="Bug",$S211="Grass"),1,0))))</f>
        <v>0</v>
      </c>
      <c r="AN211" s="507" t="n">
        <f aca="false">SUM(IF(OR($R211="Flying",$R211="Dragon",$R211="Grass",$R211="Ground"),0-1,IF(OR($R211="Steel",$R211="Ice",$R211="Fire",$R211="Water"),1,0)),IF(OR($S211="Flying",$S211="Dragon",$S211="Grass",$S211="Ground"),0-1,IF(OR($S211="Steel",$S211="Ice",$S211="Fire",$S211="Water"),1,0)))</f>
        <v>-1</v>
      </c>
      <c r="AO211" s="507" t="n">
        <f aca="false">IF(OR($R211="Ghost",$S211="Ghost"),4,SUM(IF(OR($R211="Steel",$R211="Rock"),1,0),IF(OR($S211="Steel",$S211="Rock"),1,0)))</f>
        <v>0</v>
      </c>
      <c r="AP211" s="507" t="n">
        <f aca="false">IF(OR($R211="Steel",$S211="Steel"),4,SUM(IF(OR($R211="Fairy",$R211="Grass"),0-1,IF(OR($R211="Ghost",$R211="Rock",$R211="Ground",$R211="Poison"),1,0)),IF(OR($S211="Fairy",$S211="Grass"),0-1,IF(OR($S211="Ghost",$S211="Rock",$S211="Ground",$S211="Poison"),1,0))))</f>
        <v>0</v>
      </c>
      <c r="AQ211" s="507" t="n">
        <f aca="false">IF(OR($R211="Dark",$S211="Dark"),4,SUM(IF(OR($R211="Fighting",$R211="Poison"),0-1,IF(OR($R211="Psychic",$R211="Steel"),1,0)),IF(OR($S211="Fighting",$S211="Poison"),0-1,IF(OR($S211="Psychic",$S211="Steel"),1,0))))</f>
        <v>4</v>
      </c>
      <c r="AR211" s="507" t="n">
        <f aca="false">SUM(IF(OR($R211="Bug",$R211="Fire",$R211="Flying",$R211="Ice"),0-1,IF(OR($R211="Steel",$R211="Fighting",$R211="Ground"),1,0)),IF(OR($S211="Bug",$S211="Fire",$S211="Flying",$S211="Ice"),0-1,IF(OR($S211="Steel",$S211="Fighting",$S211="Ground"),1,0)))</f>
        <v>0</v>
      </c>
      <c r="AS211" s="507" t="n">
        <f aca="false">SUM(IF(OR($R211="Fairy",$R211="Ice",$R211="Rock"),0-1,IF(OR($R211="Steel",$R211="Electric",$R211="Fire",$R211="Water"),1,0)),IF(OR($S211="Fairy",$S211="Ice",$S211="Rock"),0-1,IF(OR($S211="Steel",$S211="Electric",$S211="Fire",$S211="Water"),1,0)))</f>
        <v>0</v>
      </c>
      <c r="AT211" s="508" t="n">
        <f aca="false">SUM(IF(OR($R211="Fire",$R211="Ground",$R211="Rock"),0-1,IF(OR($R211="Dragon",$R211="Grass",$R211="Water"),1,0)),IF(OR($S211="Fire",$S211="Ground",$S211="Rock"),0-1,IF(OR($S211="Dragon",$S211="Grass",$S211="Water"),1,0)))</f>
        <v>1</v>
      </c>
      <c r="AU211" s="518"/>
    </row>
    <row r="212" customFormat="false" ht="15.75" hidden="false" customHeight="false" outlineLevel="0" collapsed="false">
      <c r="A212" s="510" t="str">
        <f aca="false" t="array" ref="A212:A212">IF(ISNA(INDEX(Source!$U$7:$U$95,MATCH(B212,Source!$V$7:$V$95,0))),"FREE",INDEX(Source!$U$7:$U$95,MATCH(B212,Source!$V$7:$V$95,0)))</f>
        <v>FREE</v>
      </c>
      <c r="B212" s="511" t="s">
        <v>638</v>
      </c>
      <c r="C212" s="511"/>
      <c r="D212" s="511"/>
      <c r="E212" s="499" t="str">
        <f aca="false">IF(SUM($W212:$X212)&gt;0,SUM($W212:$X212),IF($H212&gt;0,0,IF($H212&gt;0,0,"-")))</f>
        <v>-</v>
      </c>
      <c r="F212" s="499" t="str">
        <f aca="false">IF(SUM($Y212:$Z212)&gt;0,SUM($Y212:$Z212),IF($H212&gt;0,0,"-"))</f>
        <v>-</v>
      </c>
      <c r="G212" s="499" t="str">
        <f aca="false">IF($H212&gt;0,minus(E212,F212),"-")</f>
        <v>-</v>
      </c>
      <c r="H212" s="500" t="n">
        <f aca="false">SUM(COUNTIF(MatchSource!$A:$A,$B212),COUNTIF(MatchSource!$H:$H,$B212))</f>
        <v>0</v>
      </c>
      <c r="I212" s="501" t="n">
        <f aca="false">SUM($AA212:$AB212)</f>
        <v>0</v>
      </c>
      <c r="J212" s="501" t="s">
        <v>702</v>
      </c>
      <c r="K212" s="512" t="str">
        <f aca="false" t="array" ref="K212:K212">IF(ISNA(INDEX(DraftRosters!$AA$3:$AA$199,MATCH($B212,DraftRosters!$AB$3:$AB$199,0))),"FA",IF(INDEX(DraftRosters!$AA$3:$AA$199,MATCH($B212,DraftRosters!$AB$3:$AB$199,0))="Franchise","Franch",INDEX(DraftRosters!$AA$3:$AA$199,MATCH($B212,DraftRosters!$AB$3:$AB$199,0))))</f>
        <v>FA</v>
      </c>
      <c r="L212" s="499" t="n">
        <v>85</v>
      </c>
      <c r="M212" s="499" t="n">
        <v>73</v>
      </c>
      <c r="N212" s="499" t="n">
        <v>70</v>
      </c>
      <c r="O212" s="499" t="n">
        <v>73</v>
      </c>
      <c r="P212" s="499" t="n">
        <v>115</v>
      </c>
      <c r="Q212" s="501" t="n">
        <v>67</v>
      </c>
      <c r="R212" s="499" t="s">
        <v>828</v>
      </c>
      <c r="S212" s="501"/>
      <c r="T212" s="505" t="s">
        <v>1001</v>
      </c>
      <c r="U212" s="505" t="s">
        <v>855</v>
      </c>
      <c r="V212" s="506" t="s">
        <v>829</v>
      </c>
      <c r="W212" s="500" t="str">
        <f aca="false">IFERROR(__xludf.dummyfunction("if(isna(SUM(FILTER(MatchSource!$A:$D,MatchSource!$A:$A=$B212))),0,SUM(FILTER(MatchSource!$A:$D,MatchSource!$A:$A=$B212)))"),"0")</f>
        <v>0</v>
      </c>
      <c r="X212" s="499" t="str">
        <f aca="false">IFERROR(__xludf.dummyfunction("if(isna(SUM(FILTER(MatchSource!$H:$K,MatchSource!$H:$H=$B212))),0,SUM(FILTER(MatchSource!$H:$K,MatchSource!$H:$H=$B212)))"),"0")</f>
        <v>0</v>
      </c>
      <c r="Y212" s="499" t="str">
        <f aca="false">IFERROR(__xludf.dummyfunction("if(isna(ABS(MINUS(SUM(FILTER(MatchSource!$A:$E,MatchSource!$A:$A=$B212)),SUM($W212)))),0,ABS(MINUS(SUM(FILTER(MatchSource!$A:$E,MatchSource!$A:$A=$B212)),SUM($W212))))"),"0")</f>
        <v>0</v>
      </c>
      <c r="Z212" s="499" t="str">
        <f aca="false">IFERROR(__xludf.dummyfunction("if(isna(ABS(MINUS(SUM(FILTER(MatchSource!$H:$L,MatchSource!$H:$H=$B212)),SUM($X212)))),0,ABS(MINUS(SUM(FILTER(MatchSource!$H:$L,MatchSource!$H:$H=$B212)),SUM($X212))))"),"0")</f>
        <v>0</v>
      </c>
      <c r="AA212" s="499" t="str">
        <f aca="false">IFERROR(__xludf.dummyfunction("if(isna(ABS(MINUS(SUM(FILTER(MatchSource!$A:$F,MatchSource!$A:$A=$B212)),SUM($W212,$Y212)))),0,ABS(MINUS(SUM(FILTER(MatchSource!$A:$F,MatchSource!$A:$A=$B212)),SUM($W212, $Y212,))))"),"0")</f>
        <v>0</v>
      </c>
      <c r="AB212" s="501" t="str">
        <f aca="false">IFERROR(__xludf.dummyfunction("if(isna(ABS(MINUS(SUM(FILTER(MatchSource!$H:$M,MatchSource!$H:$H=$B212)),SUM($X212,$Z212)))),0,ABS(MINUS(SUM(FILTER(MatchSource!$H:$M,MatchSource!$H:$H=$B212)),SUM($X212,$Z212))))"),"0")</f>
        <v>0</v>
      </c>
      <c r="AC212" s="507" t="n">
        <f aca="false">SUM(IF(OR($R212="Grass",$R212="Psychic",$R212="Dark"),0-1,IF(OR($R212="Fighting",$R212="Flying",$R212="Fire",$R212="Ghost",$R212="Poison",$R212="Steel",$R212="Fairy"),1,0)),IF(OR($S212="Grass",$S212="Psychic",$S212="Dark"),0-1,IF(OR($S212="Fighting",$S212="Flying",$S212="Fire",$S212="Ghost",$S212="Poison",$S212="Steel",$S212="Fairy"),1,0)))</f>
        <v>-1</v>
      </c>
      <c r="AD212" s="507" t="n">
        <f aca="false">SUM(IF(OR($R212="Ghost",$R212="Psychic"),0-1,IF(OR($R212="Fighting",$R212="Dark",$R212="Fairy"),1,0)),IF(OR($S212="Ghost",$S212="Psychic"),0-1,IF(OR($S212="Fighting",$S212="Dark",$S212="Fairy"),1,0)))</f>
        <v>-1</v>
      </c>
      <c r="AE212" s="507" t="n">
        <f aca="false">IF(OR($R212="Fairy",$S212="Fairy"),4,SUM(IF($R212="Dragon",0-1,IF($R212="Steel",1,0)),IF($S212="Dragon",0-1,IF($S212="Steel",1,0))))</f>
        <v>0</v>
      </c>
      <c r="AF212" s="507" t="n">
        <f aca="false">IF(OR($R212="Ground",$S212="Ground"),4,SUM(IF(OR($R212="Flying",$R212="Water"),0-1,IF(OR($R212="Dragon",$R212="Electric",$R212="Grass"),1,0)),IF(OR($S212="Flying",$S212="Water"),0-1,IF(OR($S212="Dragon",$S212="Electric",$S212="Grass"),1,0))))</f>
        <v>0</v>
      </c>
      <c r="AG212" s="507" t="n">
        <f aca="false">SUM(IF(OR($R212="Dark",$R212="Dragon",$R212="Fighting"),0-1,IF(OR($R212="Steel",$R212="Poison",$R212="Fire"),1,0)),IF(OR($S212="Dark",$S212="Dragon",$S212="Fighting"),0-1,IF(OR($S212="Steel",$S212="Poison",$S212="Fire"),1,0)))</f>
        <v>0</v>
      </c>
      <c r="AH212" s="507" t="n">
        <f aca="false">IF(OR($R212="Ghost",$S212="Ghost"),4,SUM(IF(OR($R212="Dark",$R212="Ice",$R212="Normal",$R212="Rock",$R212="Steel"),0-1,IF(OR($R212="Bug",$R212="Fairy",$R212="Flying",$R212="Poison",$R212="Psychic"),1,0)),IF(OR($S212="Dark",$S212="Ice",$S212="Normal",$S212="Rock",$S212="Steel"),0-1,IF(OR($S212="Bug",$S212="Fairy",$S212="Flying",$S212="Poison",$S212="Psychic"),1,0))))</f>
        <v>1</v>
      </c>
      <c r="AI212" s="507" t="n">
        <f aca="false">SUM(IF(OR($R212="Bug",$R212="Grass",$R212="Ice",$R212="Steel"),0-1,IF(OR($R212="Dragon",$R212="Fire",$R212="Rock",$R212="Water"),1,0)),IF(OR($S212="Bug",$S212="Grass",$S212="Ice",$S212="Steel"),0-1,IF(OR($S212="Dragon",$S212="Fire",$S212="Rock",$S212="Water"),1,0)))</f>
        <v>0</v>
      </c>
      <c r="AJ212" s="507" t="n">
        <f aca="false">SUM(IF(OR($R212="Bug",$R212="Grass",$R212="Fighting"),0-1,IF(OR($R212="Electric",$R212="Rock",$R212="Steel"),1,0)),IF(OR($S212="Bug",$S212="Grass",$S212="Fighting"),0-1,IF(OR($S212="Electric",$S212="Rock",$S212="Steel"),1,0)))</f>
        <v>0</v>
      </c>
      <c r="AK212" s="507" t="n">
        <f aca="false">IF(OR($R212="Normal",$S212="Normal"),4,SUM(IF(OR($R212="Ghost",$R212="Psychic"),0-1,IF($R212="Dark",1,0)),IF(OR($S212="Ghost",$S212="Psychic"),0-1,IF($S212="Dark",1,0))))</f>
        <v>-1</v>
      </c>
      <c r="AL212" s="507" t="n">
        <f aca="false">SUM(IF(OR($R212="Ground",$R212="Rock",$R212="Water"),0-1,IF(OR($R212="Bug",$R212="Flying",$R212="Fire",$R212="Dragon",$R212="Poison",$R212="Steel",$R212="Grass"),1,0)),IF(OR($S212="Ground",$S212="Rock",$S212="Water"),0-1,IF(OR($S212="Bug",$S212="Flying",$S212="Fire",$S212="Dragon",$S212="Poison",$S212="Steel",$S212="Grass"),1,0)))</f>
        <v>0</v>
      </c>
      <c r="AM212" s="507" t="n">
        <f aca="false">IF(OR($R212="Flying",$S212="Flying"),4,SUM(IF(OR($R212="Electric",$R212="Fire",$R212="Rock",$R212="Steel",$R212="Poison"),0-1,IF(OR($R212="Bug",$R212="Grass"),1,0)),IF(OR($S212="Electric",$S212="Fire",$S212="Rock",$S212="Steel",$S212="Poison"),0-1,IF(OR($S212="Bug",$S212="Grass"),1,0))))</f>
        <v>0</v>
      </c>
      <c r="AN212" s="507" t="n">
        <f aca="false">SUM(IF(OR($R212="Flying",$R212="Dragon",$R212="Grass",$R212="Ground"),0-1,IF(OR($R212="Steel",$R212="Ice",$R212="Fire",$R212="Water"),1,0)),IF(OR($S212="Flying",$S212="Dragon",$S212="Grass",$S212="Ground"),0-1,IF(OR($S212="Steel",$S212="Ice",$S212="Fire",$S212="Water"),1,0)))</f>
        <v>0</v>
      </c>
      <c r="AO212" s="507" t="n">
        <f aca="false">IF(OR($R212="Ghost",$S212="Ghost"),4,SUM(IF(OR($R212="Steel",$R212="Rock"),1,0),IF(OR($S212="Steel",$S212="Rock"),1,0)))</f>
        <v>0</v>
      </c>
      <c r="AP212" s="507" t="n">
        <f aca="false">IF(OR($R212="Steel",$S212="Steel"),4,SUM(IF(OR($R212="Fairy",$R212="Grass"),0-1,IF(OR($R212="Ghost",$R212="Rock",$R212="Ground",$R212="Poison"),1,0)),IF(OR($S212="Fairy",$S212="Grass"),0-1,IF(OR($S212="Ghost",$S212="Rock",$S212="Ground",$S212="Poison"),1,0))))</f>
        <v>0</v>
      </c>
      <c r="AQ212" s="507" t="n">
        <f aca="false">IF(OR($R212="Dark",$S212="Dark"),4,SUM(IF(OR($R212="Fighting",$R212="Poison"),0-1,IF(OR($R212="Psychic",$R212="Steel"),1,0)),IF(OR($S212="Fighting",$S212="Poison"),0-1,IF(OR($S212="Psychic",$S212="Steel"),1,0))))</f>
        <v>1</v>
      </c>
      <c r="AR212" s="507" t="n">
        <f aca="false">SUM(IF(OR($R212="Bug",$R212="Fire",$R212="Flying",$R212="Ice"),0-1,IF(OR($R212="Steel",$R212="Fighting",$R212="Ground"),1,0)),IF(OR($S212="Bug",$S212="Fire",$S212="Flying",$S212="Ice"),0-1,IF(OR($S212="Steel",$S212="Fighting",$S212="Ground"),1,0)))</f>
        <v>0</v>
      </c>
      <c r="AS212" s="507" t="n">
        <f aca="false">SUM(IF(OR($R212="Fairy",$R212="Ice",$R212="Rock"),0-1,IF(OR($R212="Steel",$R212="Electric",$R212="Fire",$R212="Water"),1,0)),IF(OR($S212="Fairy",$S212="Ice",$S212="Rock"),0-1,IF(OR($S212="Steel",$S212="Electric",$S212="Fire",$S212="Water"),1,0)))</f>
        <v>0</v>
      </c>
      <c r="AT212" s="508" t="n">
        <f aca="false">SUM(IF(OR($R212="Fire",$R212="Ground",$R212="Rock"),0-1,IF(OR($R212="Dragon",$R212="Grass",$R212="Water"),1,0)),IF(OR($S212="Fire",$S212="Ground",$S212="Rock"),0-1,IF(OR($S212="Dragon",$S212="Grass",$S212="Water"),1,0)))</f>
        <v>0</v>
      </c>
      <c r="AU212" s="518"/>
    </row>
    <row r="213" customFormat="false" ht="15.75" hidden="false" customHeight="false" outlineLevel="0" collapsed="false">
      <c r="A213" s="510" t="str">
        <f aca="false" t="array" ref="A213:A213">IF(ISNA(INDEX(Source!$U$7:$U$95,MATCH(B213,Source!$V$7:$V$95,0))),"FREE",INDEX(Source!$U$7:$U$95,MATCH(B213,Source!$V$7:$V$95,0)))</f>
        <v>FREE</v>
      </c>
      <c r="B213" s="511" t="s">
        <v>640</v>
      </c>
      <c r="C213" s="511"/>
      <c r="D213" s="511"/>
      <c r="E213" s="499" t="str">
        <f aca="false">IF(SUM($W213:$X213)&gt;0,SUM($W213:$X213),IF($H213&gt;0,0,IF($H213&gt;0,0,"-")))</f>
        <v>-</v>
      </c>
      <c r="F213" s="499" t="str">
        <f aca="false">IF(SUM($Y213:$Z213)&gt;0,SUM($Y213:$Z213),IF($H213&gt;0,0,"-"))</f>
        <v>-</v>
      </c>
      <c r="G213" s="499" t="str">
        <f aca="false">IF($H213&gt;0,minus(E213,F213),"-")</f>
        <v>-</v>
      </c>
      <c r="H213" s="500" t="n">
        <f aca="false">SUM(COUNTIF(MatchSource!$A:$A,$B213),COUNTIF(MatchSource!$H:$H,$B213))</f>
        <v>0</v>
      </c>
      <c r="I213" s="501" t="n">
        <f aca="false">SUM($AA213:$AB213)</f>
        <v>0</v>
      </c>
      <c r="J213" s="501" t="s">
        <v>702</v>
      </c>
      <c r="K213" s="512" t="str">
        <f aca="false" t="array" ref="K213:K213">IF(ISNA(INDEX(DraftRosters!$AA$3:$AA$199,MATCH($B213,DraftRosters!$AB$3:$AB$199,0))),"FA",IF(INDEX(DraftRosters!$AA$3:$AA$199,MATCH($B213,DraftRosters!$AB$3:$AB$199,0))="Franchise","Franch",INDEX(DraftRosters!$AA$3:$AA$199,MATCH($B213,DraftRosters!$AB$3:$AB$199,0))))</f>
        <v>FA</v>
      </c>
      <c r="L213" s="499" t="n">
        <v>65</v>
      </c>
      <c r="M213" s="499" t="n">
        <v>47</v>
      </c>
      <c r="N213" s="499" t="n">
        <v>75</v>
      </c>
      <c r="O213" s="499" t="n">
        <v>73</v>
      </c>
      <c r="P213" s="499" t="n">
        <v>85</v>
      </c>
      <c r="Q213" s="501" t="n">
        <v>85</v>
      </c>
      <c r="R213" s="499" t="s">
        <v>794</v>
      </c>
      <c r="S213" s="501"/>
      <c r="T213" s="505" t="s">
        <v>1002</v>
      </c>
      <c r="U213" s="505" t="s">
        <v>905</v>
      </c>
      <c r="V213" s="506" t="s">
        <v>872</v>
      </c>
      <c r="W213" s="500" t="str">
        <f aca="false">IFERROR(__xludf.dummyfunction("if(isna(SUM(FILTER(MatchSource!$A:$D,MatchSource!$A:$A=$B213))),0,SUM(FILTER(MatchSource!$A:$D,MatchSource!$A:$A=$B213)))"),"0")</f>
        <v>0</v>
      </c>
      <c r="X213" s="499" t="str">
        <f aca="false">IFERROR(__xludf.dummyfunction("if(isna(SUM(FILTER(MatchSource!$H:$K,MatchSource!$H:$H=$B213))),0,SUM(FILTER(MatchSource!$H:$K,MatchSource!$H:$H=$B213)))"),"0")</f>
        <v>0</v>
      </c>
      <c r="Y213" s="499" t="str">
        <f aca="false">IFERROR(__xludf.dummyfunction("if(isna(ABS(MINUS(SUM(FILTER(MatchSource!$A:$E,MatchSource!$A:$A=$B213)),SUM($W213)))),0,ABS(MINUS(SUM(FILTER(MatchSource!$A:$E,MatchSource!$A:$A=$B213)),SUM($W213))))"),"0")</f>
        <v>0</v>
      </c>
      <c r="Z213" s="499" t="str">
        <f aca="false">IFERROR(__xludf.dummyfunction("if(isna(ABS(MINUS(SUM(FILTER(MatchSource!$H:$L,MatchSource!$H:$H=$B213)),SUM($X213)))),0,ABS(MINUS(SUM(FILTER(MatchSource!$H:$L,MatchSource!$H:$H=$B213)),SUM($X213))))"),"0")</f>
        <v>0</v>
      </c>
      <c r="AA213" s="499" t="str">
        <f aca="false">IFERROR(__xludf.dummyfunction("if(isna(ABS(MINUS(SUM(FILTER(MatchSource!$A:$F,MatchSource!$A:$A=$B213)),SUM($W213,$Y213)))),0,ABS(MINUS(SUM(FILTER(MatchSource!$A:$F,MatchSource!$A:$A=$B213)),SUM($W213, $Y213,))))"),"0")</f>
        <v>0</v>
      </c>
      <c r="AB213" s="501" t="str">
        <f aca="false">IFERROR(__xludf.dummyfunction("if(isna(ABS(MINUS(SUM(FILTER(MatchSource!$H:$M,MatchSource!$H:$H=$B213)),SUM($X213,$Z213)))),0,ABS(MINUS(SUM(FILTER(MatchSource!$H:$M,MatchSource!$H:$H=$B213)),SUM($X213,$Z213))))"),"0")</f>
        <v>0</v>
      </c>
      <c r="AC213" s="507" t="n">
        <f aca="false">SUM(IF(OR($R213="Grass",$R213="Psychic",$R213="Dark"),0-1,IF(OR($R213="Fighting",$R213="Flying",$R213="Fire",$R213="Ghost",$R213="Poison",$R213="Steel",$R213="Fairy"),1,0)),IF(OR($S213="Grass",$S213="Psychic",$S213="Dark"),0-1,IF(OR($S213="Fighting",$S213="Flying",$S213="Fire",$S213="Ghost",$S213="Poison",$S213="Steel",$S213="Fairy"),1,0)))</f>
        <v>0</v>
      </c>
      <c r="AD213" s="507" t="n">
        <f aca="false">SUM(IF(OR($R213="Ghost",$R213="Psychic"),0-1,IF(OR($R213="Fighting",$R213="Dark",$R213="Fairy"),1,0)),IF(OR($S213="Ghost",$S213="Psychic"),0-1,IF(OR($S213="Fighting",$S213="Dark",$S213="Fairy"),1,0)))</f>
        <v>0</v>
      </c>
      <c r="AE213" s="507" t="n">
        <f aca="false">IF(OR($R213="Fairy",$S213="Fairy"),4,SUM(IF($R213="Dragon",0-1,IF($R213="Steel",1,0)),IF($S213="Dragon",0-1,IF($S213="Steel",1,0))))</f>
        <v>0</v>
      </c>
      <c r="AF213" s="507" t="n">
        <f aca="false">IF(OR($R213="Ground",$S213="Ground"),4,SUM(IF(OR($R213="Flying",$R213="Water"),0-1,IF(OR($R213="Dragon",$R213="Electric",$R213="Grass"),1,0)),IF(OR($S213="Flying",$S213="Water"),0-1,IF(OR($S213="Dragon",$S213="Electric",$S213="Grass"),1,0))))</f>
        <v>0</v>
      </c>
      <c r="AG213" s="507" t="n">
        <f aca="false">SUM(IF(OR($R213="Dark",$R213="Dragon",$R213="Fighting"),0-1,IF(OR($R213="Steel",$R213="Poison",$R213="Fire"),1,0)),IF(OR($S213="Dark",$S213="Dragon",$S213="Fighting"),0-1,IF(OR($S213="Steel",$S213="Poison",$S213="Fire"),1,0)))</f>
        <v>0</v>
      </c>
      <c r="AH213" s="507" t="n">
        <f aca="false">IF(OR($R213="Ghost",$S213="Ghost"),4,SUM(IF(OR($R213="Dark",$R213="Ice",$R213="Normal",$R213="Rock",$R213="Steel"),0-1,IF(OR($R213="Bug",$R213="Fairy",$R213="Flying",$R213="Poison",$R213="Psychic"),1,0)),IF(OR($S213="Dark",$S213="Ice",$S213="Normal",$S213="Rock",$S213="Steel"),0-1,IF(OR($S213="Bug",$S213="Fairy",$S213="Flying",$S213="Poison",$S213="Psychic"),1,0))))</f>
        <v>1</v>
      </c>
      <c r="AI213" s="507" t="n">
        <f aca="false">SUM(IF(OR($R213="Bug",$R213="Grass",$R213="Ice",$R213="Steel"),0-1,IF(OR($R213="Dragon",$R213="Fire",$R213="Rock",$R213="Water"),1,0)),IF(OR($S213="Bug",$S213="Grass",$S213="Ice",$S213="Steel"),0-1,IF(OR($S213="Dragon",$S213="Fire",$S213="Rock",$S213="Water"),1,0)))</f>
        <v>-1</v>
      </c>
      <c r="AJ213" s="507" t="n">
        <f aca="false">SUM(IF(OR($R213="Bug",$R213="Grass",$R213="Fighting"),0-1,IF(OR($R213="Electric",$R213="Rock",$R213="Steel"),1,0)),IF(OR($S213="Bug",$S213="Grass",$S213="Fighting"),0-1,IF(OR($S213="Electric",$S213="Rock",$S213="Steel"),1,0)))</f>
        <v>-1</v>
      </c>
      <c r="AK213" s="507" t="n">
        <f aca="false">IF(OR($R213="Normal",$S213="Normal"),4,SUM(IF(OR($R213="Ghost",$R213="Psychic"),0-1,IF($R213="Dark",1,0)),IF(OR($S213="Ghost",$S213="Psychic"),0-1,IF($S213="Dark",1,0))))</f>
        <v>0</v>
      </c>
      <c r="AL213" s="507" t="n">
        <f aca="false">SUM(IF(OR($R213="Ground",$R213="Rock",$R213="Water"),0-1,IF(OR($R213="Bug",$R213="Flying",$R213="Fire",$R213="Dragon",$R213="Poison",$R213="Steel",$R213="Grass"),1,0)),IF(OR($S213="Ground",$S213="Rock",$S213="Water"),0-1,IF(OR($S213="Bug",$S213="Flying",$S213="Fire",$S213="Dragon",$S213="Poison",$S213="Steel",$S213="Grass"),1,0)))</f>
        <v>1</v>
      </c>
      <c r="AM213" s="507" t="n">
        <f aca="false">IF(OR($R213="Flying",$S213="Flying"),4,SUM(IF(OR($R213="Electric",$R213="Fire",$R213="Rock",$R213="Steel",$R213="Poison"),0-1,IF(OR($R213="Bug",$R213="Grass"),1,0)),IF(OR($S213="Electric",$S213="Fire",$S213="Rock",$S213="Steel",$S213="Poison"),0-1,IF(OR($S213="Bug",$S213="Grass"),1,0))))</f>
        <v>1</v>
      </c>
      <c r="AN213" s="507" t="n">
        <f aca="false">SUM(IF(OR($R213="Flying",$R213="Dragon",$R213="Grass",$R213="Ground"),0-1,IF(OR($R213="Steel",$R213="Ice",$R213="Fire",$R213="Water"),1,0)),IF(OR($S213="Flying",$S213="Dragon",$S213="Grass",$S213="Ground"),0-1,IF(OR($S213="Steel",$S213="Ice",$S213="Fire",$S213="Water"),1,0)))</f>
        <v>0</v>
      </c>
      <c r="AO213" s="507" t="n">
        <f aca="false">IF(OR($R213="Ghost",$S213="Ghost"),4,SUM(IF(OR($R213="Steel",$R213="Rock"),1,0),IF(OR($S213="Steel",$S213="Rock"),1,0)))</f>
        <v>0</v>
      </c>
      <c r="AP213" s="507" t="n">
        <f aca="false">IF(OR($R213="Steel",$S213="Steel"),4,SUM(IF(OR($R213="Fairy",$R213="Grass"),0-1,IF(OR($R213="Ghost",$R213="Rock",$R213="Ground",$R213="Poison"),1,0)),IF(OR($S213="Fairy",$S213="Grass"),0-1,IF(OR($S213="Ghost",$S213="Rock",$S213="Ground",$S213="Poison"),1,0))))</f>
        <v>0</v>
      </c>
      <c r="AQ213" s="507" t="n">
        <f aca="false">IF(OR($R213="Dark",$S213="Dark"),4,SUM(IF(OR($R213="Fighting",$R213="Poison"),0-1,IF(OR($R213="Psychic",$R213="Steel"),1,0)),IF(OR($S213="Fighting",$S213="Poison"),0-1,IF(OR($S213="Psychic",$S213="Steel"),1,0))))</f>
        <v>0</v>
      </c>
      <c r="AR213" s="507" t="n">
        <f aca="false">SUM(IF(OR($R213="Bug",$R213="Fire",$R213="Flying",$R213="Ice"),0-1,IF(OR($R213="Steel",$R213="Fighting",$R213="Ground"),1,0)),IF(OR($S213="Bug",$S213="Fire",$S213="Flying",$S213="Ice"),0-1,IF(OR($S213="Steel",$S213="Fighting",$S213="Ground"),1,0)))</f>
        <v>-1</v>
      </c>
      <c r="AS213" s="507" t="n">
        <f aca="false">SUM(IF(OR($R213="Fairy",$R213="Ice",$R213="Rock"),0-1,IF(OR($R213="Steel",$R213="Electric",$R213="Fire",$R213="Water"),1,0)),IF(OR($S213="Fairy",$S213="Ice",$S213="Rock"),0-1,IF(OR($S213="Steel",$S213="Electric",$S213="Fire",$S213="Water"),1,0)))</f>
        <v>0</v>
      </c>
      <c r="AT213" s="508" t="n">
        <f aca="false">SUM(IF(OR($R213="Fire",$R213="Ground",$R213="Rock"),0-1,IF(OR($R213="Dragon",$R213="Grass",$R213="Water"),1,0)),IF(OR($S213="Fire",$S213="Ground",$S213="Rock"),0-1,IF(OR($S213="Dragon",$S213="Grass",$S213="Water"),1,0)))</f>
        <v>0</v>
      </c>
      <c r="AU213" s="518"/>
    </row>
    <row r="214" customFormat="false" ht="15.75" hidden="false" customHeight="false" outlineLevel="0" collapsed="false">
      <c r="A214" s="510" t="str">
        <f aca="false" t="array" ref="A214:A214">IF(ISNA(INDEX(Source!$U$7:$U$95,MATCH(B214,Source!$V$7:$V$95,0))),"FREE",INDEX(Source!$U$7:$U$95,MATCH(B214,Source!$V$7:$V$95,0)))</f>
        <v>FREE</v>
      </c>
      <c r="B214" s="511" t="s">
        <v>526</v>
      </c>
      <c r="C214" s="511"/>
      <c r="D214" s="511"/>
      <c r="E214" s="499" t="str">
        <f aca="false">IF(SUM($W214:$X214)&gt;0,SUM($W214:$X214),IF($H214&gt;0,0,IF($H214&gt;0,0,"-")))</f>
        <v>-</v>
      </c>
      <c r="F214" s="499" t="str">
        <f aca="false">IF(SUM($Y214:$Z214)&gt;0,SUM($Y214:$Z214),IF($H214&gt;0,0,"-"))</f>
        <v>-</v>
      </c>
      <c r="G214" s="499" t="str">
        <f aca="false">IF($H214&gt;0,minus(E214,F214),"-")</f>
        <v>-</v>
      </c>
      <c r="H214" s="500" t="n">
        <f aca="false">SUM(COUNTIF(MatchSource!$A:$A,$B214),COUNTIF(MatchSource!$H:$H,$B214))</f>
        <v>0</v>
      </c>
      <c r="I214" s="501" t="n">
        <f aca="false">SUM($AA214:$AB214)</f>
        <v>0</v>
      </c>
      <c r="J214" s="501" t="s">
        <v>701</v>
      </c>
      <c r="K214" s="512" t="str">
        <f aca="false" t="array" ref="K214:K214">IF(ISNA(INDEX(DraftRosters!$AA$3:$AA$199,MATCH($B214,DraftRosters!$AB$3:$AB$199,0))),"FA",IF(INDEX(DraftRosters!$AA$3:$AA$199,MATCH($B214,DraftRosters!$AB$3:$AB$199,0))="Franchise","Franch",INDEX(DraftRosters!$AA$3:$AA$199,MATCH($B214,DraftRosters!$AB$3:$AB$199,0))))</f>
        <v>FA</v>
      </c>
      <c r="L214" s="499" t="n">
        <v>95</v>
      </c>
      <c r="M214" s="499" t="n">
        <v>115</v>
      </c>
      <c r="N214" s="499" t="n">
        <v>90</v>
      </c>
      <c r="O214" s="499" t="n">
        <v>80</v>
      </c>
      <c r="P214" s="499" t="n">
        <v>90</v>
      </c>
      <c r="Q214" s="501" t="n">
        <v>60</v>
      </c>
      <c r="R214" s="499" t="s">
        <v>795</v>
      </c>
      <c r="S214" s="501" t="s">
        <v>800</v>
      </c>
      <c r="T214" s="504" t="s">
        <v>893</v>
      </c>
      <c r="U214" s="505" t="s">
        <v>851</v>
      </c>
      <c r="V214" s="506"/>
      <c r="W214" s="500" t="str">
        <f aca="false">IFERROR(__xludf.dummyfunction("if(isna(SUM(FILTER(MatchSource!$A:$D,MatchSource!$A:$A=$B214))),0,SUM(FILTER(MatchSource!$A:$D,MatchSource!$A:$A=$B214)))"),"0")</f>
        <v>0</v>
      </c>
      <c r="X214" s="499" t="str">
        <f aca="false">IFERROR(__xludf.dummyfunction("if(isna(SUM(FILTER(MatchSource!$H:$K,MatchSource!$H:$H=$B214))),0,SUM(FILTER(MatchSource!$H:$K,MatchSource!$H:$H=$B214)))"),"0")</f>
        <v>0</v>
      </c>
      <c r="Y214" s="499" t="str">
        <f aca="false">IFERROR(__xludf.dummyfunction("if(isna(ABS(MINUS(SUM(FILTER(MatchSource!$A:$E,MatchSource!$A:$A=$B214)),SUM($W214)))),0,ABS(MINUS(SUM(FILTER(MatchSource!$A:$E,MatchSource!$A:$A=$B214)),SUM($W214))))"),"0")</f>
        <v>0</v>
      </c>
      <c r="Z214" s="499" t="str">
        <f aca="false">IFERROR(__xludf.dummyfunction("if(isna(ABS(MINUS(SUM(FILTER(MatchSource!$H:$L,MatchSource!$H:$H=$B214)),SUM($X214)))),0,ABS(MINUS(SUM(FILTER(MatchSource!$H:$L,MatchSource!$H:$H=$B214)),SUM($X214))))"),"0")</f>
        <v>0</v>
      </c>
      <c r="AA214" s="499" t="str">
        <f aca="false">IFERROR(__xludf.dummyfunction("if(isna(ABS(MINUS(SUM(FILTER(MatchSource!$A:$F,MatchSource!$A:$A=$B214)),SUM($W214,$Y214)))),0,ABS(MINUS(SUM(FILTER(MatchSource!$A:$F,MatchSource!$A:$A=$B214)),SUM($W214, $Y214,))))"),"0")</f>
        <v>0</v>
      </c>
      <c r="AB214" s="501" t="str">
        <f aca="false">IFERROR(__xludf.dummyfunction("if(isna(ABS(MINUS(SUM(FILTER(MatchSource!$H:$M,MatchSource!$H:$H=$B214)),SUM($X214,$Z214)))),0,ABS(MINUS(SUM(FILTER(MatchSource!$H:$M,MatchSource!$H:$H=$B214)),SUM($X214,$Z214))))"),"0")</f>
        <v>0</v>
      </c>
      <c r="AC214" s="507" t="n">
        <f aca="false">SUM(IF(OR($R214="Grass",$R214="Psychic",$R214="Dark"),0-1,IF(OR($R214="Fighting",$R214="Flying",$R214="Fire",$R214="Ghost",$R214="Poison",$R214="Steel",$R214="Fairy"),1,0)),IF(OR($S214="Grass",$S214="Psychic",$S214="Dark"),0-1,IF(OR($S214="Fighting",$S214="Flying",$S214="Fire",$S214="Ghost",$S214="Poison",$S214="Steel",$S214="Fairy"),1,0)))</f>
        <v>0</v>
      </c>
      <c r="AD214" s="507" t="n">
        <f aca="false">SUM(IF(OR($R214="Ghost",$R214="Psychic"),0-1,IF(OR($R214="Fighting",$R214="Dark",$R214="Fairy"),1,0)),IF(OR($S214="Ghost",$S214="Psychic"),0-1,IF(OR($S214="Fighting",$S214="Dark",$S214="Fairy"),1,0)))</f>
        <v>1</v>
      </c>
      <c r="AE214" s="507" t="n">
        <f aca="false">IF(OR($R214="Fairy",$S214="Fairy"),4,SUM(IF($R214="Dragon",0-1,IF($R214="Steel",1,0)),IF($S214="Dragon",0-1,IF($S214="Steel",1,0))))</f>
        <v>0</v>
      </c>
      <c r="AF214" s="507" t="n">
        <f aca="false">IF(OR($R214="Ground",$S214="Ground"),4,SUM(IF(OR($R214="Flying",$R214="Water"),0-1,IF(OR($R214="Dragon",$R214="Electric",$R214="Grass"),1,0)),IF(OR($S214="Flying",$S214="Water"),0-1,IF(OR($S214="Dragon",$S214="Electric",$S214="Grass"),1,0))))</f>
        <v>0</v>
      </c>
      <c r="AG214" s="507" t="n">
        <f aca="false">SUM(IF(OR($R214="Dark",$R214="Dragon",$R214="Fighting"),0-1,IF(OR($R214="Steel",$R214="Poison",$R214="Fire"),1,0)),IF(OR($S214="Dark",$S214="Dragon",$S214="Fighting"),0-1,IF(OR($S214="Steel",$S214="Poison",$S214="Fire"),1,0)))</f>
        <v>0</v>
      </c>
      <c r="AH214" s="507" t="n">
        <f aca="false">IF(OR($R214="Ghost",$S214="Ghost"),4,SUM(IF(OR($R214="Dark",$R214="Ice",$R214="Normal",$R214="Rock",$R214="Steel"),0-1,IF(OR($R214="Bug",$R214="Fairy",$R214="Flying",$R214="Poison",$R214="Psychic"),1,0)),IF(OR($S214="Dark",$S214="Ice",$S214="Normal",$S214="Rock",$S214="Steel"),0-1,IF(OR($S214="Bug",$S214="Fairy",$S214="Flying",$S214="Poison",$S214="Psychic"),1,0))))</f>
        <v>-1</v>
      </c>
      <c r="AI214" s="507" t="n">
        <f aca="false">SUM(IF(OR($R214="Bug",$R214="Grass",$R214="Ice",$R214="Steel"),0-1,IF(OR($R214="Dragon",$R214="Fire",$R214="Rock",$R214="Water"),1,0)),IF(OR($S214="Bug",$S214="Grass",$S214="Ice",$S214="Steel"),0-1,IF(OR($S214="Dragon",$S214="Fire",$S214="Rock",$S214="Water"),1,0)))</f>
        <v>1</v>
      </c>
      <c r="AJ214" s="507" t="n">
        <f aca="false">SUM(IF(OR($R214="Bug",$R214="Grass",$R214="Fighting"),0-1,IF(OR($R214="Electric",$R214="Rock",$R214="Steel"),1,0)),IF(OR($S214="Bug",$S214="Grass",$S214="Fighting"),0-1,IF(OR($S214="Electric",$S214="Rock",$S214="Steel"),1,0)))</f>
        <v>0</v>
      </c>
      <c r="AK214" s="507" t="n">
        <f aca="false">IF(OR($R214="Normal",$S214="Normal"),4,SUM(IF(OR($R214="Ghost",$R214="Psychic"),0-1,IF($R214="Dark",1,0)),IF(OR($S214="Ghost",$S214="Psychic"),0-1,IF($S214="Dark",1,0))))</f>
        <v>1</v>
      </c>
      <c r="AL214" s="507" t="n">
        <f aca="false">SUM(IF(OR($R214="Ground",$R214="Rock",$R214="Water"),0-1,IF(OR($R214="Bug",$R214="Flying",$R214="Fire",$R214="Dragon",$R214="Poison",$R214="Steel",$R214="Grass"),1,0)),IF(OR($S214="Ground",$S214="Rock",$S214="Water"),0-1,IF(OR($S214="Bug",$S214="Flying",$S214="Fire",$S214="Dragon",$S214="Poison",$S214="Steel",$S214="Grass"),1,0)))</f>
        <v>1</v>
      </c>
      <c r="AM214" s="507" t="n">
        <f aca="false">IF(OR($R214="Flying",$S214="Flying"),4,SUM(IF(OR($R214="Electric",$R214="Fire",$R214="Rock",$R214="Steel",$R214="Poison"),0-1,IF(OR($R214="Bug",$R214="Grass"),1,0)),IF(OR($S214="Electric",$S214="Fire",$S214="Rock",$S214="Steel",$S214="Poison"),0-1,IF(OR($S214="Bug",$S214="Grass"),1,0))))</f>
        <v>-1</v>
      </c>
      <c r="AN214" s="507" t="n">
        <f aca="false">SUM(IF(OR($R214="Flying",$R214="Dragon",$R214="Grass",$R214="Ground"),0-1,IF(OR($R214="Steel",$R214="Ice",$R214="Fire",$R214="Water"),1,0)),IF(OR($S214="Flying",$S214="Dragon",$S214="Grass",$S214="Ground"),0-1,IF(OR($S214="Steel",$S214="Ice",$S214="Fire",$S214="Water"),1,0)))</f>
        <v>1</v>
      </c>
      <c r="AO214" s="507" t="n">
        <f aca="false">IF(OR($R214="Ghost",$S214="Ghost"),4,SUM(IF(OR($R214="Steel",$R214="Rock"),1,0),IF(OR($S214="Steel",$S214="Rock"),1,0)))</f>
        <v>0</v>
      </c>
      <c r="AP214" s="507" t="n">
        <f aca="false">IF(OR($R214="Steel",$S214="Steel"),4,SUM(IF(OR($R214="Fairy",$R214="Grass"),0-1,IF(OR($R214="Ghost",$R214="Rock",$R214="Ground",$R214="Poison"),1,0)),IF(OR($S214="Fairy",$S214="Grass"),0-1,IF(OR($S214="Ghost",$S214="Rock",$S214="Ground",$S214="Poison"),1,0))))</f>
        <v>0</v>
      </c>
      <c r="AQ214" s="507" t="n">
        <f aca="false">IF(OR($R214="Dark",$S214="Dark"),4,SUM(IF(OR($R214="Fighting",$R214="Poison"),0-1,IF(OR($R214="Psychic",$R214="Steel"),1,0)),IF(OR($S214="Fighting",$S214="Poison"),0-1,IF(OR($S214="Psychic",$S214="Steel"),1,0))))</f>
        <v>4</v>
      </c>
      <c r="AR214" s="507" t="n">
        <f aca="false">SUM(IF(OR($R214="Bug",$R214="Fire",$R214="Flying",$R214="Ice"),0-1,IF(OR($R214="Steel",$R214="Fighting",$R214="Ground"),1,0)),IF(OR($S214="Bug",$S214="Fire",$S214="Flying",$S214="Ice"),0-1,IF(OR($S214="Steel",$S214="Fighting",$S214="Ground"),1,0)))</f>
        <v>-1</v>
      </c>
      <c r="AS214" s="507" t="n">
        <f aca="false">SUM(IF(OR($R214="Fairy",$R214="Ice",$R214="Rock"),0-1,IF(OR($R214="Steel",$R214="Electric",$R214="Fire",$R214="Water"),1,0)),IF(OR($S214="Fairy",$S214="Ice",$S214="Rock"),0-1,IF(OR($S214="Steel",$S214="Electric",$S214="Fire",$S214="Water"),1,0)))</f>
        <v>1</v>
      </c>
      <c r="AT214" s="508" t="n">
        <f aca="false">SUM(IF(OR($R214="Fire",$R214="Ground",$R214="Rock"),0-1,IF(OR($R214="Dragon",$R214="Grass",$R214="Water"),1,0)),IF(OR($S214="Fire",$S214="Ground",$S214="Rock"),0-1,IF(OR($S214="Dragon",$S214="Grass",$S214="Water"),1,0)))</f>
        <v>-1</v>
      </c>
      <c r="AU214" s="518"/>
    </row>
    <row r="215" customFormat="false" ht="15.75" hidden="false" customHeight="false" outlineLevel="0" collapsed="false">
      <c r="A215" s="510" t="str">
        <f aca="false" t="array" ref="A215:A215">IF(ISNA(INDEX(Source!$U$7:$U$95,MATCH(B215,Source!$V$7:$V$95,0))),"FREE",INDEX(Source!$U$7:$U$95,MATCH(B215,Source!$V$7:$V$95,0)))</f>
        <v>FTT</v>
      </c>
      <c r="B215" s="511" t="s">
        <v>110</v>
      </c>
      <c r="C215" s="511"/>
      <c r="D215" s="511"/>
      <c r="E215" s="499" t="n">
        <f aca="false">IF(SUM($W215:$X215)&gt;0,SUM($W215:$X215),IF($H215&gt;0,0,IF($H215&gt;0,0,"-")))</f>
        <v>0</v>
      </c>
      <c r="F215" s="499" t="n">
        <f aca="false">IF(SUM($Y215:$Z215)&gt;0,SUM($Y215:$Z215),IF($H215&gt;0,0,"-"))</f>
        <v>0</v>
      </c>
      <c r="G215" s="499" t="e">
        <f aca="false">IF($H215&gt;0,minus(E215,F215),"-")</f>
        <v>#NAME?</v>
      </c>
      <c r="H215" s="500" t="n">
        <f aca="false">SUM(COUNTIF(MatchSource!$A:$A,$B215),COUNTIF(MatchSource!$H:$H,$B215))</f>
        <v>3</v>
      </c>
      <c r="I215" s="501" t="n">
        <f aca="false">SUM($AA215:$AB215)</f>
        <v>0</v>
      </c>
      <c r="J215" s="501" t="s">
        <v>699</v>
      </c>
      <c r="K215" s="512" t="n">
        <f aca="false" t="array" ref="K215:K215">IF(ISNA(INDEX(DraftRosters!$AA$3:$AA$199,MATCH($B215,DraftRosters!$AB$3:$AB$199,0))),"FA",IF(INDEX(DraftRosters!$AA$3:$AA$199,MATCH($B215,DraftRosters!$AB$3:$AB$199,0))="Franchise","Franch",INDEX(DraftRosters!$AA$3:$AA$199,MATCH($B215,DraftRosters!$AB$3:$AB$199,0))))</f>
        <v>81</v>
      </c>
      <c r="L215" s="499" t="n">
        <v>76</v>
      </c>
      <c r="M215" s="499" t="n">
        <v>104</v>
      </c>
      <c r="N215" s="499" t="n">
        <v>71</v>
      </c>
      <c r="O215" s="499" t="n">
        <v>104</v>
      </c>
      <c r="P215" s="499" t="n">
        <v>71</v>
      </c>
      <c r="Q215" s="501" t="n">
        <v>108</v>
      </c>
      <c r="R215" s="499" t="s">
        <v>881</v>
      </c>
      <c r="S215" s="501" t="s">
        <v>800</v>
      </c>
      <c r="T215" s="504" t="s">
        <v>893</v>
      </c>
      <c r="U215" s="505" t="s">
        <v>931</v>
      </c>
      <c r="V215" s="506"/>
      <c r="W215" s="500" t="str">
        <f aca="false">IFERROR(__xludf.dummyfunction("if(isna(SUM(FILTER(MatchSource!$A:$D,MatchSource!$A:$A=$B215))),0,SUM(FILTER(MatchSource!$A:$D,MatchSource!$A:$A=$B215)))"),"0")</f>
        <v>0</v>
      </c>
      <c r="X215" s="499" t="str">
        <f aca="false">IFERROR(__xludf.dummyfunction("if(isna(SUM(FILTER(MatchSource!$H:$K,MatchSource!$H:$H=$B215))),0,SUM(FILTER(MatchSource!$H:$K,MatchSource!$H:$H=$B215)))"),"1")</f>
        <v>1</v>
      </c>
      <c r="Y215" s="499" t="str">
        <f aca="false">IFERROR(__xludf.dummyfunction("if(isna(ABS(MINUS(SUM(FILTER(MatchSource!$A:$E,MatchSource!$A:$A=$B215)),SUM($W215)))),0,ABS(MINUS(SUM(FILTER(MatchSource!$A:$E,MatchSource!$A:$A=$B215)),SUM($W215))))"),"1")</f>
        <v>1</v>
      </c>
      <c r="Z215" s="499" t="str">
        <f aca="false">IFERROR(__xludf.dummyfunction("if(isna(ABS(MINUS(SUM(FILTER(MatchSource!$H:$L,MatchSource!$H:$H=$B215)),SUM($X215)))),0,ABS(MINUS(SUM(FILTER(MatchSource!$H:$L,MatchSource!$H:$H=$B215)),SUM($X215))))"),"2")</f>
        <v>2</v>
      </c>
      <c r="AA215" s="499" t="str">
        <f aca="false">IFERROR(__xludf.dummyfunction("if(isna(ABS(MINUS(SUM(FILTER(MatchSource!$A:$F,MatchSource!$A:$A=$B215)),SUM($W215,$Y215)))),0,ABS(MINUS(SUM(FILTER(MatchSource!$A:$F,MatchSource!$A:$A=$B215)),SUM($W215, $Y215,))))"),"0")</f>
        <v>0</v>
      </c>
      <c r="AB215" s="501" t="str">
        <f aca="false">IFERROR(__xludf.dummyfunction("if(isna(ABS(MINUS(SUM(FILTER(MatchSource!$H:$M,MatchSource!$H:$H=$B215)),SUM($X215,$Z215)))),0,ABS(MINUS(SUM(FILTER(MatchSource!$H:$M,MatchSource!$H:$H=$B215)),SUM($X215,$Z215))))"),"0")</f>
        <v>0</v>
      </c>
      <c r="AC215" s="507" t="n">
        <f aca="false">SUM(IF(OR($R215="Grass",$R215="Psychic",$R215="Dark"),0-1,IF(OR($R215="Fighting",$R215="Flying",$R215="Fire",$R215="Ghost",$R215="Poison",$R215="Steel",$R215="Fairy"),1,0)),IF(OR($S215="Grass",$S215="Psychic",$S215="Dark"),0-1,IF(OR($S215="Fighting",$S215="Flying",$S215="Fire",$S215="Ghost",$S215="Poison",$S215="Steel",$S215="Fairy"),1,0)))</f>
        <v>2</v>
      </c>
      <c r="AD215" s="507" t="n">
        <f aca="false">SUM(IF(OR($R215="Ghost",$R215="Psychic"),0-1,IF(OR($R215="Fighting",$R215="Dark",$R215="Fairy"),1,0)),IF(OR($S215="Ghost",$S215="Psychic"),0-1,IF(OR($S215="Fighting",$S215="Dark",$S215="Fairy"),1,0)))</f>
        <v>1</v>
      </c>
      <c r="AE215" s="507" t="n">
        <f aca="false">IF(OR($R215="Fairy",$S215="Fairy"),4,SUM(IF($R215="Dragon",0-1,IF($R215="Steel",1,0)),IF($S215="Dragon",0-1,IF($S215="Steel",1,0))))</f>
        <v>0</v>
      </c>
      <c r="AF215" s="507" t="n">
        <f aca="false">IF(OR($R215="Ground",$S215="Ground"),4,SUM(IF(OR($R215="Flying",$R215="Water"),0-1,IF(OR($R215="Dragon",$R215="Electric",$R215="Grass"),1,0)),IF(OR($S215="Flying",$S215="Water"),0-1,IF(OR($S215="Dragon",$S215="Electric",$S215="Grass"),1,0))))</f>
        <v>0</v>
      </c>
      <c r="AG215" s="507" t="n">
        <f aca="false">SUM(IF(OR($R215="Dark",$R215="Dragon",$R215="Fighting"),0-1,IF(OR($R215="Steel",$R215="Poison",$R215="Fire"),1,0)),IF(OR($S215="Dark",$S215="Dragon",$S215="Fighting"),0-1,IF(OR($S215="Steel",$S215="Poison",$S215="Fire"),1,0)))</f>
        <v>0</v>
      </c>
      <c r="AH215" s="507" t="n">
        <f aca="false">IF(OR($R215="Ghost",$S215="Ghost"),4,SUM(IF(OR($R215="Dark",$R215="Ice",$R215="Normal",$R215="Rock",$R215="Steel"),0-1,IF(OR($R215="Bug",$R215="Fairy",$R215="Flying",$R215="Poison",$R215="Psychic"),1,0)),IF(OR($S215="Dark",$S215="Ice",$S215="Normal",$S215="Rock",$S215="Steel"),0-1,IF(OR($S215="Bug",$S215="Fairy",$S215="Flying",$S215="Poison",$S215="Psychic"),1,0))))</f>
        <v>0</v>
      </c>
      <c r="AI215" s="507" t="n">
        <f aca="false">SUM(IF(OR($R215="Bug",$R215="Grass",$R215="Ice",$R215="Steel"),0-1,IF(OR($R215="Dragon",$R215="Fire",$R215="Rock",$R215="Water"),1,0)),IF(OR($S215="Bug",$S215="Grass",$S215="Ice",$S215="Steel"),0-1,IF(OR($S215="Dragon",$S215="Fire",$S215="Rock",$S215="Water"),1,0)))</f>
        <v>1</v>
      </c>
      <c r="AJ215" s="507" t="n">
        <f aca="false">SUM(IF(OR($R215="Bug",$R215="Grass",$R215="Fighting"),0-1,IF(OR($R215="Electric",$R215="Rock",$R215="Steel"),1,0)),IF(OR($S215="Bug",$S215="Grass",$S215="Fighting"),0-1,IF(OR($S215="Electric",$S215="Rock",$S215="Steel"),1,0)))</f>
        <v>-1</v>
      </c>
      <c r="AK215" s="507" t="n">
        <f aca="false">IF(OR($R215="Normal",$S215="Normal"),4,SUM(IF(OR($R215="Ghost",$R215="Psychic"),0-1,IF($R215="Dark",1,0)),IF(OR($S215="Ghost",$S215="Psychic"),0-1,IF($S215="Dark",1,0))))</f>
        <v>0</v>
      </c>
      <c r="AL215" s="507" t="n">
        <f aca="false">SUM(IF(OR($R215="Ground",$R215="Rock",$R215="Water"),0-1,IF(OR($R215="Bug",$R215="Flying",$R215="Fire",$R215="Dragon",$R215="Poison",$R215="Steel",$R215="Grass"),1,0)),IF(OR($S215="Ground",$S215="Rock",$S215="Water"),0-1,IF(OR($S215="Bug",$S215="Flying",$S215="Fire",$S215="Dragon",$S215="Poison",$S215="Steel",$S215="Grass"),1,0)))</f>
        <v>1</v>
      </c>
      <c r="AM215" s="507" t="n">
        <f aca="false">IF(OR($R215="Flying",$S215="Flying"),4,SUM(IF(OR($R215="Electric",$R215="Fire",$R215="Rock",$R215="Steel",$R215="Poison"),0-1,IF(OR($R215="Bug",$R215="Grass"),1,0)),IF(OR($S215="Electric",$S215="Fire",$S215="Rock",$S215="Steel",$S215="Poison"),0-1,IF(OR($S215="Bug",$S215="Grass"),1,0))))</f>
        <v>-1</v>
      </c>
      <c r="AN215" s="507" t="n">
        <f aca="false">SUM(IF(OR($R215="Flying",$R215="Dragon",$R215="Grass",$R215="Ground"),0-1,IF(OR($R215="Steel",$R215="Ice",$R215="Fire",$R215="Water"),1,0)),IF(OR($S215="Flying",$S215="Dragon",$S215="Grass",$S215="Ground"),0-1,IF(OR($S215="Steel",$S215="Ice",$S215="Fire",$S215="Water"),1,0)))</f>
        <v>1</v>
      </c>
      <c r="AO215" s="507" t="n">
        <f aca="false">IF(OR($R215="Ghost",$S215="Ghost"),4,SUM(IF(OR($R215="Steel",$R215="Rock"),1,0),IF(OR($S215="Steel",$S215="Rock"),1,0)))</f>
        <v>0</v>
      </c>
      <c r="AP215" s="507" t="n">
        <f aca="false">IF(OR($R215="Steel",$S215="Steel"),4,SUM(IF(OR($R215="Fairy",$R215="Grass"),0-1,IF(OR($R215="Ghost",$R215="Rock",$R215="Ground",$R215="Poison"),1,0)),IF(OR($S215="Fairy",$S215="Grass"),0-1,IF(OR($S215="Ghost",$S215="Rock",$S215="Ground",$S215="Poison"),1,0))))</f>
        <v>0</v>
      </c>
      <c r="AQ215" s="507" t="n">
        <f aca="false">IF(OR($R215="Dark",$S215="Dark"),4,SUM(IF(OR($R215="Fighting",$R215="Poison"),0-1,IF(OR($R215="Psychic",$R215="Steel"),1,0)),IF(OR($S215="Fighting",$S215="Poison"),0-1,IF(OR($S215="Psychic",$S215="Steel"),1,0))))</f>
        <v>-1</v>
      </c>
      <c r="AR215" s="507" t="n">
        <f aca="false">SUM(IF(OR($R215="Bug",$R215="Fire",$R215="Flying",$R215="Ice"),0-1,IF(OR($R215="Steel",$R215="Fighting",$R215="Ground"),1,0)),IF(OR($S215="Bug",$S215="Fire",$S215="Flying",$S215="Ice"),0-1,IF(OR($S215="Steel",$S215="Fighting",$S215="Ground"),1,0)))</f>
        <v>0</v>
      </c>
      <c r="AS215" s="507" t="n">
        <f aca="false">SUM(IF(OR($R215="Fairy",$R215="Ice",$R215="Rock"),0-1,IF(OR($R215="Steel",$R215="Electric",$R215="Fire",$R215="Water"),1,0)),IF(OR($S215="Fairy",$S215="Ice",$S215="Rock"),0-1,IF(OR($S215="Steel",$S215="Electric",$S215="Fire",$S215="Water"),1,0)))</f>
        <v>1</v>
      </c>
      <c r="AT215" s="508" t="n">
        <f aca="false">SUM(IF(OR($R215="Fire",$R215="Ground",$R215="Rock"),0-1,IF(OR($R215="Dragon",$R215="Grass",$R215="Water"),1,0)),IF(OR($S215="Fire",$S215="Ground",$S215="Rock"),0-1,IF(OR($S215="Dragon",$S215="Grass",$S215="Water"),1,0)))</f>
        <v>-1</v>
      </c>
      <c r="AU215" s="518"/>
    </row>
    <row r="216" customFormat="false" ht="15.75" hidden="false" customHeight="false" outlineLevel="0" collapsed="false">
      <c r="A216" s="510" t="str">
        <f aca="false" t="array" ref="A216:A216">IF(ISNA(INDEX(Source!$U$7:$U$95,MATCH(B216,Source!$V$7:$V$95,0))),"FREE",INDEX(Source!$U$7:$U$95,MATCH(B216,Source!$V$7:$V$95,0)))</f>
        <v>FREE</v>
      </c>
      <c r="B216" s="511" t="s">
        <v>530</v>
      </c>
      <c r="C216" s="511"/>
      <c r="D216" s="511"/>
      <c r="E216" s="499" t="str">
        <f aca="false">IF(SUM($W216:$X216)&gt;0,SUM($W216:$X216),IF($H216&gt;0,0,IF($H216&gt;0,0,"-")))</f>
        <v>-</v>
      </c>
      <c r="F216" s="499" t="str">
        <f aca="false">IF(SUM($Y216:$Z216)&gt;0,SUM($Y216:$Z216),IF($H216&gt;0,0,"-"))</f>
        <v>-</v>
      </c>
      <c r="G216" s="499" t="str">
        <f aca="false">IF($H216&gt;0,minus(E216,F216),"-")</f>
        <v>-</v>
      </c>
      <c r="H216" s="500" t="n">
        <f aca="false">SUM(COUNTIF(MatchSource!$A:$A,$B216),COUNTIF(MatchSource!$H:$H,$B216))</f>
        <v>0</v>
      </c>
      <c r="I216" s="501" t="n">
        <f aca="false">SUM($AA216:$AB216)</f>
        <v>0</v>
      </c>
      <c r="J216" s="501" t="s">
        <v>701</v>
      </c>
      <c r="K216" s="512" t="str">
        <f aca="false" t="array" ref="K216:K216">IF(ISNA(INDEX(DraftRosters!$AA$3:$AA$199,MATCH($B216,DraftRosters!$AB$3:$AB$199,0))),"FA",IF(INDEX(DraftRosters!$AA$3:$AA$199,MATCH($B216,DraftRosters!$AB$3:$AB$199,0))="Franchise","Franch",INDEX(DraftRosters!$AA$3:$AA$199,MATCH($B216,DraftRosters!$AB$3:$AB$199,0))))</f>
        <v>FA</v>
      </c>
      <c r="L216" s="499" t="n">
        <v>100</v>
      </c>
      <c r="M216" s="499" t="n">
        <v>60</v>
      </c>
      <c r="N216" s="499" t="n">
        <v>70</v>
      </c>
      <c r="O216" s="499" t="n">
        <v>85</v>
      </c>
      <c r="P216" s="499" t="n">
        <v>105</v>
      </c>
      <c r="Q216" s="501" t="n">
        <v>65</v>
      </c>
      <c r="R216" s="499" t="s">
        <v>802</v>
      </c>
      <c r="S216" s="501" t="s">
        <v>811</v>
      </c>
      <c r="T216" s="504" t="s">
        <v>870</v>
      </c>
      <c r="U216" s="505" t="s">
        <v>983</v>
      </c>
      <c r="V216" s="506" t="s">
        <v>849</v>
      </c>
      <c r="W216" s="500" t="str">
        <f aca="false">IFERROR(__xludf.dummyfunction("if(isna(SUM(FILTER(MatchSource!$A:$D,MatchSource!$A:$A=$B216))),0,SUM(FILTER(MatchSource!$A:$D,MatchSource!$A:$A=$B216)))"),"0")</f>
        <v>0</v>
      </c>
      <c r="X216" s="499" t="str">
        <f aca="false">IFERROR(__xludf.dummyfunction("if(isna(SUM(FILTER(MatchSource!$H:$K,MatchSource!$H:$H=$B216))),0,SUM(FILTER(MatchSource!$H:$K,MatchSource!$H:$H=$B216)))"),"0")</f>
        <v>0</v>
      </c>
      <c r="Y216" s="499" t="str">
        <f aca="false">IFERROR(__xludf.dummyfunction("if(isna(ABS(MINUS(SUM(FILTER(MatchSource!$A:$E,MatchSource!$A:$A=$B216)),SUM($W216)))),0,ABS(MINUS(SUM(FILTER(MatchSource!$A:$E,MatchSource!$A:$A=$B216)),SUM($W216))))"),"0")</f>
        <v>0</v>
      </c>
      <c r="Z216" s="499" t="str">
        <f aca="false">IFERROR(__xludf.dummyfunction("if(isna(ABS(MINUS(SUM(FILTER(MatchSource!$H:$L,MatchSource!$H:$H=$B216)),SUM($X216)))),0,ABS(MINUS(SUM(FILTER(MatchSource!$H:$L,MatchSource!$H:$H=$B216)),SUM($X216))))"),"0")</f>
        <v>0</v>
      </c>
      <c r="AA216" s="499" t="str">
        <f aca="false">IFERROR(__xludf.dummyfunction("if(isna(ABS(MINUS(SUM(FILTER(MatchSource!$A:$F,MatchSource!$A:$A=$B216)),SUM($W216,$Y216)))),0,ABS(MINUS(SUM(FILTER(MatchSource!$A:$F,MatchSource!$A:$A=$B216)),SUM($W216, $Y216,))))"),"0")</f>
        <v>0</v>
      </c>
      <c r="AB216" s="501" t="str">
        <f aca="false">IFERROR(__xludf.dummyfunction("if(isna(ABS(MINUS(SUM(FILTER(MatchSource!$H:$M,MatchSource!$H:$H=$B216)),SUM($X216,$Z216)))),0,ABS(MINUS(SUM(FILTER(MatchSource!$H:$M,MatchSource!$H:$H=$B216)),SUM($X216,$Z216))))"),"0")</f>
        <v>0</v>
      </c>
      <c r="AC216" s="507" t="n">
        <f aca="false">SUM(IF(OR($R216="Grass",$R216="Psychic",$R216="Dark"),0-1,IF(OR($R216="Fighting",$R216="Flying",$R216="Fire",$R216="Ghost",$R216="Poison",$R216="Steel",$R216="Fairy"),1,0)),IF(OR($S216="Grass",$S216="Psychic",$S216="Dark"),0-1,IF(OR($S216="Fighting",$S216="Flying",$S216="Fire",$S216="Ghost",$S216="Poison",$S216="Steel",$S216="Fairy"),1,0)))</f>
        <v>1</v>
      </c>
      <c r="AD216" s="507" t="n">
        <f aca="false">SUM(IF(OR($R216="Ghost",$R216="Psychic"),0-1,IF(OR($R216="Fighting",$R216="Dark",$R216="Fairy"),1,0)),IF(OR($S216="Ghost",$S216="Psychic"),0-1,IF(OR($S216="Fighting",$S216="Dark",$S216="Fairy"),1,0)))</f>
        <v>-1</v>
      </c>
      <c r="AE216" s="507" t="n">
        <f aca="false">IF(OR($R216="Fairy",$S216="Fairy"),4,SUM(IF($R216="Dragon",0-1,IF($R216="Steel",1,0)),IF($S216="Dragon",0-1,IF($S216="Steel",1,0))))</f>
        <v>0</v>
      </c>
      <c r="AF216" s="507" t="n">
        <f aca="false">IF(OR($R216="Ground",$S216="Ground"),4,SUM(IF(OR($R216="Flying",$R216="Water"),0-1,IF(OR($R216="Dragon",$R216="Electric",$R216="Grass"),1,0)),IF(OR($S216="Flying",$S216="Water"),0-1,IF(OR($S216="Dragon",$S216="Electric",$S216="Grass"),1,0))))</f>
        <v>-1</v>
      </c>
      <c r="AG216" s="507" t="n">
        <f aca="false">SUM(IF(OR($R216="Dark",$R216="Dragon",$R216="Fighting"),0-1,IF(OR($R216="Steel",$R216="Poison",$R216="Fire"),1,0)),IF(OR($S216="Dark",$S216="Dragon",$S216="Fighting"),0-1,IF(OR($S216="Steel",$S216="Poison",$S216="Fire"),1,0)))</f>
        <v>0</v>
      </c>
      <c r="AH216" s="507" t="n">
        <f aca="false">IF(OR($R216="Ghost",$S216="Ghost"),4,SUM(IF(OR($R216="Dark",$R216="Ice",$R216="Normal",$R216="Rock",$R216="Steel"),0-1,IF(OR($R216="Bug",$R216="Fairy",$R216="Flying",$R216="Poison",$R216="Psychic"),1,0)),IF(OR($S216="Dark",$S216="Ice",$S216="Normal",$S216="Rock",$S216="Steel"),0-1,IF(OR($S216="Bug",$S216="Fairy",$S216="Flying",$S216="Poison",$S216="Psychic"),1,0))))</f>
        <v>4</v>
      </c>
      <c r="AI216" s="507" t="n">
        <f aca="false">SUM(IF(OR($R216="Bug",$R216="Grass",$R216="Ice",$R216="Steel"),0-1,IF(OR($R216="Dragon",$R216="Fire",$R216="Rock",$R216="Water"),1,0)),IF(OR($S216="Bug",$S216="Grass",$S216="Ice",$S216="Steel"),0-1,IF(OR($S216="Dragon",$S216="Fire",$S216="Rock",$S216="Water"),1,0)))</f>
        <v>1</v>
      </c>
      <c r="AJ216" s="507" t="n">
        <f aca="false">SUM(IF(OR($R216="Bug",$R216="Grass",$R216="Fighting"),0-1,IF(OR($R216="Electric",$R216="Rock",$R216="Steel"),1,0)),IF(OR($S216="Bug",$S216="Grass",$S216="Fighting"),0-1,IF(OR($S216="Electric",$S216="Rock",$S216="Steel"),1,0)))</f>
        <v>0</v>
      </c>
      <c r="AK216" s="507" t="n">
        <f aca="false">IF(OR($R216="Normal",$S216="Normal"),4,SUM(IF(OR($R216="Ghost",$R216="Psychic"),0-1,IF($R216="Dark",1,0)),IF(OR($S216="Ghost",$S216="Psychic"),0-1,IF($S216="Dark",1,0))))</f>
        <v>-1</v>
      </c>
      <c r="AL216" s="507" t="n">
        <f aca="false">SUM(IF(OR($R216="Ground",$R216="Rock",$R216="Water"),0-1,IF(OR($R216="Bug",$R216="Flying",$R216="Fire",$R216="Dragon",$R216="Poison",$R216="Steel",$R216="Grass"),1,0)),IF(OR($S216="Ground",$S216="Rock",$S216="Water"),0-1,IF(OR($S216="Bug",$S216="Flying",$S216="Fire",$S216="Dragon",$S216="Poison",$S216="Steel",$S216="Grass"),1,0)))</f>
        <v>-1</v>
      </c>
      <c r="AM216" s="507" t="n">
        <f aca="false">IF(OR($R216="Flying",$S216="Flying"),4,SUM(IF(OR($R216="Electric",$R216="Fire",$R216="Rock",$R216="Steel",$R216="Poison"),0-1,IF(OR($R216="Bug",$R216="Grass"),1,0)),IF(OR($S216="Electric",$S216="Fire",$S216="Rock",$S216="Steel",$S216="Poison"),0-1,IF(OR($S216="Bug",$S216="Grass"),1,0))))</f>
        <v>0</v>
      </c>
      <c r="AN216" s="507" t="n">
        <f aca="false">SUM(IF(OR($R216="Flying",$R216="Dragon",$R216="Grass",$R216="Ground"),0-1,IF(OR($R216="Steel",$R216="Ice",$R216="Fire",$R216="Water"),1,0)),IF(OR($S216="Flying",$S216="Dragon",$S216="Grass",$S216="Ground"),0-1,IF(OR($S216="Steel",$S216="Ice",$S216="Fire",$S216="Water"),1,0)))</f>
        <v>1</v>
      </c>
      <c r="AO216" s="507" t="n">
        <f aca="false">IF(OR($R216="Ghost",$S216="Ghost"),4,SUM(IF(OR($R216="Steel",$R216="Rock"),1,0),IF(OR($S216="Steel",$S216="Rock"),1,0)))</f>
        <v>4</v>
      </c>
      <c r="AP216" s="507" t="n">
        <f aca="false">IF(OR($R216="Steel",$S216="Steel"),4,SUM(IF(OR($R216="Fairy",$R216="Grass"),0-1,IF(OR($R216="Ghost",$R216="Rock",$R216="Ground",$R216="Poison"),1,0)),IF(OR($S216="Fairy",$S216="Grass"),0-1,IF(OR($S216="Ghost",$S216="Rock",$S216="Ground",$S216="Poison"),1,0))))</f>
        <v>1</v>
      </c>
      <c r="AQ216" s="507" t="n">
        <f aca="false">IF(OR($R216="Dark",$S216="Dark"),4,SUM(IF(OR($R216="Fighting",$R216="Poison"),0-1,IF(OR($R216="Psychic",$R216="Steel"),1,0)),IF(OR($S216="Fighting",$S216="Poison"),0-1,IF(OR($S216="Psychic",$S216="Steel"),1,0))))</f>
        <v>0</v>
      </c>
      <c r="AR216" s="507" t="n">
        <f aca="false">SUM(IF(OR($R216="Bug",$R216="Fire",$R216="Flying",$R216="Ice"),0-1,IF(OR($R216="Steel",$R216="Fighting",$R216="Ground"),1,0)),IF(OR($S216="Bug",$S216="Fire",$S216="Flying",$S216="Ice"),0-1,IF(OR($S216="Steel",$S216="Fighting",$S216="Ground"),1,0)))</f>
        <v>0</v>
      </c>
      <c r="AS216" s="507" t="n">
        <f aca="false">SUM(IF(OR($R216="Fairy",$R216="Ice",$R216="Rock"),0-1,IF(OR($R216="Steel",$R216="Electric",$R216="Fire",$R216="Water"),1,0)),IF(OR($S216="Fairy",$S216="Ice",$S216="Rock"),0-1,IF(OR($S216="Steel",$S216="Electric",$S216="Fire",$S216="Water"),1,0)))</f>
        <v>1</v>
      </c>
      <c r="AT216" s="508" t="n">
        <f aca="false">SUM(IF(OR($R216="Fire",$R216="Ground",$R216="Rock"),0-1,IF(OR($R216="Dragon",$R216="Grass",$R216="Water"),1,0)),IF(OR($S216="Fire",$S216="Ground",$S216="Rock"),0-1,IF(OR($S216="Dragon",$S216="Grass",$S216="Water"),1,0)))</f>
        <v>1</v>
      </c>
      <c r="AU216" s="518"/>
    </row>
    <row r="217" customFormat="false" ht="15.75" hidden="false" customHeight="false" outlineLevel="0" collapsed="false">
      <c r="A217" s="510" t="str">
        <f aca="false" t="array" ref="A217:A217">IF(ISNA(INDEX(Source!$U$7:$U$95,MATCH(B217,Source!$V$7:$V$95,0))),"FREE",INDEX(Source!$U$7:$U$95,MATCH(B217,Source!$V$7:$V$95,0)))</f>
        <v>FREE</v>
      </c>
      <c r="B217" s="511" t="s">
        <v>356</v>
      </c>
      <c r="C217" s="511"/>
      <c r="D217" s="511"/>
      <c r="E217" s="499" t="str">
        <f aca="false">IF(SUM($W217:$X217)&gt;0,SUM($W217:$X217),IF($H217&gt;0,0,IF($H217&gt;0,0,"-")))</f>
        <v>-</v>
      </c>
      <c r="F217" s="499" t="str">
        <f aca="false">IF(SUM($Y217:$Z217)&gt;0,SUM($Y217:$Z217),IF($H217&gt;0,0,"-"))</f>
        <v>-</v>
      </c>
      <c r="G217" s="499" t="str">
        <f aca="false">IF($H217&gt;0,minus(E217,F217),"-")</f>
        <v>-</v>
      </c>
      <c r="H217" s="500" t="n">
        <f aca="false">SUM(COUNTIF(MatchSource!$A:$A,$B217),COUNTIF(MatchSource!$H:$H,$B217))</f>
        <v>0</v>
      </c>
      <c r="I217" s="501" t="n">
        <f aca="false">SUM($AA217:$AB217)</f>
        <v>0</v>
      </c>
      <c r="J217" s="501" t="s">
        <v>698</v>
      </c>
      <c r="K217" s="512" t="str">
        <f aca="false" t="array" ref="K217:K217">IF(ISNA(INDEX(DraftRosters!$AA$3:$AA$199,MATCH($B217,DraftRosters!$AB$3:$AB$199,0))),"FA",IF(INDEX(DraftRosters!$AA$3:$AA$199,MATCH($B217,DraftRosters!$AB$3:$AB$199,0))="Franchise","Franch",INDEX(DraftRosters!$AA$3:$AA$199,MATCH($B217,DraftRosters!$AB$3:$AB$199,0))))</f>
        <v>FA</v>
      </c>
      <c r="L217" s="499" t="n">
        <v>100</v>
      </c>
      <c r="M217" s="499" t="n">
        <v>100</v>
      </c>
      <c r="N217" s="499" t="n">
        <v>100</v>
      </c>
      <c r="O217" s="499" t="n">
        <v>100</v>
      </c>
      <c r="P217" s="499" t="n">
        <v>100</v>
      </c>
      <c r="Q217" s="501" t="n">
        <v>100</v>
      </c>
      <c r="R217" s="499" t="s">
        <v>828</v>
      </c>
      <c r="S217" s="501" t="s">
        <v>810</v>
      </c>
      <c r="T217" s="504" t="s">
        <v>895</v>
      </c>
      <c r="U217" s="505"/>
      <c r="V217" s="506"/>
      <c r="W217" s="500" t="str">
        <f aca="false">IFERROR(__xludf.dummyfunction("if(isna(SUM(FILTER(MatchSource!$A:$D,MatchSource!$A:$A=$B217))),0,SUM(FILTER(MatchSource!$A:$D,MatchSource!$A:$A=$B217)))"),"0")</f>
        <v>0</v>
      </c>
      <c r="X217" s="499" t="str">
        <f aca="false">IFERROR(__xludf.dummyfunction("if(isna(SUM(FILTER(MatchSource!$H:$K,MatchSource!$H:$H=$B217))),0,SUM(FILTER(MatchSource!$H:$K,MatchSource!$H:$H=$B217)))"),"0")</f>
        <v>0</v>
      </c>
      <c r="Y217" s="499" t="str">
        <f aca="false">IFERROR(__xludf.dummyfunction("if(isna(ABS(MINUS(SUM(FILTER(MatchSource!$A:$E,MatchSource!$A:$A=$B217)),SUM($W217)))),0,ABS(MINUS(SUM(FILTER(MatchSource!$A:$E,MatchSource!$A:$A=$B217)),SUM($W217))))"),"0")</f>
        <v>0</v>
      </c>
      <c r="Z217" s="499" t="str">
        <f aca="false">IFERROR(__xludf.dummyfunction("if(isna(ABS(MINUS(SUM(FILTER(MatchSource!$H:$L,MatchSource!$H:$H=$B217)),SUM($X217)))),0,ABS(MINUS(SUM(FILTER(MatchSource!$H:$L,MatchSource!$H:$H=$B217)),SUM($X217))))"),"0")</f>
        <v>0</v>
      </c>
      <c r="AA217" s="499" t="str">
        <f aca="false">IFERROR(__xludf.dummyfunction("if(isna(ABS(MINUS(SUM(FILTER(MatchSource!$A:$F,MatchSource!$A:$A=$B217)),SUM($W217,$Y217)))),0,ABS(MINUS(SUM(FILTER(MatchSource!$A:$F,MatchSource!$A:$A=$B217)),SUM($W217, $Y217,))))"),"0")</f>
        <v>0</v>
      </c>
      <c r="AB217" s="501" t="str">
        <f aca="false">IFERROR(__xludf.dummyfunction("if(isna(ABS(MINUS(SUM(FILTER(MatchSource!$H:$M,MatchSource!$H:$H=$B217)),SUM($X217,$Z217)))),0,ABS(MINUS(SUM(FILTER(MatchSource!$H:$M,MatchSource!$H:$H=$B217)),SUM($X217,$Z217))))"),"0")</f>
        <v>0</v>
      </c>
      <c r="AC217" s="507" t="n">
        <f aca="false">SUM(IF(OR($R217="Grass",$R217="Psychic",$R217="Dark"),0-1,IF(OR($R217="Fighting",$R217="Flying",$R217="Fire",$R217="Ghost",$R217="Poison",$R217="Steel",$R217="Fairy"),1,0)),IF(OR($S217="Grass",$S217="Psychic",$S217="Dark"),0-1,IF(OR($S217="Fighting",$S217="Flying",$S217="Fire",$S217="Ghost",$S217="Poison",$S217="Steel",$S217="Fairy"),1,0)))</f>
        <v>0</v>
      </c>
      <c r="AD217" s="507" t="n">
        <f aca="false">SUM(IF(OR($R217="Ghost",$R217="Psychic"),0-1,IF(OR($R217="Fighting",$R217="Dark",$R217="Fairy"),1,0)),IF(OR($S217="Ghost",$S217="Psychic"),0-1,IF(OR($S217="Fighting",$S217="Dark",$S217="Fairy"),1,0)))</f>
        <v>-1</v>
      </c>
      <c r="AE217" s="507" t="n">
        <f aca="false">IF(OR($R217="Fairy",$S217="Fairy"),4,SUM(IF($R217="Dragon",0-1,IF($R217="Steel",1,0)),IF($S217="Dragon",0-1,IF($S217="Steel",1,0))))</f>
        <v>1</v>
      </c>
      <c r="AF217" s="507" t="n">
        <f aca="false">IF(OR($R217="Ground",$S217="Ground"),4,SUM(IF(OR($R217="Flying",$R217="Water"),0-1,IF(OR($R217="Dragon",$R217="Electric",$R217="Grass"),1,0)),IF(OR($S217="Flying",$S217="Water"),0-1,IF(OR($S217="Dragon",$S217="Electric",$S217="Grass"),1,0))))</f>
        <v>0</v>
      </c>
      <c r="AG217" s="507" t="n">
        <f aca="false">SUM(IF(OR($R217="Dark",$R217="Dragon",$R217="Fighting"),0-1,IF(OR($R217="Steel",$R217="Poison",$R217="Fire"),1,0)),IF(OR($S217="Dark",$S217="Dragon",$S217="Fighting"),0-1,IF(OR($S217="Steel",$S217="Poison",$S217="Fire"),1,0)))</f>
        <v>1</v>
      </c>
      <c r="AH217" s="507" t="n">
        <f aca="false">IF(OR($R217="Ghost",$S217="Ghost"),4,SUM(IF(OR($R217="Dark",$R217="Ice",$R217="Normal",$R217="Rock",$R217="Steel"),0-1,IF(OR($R217="Bug",$R217="Fairy",$R217="Flying",$R217="Poison",$R217="Psychic"),1,0)),IF(OR($S217="Dark",$S217="Ice",$S217="Normal",$S217="Rock",$S217="Steel"),0-1,IF(OR($S217="Bug",$S217="Fairy",$S217="Flying",$S217="Poison",$S217="Psychic"),1,0))))</f>
        <v>0</v>
      </c>
      <c r="AI217" s="507" t="n">
        <f aca="false">SUM(IF(OR($R217="Bug",$R217="Grass",$R217="Ice",$R217="Steel"),0-1,IF(OR($R217="Dragon",$R217="Fire",$R217="Rock",$R217="Water"),1,0)),IF(OR($S217="Bug",$S217="Grass",$S217="Ice",$S217="Steel"),0-1,IF(OR($S217="Dragon",$S217="Fire",$S217="Rock",$S217="Water"),1,0)))</f>
        <v>-1</v>
      </c>
      <c r="AJ217" s="507" t="n">
        <f aca="false">SUM(IF(OR($R217="Bug",$R217="Grass",$R217="Fighting"),0-1,IF(OR($R217="Electric",$R217="Rock",$R217="Steel"),1,0)),IF(OR($S217="Bug",$S217="Grass",$S217="Fighting"),0-1,IF(OR($S217="Electric",$S217="Rock",$S217="Steel"),1,0)))</f>
        <v>1</v>
      </c>
      <c r="AK217" s="507" t="n">
        <f aca="false">IF(OR($R217="Normal",$S217="Normal"),4,SUM(IF(OR($R217="Ghost",$R217="Psychic"),0-1,IF($R217="Dark",1,0)),IF(OR($S217="Ghost",$S217="Psychic"),0-1,IF($S217="Dark",1,0))))</f>
        <v>-1</v>
      </c>
      <c r="AL217" s="507" t="n">
        <f aca="false">SUM(IF(OR($R217="Ground",$R217="Rock",$R217="Water"),0-1,IF(OR($R217="Bug",$R217="Flying",$R217="Fire",$R217="Dragon",$R217="Poison",$R217="Steel",$R217="Grass"),1,0)),IF(OR($S217="Ground",$S217="Rock",$S217="Water"),0-1,IF(OR($S217="Bug",$S217="Flying",$S217="Fire",$S217="Dragon",$S217="Poison",$S217="Steel",$S217="Grass"),1,0)))</f>
        <v>1</v>
      </c>
      <c r="AM217" s="507" t="n">
        <f aca="false">IF(OR($R217="Flying",$S217="Flying"),4,SUM(IF(OR($R217="Electric",$R217="Fire",$R217="Rock",$R217="Steel",$R217="Poison"),0-1,IF(OR($R217="Bug",$R217="Grass"),1,0)),IF(OR($S217="Electric",$S217="Fire",$S217="Rock",$S217="Steel",$S217="Poison"),0-1,IF(OR($S217="Bug",$S217="Grass"),1,0))))</f>
        <v>-1</v>
      </c>
      <c r="AN217" s="507" t="n">
        <f aca="false">SUM(IF(OR($R217="Flying",$R217="Dragon",$R217="Grass",$R217="Ground"),0-1,IF(OR($R217="Steel",$R217="Ice",$R217="Fire",$R217="Water"),1,0)),IF(OR($S217="Flying",$S217="Dragon",$S217="Grass",$S217="Ground"),0-1,IF(OR($S217="Steel",$S217="Ice",$S217="Fire",$S217="Water"),1,0)))</f>
        <v>1</v>
      </c>
      <c r="AO217" s="507" t="n">
        <f aca="false">IF(OR($R217="Ghost",$S217="Ghost"),4,SUM(IF(OR($R217="Steel",$R217="Rock"),1,0),IF(OR($S217="Steel",$S217="Rock"),1,0)))</f>
        <v>1</v>
      </c>
      <c r="AP217" s="507" t="n">
        <f aca="false">IF(OR($R217="Steel",$S217="Steel"),4,SUM(IF(OR($R217="Fairy",$R217="Grass"),0-1,IF(OR($R217="Ghost",$R217="Rock",$R217="Ground",$R217="Poison"),1,0)),IF(OR($S217="Fairy",$S217="Grass"),0-1,IF(OR($S217="Ghost",$S217="Rock",$S217="Ground",$S217="Poison"),1,0))))</f>
        <v>4</v>
      </c>
      <c r="AQ217" s="507" t="n">
        <f aca="false">IF(OR($R217="Dark",$S217="Dark"),4,SUM(IF(OR($R217="Fighting",$R217="Poison"),0-1,IF(OR($R217="Psychic",$R217="Steel"),1,0)),IF(OR($S217="Fighting",$S217="Poison"),0-1,IF(OR($S217="Psychic",$S217="Steel"),1,0))))</f>
        <v>2</v>
      </c>
      <c r="AR217" s="507" t="n">
        <f aca="false">SUM(IF(OR($R217="Bug",$R217="Fire",$R217="Flying",$R217="Ice"),0-1,IF(OR($R217="Steel",$R217="Fighting",$R217="Ground"),1,0)),IF(OR($S217="Bug",$S217="Fire",$S217="Flying",$S217="Ice"),0-1,IF(OR($S217="Steel",$S217="Fighting",$S217="Ground"),1,0)))</f>
        <v>1</v>
      </c>
      <c r="AS217" s="507" t="n">
        <f aca="false">SUM(IF(OR($R217="Fairy",$R217="Ice",$R217="Rock"),0-1,IF(OR($R217="Steel",$R217="Electric",$R217="Fire",$R217="Water"),1,0)),IF(OR($S217="Fairy",$S217="Ice",$S217="Rock"),0-1,IF(OR($S217="Steel",$S217="Electric",$S217="Fire",$S217="Water"),1,0)))</f>
        <v>1</v>
      </c>
      <c r="AT217" s="508" t="n">
        <f aca="false">SUM(IF(OR($R217="Fire",$R217="Ground",$R217="Rock"),0-1,IF(OR($R217="Dragon",$R217="Grass",$R217="Water"),1,0)),IF(OR($S217="Fire",$S217="Ground",$S217="Rock"),0-1,IF(OR($S217="Dragon",$S217="Grass",$S217="Water"),1,0)))</f>
        <v>0</v>
      </c>
      <c r="AU217" s="518"/>
    </row>
    <row r="218" customFormat="false" ht="15.75" hidden="false" customHeight="false" outlineLevel="0" collapsed="false">
      <c r="A218" s="510" t="str">
        <f aca="false" t="array" ref="A218:A218">IF(ISNA(INDEX(Source!$U$7:$U$95,MATCH(B218,Source!$V$7:$V$95,0))),"FREE",INDEX(Source!$U$7:$U$95,MATCH(B218,Source!$V$7:$V$95,0)))</f>
        <v>FREE</v>
      </c>
      <c r="B218" s="511" t="s">
        <v>460</v>
      </c>
      <c r="C218" s="511"/>
      <c r="D218" s="511"/>
      <c r="E218" s="499" t="str">
        <f aca="false">IF(SUM($W218:$X218)&gt;0,SUM($W218:$X218),IF($H218&gt;0,0,IF($H218&gt;0,0,"-")))</f>
        <v>-</v>
      </c>
      <c r="F218" s="499" t="str">
        <f aca="false">IF(SUM($Y218:$Z218)&gt;0,SUM($Y218:$Z218),IF($H218&gt;0,0,"-"))</f>
        <v>-</v>
      </c>
      <c r="G218" s="499" t="str">
        <f aca="false">IF($H218&gt;0,minus(E218,F218),"-")</f>
        <v>-</v>
      </c>
      <c r="H218" s="500" t="n">
        <f aca="false">SUM(COUNTIF(MatchSource!$A:$A,$B218),COUNTIF(MatchSource!$H:$H,$B218))</f>
        <v>0</v>
      </c>
      <c r="I218" s="501" t="n">
        <f aca="false">SUM($AA218:$AB218)</f>
        <v>0</v>
      </c>
      <c r="J218" s="501" t="s">
        <v>700</v>
      </c>
      <c r="K218" s="512" t="str">
        <f aca="false" t="array" ref="K218:K218">IF(ISNA(INDEX(DraftRosters!$AA$3:$AA$199,MATCH($B218,DraftRosters!$AB$3:$AB$199,0))),"FA",IF(INDEX(DraftRosters!$AA$3:$AA$199,MATCH($B218,DraftRosters!$AB$3:$AB$199,0))="Franchise","Franch",INDEX(DraftRosters!$AA$3:$AA$199,MATCH($B218,DraftRosters!$AB$3:$AB$199,0))))</f>
        <v>FA</v>
      </c>
      <c r="L218" s="499" t="n">
        <v>65</v>
      </c>
      <c r="M218" s="499" t="n">
        <v>65</v>
      </c>
      <c r="N218" s="499" t="n">
        <v>60</v>
      </c>
      <c r="O218" s="499" t="n">
        <v>110</v>
      </c>
      <c r="P218" s="499" t="n">
        <v>95</v>
      </c>
      <c r="Q218" s="501" t="n">
        <v>130</v>
      </c>
      <c r="R218" s="499" t="s">
        <v>845</v>
      </c>
      <c r="S218" s="501"/>
      <c r="T218" s="504" t="s">
        <v>991</v>
      </c>
      <c r="U218" s="505" t="s">
        <v>1003</v>
      </c>
      <c r="V218" s="506"/>
      <c r="W218" s="500" t="str">
        <f aca="false">IFERROR(__xludf.dummyfunction("if(isna(SUM(FILTER(MatchSource!$A:$D,MatchSource!$A:$A=$B218))),0,SUM(FILTER(MatchSource!$A:$D,MatchSource!$A:$A=$B218)))"),"0")</f>
        <v>0</v>
      </c>
      <c r="X218" s="499" t="str">
        <f aca="false">IFERROR(__xludf.dummyfunction("if(isna(SUM(FILTER(MatchSource!$H:$K,MatchSource!$H:$H=$B218))),0,SUM(FILTER(MatchSource!$H:$K,MatchSource!$H:$H=$B218)))"),"0")</f>
        <v>0</v>
      </c>
      <c r="Y218" s="499" t="str">
        <f aca="false">IFERROR(__xludf.dummyfunction("if(isna(ABS(MINUS(SUM(FILTER(MatchSource!$A:$E,MatchSource!$A:$A=$B218)),SUM($W218)))),0,ABS(MINUS(SUM(FILTER(MatchSource!$A:$E,MatchSource!$A:$A=$B218)),SUM($W218))))"),"0")</f>
        <v>0</v>
      </c>
      <c r="Z218" s="499" t="str">
        <f aca="false">IFERROR(__xludf.dummyfunction("if(isna(ABS(MINUS(SUM(FILTER(MatchSource!$H:$L,MatchSource!$H:$H=$B218)),SUM($X218)))),0,ABS(MINUS(SUM(FILTER(MatchSource!$H:$L,MatchSource!$H:$H=$B218)),SUM($X218))))"),"0")</f>
        <v>0</v>
      </c>
      <c r="AA218" s="499" t="str">
        <f aca="false">IFERROR(__xludf.dummyfunction("if(isna(ABS(MINUS(SUM(FILTER(MatchSource!$A:$F,MatchSource!$A:$A=$B218)),SUM($W218,$Y218)))),0,ABS(MINUS(SUM(FILTER(MatchSource!$A:$F,MatchSource!$A:$A=$B218)),SUM($W218, $Y218,))))"),"0")</f>
        <v>0</v>
      </c>
      <c r="AB218" s="501" t="str">
        <f aca="false">IFERROR(__xludf.dummyfunction("if(isna(ABS(MINUS(SUM(FILTER(MatchSource!$H:$M,MatchSource!$H:$H=$B218)),SUM($X218,$Z218)))),0,ABS(MINUS(SUM(FILTER(MatchSource!$H:$M,MatchSource!$H:$H=$B218)),SUM($X218,$Z218))))"),"0")</f>
        <v>0</v>
      </c>
      <c r="AC218" s="507" t="n">
        <f aca="false">SUM(IF(OR($R218="Grass",$R218="Psychic",$R218="Dark"),0-1,IF(OR($R218="Fighting",$R218="Flying",$R218="Fire",$R218="Ghost",$R218="Poison",$R218="Steel",$R218="Fairy"),1,0)),IF(OR($S218="Grass",$S218="Psychic",$S218="Dark"),0-1,IF(OR($S218="Fighting",$S218="Flying",$S218="Fire",$S218="Ghost",$S218="Poison",$S218="Steel",$S218="Fairy"),1,0)))</f>
        <v>0</v>
      </c>
      <c r="AD218" s="507" t="n">
        <f aca="false">SUM(IF(OR($R218="Ghost",$R218="Psychic"),0-1,IF(OR($R218="Fighting",$R218="Dark",$R218="Fairy"),1,0)),IF(OR($S218="Ghost",$S218="Psychic"),0-1,IF(OR($S218="Fighting",$S218="Dark",$S218="Fairy"),1,0)))</f>
        <v>0</v>
      </c>
      <c r="AE218" s="507" t="n">
        <f aca="false">IF(OR($R218="Fairy",$S218="Fairy"),4,SUM(IF($R218="Dragon",0-1,IF($R218="Steel",1,0)),IF($S218="Dragon",0-1,IF($S218="Steel",1,0))))</f>
        <v>0</v>
      </c>
      <c r="AF218" s="507" t="n">
        <f aca="false">IF(OR($R218="Ground",$S218="Ground"),4,SUM(IF(OR($R218="Flying",$R218="Water"),0-1,IF(OR($R218="Dragon",$R218="Electric",$R218="Grass"),1,0)),IF(OR($S218="Flying",$S218="Water"),0-1,IF(OR($S218="Dragon",$S218="Electric",$S218="Grass"),1,0))))</f>
        <v>1</v>
      </c>
      <c r="AG218" s="507" t="n">
        <f aca="false">SUM(IF(OR($R218="Dark",$R218="Dragon",$R218="Fighting"),0-1,IF(OR($R218="Steel",$R218="Poison",$R218="Fire"),1,0)),IF(OR($S218="Dark",$S218="Dragon",$S218="Fighting"),0-1,IF(OR($S218="Steel",$S218="Poison",$S218="Fire"),1,0)))</f>
        <v>0</v>
      </c>
      <c r="AH218" s="507" t="n">
        <f aca="false">IF(OR($R218="Ghost",$S218="Ghost"),4,SUM(IF(OR($R218="Dark",$R218="Ice",$R218="Normal",$R218="Rock",$R218="Steel"),0-1,IF(OR($R218="Bug",$R218="Fairy",$R218="Flying",$R218="Poison",$R218="Psychic"),1,0)),IF(OR($S218="Dark",$S218="Ice",$S218="Normal",$S218="Rock",$S218="Steel"),0-1,IF(OR($S218="Bug",$S218="Fairy",$S218="Flying",$S218="Poison",$S218="Psychic"),1,0))))</f>
        <v>0</v>
      </c>
      <c r="AI218" s="507" t="n">
        <f aca="false">SUM(IF(OR($R218="Bug",$R218="Grass",$R218="Ice",$R218="Steel"),0-1,IF(OR($R218="Dragon",$R218="Fire",$R218="Rock",$R218="Water"),1,0)),IF(OR($S218="Bug",$S218="Grass",$S218="Ice",$S218="Steel"),0-1,IF(OR($S218="Dragon",$S218="Fire",$S218="Rock",$S218="Water"),1,0)))</f>
        <v>0</v>
      </c>
      <c r="AJ218" s="507" t="n">
        <f aca="false">SUM(IF(OR($R218="Bug",$R218="Grass",$R218="Fighting"),0-1,IF(OR($R218="Electric",$R218="Rock",$R218="Steel"),1,0)),IF(OR($S218="Bug",$S218="Grass",$S218="Fighting"),0-1,IF(OR($S218="Electric",$S218="Rock",$S218="Steel"),1,0)))</f>
        <v>1</v>
      </c>
      <c r="AK218" s="507" t="n">
        <f aca="false">IF(OR($R218="Normal",$S218="Normal"),4,SUM(IF(OR($R218="Ghost",$R218="Psychic"),0-1,IF($R218="Dark",1,0)),IF(OR($S218="Ghost",$S218="Psychic"),0-1,IF($S218="Dark",1,0))))</f>
        <v>0</v>
      </c>
      <c r="AL218" s="507" t="n">
        <f aca="false">SUM(IF(OR($R218="Ground",$R218="Rock",$R218="Water"),0-1,IF(OR($R218="Bug",$R218="Flying",$R218="Fire",$R218="Dragon",$R218="Poison",$R218="Steel",$R218="Grass"),1,0)),IF(OR($S218="Ground",$S218="Rock",$S218="Water"),0-1,IF(OR($S218="Bug",$S218="Flying",$S218="Fire",$S218="Dragon",$S218="Poison",$S218="Steel",$S218="Grass"),1,0)))</f>
        <v>0</v>
      </c>
      <c r="AM218" s="507" t="n">
        <f aca="false">IF(OR($R218="Flying",$S218="Flying"),4,SUM(IF(OR($R218="Electric",$R218="Fire",$R218="Rock",$R218="Steel",$R218="Poison"),0-1,IF(OR($R218="Bug",$R218="Grass"),1,0)),IF(OR($S218="Electric",$S218="Fire",$S218="Rock",$S218="Steel",$S218="Poison"),0-1,IF(OR($S218="Bug",$S218="Grass"),1,0))))</f>
        <v>-1</v>
      </c>
      <c r="AN218" s="507" t="n">
        <f aca="false">SUM(IF(OR($R218="Flying",$R218="Dragon",$R218="Grass",$R218="Ground"),0-1,IF(OR($R218="Steel",$R218="Ice",$R218="Fire",$R218="Water"),1,0)),IF(OR($S218="Flying",$S218="Dragon",$S218="Grass",$S218="Ground"),0-1,IF(OR($S218="Steel",$S218="Ice",$S218="Fire",$S218="Water"),1,0)))</f>
        <v>0</v>
      </c>
      <c r="AO218" s="507" t="n">
        <f aca="false">IF(OR($R218="Ghost",$S218="Ghost"),4,SUM(IF(OR($R218="Steel",$R218="Rock"),1,0),IF(OR($S218="Steel",$S218="Rock"),1,0)))</f>
        <v>0</v>
      </c>
      <c r="AP218" s="507" t="n">
        <f aca="false">IF(OR($R218="Steel",$S218="Steel"),4,SUM(IF(OR($R218="Fairy",$R218="Grass"),0-1,IF(OR($R218="Ghost",$R218="Rock",$R218="Ground",$R218="Poison"),1,0)),IF(OR($S218="Fairy",$S218="Grass"),0-1,IF(OR($S218="Ghost",$S218="Rock",$S218="Ground",$S218="Poison"),1,0))))</f>
        <v>0</v>
      </c>
      <c r="AQ218" s="507" t="n">
        <f aca="false">IF(OR($R218="Dark",$S218="Dark"),4,SUM(IF(OR($R218="Fighting",$R218="Poison"),0-1,IF(OR($R218="Psychic",$R218="Steel"),1,0)),IF(OR($S218="Fighting",$S218="Poison"),0-1,IF(OR($S218="Psychic",$S218="Steel"),1,0))))</f>
        <v>0</v>
      </c>
      <c r="AR218" s="507" t="n">
        <f aca="false">SUM(IF(OR($R218="Bug",$R218="Fire",$R218="Flying",$R218="Ice"),0-1,IF(OR($R218="Steel",$R218="Fighting",$R218="Ground"),1,0)),IF(OR($S218="Bug",$S218="Fire",$S218="Flying",$S218="Ice"),0-1,IF(OR($S218="Steel",$S218="Fighting",$S218="Ground"),1,0)))</f>
        <v>0</v>
      </c>
      <c r="AS218" s="507" t="n">
        <f aca="false">SUM(IF(OR($R218="Fairy",$R218="Ice",$R218="Rock"),0-1,IF(OR($R218="Steel",$R218="Electric",$R218="Fire",$R218="Water"),1,0)),IF(OR($S218="Fairy",$S218="Ice",$S218="Rock"),0-1,IF(OR($S218="Steel",$S218="Electric",$S218="Fire",$S218="Water"),1,0)))</f>
        <v>1</v>
      </c>
      <c r="AT218" s="508" t="n">
        <f aca="false">SUM(IF(OR($R218="Fire",$R218="Ground",$R218="Rock"),0-1,IF(OR($R218="Dragon",$R218="Grass",$R218="Water"),1,0)),IF(OR($S218="Fire",$S218="Ground",$S218="Rock"),0-1,IF(OR($S218="Dragon",$S218="Grass",$S218="Water"),1,0)))</f>
        <v>0</v>
      </c>
      <c r="AU218" s="518"/>
    </row>
    <row r="219" customFormat="false" ht="15.75" hidden="false" customHeight="false" outlineLevel="0" collapsed="false">
      <c r="A219" s="515" t="str">
        <f aca="false" t="array" ref="A219:A219">IF(ISNA(INDEX(Source!$U$7:$U$95,MATCH(B219,Source!$V$7:$V$95,0))),"FREE",INDEX(Source!$U$7:$U$95,MATCH(B219,Source!$V$7:$V$95,0)))</f>
        <v>FREE</v>
      </c>
      <c r="B219" s="511" t="s">
        <v>642</v>
      </c>
      <c r="C219" s="511"/>
      <c r="D219" s="511"/>
      <c r="E219" s="499" t="str">
        <f aca="false">IF(SUM($W219:$X219)&gt;0,SUM($W219:$X219),IF($H219&gt;0,0,IF($H219&gt;0,0,"-")))</f>
        <v>-</v>
      </c>
      <c r="F219" s="499" t="str">
        <f aca="false">IF(SUM($Y219:$Z219)&gt;0,SUM($Y219:$Z219),IF($H219&gt;0,0,"-"))</f>
        <v>-</v>
      </c>
      <c r="G219" s="499" t="str">
        <f aca="false">IF($H219&gt;0,minus(E219,F219),"-")</f>
        <v>-</v>
      </c>
      <c r="H219" s="500" t="n">
        <f aca="false">SUM(COUNTIF(MatchSource!$A:$A,$B219),COUNTIF(MatchSource!$H:$H,$B219))</f>
        <v>0</v>
      </c>
      <c r="I219" s="501" t="n">
        <f aca="false">SUM($AA219:$AB219)</f>
        <v>0</v>
      </c>
      <c r="J219" s="501" t="s">
        <v>702</v>
      </c>
      <c r="K219" s="512" t="str">
        <f aca="false" t="array" ref="K219:K219">IF(ISNA(INDEX(DraftRosters!$AA$3:$AA$199,MATCH($B219,DraftRosters!$AB$3:$AB$199,0))),"FA",IF(INDEX(DraftRosters!$AA$3:$AA$199,MATCH($B219,DraftRosters!$AB$3:$AB$199,0))="Franchise","Franch",INDEX(DraftRosters!$AA$3:$AA$199,MATCH($B219,DraftRosters!$AB$3:$AB$199,0))))</f>
        <v>FA</v>
      </c>
      <c r="L219" s="499" t="n">
        <v>75</v>
      </c>
      <c r="M219" s="499" t="n">
        <v>55</v>
      </c>
      <c r="N219" s="499" t="n">
        <v>70</v>
      </c>
      <c r="O219" s="499" t="n">
        <v>55</v>
      </c>
      <c r="P219" s="499" t="n">
        <v>95</v>
      </c>
      <c r="Q219" s="501" t="n">
        <v>110</v>
      </c>
      <c r="R219" s="499" t="s">
        <v>801</v>
      </c>
      <c r="S219" s="501" t="s">
        <v>803</v>
      </c>
      <c r="T219" s="504" t="s">
        <v>880</v>
      </c>
      <c r="U219" s="505" t="s">
        <v>1004</v>
      </c>
      <c r="V219" s="506" t="s">
        <v>914</v>
      </c>
      <c r="W219" s="500" t="str">
        <f aca="false">IFERROR(__xludf.dummyfunction("if(isna(SUM(FILTER(MatchSource!$A:$D,MatchSource!$A:$A=$B219))),0,SUM(FILTER(MatchSource!$A:$D,MatchSource!$A:$A=$B219)))"),"0")</f>
        <v>0</v>
      </c>
      <c r="X219" s="499" t="str">
        <f aca="false">IFERROR(__xludf.dummyfunction("if(isna(SUM(FILTER(MatchSource!$H:$K,MatchSource!$H:$H=$B219))),0,SUM(FILTER(MatchSource!$H:$K,MatchSource!$H:$H=$B219)))"),"0")</f>
        <v>0</v>
      </c>
      <c r="Y219" s="499" t="str">
        <f aca="false">IFERROR(__xludf.dummyfunction("if(isna(ABS(MINUS(SUM(FILTER(MatchSource!$A:$E,MatchSource!$A:$A=$B219)),SUM($W219)))),0,ABS(MINUS(SUM(FILTER(MatchSource!$A:$E,MatchSource!$A:$A=$B219)),SUM($W219))))"),"0")</f>
        <v>0</v>
      </c>
      <c r="Z219" s="499" t="str">
        <f aca="false">IFERROR(__xludf.dummyfunction("if(isna(ABS(MINUS(SUM(FILTER(MatchSource!$H:$L,MatchSource!$H:$H=$B219)),SUM($X219)))),0,ABS(MINUS(SUM(FILTER(MatchSource!$H:$L,MatchSource!$H:$H=$B219)),SUM($X219))))"),"0")</f>
        <v>0</v>
      </c>
      <c r="AA219" s="499" t="str">
        <f aca="false">IFERROR(__xludf.dummyfunction("if(isna(ABS(MINUS(SUM(FILTER(MatchSource!$A:$F,MatchSource!$A:$A=$B219)),SUM($W219,$Y219)))),0,ABS(MINUS(SUM(FILTER(MatchSource!$A:$F,MatchSource!$A:$A=$B219)),SUM($W219, $Y219,))))"),"0")</f>
        <v>0</v>
      </c>
      <c r="AB219" s="501" t="str">
        <f aca="false">IFERROR(__xludf.dummyfunction("if(isna(ABS(MINUS(SUM(FILTER(MatchSource!$H:$M,MatchSource!$H:$H=$B219)),SUM($X219,$Z219)))),0,ABS(MINUS(SUM(FILTER(MatchSource!$H:$M,MatchSource!$H:$H=$B219)),SUM($X219,$Z219))))"),"0")</f>
        <v>0</v>
      </c>
      <c r="AC219" s="507" t="n">
        <f aca="false">SUM(IF(OR($R219="Grass",$R219="Psychic",$R219="Dark"),0-1,IF(OR($R219="Fighting",$R219="Flying",$R219="Fire",$R219="Ghost",$R219="Poison",$R219="Steel",$R219="Fairy"),1,0)),IF(OR($S219="Grass",$S219="Psychic",$S219="Dark"),0-1,IF(OR($S219="Fighting",$S219="Flying",$S219="Fire",$S219="Ghost",$S219="Poison",$S219="Steel",$S219="Fairy"),1,0)))</f>
        <v>0</v>
      </c>
      <c r="AD219" s="507" t="n">
        <f aca="false">SUM(IF(OR($R219="Ghost",$R219="Psychic"),0-1,IF(OR($R219="Fighting",$R219="Dark",$R219="Fairy"),1,0)),IF(OR($S219="Ghost",$S219="Psychic"),0-1,IF(OR($S219="Fighting",$S219="Dark",$S219="Fairy"),1,0)))</f>
        <v>0</v>
      </c>
      <c r="AE219" s="507" t="n">
        <f aca="false">IF(OR($R219="Fairy",$S219="Fairy"),4,SUM(IF($R219="Dragon",0-1,IF($R219="Steel",1,0)),IF($S219="Dragon",0-1,IF($S219="Steel",1,0))))</f>
        <v>0</v>
      </c>
      <c r="AF219" s="507" t="n">
        <f aca="false">IF(OR($R219="Ground",$S219="Ground"),4,SUM(IF(OR($R219="Flying",$R219="Water"),0-1,IF(OR($R219="Dragon",$R219="Electric",$R219="Grass"),1,0)),IF(OR($S219="Flying",$S219="Water"),0-1,IF(OR($S219="Dragon",$S219="Electric",$S219="Grass"),1,0))))</f>
        <v>0</v>
      </c>
      <c r="AG219" s="507" t="n">
        <f aca="false">SUM(IF(OR($R219="Dark",$R219="Dragon",$R219="Fighting"),0-1,IF(OR($R219="Steel",$R219="Poison",$R219="Fire"),1,0)),IF(OR($S219="Dark",$S219="Dragon",$S219="Fighting"),0-1,IF(OR($S219="Steel",$S219="Poison",$S219="Fire"),1,0)))</f>
        <v>0</v>
      </c>
      <c r="AH219" s="507" t="n">
        <f aca="false">IF(OR($R219="Ghost",$S219="Ghost"),4,SUM(IF(OR($R219="Dark",$R219="Ice",$R219="Normal",$R219="Rock",$R219="Steel"),0-1,IF(OR($R219="Bug",$R219="Fairy",$R219="Flying",$R219="Poison",$R219="Psychic"),1,0)),IF(OR($S219="Dark",$S219="Ice",$S219="Normal",$S219="Rock",$S219="Steel"),0-1,IF(OR($S219="Bug",$S219="Fairy",$S219="Flying",$S219="Poison",$S219="Psychic"),1,0))))</f>
        <v>1</v>
      </c>
      <c r="AI219" s="507" t="n">
        <f aca="false">SUM(IF(OR($R219="Bug",$R219="Grass",$R219="Ice",$R219="Steel"),0-1,IF(OR($R219="Dragon",$R219="Fire",$R219="Rock",$R219="Water"),1,0)),IF(OR($S219="Bug",$S219="Grass",$S219="Ice",$S219="Steel"),0-1,IF(OR($S219="Dragon",$S219="Fire",$S219="Rock",$S219="Water"),1,0)))</f>
        <v>-1</v>
      </c>
      <c r="AJ219" s="507" t="n">
        <f aca="false">SUM(IF(OR($R219="Bug",$R219="Grass",$R219="Fighting"),0-1,IF(OR($R219="Electric",$R219="Rock",$R219="Steel"),1,0)),IF(OR($S219="Bug",$S219="Grass",$S219="Fighting"),0-1,IF(OR($S219="Electric",$S219="Rock",$S219="Steel"),1,0)))</f>
        <v>-1</v>
      </c>
      <c r="AK219" s="507" t="n">
        <f aca="false">IF(OR($R219="Normal",$S219="Normal"),4,SUM(IF(OR($R219="Ghost",$R219="Psychic"),0-1,IF($R219="Dark",1,0)),IF(OR($S219="Ghost",$S219="Psychic"),0-1,IF($S219="Dark",1,0))))</f>
        <v>0</v>
      </c>
      <c r="AL219" s="507" t="n">
        <f aca="false">SUM(IF(OR($R219="Ground",$R219="Rock",$R219="Water"),0-1,IF(OR($R219="Bug",$R219="Flying",$R219="Fire",$R219="Dragon",$R219="Poison",$R219="Steel",$R219="Grass"),1,0)),IF(OR($S219="Ground",$S219="Rock",$S219="Water"),0-1,IF(OR($S219="Bug",$S219="Flying",$S219="Fire",$S219="Dragon",$S219="Poison",$S219="Steel",$S219="Grass"),1,0)))</f>
        <v>2</v>
      </c>
      <c r="AM219" s="507" t="n">
        <f aca="false">IF(OR($R219="Flying",$S219="Flying"),4,SUM(IF(OR($R219="Electric",$R219="Fire",$R219="Rock",$R219="Steel",$R219="Poison"),0-1,IF(OR($R219="Bug",$R219="Grass"),1,0)),IF(OR($S219="Electric",$S219="Fire",$S219="Rock",$S219="Steel",$S219="Poison"),0-1,IF(OR($S219="Bug",$S219="Grass"),1,0))))</f>
        <v>4</v>
      </c>
      <c r="AN219" s="507" t="n">
        <f aca="false">SUM(IF(OR($R219="Flying",$R219="Dragon",$R219="Grass",$R219="Ground"),0-1,IF(OR($R219="Steel",$R219="Ice",$R219="Fire",$R219="Water"),1,0)),IF(OR($S219="Flying",$S219="Dragon",$S219="Grass",$S219="Ground"),0-1,IF(OR($S219="Steel",$S219="Ice",$S219="Fire",$S219="Water"),1,0)))</f>
        <v>-2</v>
      </c>
      <c r="AO219" s="507" t="n">
        <f aca="false">IF(OR($R219="Ghost",$S219="Ghost"),4,SUM(IF(OR($R219="Steel",$R219="Rock"),1,0),IF(OR($S219="Steel",$S219="Rock"),1,0)))</f>
        <v>0</v>
      </c>
      <c r="AP219" s="507" t="n">
        <f aca="false">IF(OR($R219="Steel",$S219="Steel"),4,SUM(IF(OR($R219="Fairy",$R219="Grass"),0-1,IF(OR($R219="Ghost",$R219="Rock",$R219="Ground",$R219="Poison"),1,0)),IF(OR($S219="Fairy",$S219="Grass"),0-1,IF(OR($S219="Ghost",$S219="Rock",$S219="Ground",$S219="Poison"),1,0))))</f>
        <v>-1</v>
      </c>
      <c r="AQ219" s="507" t="n">
        <f aca="false">IF(OR($R219="Dark",$S219="Dark"),4,SUM(IF(OR($R219="Fighting",$R219="Poison"),0-1,IF(OR($R219="Psychic",$R219="Steel"),1,0)),IF(OR($S219="Fighting",$S219="Poison"),0-1,IF(OR($S219="Psychic",$S219="Steel"),1,0))))</f>
        <v>0</v>
      </c>
      <c r="AR219" s="507" t="n">
        <f aca="false">SUM(IF(OR($R219="Bug",$R219="Fire",$R219="Flying",$R219="Ice"),0-1,IF(OR($R219="Steel",$R219="Fighting",$R219="Ground"),1,0)),IF(OR($S219="Bug",$S219="Fire",$S219="Flying",$S219="Ice"),0-1,IF(OR($S219="Steel",$S219="Fighting",$S219="Ground"),1,0)))</f>
        <v>-1</v>
      </c>
      <c r="AS219" s="507" t="n">
        <f aca="false">SUM(IF(OR($R219="Fairy",$R219="Ice",$R219="Rock"),0-1,IF(OR($R219="Steel",$R219="Electric",$R219="Fire",$R219="Water"),1,0)),IF(OR($S219="Fairy",$S219="Ice",$S219="Rock"),0-1,IF(OR($S219="Steel",$S219="Electric",$S219="Fire",$S219="Water"),1,0)))</f>
        <v>0</v>
      </c>
      <c r="AT219" s="508" t="n">
        <f aca="false">SUM(IF(OR($R219="Fire",$R219="Ground",$R219="Rock"),0-1,IF(OR($R219="Dragon",$R219="Grass",$R219="Water"),1,0)),IF(OR($S219="Fire",$S219="Ground",$S219="Rock"),0-1,IF(OR($S219="Dragon",$S219="Grass",$S219="Water"),1,0)))</f>
        <v>1</v>
      </c>
      <c r="AU219" s="518"/>
    </row>
    <row r="220" customFormat="false" ht="15.75" hidden="false" customHeight="false" outlineLevel="0" collapsed="false">
      <c r="A220" s="515" t="str">
        <f aca="false" t="array" ref="A220:A220">IF(ISNA(INDEX(Source!$U$7:$U$95,MATCH(B220,Source!$V$7:$V$95,0))),"FREE",INDEX(Source!$U$7:$U$95,MATCH(B220,Source!$V$7:$V$95,0)))</f>
        <v>FREE</v>
      </c>
      <c r="B220" s="511" t="s">
        <v>645</v>
      </c>
      <c r="C220" s="511"/>
      <c r="D220" s="511"/>
      <c r="E220" s="499" t="str">
        <f aca="false">IF(SUM($W220:$X220)&gt;0,SUM($W220:$X220),IF($H220&gt;0,0,IF($H220&gt;0,0,"-")))</f>
        <v>-</v>
      </c>
      <c r="F220" s="499" t="str">
        <f aca="false">IF(SUM($Y220:$Z220)&gt;0,SUM($Y220:$Z220),IF($H220&gt;0,0,"-"))</f>
        <v>-</v>
      </c>
      <c r="G220" s="499" t="str">
        <f aca="false">IF($H220&gt;0,minus(E220,F220),"-")</f>
        <v>-</v>
      </c>
      <c r="H220" s="500" t="n">
        <f aca="false">SUM(COUNTIF(MatchSource!$A:$A,$B220),COUNTIF(MatchSource!$H:$H,$B220))</f>
        <v>0</v>
      </c>
      <c r="I220" s="501" t="n">
        <f aca="false">SUM($AA220:$AB220)</f>
        <v>0</v>
      </c>
      <c r="J220" s="501" t="s">
        <v>702</v>
      </c>
      <c r="K220" s="512" t="str">
        <f aca="false" t="array" ref="K220:K220">IF(ISNA(INDEX(DraftRosters!$AA$3:$AA$199,MATCH($B220,DraftRosters!$AB$3:$AB$199,0))),"FA",IF(INDEX(DraftRosters!$AA$3:$AA$199,MATCH($B220,DraftRosters!$AB$3:$AB$199,0))="Franchise","Franch",INDEX(DraftRosters!$AA$3:$AA$199,MATCH($B220,DraftRosters!$AB$3:$AB$199,0))))</f>
        <v>FA</v>
      </c>
      <c r="L220" s="499" t="n">
        <v>65</v>
      </c>
      <c r="M220" s="499" t="n">
        <v>50</v>
      </c>
      <c r="N220" s="499" t="n">
        <v>35</v>
      </c>
      <c r="O220" s="499" t="n">
        <v>115</v>
      </c>
      <c r="P220" s="499" t="n">
        <v>95</v>
      </c>
      <c r="Q220" s="501" t="n">
        <v>95</v>
      </c>
      <c r="R220" s="499" t="s">
        <v>805</v>
      </c>
      <c r="S220" s="501" t="s">
        <v>828</v>
      </c>
      <c r="T220" s="504" t="s">
        <v>999</v>
      </c>
      <c r="U220" s="505" t="s">
        <v>1001</v>
      </c>
      <c r="V220" s="506" t="s">
        <v>1002</v>
      </c>
      <c r="W220" s="500" t="str">
        <f aca="false">IFERROR(__xludf.dummyfunction("if(isna(SUM(FILTER(MatchSource!$A:$D,MatchSource!$A:$A=$B220))),0,SUM(FILTER(MatchSource!$A:$D,MatchSource!$A:$A=$B220)))"),"0")</f>
        <v>0</v>
      </c>
      <c r="X220" s="499" t="str">
        <f aca="false">IFERROR(__xludf.dummyfunction("if(isna(SUM(FILTER(MatchSource!$H:$K,MatchSource!$H:$H=$B220))),0,SUM(FILTER(MatchSource!$H:$K,MatchSource!$H:$H=$B220)))"),"0")</f>
        <v>0</v>
      </c>
      <c r="Y220" s="499" t="str">
        <f aca="false">IFERROR(__xludf.dummyfunction("if(isna(ABS(MINUS(SUM(FILTER(MatchSource!$A:$E,MatchSource!$A:$A=$B220)),SUM($W220)))),0,ABS(MINUS(SUM(FILTER(MatchSource!$A:$E,MatchSource!$A:$A=$B220)),SUM($W220))))"),"0")</f>
        <v>0</v>
      </c>
      <c r="Z220" s="499" t="str">
        <f aca="false">IFERROR(__xludf.dummyfunction("if(isna(ABS(MINUS(SUM(FILTER(MatchSource!$H:$L,MatchSource!$H:$H=$B220)),SUM($X220)))),0,ABS(MINUS(SUM(FILTER(MatchSource!$H:$L,MatchSource!$H:$H=$B220)),SUM($X220))))"),"0")</f>
        <v>0</v>
      </c>
      <c r="AA220" s="499" t="str">
        <f aca="false">IFERROR(__xludf.dummyfunction("if(isna(ABS(MINUS(SUM(FILTER(MatchSource!$A:$F,MatchSource!$A:$A=$B220)),SUM($W220,$Y220)))),0,ABS(MINUS(SUM(FILTER(MatchSource!$A:$F,MatchSource!$A:$A=$B220)),SUM($W220, $Y220,))))"),"0")</f>
        <v>0</v>
      </c>
      <c r="AB220" s="501" t="str">
        <f aca="false">IFERROR(__xludf.dummyfunction("if(isna(ABS(MINUS(SUM(FILTER(MatchSource!$H:$M,MatchSource!$H:$H=$B220)),SUM($X220,$Z220)))),0,ABS(MINUS(SUM(FILTER(MatchSource!$H:$M,MatchSource!$H:$H=$B220)),SUM($X220,$Z220))))"),"0")</f>
        <v>0</v>
      </c>
      <c r="AC220" s="507" t="n">
        <f aca="false">SUM(IF(OR($R220="Grass",$R220="Psychic",$R220="Dark"),0-1,IF(OR($R220="Fighting",$R220="Flying",$R220="Fire",$R220="Ghost",$R220="Poison",$R220="Steel",$R220="Fairy"),1,0)),IF(OR($S220="Grass",$S220="Psychic",$S220="Dark"),0-1,IF(OR($S220="Fighting",$S220="Flying",$S220="Fire",$S220="Ghost",$S220="Poison",$S220="Steel",$S220="Fairy"),1,0)))</f>
        <v>-1</v>
      </c>
      <c r="AD220" s="507" t="n">
        <f aca="false">SUM(IF(OR($R220="Ghost",$R220="Psychic"),0-1,IF(OR($R220="Fighting",$R220="Dark",$R220="Fairy"),1,0)),IF(OR($S220="Ghost",$S220="Psychic"),0-1,IF(OR($S220="Fighting",$S220="Dark",$S220="Fairy"),1,0)))</f>
        <v>-1</v>
      </c>
      <c r="AE220" s="507" t="n">
        <f aca="false">IF(OR($R220="Fairy",$S220="Fairy"),4,SUM(IF($R220="Dragon",0-1,IF($R220="Steel",1,0)),IF($S220="Dragon",0-1,IF($S220="Steel",1,0))))</f>
        <v>0</v>
      </c>
      <c r="AF220" s="507" t="n">
        <f aca="false">IF(OR($R220="Ground",$S220="Ground"),4,SUM(IF(OR($R220="Flying",$R220="Water"),0-1,IF(OR($R220="Dragon",$R220="Electric",$R220="Grass"),1,0)),IF(OR($S220="Flying",$S220="Water"),0-1,IF(OR($S220="Dragon",$S220="Electric",$S220="Grass"),1,0))))</f>
        <v>0</v>
      </c>
      <c r="AG220" s="507" t="n">
        <f aca="false">SUM(IF(OR($R220="Dark",$R220="Dragon",$R220="Fighting"),0-1,IF(OR($R220="Steel",$R220="Poison",$R220="Fire"),1,0)),IF(OR($S220="Dark",$S220="Dragon",$S220="Fighting"),0-1,IF(OR($S220="Steel",$S220="Poison",$S220="Fire"),1,0)))</f>
        <v>0</v>
      </c>
      <c r="AH220" s="507" t="n">
        <f aca="false">IF(OR($R220="Ghost",$S220="Ghost"),4,SUM(IF(OR($R220="Dark",$R220="Ice",$R220="Normal",$R220="Rock",$R220="Steel"),0-1,IF(OR($R220="Bug",$R220="Fairy",$R220="Flying",$R220="Poison",$R220="Psychic"),1,0)),IF(OR($S220="Dark",$S220="Ice",$S220="Normal",$S220="Rock",$S220="Steel"),0-1,IF(OR($S220="Bug",$S220="Fairy",$S220="Flying",$S220="Poison",$S220="Psychic"),1,0))))</f>
        <v>0</v>
      </c>
      <c r="AI220" s="507" t="n">
        <f aca="false">SUM(IF(OR($R220="Bug",$R220="Grass",$R220="Ice",$R220="Steel"),0-1,IF(OR($R220="Dragon",$R220="Fire",$R220="Rock",$R220="Water"),1,0)),IF(OR($S220="Bug",$S220="Grass",$S220="Ice",$S220="Steel"),0-1,IF(OR($S220="Dragon",$S220="Fire",$S220="Rock",$S220="Water"),1,0)))</f>
        <v>-1</v>
      </c>
      <c r="AJ220" s="507" t="n">
        <f aca="false">SUM(IF(OR($R220="Bug",$R220="Grass",$R220="Fighting"),0-1,IF(OR($R220="Electric",$R220="Rock",$R220="Steel"),1,0)),IF(OR($S220="Bug",$S220="Grass",$S220="Fighting"),0-1,IF(OR($S220="Electric",$S220="Rock",$S220="Steel"),1,0)))</f>
        <v>0</v>
      </c>
      <c r="AK220" s="507" t="n">
        <f aca="false">IF(OR($R220="Normal",$S220="Normal"),4,SUM(IF(OR($R220="Ghost",$R220="Psychic"),0-1,IF($R220="Dark",1,0)),IF(OR($S220="Ghost",$S220="Psychic"),0-1,IF($S220="Dark",1,0))))</f>
        <v>-1</v>
      </c>
      <c r="AL220" s="507" t="n">
        <f aca="false">SUM(IF(OR($R220="Ground",$R220="Rock",$R220="Water"),0-1,IF(OR($R220="Bug",$R220="Flying",$R220="Fire",$R220="Dragon",$R220="Poison",$R220="Steel",$R220="Grass"),1,0)),IF(OR($S220="Ground",$S220="Rock",$S220="Water"),0-1,IF(OR($S220="Bug",$S220="Flying",$S220="Fire",$S220="Dragon",$S220="Poison",$S220="Steel",$S220="Grass"),1,0)))</f>
        <v>0</v>
      </c>
      <c r="AM220" s="507" t="n">
        <f aca="false">IF(OR($R220="Flying",$S220="Flying"),4,SUM(IF(OR($R220="Electric",$R220="Fire",$R220="Rock",$R220="Steel",$R220="Poison"),0-1,IF(OR($R220="Bug",$R220="Grass"),1,0)),IF(OR($S220="Electric",$S220="Fire",$S220="Rock",$S220="Steel",$S220="Poison"),0-1,IF(OR($S220="Bug",$S220="Grass"),1,0))))</f>
        <v>0</v>
      </c>
      <c r="AN220" s="507" t="n">
        <f aca="false">SUM(IF(OR($R220="Flying",$R220="Dragon",$R220="Grass",$R220="Ground"),0-1,IF(OR($R220="Steel",$R220="Ice",$R220="Fire",$R220="Water"),1,0)),IF(OR($S220="Flying",$S220="Dragon",$S220="Grass",$S220="Ground"),0-1,IF(OR($S220="Steel",$S220="Ice",$S220="Fire",$S220="Water"),1,0)))</f>
        <v>1</v>
      </c>
      <c r="AO220" s="507" t="n">
        <f aca="false">IF(OR($R220="Ghost",$S220="Ghost"),4,SUM(IF(OR($R220="Steel",$R220="Rock"),1,0),IF(OR($S220="Steel",$S220="Rock"),1,0)))</f>
        <v>0</v>
      </c>
      <c r="AP220" s="507" t="n">
        <f aca="false">IF(OR($R220="Steel",$S220="Steel"),4,SUM(IF(OR($R220="Fairy",$R220="Grass"),0-1,IF(OR($R220="Ghost",$R220="Rock",$R220="Ground",$R220="Poison"),1,0)),IF(OR($S220="Fairy",$S220="Grass"),0-1,IF(OR($S220="Ghost",$S220="Rock",$S220="Ground",$S220="Poison"),1,0))))</f>
        <v>0</v>
      </c>
      <c r="AQ220" s="507" t="n">
        <f aca="false">IF(OR($R220="Dark",$S220="Dark"),4,SUM(IF(OR($R220="Fighting",$R220="Poison"),0-1,IF(OR($R220="Psychic",$R220="Steel"),1,0)),IF(OR($S220="Fighting",$S220="Poison"),0-1,IF(OR($S220="Psychic",$S220="Steel"),1,0))))</f>
        <v>1</v>
      </c>
      <c r="AR220" s="507" t="n">
        <f aca="false">SUM(IF(OR($R220="Bug",$R220="Fire",$R220="Flying",$R220="Ice"),0-1,IF(OR($R220="Steel",$R220="Fighting",$R220="Ground"),1,0)),IF(OR($S220="Bug",$S220="Fire",$S220="Flying",$S220="Ice"),0-1,IF(OR($S220="Steel",$S220="Fighting",$S220="Ground"),1,0)))</f>
        <v>-1</v>
      </c>
      <c r="AS220" s="507" t="n">
        <f aca="false">SUM(IF(OR($R220="Fairy",$R220="Ice",$R220="Rock"),0-1,IF(OR($R220="Steel",$R220="Electric",$R220="Fire",$R220="Water"),1,0)),IF(OR($S220="Fairy",$S220="Ice",$S220="Rock"),0-1,IF(OR($S220="Steel",$S220="Electric",$S220="Fire",$S220="Water"),1,0)))</f>
        <v>-1</v>
      </c>
      <c r="AT220" s="508" t="n">
        <f aca="false">SUM(IF(OR($R220="Fire",$R220="Ground",$R220="Rock"),0-1,IF(OR($R220="Dragon",$R220="Grass",$R220="Water"),1,0)),IF(OR($S220="Fire",$S220="Ground",$S220="Rock"),0-1,IF(OR($S220="Dragon",$S220="Grass",$S220="Water"),1,0)))</f>
        <v>0</v>
      </c>
      <c r="AU220" s="518"/>
    </row>
    <row r="221" customFormat="false" ht="15.75" hidden="false" customHeight="false" outlineLevel="0" collapsed="false">
      <c r="A221" s="515" t="str">
        <f aca="false" t="array" ref="A221:A221">IF(ISNA(INDEX(Source!$U$7:$U$95,MATCH(B221,Source!$V$7:$V$95,0))),"FREE",INDEX(Source!$U$7:$U$95,MATCH(B221,Source!$V$7:$V$95,0)))</f>
        <v>FREE</v>
      </c>
      <c r="B221" s="511" t="s">
        <v>533</v>
      </c>
      <c r="C221" s="511"/>
      <c r="D221" s="511"/>
      <c r="E221" s="499" t="str">
        <f aca="false">IF(SUM($W221:$X221)&gt;0,SUM($W221:$X221),IF($H221&gt;0,0,IF($H221&gt;0,0,"-")))</f>
        <v>-</v>
      </c>
      <c r="F221" s="499" t="str">
        <f aca="false">IF(SUM($Y221:$Z221)&gt;0,SUM($Y221:$Z221),IF($H221&gt;0,0,"-"))</f>
        <v>-</v>
      </c>
      <c r="G221" s="499" t="str">
        <f aca="false">IF($H221&gt;0,minus(E221,F221),"-")</f>
        <v>-</v>
      </c>
      <c r="H221" s="500" t="n">
        <f aca="false">SUM(COUNTIF(MatchSource!$A:$A,$B221),COUNTIF(MatchSource!$H:$H,$B221))</f>
        <v>0</v>
      </c>
      <c r="I221" s="501" t="n">
        <f aca="false">SUM($AA221:$AB221)</f>
        <v>0</v>
      </c>
      <c r="J221" s="501" t="s">
        <v>701</v>
      </c>
      <c r="K221" s="512" t="str">
        <f aca="false" t="array" ref="K221:K221">IF(ISNA(INDEX(DraftRosters!$AA$3:$AA$199,MATCH($B221,DraftRosters!$AB$3:$AB$199,0))),"FA",IF(INDEX(DraftRosters!$AA$3:$AA$199,MATCH($B221,DraftRosters!$AB$3:$AB$199,0))="Franchise","Franch",INDEX(DraftRosters!$AA$3:$AA$199,MATCH($B221,DraftRosters!$AB$3:$AB$199,0))))</f>
        <v>FA</v>
      </c>
      <c r="L221" s="499" t="n">
        <v>60</v>
      </c>
      <c r="M221" s="499" t="n">
        <v>115</v>
      </c>
      <c r="N221" s="499" t="n">
        <v>105</v>
      </c>
      <c r="O221" s="499" t="n">
        <v>65</v>
      </c>
      <c r="P221" s="499" t="n">
        <v>70</v>
      </c>
      <c r="Q221" s="501" t="n">
        <v>80</v>
      </c>
      <c r="R221" s="499" t="s">
        <v>809</v>
      </c>
      <c r="S221" s="501" t="s">
        <v>811</v>
      </c>
      <c r="T221" s="504" t="s">
        <v>858</v>
      </c>
      <c r="U221" s="505" t="s">
        <v>937</v>
      </c>
      <c r="V221" s="506" t="s">
        <v>859</v>
      </c>
      <c r="W221" s="500" t="str">
        <f aca="false">IFERROR(__xludf.dummyfunction("if(isna(SUM(FILTER(MatchSource!$A:$D,MatchSource!$A:$A=$B221))),0,SUM(FILTER(MatchSource!$A:$D,MatchSource!$A:$A=$B221)))"),"0")</f>
        <v>0</v>
      </c>
      <c r="X221" s="499" t="str">
        <f aca="false">IFERROR(__xludf.dummyfunction("if(isna(SUM(FILTER(MatchSource!$H:$K,MatchSource!$H:$H=$B221))),0,SUM(FILTER(MatchSource!$H:$K,MatchSource!$H:$H=$B221)))"),"0")</f>
        <v>0</v>
      </c>
      <c r="Y221" s="499" t="str">
        <f aca="false">IFERROR(__xludf.dummyfunction("if(isna(ABS(MINUS(SUM(FILTER(MatchSource!$A:$E,MatchSource!$A:$A=$B221)),SUM($W221)))),0,ABS(MINUS(SUM(FILTER(MatchSource!$A:$E,MatchSource!$A:$A=$B221)),SUM($W221))))"),"0")</f>
        <v>0</v>
      </c>
      <c r="Z221" s="499" t="str">
        <f aca="false">IFERROR(__xludf.dummyfunction("if(isna(ABS(MINUS(SUM(FILTER(MatchSource!$H:$L,MatchSource!$H:$H=$B221)),SUM($X221)))),0,ABS(MINUS(SUM(FILTER(MatchSource!$H:$L,MatchSource!$H:$H=$B221)),SUM($X221))))"),"0")</f>
        <v>0</v>
      </c>
      <c r="AA221" s="499" t="str">
        <f aca="false">IFERROR(__xludf.dummyfunction("if(isna(ABS(MINUS(SUM(FILTER(MatchSource!$A:$F,MatchSource!$A:$A=$B221)),SUM($W221,$Y221)))),0,ABS(MINUS(SUM(FILTER(MatchSource!$A:$F,MatchSource!$A:$A=$B221)),SUM($W221, $Y221,))))"),"0")</f>
        <v>0</v>
      </c>
      <c r="AB221" s="501" t="str">
        <f aca="false">IFERROR(__xludf.dummyfunction("if(isna(ABS(MINUS(SUM(FILTER(MatchSource!$H:$M,MatchSource!$H:$H=$B221)),SUM($X221,$Z221)))),0,ABS(MINUS(SUM(FILTER(MatchSource!$H:$M,MatchSource!$H:$H=$B221)),SUM($X221,$Z221))))"),"0")</f>
        <v>0</v>
      </c>
      <c r="AC221" s="507" t="n">
        <f aca="false">SUM(IF(OR($R221="Grass",$R221="Psychic",$R221="Dark"),0-1,IF(OR($R221="Fighting",$R221="Flying",$R221="Fire",$R221="Ghost",$R221="Poison",$R221="Steel",$R221="Fairy"),1,0)),IF(OR($S221="Grass",$S221="Psychic",$S221="Dark"),0-1,IF(OR($S221="Fighting",$S221="Flying",$S221="Fire",$S221="Ghost",$S221="Poison",$S221="Steel",$S221="Fairy"),1,0)))</f>
        <v>0</v>
      </c>
      <c r="AD221" s="507" t="n">
        <f aca="false">SUM(IF(OR($R221="Ghost",$R221="Psychic"),0-1,IF(OR($R221="Fighting",$R221="Dark",$R221="Fairy"),1,0)),IF(OR($S221="Ghost",$S221="Psychic"),0-1,IF(OR($S221="Fighting",$S221="Dark",$S221="Fairy"),1,0)))</f>
        <v>0</v>
      </c>
      <c r="AE221" s="507" t="n">
        <f aca="false">IF(OR($R221="Fairy",$S221="Fairy"),4,SUM(IF($R221="Dragon",0-1,IF($R221="Steel",1,0)),IF($S221="Dragon",0-1,IF($S221="Steel",1,0))))</f>
        <v>0</v>
      </c>
      <c r="AF221" s="507" t="n">
        <f aca="false">IF(OR($R221="Ground",$S221="Ground"),4,SUM(IF(OR($R221="Flying",$R221="Water"),0-1,IF(OR($R221="Dragon",$R221="Electric",$R221="Grass"),1,0)),IF(OR($S221="Flying",$S221="Water"),0-1,IF(OR($S221="Dragon",$S221="Electric",$S221="Grass"),1,0))))</f>
        <v>-1</v>
      </c>
      <c r="AG221" s="507" t="n">
        <f aca="false">SUM(IF(OR($R221="Dark",$R221="Dragon",$R221="Fighting"),0-1,IF(OR($R221="Steel",$R221="Poison",$R221="Fire"),1,0)),IF(OR($S221="Dark",$S221="Dragon",$S221="Fighting"),0-1,IF(OR($S221="Steel",$S221="Poison",$S221="Fire"),1,0)))</f>
        <v>0</v>
      </c>
      <c r="AH221" s="507" t="n">
        <f aca="false">IF(OR($R221="Ghost",$S221="Ghost"),4,SUM(IF(OR($R221="Dark",$R221="Ice",$R221="Normal",$R221="Rock",$R221="Steel"),0-1,IF(OR($R221="Bug",$R221="Fairy",$R221="Flying",$R221="Poison",$R221="Psychic"),1,0)),IF(OR($S221="Dark",$S221="Ice",$S221="Normal",$S221="Rock",$S221="Steel"),0-1,IF(OR($S221="Bug",$S221="Fairy",$S221="Flying",$S221="Poison",$S221="Psychic"),1,0))))</f>
        <v>-1</v>
      </c>
      <c r="AI221" s="507" t="n">
        <f aca="false">SUM(IF(OR($R221="Bug",$R221="Grass",$R221="Ice",$R221="Steel"),0-1,IF(OR($R221="Dragon",$R221="Fire",$R221="Rock",$R221="Water"),1,0)),IF(OR($S221="Bug",$S221="Grass",$S221="Ice",$S221="Steel"),0-1,IF(OR($S221="Dragon",$S221="Fire",$S221="Rock",$S221="Water"),1,0)))</f>
        <v>2</v>
      </c>
      <c r="AJ221" s="507" t="n">
        <f aca="false">SUM(IF(OR($R221="Bug",$R221="Grass",$R221="Fighting"),0-1,IF(OR($R221="Electric",$R221="Rock",$R221="Steel"),1,0)),IF(OR($S221="Bug",$S221="Grass",$S221="Fighting"),0-1,IF(OR($S221="Electric",$S221="Rock",$S221="Steel"),1,0)))</f>
        <v>1</v>
      </c>
      <c r="AK221" s="507" t="n">
        <f aca="false">IF(OR($R221="Normal",$S221="Normal"),4,SUM(IF(OR($R221="Ghost",$R221="Psychic"),0-1,IF($R221="Dark",1,0)),IF(OR($S221="Ghost",$S221="Psychic"),0-1,IF($S221="Dark",1,0))))</f>
        <v>0</v>
      </c>
      <c r="AL221" s="507" t="n">
        <f aca="false">SUM(IF(OR($R221="Ground",$R221="Rock",$R221="Water"),0-1,IF(OR($R221="Bug",$R221="Flying",$R221="Fire",$R221="Dragon",$R221="Poison",$R221="Steel",$R221="Grass"),1,0)),IF(OR($S221="Ground",$S221="Rock",$S221="Water"),0-1,IF(OR($S221="Bug",$S221="Flying",$S221="Fire",$S221="Dragon",$S221="Poison",$S221="Steel",$S221="Grass"),1,0)))</f>
        <v>-2</v>
      </c>
      <c r="AM221" s="507" t="n">
        <f aca="false">IF(OR($R221="Flying",$S221="Flying"),4,SUM(IF(OR($R221="Electric",$R221="Fire",$R221="Rock",$R221="Steel",$R221="Poison"),0-1,IF(OR($R221="Bug",$R221="Grass"),1,0)),IF(OR($S221="Electric",$S221="Fire",$S221="Rock",$S221="Steel",$S221="Poison"),0-1,IF(OR($S221="Bug",$S221="Grass"),1,0))))</f>
        <v>-1</v>
      </c>
      <c r="AN221" s="507" t="n">
        <f aca="false">SUM(IF(OR($R221="Flying",$R221="Dragon",$R221="Grass",$R221="Ground"),0-1,IF(OR($R221="Steel",$R221="Ice",$R221="Fire",$R221="Water"),1,0)),IF(OR($S221="Flying",$S221="Dragon",$S221="Grass",$S221="Ground"),0-1,IF(OR($S221="Steel",$S221="Ice",$S221="Fire",$S221="Water"),1,0)))</f>
        <v>1</v>
      </c>
      <c r="AO221" s="507" t="n">
        <f aca="false">IF(OR($R221="Ghost",$S221="Ghost"),4,SUM(IF(OR($R221="Steel",$R221="Rock"),1,0),IF(OR($S221="Steel",$S221="Rock"),1,0)))</f>
        <v>1</v>
      </c>
      <c r="AP221" s="507" t="n">
        <f aca="false">IF(OR($R221="Steel",$S221="Steel"),4,SUM(IF(OR($R221="Fairy",$R221="Grass"),0-1,IF(OR($R221="Ghost",$R221="Rock",$R221="Ground",$R221="Poison"),1,0)),IF(OR($S221="Fairy",$S221="Grass"),0-1,IF(OR($S221="Ghost",$S221="Rock",$S221="Ground",$S221="Poison"),1,0))))</f>
        <v>1</v>
      </c>
      <c r="AQ221" s="507" t="n">
        <f aca="false">IF(OR($R221="Dark",$S221="Dark"),4,SUM(IF(OR($R221="Fighting",$R221="Poison"),0-1,IF(OR($R221="Psychic",$R221="Steel"),1,0)),IF(OR($S221="Fighting",$S221="Poison"),0-1,IF(OR($S221="Psychic",$S221="Steel"),1,0))))</f>
        <v>0</v>
      </c>
      <c r="AR221" s="507" t="n">
        <f aca="false">SUM(IF(OR($R221="Bug",$R221="Fire",$R221="Flying",$R221="Ice"),0-1,IF(OR($R221="Steel",$R221="Fighting",$R221="Ground"),1,0)),IF(OR($S221="Bug",$S221="Fire",$S221="Flying",$S221="Ice"),0-1,IF(OR($S221="Steel",$S221="Fighting",$S221="Ground"),1,0)))</f>
        <v>0</v>
      </c>
      <c r="AS221" s="507" t="n">
        <f aca="false">SUM(IF(OR($R221="Fairy",$R221="Ice",$R221="Rock"),0-1,IF(OR($R221="Steel",$R221="Electric",$R221="Fire",$R221="Water"),1,0)),IF(OR($S221="Fairy",$S221="Ice",$S221="Rock"),0-1,IF(OR($S221="Steel",$S221="Electric",$S221="Fire",$S221="Water"),1,0)))</f>
        <v>0</v>
      </c>
      <c r="AT221" s="508" t="n">
        <f aca="false">SUM(IF(OR($R221="Fire",$R221="Ground",$R221="Rock"),0-1,IF(OR($R221="Dragon",$R221="Grass",$R221="Water"),1,0)),IF(OR($S221="Fire",$S221="Ground",$S221="Rock"),0-1,IF(OR($S221="Dragon",$S221="Grass",$S221="Water"),1,0)))</f>
        <v>0</v>
      </c>
      <c r="AU221" s="518"/>
    </row>
    <row r="222" customFormat="false" ht="15.75" hidden="false" customHeight="false" outlineLevel="0" collapsed="false">
      <c r="A222" s="510" t="str">
        <f aca="false" t="array" ref="A222:A222">IF(ISNA(INDEX(Source!$U$7:$U$95,MATCH(B222,Source!$V$7:$V$95,0))),"FREE",INDEX(Source!$U$7:$U$95,MATCH(B222,Source!$V$7:$V$95,0)))</f>
        <v>FREE</v>
      </c>
      <c r="B222" s="511" t="s">
        <v>648</v>
      </c>
      <c r="C222" s="511"/>
      <c r="D222" s="511"/>
      <c r="E222" s="499" t="str">
        <f aca="false">IF(SUM($W222:$X222)&gt;0,SUM($W222:$X222),IF($H222&gt;0,0,IF($H222&gt;0,0,"-")))</f>
        <v>-</v>
      </c>
      <c r="F222" s="499" t="str">
        <f aca="false">IF(SUM($Y222:$Z222)&gt;0,SUM($Y222:$Z222),IF($H222&gt;0,0,"-"))</f>
        <v>-</v>
      </c>
      <c r="G222" s="499" t="str">
        <f aca="false">IF($H222&gt;0,minus(E222,F222),"-")</f>
        <v>-</v>
      </c>
      <c r="H222" s="500" t="n">
        <f aca="false">SUM(COUNTIF(MatchSource!$A:$A,$B222),COUNTIF(MatchSource!$H:$H,$B222))</f>
        <v>0</v>
      </c>
      <c r="I222" s="501" t="n">
        <f aca="false">SUM($AA222:$AB222)</f>
        <v>0</v>
      </c>
      <c r="J222" s="501" t="s">
        <v>702</v>
      </c>
      <c r="K222" s="512" t="str">
        <f aca="false" t="array" ref="K222:K222">IF(ISNA(INDEX(DraftRosters!$AA$3:$AA$199,MATCH($B222,DraftRosters!$AB$3:$AB$199,0))),"FA",IF(INDEX(DraftRosters!$AA$3:$AA$199,MATCH($B222,DraftRosters!$AB$3:$AB$199,0))="Franchise","Franch",INDEX(DraftRosters!$AA$3:$AA$199,MATCH($B222,DraftRosters!$AB$3:$AB$199,0))))</f>
        <v>FA</v>
      </c>
      <c r="L222" s="499" t="n">
        <v>40</v>
      </c>
      <c r="M222" s="499" t="n">
        <v>35</v>
      </c>
      <c r="N222" s="499" t="n">
        <v>30</v>
      </c>
      <c r="O222" s="499" t="n">
        <v>120</v>
      </c>
      <c r="P222" s="499" t="n">
        <v>70</v>
      </c>
      <c r="Q222" s="501" t="n">
        <v>105</v>
      </c>
      <c r="R222" s="499" t="s">
        <v>828</v>
      </c>
      <c r="S222" s="501"/>
      <c r="T222" s="504" t="s">
        <v>829</v>
      </c>
      <c r="U222" s="505" t="s">
        <v>830</v>
      </c>
      <c r="V222" s="506" t="s">
        <v>831</v>
      </c>
      <c r="W222" s="500" t="str">
        <f aca="false">IFERROR(__xludf.dummyfunction("if(isna(SUM(FILTER(MatchSource!$A:$D,MatchSource!$A:$A=$B222))),0,SUM(FILTER(MatchSource!$A:$D,MatchSource!$A:$A=$B222)))"),"0")</f>
        <v>0</v>
      </c>
      <c r="X222" s="499" t="str">
        <f aca="false">IFERROR(__xludf.dummyfunction("if(isna(SUM(FILTER(MatchSource!$H:$K,MatchSource!$H:$H=$B222))),0,SUM(FILTER(MatchSource!$H:$K,MatchSource!$H:$H=$B222)))"),"0")</f>
        <v>0</v>
      </c>
      <c r="Y222" s="499" t="str">
        <f aca="false">IFERROR(__xludf.dummyfunction("if(isna(ABS(MINUS(SUM(FILTER(MatchSource!$A:$E,MatchSource!$A:$A=$B222)),SUM($W222)))),0,ABS(MINUS(SUM(FILTER(MatchSource!$A:$E,MatchSource!$A:$A=$B222)),SUM($W222))))"),"0")</f>
        <v>0</v>
      </c>
      <c r="Z222" s="499" t="str">
        <f aca="false">IFERROR(__xludf.dummyfunction("if(isna(ABS(MINUS(SUM(FILTER(MatchSource!$H:$L,MatchSource!$H:$H=$B222)),SUM($X222)))),0,ABS(MINUS(SUM(FILTER(MatchSource!$H:$L,MatchSource!$H:$H=$B222)),SUM($X222))))"),"0")</f>
        <v>0</v>
      </c>
      <c r="AA222" s="499" t="str">
        <f aca="false">IFERROR(__xludf.dummyfunction("if(isna(ABS(MINUS(SUM(FILTER(MatchSource!$A:$F,MatchSource!$A:$A=$B222)),SUM($W222,$Y222)))),0,ABS(MINUS(SUM(FILTER(MatchSource!$A:$F,MatchSource!$A:$A=$B222)),SUM($W222, $Y222,))))"),"0")</f>
        <v>0</v>
      </c>
      <c r="AB222" s="501" t="str">
        <f aca="false">IFERROR(__xludf.dummyfunction("if(isna(ABS(MINUS(SUM(FILTER(MatchSource!$H:$M,MatchSource!$H:$H=$B222)),SUM($X222,$Z222)))),0,ABS(MINUS(SUM(FILTER(MatchSource!$H:$M,MatchSource!$H:$H=$B222)),SUM($X222,$Z222))))"),"0")</f>
        <v>0</v>
      </c>
      <c r="AC222" s="507" t="n">
        <f aca="false">SUM(IF(OR($R222="Grass",$R222="Psychic",$R222="Dark"),0-1,IF(OR($R222="Fighting",$R222="Flying",$R222="Fire",$R222="Ghost",$R222="Poison",$R222="Steel",$R222="Fairy"),1,0)),IF(OR($S222="Grass",$S222="Psychic",$S222="Dark"),0-1,IF(OR($S222="Fighting",$S222="Flying",$S222="Fire",$S222="Ghost",$S222="Poison",$S222="Steel",$S222="Fairy"),1,0)))</f>
        <v>-1</v>
      </c>
      <c r="AD222" s="507" t="n">
        <f aca="false">SUM(IF(OR($R222="Ghost",$R222="Psychic"),0-1,IF(OR($R222="Fighting",$R222="Dark",$R222="Fairy"),1,0)),IF(OR($S222="Ghost",$S222="Psychic"),0-1,IF(OR($S222="Fighting",$S222="Dark",$S222="Fairy"),1,0)))</f>
        <v>-1</v>
      </c>
      <c r="AE222" s="507" t="n">
        <f aca="false">IF(OR($R222="Fairy",$S222="Fairy"),4,SUM(IF($R222="Dragon",0-1,IF($R222="Steel",1,0)),IF($S222="Dragon",0-1,IF($S222="Steel",1,0))))</f>
        <v>0</v>
      </c>
      <c r="AF222" s="507" t="n">
        <f aca="false">IF(OR($R222="Ground",$S222="Ground"),4,SUM(IF(OR($R222="Flying",$R222="Water"),0-1,IF(OR($R222="Dragon",$R222="Electric",$R222="Grass"),1,0)),IF(OR($S222="Flying",$S222="Water"),0-1,IF(OR($S222="Dragon",$S222="Electric",$S222="Grass"),1,0))))</f>
        <v>0</v>
      </c>
      <c r="AG222" s="507" t="n">
        <f aca="false">SUM(IF(OR($R222="Dark",$R222="Dragon",$R222="Fighting"),0-1,IF(OR($R222="Steel",$R222="Poison",$R222="Fire"),1,0)),IF(OR($S222="Dark",$S222="Dragon",$S222="Fighting"),0-1,IF(OR($S222="Steel",$S222="Poison",$S222="Fire"),1,0)))</f>
        <v>0</v>
      </c>
      <c r="AH222" s="507" t="n">
        <f aca="false">IF(OR($R222="Ghost",$S222="Ghost"),4,SUM(IF(OR($R222="Dark",$R222="Ice",$R222="Normal",$R222="Rock",$R222="Steel"),0-1,IF(OR($R222="Bug",$R222="Fairy",$R222="Flying",$R222="Poison",$R222="Psychic"),1,0)),IF(OR($S222="Dark",$S222="Ice",$S222="Normal",$S222="Rock",$S222="Steel"),0-1,IF(OR($S222="Bug",$S222="Fairy",$S222="Flying",$S222="Poison",$S222="Psychic"),1,0))))</f>
        <v>1</v>
      </c>
      <c r="AI222" s="507" t="n">
        <f aca="false">SUM(IF(OR($R222="Bug",$R222="Grass",$R222="Ice",$R222="Steel"),0-1,IF(OR($R222="Dragon",$R222="Fire",$R222="Rock",$R222="Water"),1,0)),IF(OR($S222="Bug",$S222="Grass",$S222="Ice",$S222="Steel"),0-1,IF(OR($S222="Dragon",$S222="Fire",$S222="Rock",$S222="Water"),1,0)))</f>
        <v>0</v>
      </c>
      <c r="AJ222" s="507" t="n">
        <f aca="false">SUM(IF(OR($R222="Bug",$R222="Grass",$R222="Fighting"),0-1,IF(OR($R222="Electric",$R222="Rock",$R222="Steel"),1,0)),IF(OR($S222="Bug",$S222="Grass",$S222="Fighting"),0-1,IF(OR($S222="Electric",$S222="Rock",$S222="Steel"),1,0)))</f>
        <v>0</v>
      </c>
      <c r="AK222" s="507" t="n">
        <f aca="false">IF(OR($R222="Normal",$S222="Normal"),4,SUM(IF(OR($R222="Ghost",$R222="Psychic"),0-1,IF($R222="Dark",1,0)),IF(OR($S222="Ghost",$S222="Psychic"),0-1,IF($S222="Dark",1,0))))</f>
        <v>-1</v>
      </c>
      <c r="AL222" s="507" t="n">
        <f aca="false">SUM(IF(OR($R222="Ground",$R222="Rock",$R222="Water"),0-1,IF(OR($R222="Bug",$R222="Flying",$R222="Fire",$R222="Dragon",$R222="Poison",$R222="Steel",$R222="Grass"),1,0)),IF(OR($S222="Ground",$S222="Rock",$S222="Water"),0-1,IF(OR($S222="Bug",$S222="Flying",$S222="Fire",$S222="Dragon",$S222="Poison",$S222="Steel",$S222="Grass"),1,0)))</f>
        <v>0</v>
      </c>
      <c r="AM222" s="507" t="n">
        <f aca="false">IF(OR($R222="Flying",$S222="Flying"),4,SUM(IF(OR($R222="Electric",$R222="Fire",$R222="Rock",$R222="Steel",$R222="Poison"),0-1,IF(OR($R222="Bug",$R222="Grass"),1,0)),IF(OR($S222="Electric",$S222="Fire",$S222="Rock",$S222="Steel",$S222="Poison"),0-1,IF(OR($S222="Bug",$S222="Grass"),1,0))))</f>
        <v>0</v>
      </c>
      <c r="AN222" s="507" t="n">
        <f aca="false">SUM(IF(OR($R222="Flying",$R222="Dragon",$R222="Grass",$R222="Ground"),0-1,IF(OR($R222="Steel",$R222="Ice",$R222="Fire",$R222="Water"),1,0)),IF(OR($S222="Flying",$S222="Dragon",$S222="Grass",$S222="Ground"),0-1,IF(OR($S222="Steel",$S222="Ice",$S222="Fire",$S222="Water"),1,0)))</f>
        <v>0</v>
      </c>
      <c r="AO222" s="507" t="n">
        <f aca="false">IF(OR($R222="Ghost",$S222="Ghost"),4,SUM(IF(OR($R222="Steel",$R222="Rock"),1,0),IF(OR($S222="Steel",$S222="Rock"),1,0)))</f>
        <v>0</v>
      </c>
      <c r="AP222" s="507" t="n">
        <f aca="false">IF(OR($R222="Steel",$S222="Steel"),4,SUM(IF(OR($R222="Fairy",$R222="Grass"),0-1,IF(OR($R222="Ghost",$R222="Rock",$R222="Ground",$R222="Poison"),1,0)),IF(OR($S222="Fairy",$S222="Grass"),0-1,IF(OR($S222="Ghost",$S222="Rock",$S222="Ground",$S222="Poison"),1,0))))</f>
        <v>0</v>
      </c>
      <c r="AQ222" s="507" t="n">
        <f aca="false">IF(OR($R222="Dark",$S222="Dark"),4,SUM(IF(OR($R222="Fighting",$R222="Poison"),0-1,IF(OR($R222="Psychic",$R222="Steel"),1,0)),IF(OR($S222="Fighting",$S222="Poison"),0-1,IF(OR($S222="Psychic",$S222="Steel"),1,0))))</f>
        <v>1</v>
      </c>
      <c r="AR222" s="507" t="n">
        <f aca="false">SUM(IF(OR($R222="Bug",$R222="Fire",$R222="Flying",$R222="Ice"),0-1,IF(OR($R222="Steel",$R222="Fighting",$R222="Ground"),1,0)),IF(OR($S222="Bug",$S222="Fire",$S222="Flying",$S222="Ice"),0-1,IF(OR($S222="Steel",$S222="Fighting",$S222="Ground"),1,0)))</f>
        <v>0</v>
      </c>
      <c r="AS222" s="507" t="n">
        <f aca="false">SUM(IF(OR($R222="Fairy",$R222="Ice",$R222="Rock"),0-1,IF(OR($R222="Steel",$R222="Electric",$R222="Fire",$R222="Water"),1,0)),IF(OR($S222="Fairy",$S222="Ice",$S222="Rock"),0-1,IF(OR($S222="Steel",$S222="Electric",$S222="Fire",$S222="Water"),1,0)))</f>
        <v>0</v>
      </c>
      <c r="AT222" s="508" t="n">
        <f aca="false">SUM(IF(OR($R222="Fire",$R222="Ground",$R222="Rock"),0-1,IF(OR($R222="Dragon",$R222="Grass",$R222="Water"),1,0)),IF(OR($S222="Fire",$S222="Ground",$S222="Rock"),0-1,IF(OR($S222="Dragon",$S222="Grass",$S222="Water"),1,0)))</f>
        <v>0</v>
      </c>
      <c r="AU222" s="518"/>
    </row>
    <row r="223" customFormat="false" ht="15.75" hidden="false" customHeight="false" outlineLevel="0" collapsed="false">
      <c r="A223" s="510" t="str">
        <f aca="false" t="array" ref="A223:A223">IF(ISNA(INDEX(Source!$U$7:$U$95,MATCH(B223,Source!$V$7:$V$95,0))),"FREE",INDEX(Source!$U$7:$U$95,MATCH(B223,Source!$V$7:$V$95,0)))</f>
        <v>FREE</v>
      </c>
      <c r="B223" s="511" t="s">
        <v>650</v>
      </c>
      <c r="C223" s="511"/>
      <c r="D223" s="511"/>
      <c r="E223" s="499" t="str">
        <f aca="false">IF(SUM($W223:$X223)&gt;0,SUM($W223:$X223),IF($H223&gt;0,0,IF($H223&gt;0,0,"-")))</f>
        <v>-</v>
      </c>
      <c r="F223" s="499" t="str">
        <f aca="false">IF(SUM($Y223:$Z223)&gt;0,SUM($Y223:$Z223),IF($H223&gt;0,0,"-"))</f>
        <v>-</v>
      </c>
      <c r="G223" s="499" t="str">
        <f aca="false">IF($H223&gt;0,minus(E223,F223),"-")</f>
        <v>-</v>
      </c>
      <c r="H223" s="500" t="n">
        <f aca="false">SUM(COUNTIF(MatchSource!$A:$A,$B223),COUNTIF(MatchSource!$H:$H,$B223))</f>
        <v>0</v>
      </c>
      <c r="I223" s="501" t="n">
        <f aca="false">SUM($AA223:$AB223)</f>
        <v>0</v>
      </c>
      <c r="J223" s="501" t="s">
        <v>702</v>
      </c>
      <c r="K223" s="512" t="str">
        <f aca="false" t="array" ref="K223:K223">IF(ISNA(INDEX(DraftRosters!$AA$3:$AA$199,MATCH($B223,DraftRosters!$AB$3:$AB$199,0))),"FA",IF(INDEX(DraftRosters!$AA$3:$AA$199,MATCH($B223,DraftRosters!$AB$3:$AB$199,0))="Franchise","Franch",INDEX(DraftRosters!$AA$3:$AA$199,MATCH($B223,DraftRosters!$AB$3:$AB$199,0))))</f>
        <v>FA</v>
      </c>
      <c r="L223" s="499" t="n">
        <v>105</v>
      </c>
      <c r="M223" s="499" t="n">
        <v>95</v>
      </c>
      <c r="N223" s="499" t="n">
        <v>80</v>
      </c>
      <c r="O223" s="499" t="n">
        <v>40</v>
      </c>
      <c r="P223" s="499" t="n">
        <v>80</v>
      </c>
      <c r="Q223" s="501" t="n">
        <v>90</v>
      </c>
      <c r="R223" s="499" t="s">
        <v>839</v>
      </c>
      <c r="S223" s="501"/>
      <c r="T223" s="504" t="s">
        <v>948</v>
      </c>
      <c r="U223" s="505" t="s">
        <v>969</v>
      </c>
      <c r="V223" s="506" t="s">
        <v>829</v>
      </c>
      <c r="W223" s="500" t="str">
        <f aca="false">IFERROR(__xludf.dummyfunction("if(isna(SUM(FILTER(MatchSource!$A:$D,MatchSource!$A:$A=$B223))),0,SUM(FILTER(MatchSource!$A:$D,MatchSource!$A:$A=$B223)))"),"0")</f>
        <v>0</v>
      </c>
      <c r="X223" s="499" t="str">
        <f aca="false">IFERROR(__xludf.dummyfunction("if(isna(SUM(FILTER(MatchSource!$H:$K,MatchSource!$H:$H=$B223))),0,SUM(FILTER(MatchSource!$H:$K,MatchSource!$H:$H=$B223)))"),"0")</f>
        <v>0</v>
      </c>
      <c r="Y223" s="499" t="str">
        <f aca="false">IFERROR(__xludf.dummyfunction("if(isna(ABS(MINUS(SUM(FILTER(MatchSource!$A:$E,MatchSource!$A:$A=$B223)),SUM($W223)))),0,ABS(MINUS(SUM(FILTER(MatchSource!$A:$E,MatchSource!$A:$A=$B223)),SUM($W223))))"),"0")</f>
        <v>0</v>
      </c>
      <c r="Z223" s="499" t="str">
        <f aca="false">IFERROR(__xludf.dummyfunction("if(isna(ABS(MINUS(SUM(FILTER(MatchSource!$H:$L,MatchSource!$H:$H=$B223)),SUM($X223)))),0,ABS(MINUS(SUM(FILTER(MatchSource!$H:$L,MatchSource!$H:$H=$B223)),SUM($X223))))"),"0")</f>
        <v>0</v>
      </c>
      <c r="AA223" s="499" t="str">
        <f aca="false">IFERROR(__xludf.dummyfunction("if(isna(ABS(MINUS(SUM(FILTER(MatchSource!$A:$F,MatchSource!$A:$A=$B223)),SUM($W223,$Y223)))),0,ABS(MINUS(SUM(FILTER(MatchSource!$A:$F,MatchSource!$A:$A=$B223)),SUM($W223, $Y223,))))"),"0")</f>
        <v>0</v>
      </c>
      <c r="AB223" s="501" t="str">
        <f aca="false">IFERROR(__xludf.dummyfunction("if(isna(ABS(MINUS(SUM(FILTER(MatchSource!$H:$M,MatchSource!$H:$H=$B223)),SUM($X223,$Z223)))),0,ABS(MINUS(SUM(FILTER(MatchSource!$H:$M,MatchSource!$H:$H=$B223)),SUM($X223,$Z223))))"),"0")</f>
        <v>0</v>
      </c>
      <c r="AC223" s="507" t="n">
        <f aca="false">SUM(IF(OR($R223="Grass",$R223="Psychic",$R223="Dark"),0-1,IF(OR($R223="Fighting",$R223="Flying",$R223="Fire",$R223="Ghost",$R223="Poison",$R223="Steel",$R223="Fairy"),1,0)),IF(OR($S223="Grass",$S223="Psychic",$S223="Dark"),0-1,IF(OR($S223="Fighting",$S223="Flying",$S223="Fire",$S223="Ghost",$S223="Poison",$S223="Steel",$S223="Fairy"),1,0)))</f>
        <v>0</v>
      </c>
      <c r="AD223" s="507" t="n">
        <f aca="false">SUM(IF(OR($R223="Ghost",$R223="Psychic"),0-1,IF(OR($R223="Fighting",$R223="Dark",$R223="Fairy"),1,0)),IF(OR($S223="Ghost",$S223="Psychic"),0-1,IF(OR($S223="Fighting",$S223="Dark",$S223="Fairy"),1,0)))</f>
        <v>0</v>
      </c>
      <c r="AE223" s="507" t="n">
        <f aca="false">IF(OR($R223="Fairy",$S223="Fairy"),4,SUM(IF($R223="Dragon",0-1,IF($R223="Steel",1,0)),IF($S223="Dragon",0-1,IF($S223="Steel",1,0))))</f>
        <v>0</v>
      </c>
      <c r="AF223" s="507" t="n">
        <f aca="false">IF(OR($R223="Ground",$S223="Ground"),4,SUM(IF(OR($R223="Flying",$R223="Water"),0-1,IF(OR($R223="Dragon",$R223="Electric",$R223="Grass"),1,0)),IF(OR($S223="Flying",$S223="Water"),0-1,IF(OR($S223="Dragon",$S223="Electric",$S223="Grass"),1,0))))</f>
        <v>0</v>
      </c>
      <c r="AG223" s="507" t="n">
        <f aca="false">SUM(IF(OR($R223="Dark",$R223="Dragon",$R223="Fighting"),0-1,IF(OR($R223="Steel",$R223="Poison",$R223="Fire"),1,0)),IF(OR($S223="Dark",$S223="Dragon",$S223="Fighting"),0-1,IF(OR($S223="Steel",$S223="Poison",$S223="Fire"),1,0)))</f>
        <v>0</v>
      </c>
      <c r="AH223" s="507" t="n">
        <f aca="false">IF(OR($R223="Ghost",$S223="Ghost"),4,SUM(IF(OR($R223="Dark",$R223="Ice",$R223="Normal",$R223="Rock",$R223="Steel"),0-1,IF(OR($R223="Bug",$R223="Fairy",$R223="Flying",$R223="Poison",$R223="Psychic"),1,0)),IF(OR($S223="Dark",$S223="Ice",$S223="Normal",$S223="Rock",$S223="Steel"),0-1,IF(OR($S223="Bug",$S223="Fairy",$S223="Flying",$S223="Poison",$S223="Psychic"),1,0))))</f>
        <v>-1</v>
      </c>
      <c r="AI223" s="507" t="n">
        <f aca="false">SUM(IF(OR($R223="Bug",$R223="Grass",$R223="Ice",$R223="Steel"),0-1,IF(OR($R223="Dragon",$R223="Fire",$R223="Rock",$R223="Water"),1,0)),IF(OR($S223="Bug",$S223="Grass",$S223="Ice",$S223="Steel"),0-1,IF(OR($S223="Dragon",$S223="Fire",$S223="Rock",$S223="Water"),1,0)))</f>
        <v>0</v>
      </c>
      <c r="AJ223" s="507" t="n">
        <f aca="false">SUM(IF(OR($R223="Bug",$R223="Grass",$R223="Fighting"),0-1,IF(OR($R223="Electric",$R223="Rock",$R223="Steel"),1,0)),IF(OR($S223="Bug",$S223="Grass",$S223="Fighting"),0-1,IF(OR($S223="Electric",$S223="Rock",$S223="Steel"),1,0)))</f>
        <v>0</v>
      </c>
      <c r="AK223" s="507" t="n">
        <f aca="false">IF(OR($R223="Normal",$S223="Normal"),4,SUM(IF(OR($R223="Ghost",$R223="Psychic"),0-1,IF($R223="Dark",1,0)),IF(OR($S223="Ghost",$S223="Psychic"),0-1,IF($S223="Dark",1,0))))</f>
        <v>4</v>
      </c>
      <c r="AL223" s="507" t="n">
        <f aca="false">SUM(IF(OR($R223="Ground",$R223="Rock",$R223="Water"),0-1,IF(OR($R223="Bug",$R223="Flying",$R223="Fire",$R223="Dragon",$R223="Poison",$R223="Steel",$R223="Grass"),1,0)),IF(OR($S223="Ground",$S223="Rock",$S223="Water"),0-1,IF(OR($S223="Bug",$S223="Flying",$S223="Fire",$S223="Dragon",$S223="Poison",$S223="Steel",$S223="Grass"),1,0)))</f>
        <v>0</v>
      </c>
      <c r="AM223" s="507" t="n">
        <f aca="false">IF(OR($R223="Flying",$S223="Flying"),4,SUM(IF(OR($R223="Electric",$R223="Fire",$R223="Rock",$R223="Steel",$R223="Poison"),0-1,IF(OR($R223="Bug",$R223="Grass"),1,0)),IF(OR($S223="Electric",$S223="Fire",$S223="Rock",$S223="Steel",$S223="Poison"),0-1,IF(OR($S223="Bug",$S223="Grass"),1,0))))</f>
        <v>0</v>
      </c>
      <c r="AN223" s="507" t="n">
        <f aca="false">SUM(IF(OR($R223="Flying",$R223="Dragon",$R223="Grass",$R223="Ground"),0-1,IF(OR($R223="Steel",$R223="Ice",$R223="Fire",$R223="Water"),1,0)),IF(OR($S223="Flying",$S223="Dragon",$S223="Grass",$S223="Ground"),0-1,IF(OR($S223="Steel",$S223="Ice",$S223="Fire",$S223="Water"),1,0)))</f>
        <v>0</v>
      </c>
      <c r="AO223" s="507" t="n">
        <f aca="false">IF(OR($R223="Ghost",$S223="Ghost"),4,SUM(IF(OR($R223="Steel",$R223="Rock"),1,0),IF(OR($S223="Steel",$S223="Rock"),1,0)))</f>
        <v>0</v>
      </c>
      <c r="AP223" s="507" t="n">
        <f aca="false">IF(OR($R223="Steel",$S223="Steel"),4,SUM(IF(OR($R223="Fairy",$R223="Grass"),0-1,IF(OR($R223="Ghost",$R223="Rock",$R223="Ground",$R223="Poison"),1,0)),IF(OR($S223="Fairy",$S223="Grass"),0-1,IF(OR($S223="Ghost",$S223="Rock",$S223="Ground",$S223="Poison"),1,0))))</f>
        <v>0</v>
      </c>
      <c r="AQ223" s="507" t="n">
        <f aca="false">IF(OR($R223="Dark",$S223="Dark"),4,SUM(IF(OR($R223="Fighting",$R223="Poison"),0-1,IF(OR($R223="Psychic",$R223="Steel"),1,0)),IF(OR($S223="Fighting",$S223="Poison"),0-1,IF(OR($S223="Psychic",$S223="Steel"),1,0))))</f>
        <v>0</v>
      </c>
      <c r="AR223" s="507" t="n">
        <f aca="false">SUM(IF(OR($R223="Bug",$R223="Fire",$R223="Flying",$R223="Ice"),0-1,IF(OR($R223="Steel",$R223="Fighting",$R223="Ground"),1,0)),IF(OR($S223="Bug",$S223="Fire",$S223="Flying",$S223="Ice"),0-1,IF(OR($S223="Steel",$S223="Fighting",$S223="Ground"),1,0)))</f>
        <v>0</v>
      </c>
      <c r="AS223" s="507" t="n">
        <f aca="false">SUM(IF(OR($R223="Fairy",$R223="Ice",$R223="Rock"),0-1,IF(OR($R223="Steel",$R223="Electric",$R223="Fire",$R223="Water"),1,0)),IF(OR($S223="Fairy",$S223="Ice",$S223="Rock"),0-1,IF(OR($S223="Steel",$S223="Electric",$S223="Fire",$S223="Water"),1,0)))</f>
        <v>0</v>
      </c>
      <c r="AT223" s="508" t="n">
        <f aca="false">SUM(IF(OR($R223="Fire",$R223="Ground",$R223="Rock"),0-1,IF(OR($R223="Dragon",$R223="Grass",$R223="Water"),1,0)),IF(OR($S223="Fire",$S223="Ground",$S223="Rock"),0-1,IF(OR($S223="Dragon",$S223="Grass",$S223="Water"),1,0)))</f>
        <v>0</v>
      </c>
      <c r="AU223" s="518"/>
    </row>
    <row r="224" customFormat="false" ht="15.75" hidden="false" customHeight="false" outlineLevel="0" collapsed="false">
      <c r="A224" s="510" t="str">
        <f aca="false" t="array" ref="A224:A224">IF(ISNA(INDEX(Source!$U$7:$U$95,MATCH(B224,Source!$V$7:$V$95,0))),"FREE",INDEX(Source!$U$7:$U$95,MATCH(B224,Source!$V$7:$V$95,0)))</f>
        <v>SGP</v>
      </c>
      <c r="B224" s="511" t="s">
        <v>71</v>
      </c>
      <c r="C224" s="511"/>
      <c r="D224" s="511"/>
      <c r="E224" s="499" t="n">
        <f aca="false">IF(SUM($W224:$X224)&gt;0,SUM($W224:$X224),IF($H224&gt;0,0,IF($H224&gt;0,0,"-")))</f>
        <v>0</v>
      </c>
      <c r="F224" s="499" t="n">
        <f aca="false">IF(SUM($Y224:$Z224)&gt;0,SUM($Y224:$Z224),IF($H224&gt;0,0,"-"))</f>
        <v>0</v>
      </c>
      <c r="G224" s="499" t="e">
        <f aca="false">IF($H224&gt;0,minus(E224,F224),"-")</f>
        <v>#NAME?</v>
      </c>
      <c r="H224" s="500" t="n">
        <f aca="false">SUM(COUNTIF(MatchSource!$A:$A,$B224),COUNTIF(MatchSource!$H:$H,$B224))</f>
        <v>3</v>
      </c>
      <c r="I224" s="501" t="n">
        <f aca="false">SUM($AA224:$AB224)</f>
        <v>0</v>
      </c>
      <c r="J224" s="501" t="s">
        <v>698</v>
      </c>
      <c r="K224" s="512" t="n">
        <f aca="false" t="array" ref="K224:K224">IF(ISNA(INDEX(DraftRosters!$AA$3:$AA$199,MATCH($B224,DraftRosters!$AB$3:$AB$199,0))),"FA",IF(INDEX(DraftRosters!$AA$3:$AA$199,MATCH($B224,DraftRosters!$AB$3:$AB$199,0))="Franchise","Franch",INDEX(DraftRosters!$AA$3:$AA$199,MATCH($B224,DraftRosters!$AB$3:$AB$199,0))))</f>
        <v>5</v>
      </c>
      <c r="L224" s="499" t="n">
        <v>59</v>
      </c>
      <c r="M224" s="499" t="n">
        <v>181</v>
      </c>
      <c r="N224" s="499" t="n">
        <v>131</v>
      </c>
      <c r="O224" s="499" t="n">
        <v>59</v>
      </c>
      <c r="P224" s="499" t="n">
        <v>31</v>
      </c>
      <c r="Q224" s="501" t="n">
        <v>109</v>
      </c>
      <c r="R224" s="499" t="s">
        <v>803</v>
      </c>
      <c r="S224" s="501" t="s">
        <v>810</v>
      </c>
      <c r="T224" s="504" t="s">
        <v>889</v>
      </c>
      <c r="U224" s="505"/>
      <c r="V224" s="506"/>
      <c r="W224" s="500" t="str">
        <f aca="false">IFERROR(__xludf.dummyfunction("if(isna(SUM(FILTER(MatchSource!$A:$D,MatchSource!$A:$A=$B224))),0,SUM(FILTER(MatchSource!$A:$D,MatchSource!$A:$A=$B224)))"),"1")</f>
        <v>1</v>
      </c>
      <c r="X224" s="499" t="str">
        <f aca="false">IFERROR(__xludf.dummyfunction("if(isna(SUM(FILTER(MatchSource!$H:$K,MatchSource!$H:$H=$B224))),0,SUM(FILTER(MatchSource!$H:$K,MatchSource!$H:$H=$B224)))"),"0")</f>
        <v>0</v>
      </c>
      <c r="Y224" s="499" t="str">
        <f aca="false">IFERROR(__xludf.dummyfunction("if(isna(ABS(MINUS(SUM(FILTER(MatchSource!$A:$E,MatchSource!$A:$A=$B224)),SUM($W224)))),0,ABS(MINUS(SUM(FILTER(MatchSource!$A:$E,MatchSource!$A:$A=$B224)),SUM($W224))))"),"2")</f>
        <v>2</v>
      </c>
      <c r="Z224" s="499" t="str">
        <f aca="false">IFERROR(__xludf.dummyfunction("if(isna(ABS(MINUS(SUM(FILTER(MatchSource!$H:$L,MatchSource!$H:$H=$B224)),SUM($X224)))),0,ABS(MINUS(SUM(FILTER(MatchSource!$H:$L,MatchSource!$H:$H=$B224)),SUM($X224))))"),"1")</f>
        <v>1</v>
      </c>
      <c r="AA224" s="499" t="str">
        <f aca="false">IFERROR(__xludf.dummyfunction("if(isna(ABS(MINUS(SUM(FILTER(MatchSource!$A:$F,MatchSource!$A:$A=$B224)),SUM($W224,$Y224)))),0,ABS(MINUS(SUM(FILTER(MatchSource!$A:$F,MatchSource!$A:$A=$B224)),SUM($W224, $Y224,))))"),"0")</f>
        <v>0</v>
      </c>
      <c r="AB224" s="501" t="str">
        <f aca="false">IFERROR(__xludf.dummyfunction("if(isna(ABS(MINUS(SUM(FILTER(MatchSource!$H:$M,MatchSource!$H:$H=$B224)),SUM($X224,$Z224)))),0,ABS(MINUS(SUM(FILTER(MatchSource!$H:$M,MatchSource!$H:$H=$B224)),SUM($X224,$Z224))))"),"0")</f>
        <v>0</v>
      </c>
      <c r="AC224" s="507" t="n">
        <f aca="false">SUM(IF(OR($R224="Grass",$R224="Psychic",$R224="Dark"),0-1,IF(OR($R224="Fighting",$R224="Flying",$R224="Fire",$R224="Ghost",$R224="Poison",$R224="Steel",$R224="Fairy"),1,0)),IF(OR($S224="Grass",$S224="Psychic",$S224="Dark"),0-1,IF(OR($S224="Fighting",$S224="Flying",$S224="Fire",$S224="Ghost",$S224="Poison",$S224="Steel",$S224="Fairy"),1,0)))</f>
        <v>0</v>
      </c>
      <c r="AD224" s="507" t="n">
        <f aca="false">SUM(IF(OR($R224="Ghost",$R224="Psychic"),0-1,IF(OR($R224="Fighting",$R224="Dark",$R224="Fairy"),1,0)),IF(OR($S224="Ghost",$S224="Psychic"),0-1,IF(OR($S224="Fighting",$S224="Dark",$S224="Fairy"),1,0)))</f>
        <v>0</v>
      </c>
      <c r="AE224" s="507" t="n">
        <f aca="false">IF(OR($R224="Fairy",$S224="Fairy"),4,SUM(IF($R224="Dragon",0-1,IF($R224="Steel",1,0)),IF($S224="Dragon",0-1,IF($S224="Steel",1,0))))</f>
        <v>1</v>
      </c>
      <c r="AF224" s="507" t="n">
        <f aca="false">IF(OR($R224="Ground",$S224="Ground"),4,SUM(IF(OR($R224="Flying",$R224="Water"),0-1,IF(OR($R224="Dragon",$R224="Electric",$R224="Grass"),1,0)),IF(OR($S224="Flying",$S224="Water"),0-1,IF(OR($S224="Dragon",$S224="Electric",$S224="Grass"),1,0))))</f>
        <v>1</v>
      </c>
      <c r="AG224" s="507" t="n">
        <f aca="false">SUM(IF(OR($R224="Dark",$R224="Dragon",$R224="Fighting"),0-1,IF(OR($R224="Steel",$R224="Poison",$R224="Fire"),1,0)),IF(OR($S224="Dark",$S224="Dragon",$S224="Fighting"),0-1,IF(OR($S224="Steel",$S224="Poison",$S224="Fire"),1,0)))</f>
        <v>1</v>
      </c>
      <c r="AH224" s="507" t="n">
        <f aca="false">IF(OR($R224="Ghost",$S224="Ghost"),4,SUM(IF(OR($R224="Dark",$R224="Ice",$R224="Normal",$R224="Rock",$R224="Steel"),0-1,IF(OR($R224="Bug",$R224="Fairy",$R224="Flying",$R224="Poison",$R224="Psychic"),1,0)),IF(OR($S224="Dark",$S224="Ice",$S224="Normal",$S224="Rock",$S224="Steel"),0-1,IF(OR($S224="Bug",$S224="Fairy",$S224="Flying",$S224="Poison",$S224="Psychic"),1,0))))</f>
        <v>-1</v>
      </c>
      <c r="AI224" s="507" t="n">
        <f aca="false">SUM(IF(OR($R224="Bug",$R224="Grass",$R224="Ice",$R224="Steel"),0-1,IF(OR($R224="Dragon",$R224="Fire",$R224="Rock",$R224="Water"),1,0)),IF(OR($S224="Bug",$S224="Grass",$S224="Ice",$S224="Steel"),0-1,IF(OR($S224="Dragon",$S224="Fire",$S224="Rock",$S224="Water"),1,0)))</f>
        <v>-2</v>
      </c>
      <c r="AJ224" s="507" t="n">
        <f aca="false">SUM(IF(OR($R224="Bug",$R224="Grass",$R224="Fighting"),0-1,IF(OR($R224="Electric",$R224="Rock",$R224="Steel"),1,0)),IF(OR($S224="Bug",$S224="Grass",$S224="Fighting"),0-1,IF(OR($S224="Electric",$S224="Rock",$S224="Steel"),1,0)))</f>
        <v>0</v>
      </c>
      <c r="AK224" s="507" t="n">
        <f aca="false">IF(OR($R224="Normal",$S224="Normal"),4,SUM(IF(OR($R224="Ghost",$R224="Psychic"),0-1,IF($R224="Dark",1,0)),IF(OR($S224="Ghost",$S224="Psychic"),0-1,IF($S224="Dark",1,0))))</f>
        <v>0</v>
      </c>
      <c r="AL224" s="507" t="n">
        <f aca="false">SUM(IF(OR($R224="Ground",$R224="Rock",$R224="Water"),0-1,IF(OR($R224="Bug",$R224="Flying",$R224="Fire",$R224="Dragon",$R224="Poison",$R224="Steel",$R224="Grass"),1,0)),IF(OR($S224="Ground",$S224="Rock",$S224="Water"),0-1,IF(OR($S224="Bug",$S224="Flying",$S224="Fire",$S224="Dragon",$S224="Poison",$S224="Steel",$S224="Grass"),1,0)))</f>
        <v>2</v>
      </c>
      <c r="AM224" s="507" t="n">
        <f aca="false">IF(OR($R224="Flying",$S224="Flying"),4,SUM(IF(OR($R224="Electric",$R224="Fire",$R224="Rock",$R224="Steel",$R224="Poison"),0-1,IF(OR($R224="Bug",$R224="Grass"),1,0)),IF(OR($S224="Electric",$S224="Fire",$S224="Rock",$S224="Steel",$S224="Poison"),0-1,IF(OR($S224="Bug",$S224="Grass"),1,0))))</f>
        <v>0</v>
      </c>
      <c r="AN224" s="507" t="n">
        <f aca="false">SUM(IF(OR($R224="Flying",$R224="Dragon",$R224="Grass",$R224="Ground"),0-1,IF(OR($R224="Steel",$R224="Ice",$R224="Fire",$R224="Water"),1,0)),IF(OR($S224="Flying",$S224="Dragon",$S224="Grass",$S224="Ground"),0-1,IF(OR($S224="Steel",$S224="Ice",$S224="Fire",$S224="Water"),1,0)))</f>
        <v>0</v>
      </c>
      <c r="AO224" s="507" t="n">
        <f aca="false">IF(OR($R224="Ghost",$S224="Ghost"),4,SUM(IF(OR($R224="Steel",$R224="Rock"),1,0),IF(OR($S224="Steel",$S224="Rock"),1,0)))</f>
        <v>1</v>
      </c>
      <c r="AP224" s="507" t="n">
        <f aca="false">IF(OR($R224="Steel",$S224="Steel"),4,SUM(IF(OR($R224="Fairy",$R224="Grass"),0-1,IF(OR($R224="Ghost",$R224="Rock",$R224="Ground",$R224="Poison"),1,0)),IF(OR($S224="Fairy",$S224="Grass"),0-1,IF(OR($S224="Ghost",$S224="Rock",$S224="Ground",$S224="Poison"),1,0))))</f>
        <v>4</v>
      </c>
      <c r="AQ224" s="507" t="n">
        <f aca="false">IF(OR($R224="Dark",$S224="Dark"),4,SUM(IF(OR($R224="Fighting",$R224="Poison"),0-1,IF(OR($R224="Psychic",$R224="Steel"),1,0)),IF(OR($S224="Fighting",$S224="Poison"),0-1,IF(OR($S224="Psychic",$S224="Steel"),1,0))))</f>
        <v>1</v>
      </c>
      <c r="AR224" s="507" t="n">
        <f aca="false">SUM(IF(OR($R224="Bug",$R224="Fire",$R224="Flying",$R224="Ice"),0-1,IF(OR($R224="Steel",$R224="Fighting",$R224="Ground"),1,0)),IF(OR($S224="Bug",$S224="Fire",$S224="Flying",$S224="Ice"),0-1,IF(OR($S224="Steel",$S224="Fighting",$S224="Ground"),1,0)))</f>
        <v>1</v>
      </c>
      <c r="AS224" s="507" t="n">
        <f aca="false">SUM(IF(OR($R224="Fairy",$R224="Ice",$R224="Rock"),0-1,IF(OR($R224="Steel",$R224="Electric",$R224="Fire",$R224="Water"),1,0)),IF(OR($S224="Fairy",$S224="Ice",$S224="Rock"),0-1,IF(OR($S224="Steel",$S224="Electric",$S224="Fire",$S224="Water"),1,0)))</f>
        <v>1</v>
      </c>
      <c r="AT224" s="508" t="n">
        <f aca="false">SUM(IF(OR($R224="Fire",$R224="Ground",$R224="Rock"),0-1,IF(OR($R224="Dragon",$R224="Grass",$R224="Water"),1,0)),IF(OR($S224="Fire",$S224="Ground",$S224="Rock"),0-1,IF(OR($S224="Dragon",$S224="Grass",$S224="Water"),1,0)))</f>
        <v>1</v>
      </c>
      <c r="AU224" s="518"/>
    </row>
    <row r="225" customFormat="false" ht="15.75" hidden="false" customHeight="false" outlineLevel="0" collapsed="false">
      <c r="A225" s="510" t="str">
        <f aca="false" t="array" ref="A225:A225">IF(ISNA(INDEX(Source!$U$7:$U$95,MATCH(B225,Source!$V$7:$V$95,0))),"FREE",INDEX(Source!$U$7:$U$95,MATCH(B225,Source!$V$7:$V$95,0)))</f>
        <v>FREE</v>
      </c>
      <c r="B225" s="511" t="s">
        <v>269</v>
      </c>
      <c r="C225" s="511"/>
      <c r="D225" s="511"/>
      <c r="E225" s="499" t="str">
        <f aca="false">IF(SUM($W225:$X225)&gt;0,SUM($W225:$X225),IF($H225&gt;0,0,IF($H225&gt;0,0,"-")))</f>
        <v>-</v>
      </c>
      <c r="F225" s="499" t="str">
        <f aca="false">IF(SUM($Y225:$Z225)&gt;0,SUM($Y225:$Z225),IF($H225&gt;0,0,"-"))</f>
        <v>-</v>
      </c>
      <c r="G225" s="499" t="str">
        <f aca="false">IF($H225&gt;0,minus(E225,F225),"-")</f>
        <v>-</v>
      </c>
      <c r="H225" s="500" t="n">
        <f aca="false">SUM(COUNTIF(MatchSource!$A:$A,$B225),COUNTIF(MatchSource!$H:$H,$B225))</f>
        <v>0</v>
      </c>
      <c r="I225" s="501" t="n">
        <f aca="false">SUM($AA225:$AB225)</f>
        <v>0</v>
      </c>
      <c r="J225" s="501" t="s">
        <v>702</v>
      </c>
      <c r="K225" s="512" t="n">
        <f aca="false" t="array" ref="K225:K225">IF(ISNA(INDEX(DraftRosters!$AA$3:$AA$199,MATCH($B225,DraftRosters!$AB$3:$AB$199,0))),"FA",IF(INDEX(DraftRosters!$AA$3:$AA$199,MATCH($B225,DraftRosters!$AB$3:$AB$199,0))="Franchise","Franch",INDEX(DraftRosters!$AA$3:$AA$199,MATCH($B225,DraftRosters!$AB$3:$AB$199,0))))</f>
        <v>51</v>
      </c>
      <c r="L225" s="499" t="n">
        <v>60</v>
      </c>
      <c r="M225" s="499" t="n">
        <v>90</v>
      </c>
      <c r="N225" s="499" t="n">
        <v>70</v>
      </c>
      <c r="O225" s="499" t="n">
        <v>60</v>
      </c>
      <c r="P225" s="499" t="n">
        <v>120</v>
      </c>
      <c r="Q225" s="501" t="n">
        <v>40</v>
      </c>
      <c r="R225" s="499" t="s">
        <v>839</v>
      </c>
      <c r="S225" s="501"/>
      <c r="T225" s="504" t="s">
        <v>1005</v>
      </c>
      <c r="U225" s="505" t="s">
        <v>1006</v>
      </c>
      <c r="V225" s="506"/>
      <c r="W225" s="500" t="str">
        <f aca="false">IFERROR(__xludf.dummyfunction("if(isna(SUM(FILTER(MatchSource!$A:$D,MatchSource!$A:$A=$B225))),0,SUM(FILTER(MatchSource!$A:$D,MatchSource!$A:$A=$B225)))"),"0")</f>
        <v>0</v>
      </c>
      <c r="X225" s="499" t="str">
        <f aca="false">IFERROR(__xludf.dummyfunction("if(isna(SUM(FILTER(MatchSource!$H:$K,MatchSource!$H:$H=$B225))),0,SUM(FILTER(MatchSource!$H:$K,MatchSource!$H:$H=$B225)))"),"0")</f>
        <v>0</v>
      </c>
      <c r="Y225" s="499" t="str">
        <f aca="false">IFERROR(__xludf.dummyfunction("if(isna(ABS(MINUS(SUM(FILTER(MatchSource!$A:$E,MatchSource!$A:$A=$B225)),SUM($W225)))),0,ABS(MINUS(SUM(FILTER(MatchSource!$A:$E,MatchSource!$A:$A=$B225)),SUM($W225))))"),"0")</f>
        <v>0</v>
      </c>
      <c r="Z225" s="499" t="str">
        <f aca="false">IFERROR(__xludf.dummyfunction("if(isna(ABS(MINUS(SUM(FILTER(MatchSource!$H:$L,MatchSource!$H:$H=$B225)),SUM($X225)))),0,ABS(MINUS(SUM(FILTER(MatchSource!$H:$L,MatchSource!$H:$H=$B225)),SUM($X225))))"),"0")</f>
        <v>0</v>
      </c>
      <c r="AA225" s="499" t="str">
        <f aca="false">IFERROR(__xludf.dummyfunction("if(isna(ABS(MINUS(SUM(FILTER(MatchSource!$A:$F,MatchSource!$A:$A=$B225)),SUM($W225,$Y225)))),0,ABS(MINUS(SUM(FILTER(MatchSource!$A:$F,MatchSource!$A:$A=$B225)),SUM($W225, $Y225,))))"),"0")</f>
        <v>0</v>
      </c>
      <c r="AB225" s="501" t="str">
        <f aca="false">IFERROR(__xludf.dummyfunction("if(isna(ABS(MINUS(SUM(FILTER(MatchSource!$H:$M,MatchSource!$H:$H=$B225)),SUM($X225,$Z225)))),0,ABS(MINUS(SUM(FILTER(MatchSource!$H:$M,MatchSource!$H:$H=$B225)),SUM($X225,$Z225))))"),"0")</f>
        <v>0</v>
      </c>
      <c r="AC225" s="507" t="n">
        <f aca="false">SUM(IF(OR($R225="Grass",$R225="Psychic",$R225="Dark"),0-1,IF(OR($R225="Fighting",$R225="Flying",$R225="Fire",$R225="Ghost",$R225="Poison",$R225="Steel",$R225="Fairy"),1,0)),IF(OR($S225="Grass",$S225="Psychic",$S225="Dark"),0-1,IF(OR($S225="Fighting",$S225="Flying",$S225="Fire",$S225="Ghost",$S225="Poison",$S225="Steel",$S225="Fairy"),1,0)))</f>
        <v>0</v>
      </c>
      <c r="AD225" s="507" t="n">
        <f aca="false">SUM(IF(OR($R225="Ghost",$R225="Psychic"),0-1,IF(OR($R225="Fighting",$R225="Dark",$R225="Fairy"),1,0)),IF(OR($S225="Ghost",$S225="Psychic"),0-1,IF(OR($S225="Fighting",$S225="Dark",$S225="Fairy"),1,0)))</f>
        <v>0</v>
      </c>
      <c r="AE225" s="507" t="n">
        <f aca="false">IF(OR($R225="Fairy",$S225="Fairy"),4,SUM(IF($R225="Dragon",0-1,IF($R225="Steel",1,0)),IF($S225="Dragon",0-1,IF($S225="Steel",1,0))))</f>
        <v>0</v>
      </c>
      <c r="AF225" s="507" t="n">
        <f aca="false">IF(OR($R225="Ground",$S225="Ground"),4,SUM(IF(OR($R225="Flying",$R225="Water"),0-1,IF(OR($R225="Dragon",$R225="Electric",$R225="Grass"),1,0)),IF(OR($S225="Flying",$S225="Water"),0-1,IF(OR($S225="Dragon",$S225="Electric",$S225="Grass"),1,0))))</f>
        <v>0</v>
      </c>
      <c r="AG225" s="507" t="n">
        <f aca="false">SUM(IF(OR($R225="Dark",$R225="Dragon",$R225="Fighting"),0-1,IF(OR($R225="Steel",$R225="Poison",$R225="Fire"),1,0)),IF(OR($S225="Dark",$S225="Dragon",$S225="Fighting"),0-1,IF(OR($S225="Steel",$S225="Poison",$S225="Fire"),1,0)))</f>
        <v>0</v>
      </c>
      <c r="AH225" s="507" t="n">
        <f aca="false">IF(OR($R225="Ghost",$S225="Ghost"),4,SUM(IF(OR($R225="Dark",$R225="Ice",$R225="Normal",$R225="Rock",$R225="Steel"),0-1,IF(OR($R225="Bug",$R225="Fairy",$R225="Flying",$R225="Poison",$R225="Psychic"),1,0)),IF(OR($S225="Dark",$S225="Ice",$S225="Normal",$S225="Rock",$S225="Steel"),0-1,IF(OR($S225="Bug",$S225="Fairy",$S225="Flying",$S225="Poison",$S225="Psychic"),1,0))))</f>
        <v>-1</v>
      </c>
      <c r="AI225" s="507" t="n">
        <f aca="false">SUM(IF(OR($R225="Bug",$R225="Grass",$R225="Ice",$R225="Steel"),0-1,IF(OR($R225="Dragon",$R225="Fire",$R225="Rock",$R225="Water"),1,0)),IF(OR($S225="Bug",$S225="Grass",$S225="Ice",$S225="Steel"),0-1,IF(OR($S225="Dragon",$S225="Fire",$S225="Rock",$S225="Water"),1,0)))</f>
        <v>0</v>
      </c>
      <c r="AJ225" s="507" t="n">
        <f aca="false">SUM(IF(OR($R225="Bug",$R225="Grass",$R225="Fighting"),0-1,IF(OR($R225="Electric",$R225="Rock",$R225="Steel"),1,0)),IF(OR($S225="Bug",$S225="Grass",$S225="Fighting"),0-1,IF(OR($S225="Electric",$S225="Rock",$S225="Steel"),1,0)))</f>
        <v>0</v>
      </c>
      <c r="AK225" s="507" t="n">
        <f aca="false">IF(OR($R225="Normal",$S225="Normal"),4,SUM(IF(OR($R225="Ghost",$R225="Psychic"),0-1,IF($R225="Dark",1,0)),IF(OR($S225="Ghost",$S225="Psychic"),0-1,IF($S225="Dark",1,0))))</f>
        <v>4</v>
      </c>
      <c r="AL225" s="507" t="n">
        <f aca="false">SUM(IF(OR($R225="Ground",$R225="Rock",$R225="Water"),0-1,IF(OR($R225="Bug",$R225="Flying",$R225="Fire",$R225="Dragon",$R225="Poison",$R225="Steel",$R225="Grass"),1,0)),IF(OR($S225="Ground",$S225="Rock",$S225="Water"),0-1,IF(OR($S225="Bug",$S225="Flying",$S225="Fire",$S225="Dragon",$S225="Poison",$S225="Steel",$S225="Grass"),1,0)))</f>
        <v>0</v>
      </c>
      <c r="AM225" s="507" t="n">
        <f aca="false">IF(OR($R225="Flying",$S225="Flying"),4,SUM(IF(OR($R225="Electric",$R225="Fire",$R225="Rock",$R225="Steel",$R225="Poison"),0-1,IF(OR($R225="Bug",$R225="Grass"),1,0)),IF(OR($S225="Electric",$S225="Fire",$S225="Rock",$S225="Steel",$S225="Poison"),0-1,IF(OR($S225="Bug",$S225="Grass"),1,0))))</f>
        <v>0</v>
      </c>
      <c r="AN225" s="507" t="n">
        <f aca="false">SUM(IF(OR($R225="Flying",$R225="Dragon",$R225="Grass",$R225="Ground"),0-1,IF(OR($R225="Steel",$R225="Ice",$R225="Fire",$R225="Water"),1,0)),IF(OR($S225="Flying",$S225="Dragon",$S225="Grass",$S225="Ground"),0-1,IF(OR($S225="Steel",$S225="Ice",$S225="Fire",$S225="Water"),1,0)))</f>
        <v>0</v>
      </c>
      <c r="AO225" s="507" t="n">
        <f aca="false">IF(OR($R225="Ghost",$S225="Ghost"),4,SUM(IF(OR($R225="Steel",$R225="Rock"),1,0),IF(OR($S225="Steel",$S225="Rock"),1,0)))</f>
        <v>0</v>
      </c>
      <c r="AP225" s="507" t="n">
        <f aca="false">IF(OR($R225="Steel",$S225="Steel"),4,SUM(IF(OR($R225="Fairy",$R225="Grass"),0-1,IF(OR($R225="Ghost",$R225="Rock",$R225="Ground",$R225="Poison"),1,0)),IF(OR($S225="Fairy",$S225="Grass"),0-1,IF(OR($S225="Ghost",$S225="Rock",$S225="Ground",$S225="Poison"),1,0))))</f>
        <v>0</v>
      </c>
      <c r="AQ225" s="507" t="n">
        <f aca="false">IF(OR($R225="Dark",$S225="Dark"),4,SUM(IF(OR($R225="Fighting",$R225="Poison"),0-1,IF(OR($R225="Psychic",$R225="Steel"),1,0)),IF(OR($S225="Fighting",$S225="Poison"),0-1,IF(OR($S225="Psychic",$S225="Steel"),1,0))))</f>
        <v>0</v>
      </c>
      <c r="AR225" s="507" t="n">
        <f aca="false">SUM(IF(OR($R225="Bug",$R225="Fire",$R225="Flying",$R225="Ice"),0-1,IF(OR($R225="Steel",$R225="Fighting",$R225="Ground"),1,0)),IF(OR($S225="Bug",$S225="Fire",$S225="Flying",$S225="Ice"),0-1,IF(OR($S225="Steel",$S225="Fighting",$S225="Ground"),1,0)))</f>
        <v>0</v>
      </c>
      <c r="AS225" s="507" t="n">
        <f aca="false">SUM(IF(OR($R225="Fairy",$R225="Ice",$R225="Rock"),0-1,IF(OR($R225="Steel",$R225="Electric",$R225="Fire",$R225="Water"),1,0)),IF(OR($S225="Fairy",$S225="Ice",$S225="Rock"),0-1,IF(OR($S225="Steel",$S225="Electric",$S225="Fire",$S225="Water"),1,0)))</f>
        <v>0</v>
      </c>
      <c r="AT225" s="508" t="n">
        <f aca="false">SUM(IF(OR($R225="Fire",$R225="Ground",$R225="Rock"),0-1,IF(OR($R225="Dragon",$R225="Grass",$R225="Water"),1,0)),IF(OR($S225="Fire",$S225="Ground",$S225="Rock"),0-1,IF(OR($S225="Dragon",$S225="Grass",$S225="Water"),1,0)))</f>
        <v>0</v>
      </c>
      <c r="AU225" s="518"/>
    </row>
    <row r="226" customFormat="false" ht="15.75" hidden="false" customHeight="false" outlineLevel="0" collapsed="false">
      <c r="A226" s="510" t="str">
        <f aca="false" t="array" ref="A226:A226">IF(ISNA(INDEX(Source!$U$7:$U$95,MATCH(B226,Source!$V$7:$V$95,0))),"FREE",INDEX(Source!$U$7:$U$95,MATCH(B226,Source!$V$7:$V$95,0)))</f>
        <v>FREE</v>
      </c>
      <c r="B226" s="511" t="s">
        <v>367</v>
      </c>
      <c r="C226" s="511"/>
      <c r="D226" s="511"/>
      <c r="E226" s="499" t="str">
        <f aca="false">IF(SUM($W226:$X226)&gt;0,SUM($W226:$X226),IF($H226&gt;0,0,IF($H226&gt;0,0,"-")))</f>
        <v>-</v>
      </c>
      <c r="F226" s="499" t="str">
        <f aca="false">IF(SUM($Y226:$Z226)&gt;0,SUM($Y226:$Z226),IF($H226&gt;0,0,"-"))</f>
        <v>-</v>
      </c>
      <c r="G226" s="499" t="str">
        <f aca="false">IF($H226&gt;0,minus(E226,F226),"-")</f>
        <v>-</v>
      </c>
      <c r="H226" s="500" t="n">
        <f aca="false">SUM(COUNTIF(MatchSource!$A:$A,$B226),COUNTIF(MatchSource!$H:$H,$B226))</f>
        <v>0</v>
      </c>
      <c r="I226" s="501" t="n">
        <f aca="false">SUM($AA226:$AB226)</f>
        <v>0</v>
      </c>
      <c r="J226" s="501" t="s">
        <v>698</v>
      </c>
      <c r="K226" s="512" t="str">
        <f aca="false" t="array" ref="K226:K226">IF(ISNA(INDEX(DraftRosters!$AA$3:$AA$199,MATCH($B226,DraftRosters!$AB$3:$AB$199,0))),"FA",IF(INDEX(DraftRosters!$AA$3:$AA$199,MATCH($B226,DraftRosters!$AB$3:$AB$199,0))="Franchise","Franch",INDEX(DraftRosters!$AA$3:$AA$199,MATCH($B226,DraftRosters!$AB$3:$AB$199,0))))</f>
        <v>FA</v>
      </c>
      <c r="L226" s="507" t="n">
        <v>91</v>
      </c>
      <c r="M226" s="507" t="n">
        <v>72</v>
      </c>
      <c r="N226" s="507" t="n">
        <v>90</v>
      </c>
      <c r="O226" s="507" t="n">
        <v>129</v>
      </c>
      <c r="P226" s="507" t="n">
        <v>90</v>
      </c>
      <c r="Q226" s="508" t="n">
        <v>108</v>
      </c>
      <c r="R226" s="499" t="s">
        <v>881</v>
      </c>
      <c r="S226" s="501" t="s">
        <v>811</v>
      </c>
      <c r="T226" s="504" t="s">
        <v>815</v>
      </c>
      <c r="U226" s="505"/>
      <c r="V226" s="506"/>
      <c r="W226" s="500" t="str">
        <f aca="false">IFERROR(__xludf.dummyfunction("if(isna(SUM(FILTER(MatchSource!$A:$D,MatchSource!$A:$A=$B226))),0,SUM(FILTER(MatchSource!$A:$D,MatchSource!$A:$A=$B226)))"),"0")</f>
        <v>0</v>
      </c>
      <c r="X226" s="499" t="str">
        <f aca="false">IFERROR(__xludf.dummyfunction("if(isna(SUM(FILTER(MatchSource!$H:$K,MatchSource!$H:$H=$B226))),0,SUM(FILTER(MatchSource!$H:$K,MatchSource!$H:$H=$B226)))"),"0")</f>
        <v>0</v>
      </c>
      <c r="Y226" s="499" t="str">
        <f aca="false">IFERROR(__xludf.dummyfunction("if(isna(ABS(MINUS(SUM(FILTER(MatchSource!$A:$E,MatchSource!$A:$A=$B226)),SUM($W226)))),0,ABS(MINUS(SUM(FILTER(MatchSource!$A:$E,MatchSource!$A:$A=$B226)),SUM($W226))))"),"0")</f>
        <v>0</v>
      </c>
      <c r="Z226" s="499" t="str">
        <f aca="false">IFERROR(__xludf.dummyfunction("if(isna(ABS(MINUS(SUM(FILTER(MatchSource!$H:$L,MatchSource!$H:$H=$B226)),SUM($X226)))),0,ABS(MINUS(SUM(FILTER(MatchSource!$H:$L,MatchSource!$H:$H=$B226)),SUM($X226))))"),"0")</f>
        <v>0</v>
      </c>
      <c r="AA226" s="499" t="str">
        <f aca="false">IFERROR(__xludf.dummyfunction("if(isna(ABS(MINUS(SUM(FILTER(MatchSource!$A:$F,MatchSource!$A:$A=$B226)),SUM($W226,$Y226)))),0,ABS(MINUS(SUM(FILTER(MatchSource!$A:$F,MatchSource!$A:$A=$B226)),SUM($W226, $Y226,))))"),"0")</f>
        <v>0</v>
      </c>
      <c r="AB226" s="501" t="str">
        <f aca="false">IFERROR(__xludf.dummyfunction("if(isna(ABS(MINUS(SUM(FILTER(MatchSource!$H:$M,MatchSource!$H:$H=$B226)),SUM($X226,$Z226)))),0,ABS(MINUS(SUM(FILTER(MatchSource!$H:$M,MatchSource!$H:$H=$B226)),SUM($X226,$Z226))))"),"0")</f>
        <v>0</v>
      </c>
      <c r="AC226" s="507" t="n">
        <f aca="false">SUM(IF(OR($R226="Grass",$R226="Psychic",$R226="Dark"),0-1,IF(OR($R226="Fighting",$R226="Flying",$R226="Fire",$R226="Ghost",$R226="Poison",$R226="Steel",$R226="Fairy"),1,0)),IF(OR($S226="Grass",$S226="Psychic",$S226="Dark"),0-1,IF(OR($S226="Fighting",$S226="Flying",$S226="Fire",$S226="Ghost",$S226="Poison",$S226="Steel",$S226="Fairy"),1,0)))</f>
        <v>1</v>
      </c>
      <c r="AD226" s="507" t="n">
        <f aca="false">SUM(IF(OR($R226="Ghost",$R226="Psychic"),0-1,IF(OR($R226="Fighting",$R226="Dark",$R226="Fairy"),1,0)),IF(OR($S226="Ghost",$S226="Psychic"),0-1,IF(OR($S226="Fighting",$S226="Dark",$S226="Fairy"),1,0)))</f>
        <v>1</v>
      </c>
      <c r="AE226" s="507" t="n">
        <f aca="false">IF(OR($R226="Fairy",$S226="Fairy"),4,SUM(IF($R226="Dragon",0-1,IF($R226="Steel",1,0)),IF($S226="Dragon",0-1,IF($S226="Steel",1,0))))</f>
        <v>0</v>
      </c>
      <c r="AF226" s="507" t="n">
        <f aca="false">IF(OR($R226="Ground",$S226="Ground"),4,SUM(IF(OR($R226="Flying",$R226="Water"),0-1,IF(OR($R226="Dragon",$R226="Electric",$R226="Grass"),1,0)),IF(OR($S226="Flying",$S226="Water"),0-1,IF(OR($S226="Dragon",$S226="Electric",$S226="Grass"),1,0))))</f>
        <v>-1</v>
      </c>
      <c r="AG226" s="507" t="n">
        <f aca="false">SUM(IF(OR($R226="Dark",$R226="Dragon",$R226="Fighting"),0-1,IF(OR($R226="Steel",$R226="Poison",$R226="Fire"),1,0)),IF(OR($S226="Dark",$S226="Dragon",$S226="Fighting"),0-1,IF(OR($S226="Steel",$S226="Poison",$S226="Fire"),1,0)))</f>
        <v>-1</v>
      </c>
      <c r="AH226" s="507" t="n">
        <f aca="false">IF(OR($R226="Ghost",$S226="Ghost"),4,SUM(IF(OR($R226="Dark",$R226="Ice",$R226="Normal",$R226="Rock",$R226="Steel"),0-1,IF(OR($R226="Bug",$R226="Fairy",$R226="Flying",$R226="Poison",$R226="Psychic"),1,0)),IF(OR($S226="Dark",$S226="Ice",$S226="Normal",$S226="Rock",$S226="Steel"),0-1,IF(OR($S226="Bug",$S226="Fairy",$S226="Flying",$S226="Poison",$S226="Psychic"),1,0))))</f>
        <v>0</v>
      </c>
      <c r="AI226" s="507" t="n">
        <f aca="false">SUM(IF(OR($R226="Bug",$R226="Grass",$R226="Ice",$R226="Steel"),0-1,IF(OR($R226="Dragon",$R226="Fire",$R226="Rock",$R226="Water"),1,0)),IF(OR($S226="Bug",$S226="Grass",$S226="Ice",$S226="Steel"),0-1,IF(OR($S226="Dragon",$S226="Fire",$S226="Rock",$S226="Water"),1,0)))</f>
        <v>1</v>
      </c>
      <c r="AJ226" s="507" t="n">
        <f aca="false">SUM(IF(OR($R226="Bug",$R226="Grass",$R226="Fighting"),0-1,IF(OR($R226="Electric",$R226="Rock",$R226="Steel"),1,0)),IF(OR($S226="Bug",$S226="Grass",$S226="Fighting"),0-1,IF(OR($S226="Electric",$S226="Rock",$S226="Steel"),1,0)))</f>
        <v>-1</v>
      </c>
      <c r="AK226" s="507" t="n">
        <f aca="false">IF(OR($R226="Normal",$S226="Normal"),4,SUM(IF(OR($R226="Ghost",$R226="Psychic"),0-1,IF($R226="Dark",1,0)),IF(OR($S226="Ghost",$S226="Psychic"),0-1,IF($S226="Dark",1,0))))</f>
        <v>0</v>
      </c>
      <c r="AL226" s="507" t="n">
        <f aca="false">SUM(IF(OR($R226="Ground",$R226="Rock",$R226="Water"),0-1,IF(OR($R226="Bug",$R226="Flying",$R226="Fire",$R226="Dragon",$R226="Poison",$R226="Steel",$R226="Grass"),1,0)),IF(OR($S226="Ground",$S226="Rock",$S226="Water"),0-1,IF(OR($S226="Bug",$S226="Flying",$S226="Fire",$S226="Dragon",$S226="Poison",$S226="Steel",$S226="Grass"),1,0)))</f>
        <v>-1</v>
      </c>
      <c r="AM226" s="507" t="n">
        <f aca="false">IF(OR($R226="Flying",$S226="Flying"),4,SUM(IF(OR($R226="Electric",$R226="Fire",$R226="Rock",$R226="Steel",$R226="Poison"),0-1,IF(OR($R226="Bug",$R226="Grass"),1,0)),IF(OR($S226="Electric",$S226="Fire",$S226="Rock",$S226="Steel",$S226="Poison"),0-1,IF(OR($S226="Bug",$S226="Grass"),1,0))))</f>
        <v>0</v>
      </c>
      <c r="AN226" s="507" t="n">
        <f aca="false">SUM(IF(OR($R226="Flying",$R226="Dragon",$R226="Grass",$R226="Ground"),0-1,IF(OR($R226="Steel",$R226="Ice",$R226="Fire",$R226="Water"),1,0)),IF(OR($S226="Flying",$S226="Dragon",$S226="Grass",$S226="Ground"),0-1,IF(OR($S226="Steel",$S226="Ice",$S226="Fire",$S226="Water"),1,0)))</f>
        <v>1</v>
      </c>
      <c r="AO226" s="507" t="n">
        <f aca="false">IF(OR($R226="Ghost",$S226="Ghost"),4,SUM(IF(OR($R226="Steel",$R226="Rock"),1,0),IF(OR($S226="Steel",$S226="Rock"),1,0)))</f>
        <v>0</v>
      </c>
      <c r="AP226" s="507" t="n">
        <f aca="false">IF(OR($R226="Steel",$S226="Steel"),4,SUM(IF(OR($R226="Fairy",$R226="Grass"),0-1,IF(OR($R226="Ghost",$R226="Rock",$R226="Ground",$R226="Poison"),1,0)),IF(OR($S226="Fairy",$S226="Grass"),0-1,IF(OR($S226="Ghost",$S226="Rock",$S226="Ground",$S226="Poison"),1,0))))</f>
        <v>0</v>
      </c>
      <c r="AQ226" s="507" t="n">
        <f aca="false">IF(OR($R226="Dark",$S226="Dark"),4,SUM(IF(OR($R226="Fighting",$R226="Poison"),0-1,IF(OR($R226="Psychic",$R226="Steel"),1,0)),IF(OR($S226="Fighting",$S226="Poison"),0-1,IF(OR($S226="Psychic",$S226="Steel"),1,0))))</f>
        <v>-1</v>
      </c>
      <c r="AR226" s="507" t="n">
        <f aca="false">SUM(IF(OR($R226="Bug",$R226="Fire",$R226="Flying",$R226="Ice"),0-1,IF(OR($R226="Steel",$R226="Fighting",$R226="Ground"),1,0)),IF(OR($S226="Bug",$S226="Fire",$S226="Flying",$S226="Ice"),0-1,IF(OR($S226="Steel",$S226="Fighting",$S226="Ground"),1,0)))</f>
        <v>1</v>
      </c>
      <c r="AS226" s="507" t="n">
        <f aca="false">SUM(IF(OR($R226="Fairy",$R226="Ice",$R226="Rock"),0-1,IF(OR($R226="Steel",$R226="Electric",$R226="Fire",$R226="Water"),1,0)),IF(OR($S226="Fairy",$S226="Ice",$S226="Rock"),0-1,IF(OR($S226="Steel",$S226="Electric",$S226="Fire",$S226="Water"),1,0)))</f>
        <v>1</v>
      </c>
      <c r="AT226" s="508" t="n">
        <f aca="false">SUM(IF(OR($R226="Fire",$R226="Ground",$R226="Rock"),0-1,IF(OR($R226="Dragon",$R226="Grass",$R226="Water"),1,0)),IF(OR($S226="Fire",$S226="Ground",$S226="Rock"),0-1,IF(OR($S226="Dragon",$S226="Grass",$S226="Water"),1,0)))</f>
        <v>1</v>
      </c>
      <c r="AU226" s="518"/>
    </row>
    <row r="227" customFormat="false" ht="15.75" hidden="false" customHeight="false" outlineLevel="0" collapsed="false">
      <c r="A227" s="510" t="str">
        <f aca="false" t="array" ref="A227:A227">IF(ISNA(INDEX(Source!$U$7:$U$95,MATCH(B227,Source!$V$7:$V$95,0))),"FREE",INDEX(Source!$U$7:$U$95,MATCH(B227,Source!$V$7:$V$95,0)))</f>
        <v>FREE</v>
      </c>
      <c r="B227" s="511" t="s">
        <v>465</v>
      </c>
      <c r="C227" s="511"/>
      <c r="D227" s="511"/>
      <c r="E227" s="499" t="str">
        <f aca="false">IF(SUM($W227:$X227)&gt;0,SUM($W227:$X227),IF($H227&gt;0,0,IF($H227&gt;0,0,"-")))</f>
        <v>-</v>
      </c>
      <c r="F227" s="499" t="str">
        <f aca="false">IF(SUM($Y227:$Z227)&gt;0,SUM($Y227:$Z227),IF($H227&gt;0,0,"-"))</f>
        <v>-</v>
      </c>
      <c r="G227" s="499" t="str">
        <f aca="false">IF($H227&gt;0,minus(E227,F227),"-")</f>
        <v>-</v>
      </c>
      <c r="H227" s="500" t="n">
        <f aca="false">SUM(COUNTIF(MatchSource!$A:$A,$B227),COUNTIF(MatchSource!$H:$H,$B227))</f>
        <v>0</v>
      </c>
      <c r="I227" s="501" t="n">
        <f aca="false">SUM($AA227:$AB227)</f>
        <v>0</v>
      </c>
      <c r="J227" s="501" t="s">
        <v>700</v>
      </c>
      <c r="K227" s="512" t="str">
        <f aca="false" t="array" ref="K227:K227">IF(ISNA(INDEX(DraftRosters!$AA$3:$AA$199,MATCH($B227,DraftRosters!$AB$3:$AB$199,0))),"FA",IF(INDEX(DraftRosters!$AA$3:$AA$199,MATCH($B227,DraftRosters!$AB$3:$AB$199,0))="Franchise","Franch",INDEX(DraftRosters!$AA$3:$AA$199,MATCH($B227,DraftRosters!$AB$3:$AB$199,0))))</f>
        <v>FA</v>
      </c>
      <c r="L227" s="499" t="n">
        <v>75</v>
      </c>
      <c r="M227" s="499" t="n">
        <v>95</v>
      </c>
      <c r="N227" s="499" t="n">
        <v>95</v>
      </c>
      <c r="O227" s="499" t="n">
        <v>95</v>
      </c>
      <c r="P227" s="499" t="n">
        <v>95</v>
      </c>
      <c r="Q227" s="501" t="n">
        <v>85</v>
      </c>
      <c r="R227" s="499" t="s">
        <v>835</v>
      </c>
      <c r="S227" s="501" t="s">
        <v>811</v>
      </c>
      <c r="T227" s="504" t="s">
        <v>983</v>
      </c>
      <c r="U227" s="505" t="s">
        <v>859</v>
      </c>
      <c r="V227" s="506" t="s">
        <v>856</v>
      </c>
      <c r="W227" s="500" t="str">
        <f aca="false">IFERROR(__xludf.dummyfunction("if(isna(SUM(FILTER(MatchSource!$A:$D,MatchSource!$A:$A=$B227))),0,SUM(FILTER(MatchSource!$A:$D,MatchSource!$A:$A=$B227)))"),"0")</f>
        <v>0</v>
      </c>
      <c r="X227" s="499" t="str">
        <f aca="false">IFERROR(__xludf.dummyfunction("if(isna(SUM(FILTER(MatchSource!$H:$K,MatchSource!$H:$H=$B227))),0,SUM(FILTER(MatchSource!$H:$K,MatchSource!$H:$H=$B227)))"),"0")</f>
        <v>0</v>
      </c>
      <c r="Y227" s="499" t="str">
        <f aca="false">IFERROR(__xludf.dummyfunction("if(isna(ABS(MINUS(SUM(FILTER(MatchSource!$A:$E,MatchSource!$A:$A=$B227)),SUM($W227)))),0,ABS(MINUS(SUM(FILTER(MatchSource!$A:$E,MatchSource!$A:$A=$B227)),SUM($W227))))"),"0")</f>
        <v>0</v>
      </c>
      <c r="Z227" s="499" t="str">
        <f aca="false">IFERROR(__xludf.dummyfunction("if(isna(ABS(MINUS(SUM(FILTER(MatchSource!$H:$L,MatchSource!$H:$H=$B227)),SUM($X227)))),0,ABS(MINUS(SUM(FILTER(MatchSource!$H:$L,MatchSource!$H:$H=$B227)),SUM($X227))))"),"0")</f>
        <v>0</v>
      </c>
      <c r="AA227" s="499" t="str">
        <f aca="false">IFERROR(__xludf.dummyfunction("if(isna(ABS(MINUS(SUM(FILTER(MatchSource!$A:$F,MatchSource!$A:$A=$B227)),SUM($W227,$Y227)))),0,ABS(MINUS(SUM(FILTER(MatchSource!$A:$F,MatchSource!$A:$A=$B227)),SUM($W227, $Y227,))))"),"0")</f>
        <v>0</v>
      </c>
      <c r="AB227" s="501" t="str">
        <f aca="false">IFERROR(__xludf.dummyfunction("if(isna(ABS(MINUS(SUM(FILTER(MatchSource!$H:$M,MatchSource!$H:$H=$B227)),SUM($X227,$Z227)))),0,ABS(MINUS(SUM(FILTER(MatchSource!$H:$M,MatchSource!$H:$H=$B227)),SUM($X227,$Z227))))"),"0")</f>
        <v>0</v>
      </c>
      <c r="AC227" s="507" t="n">
        <f aca="false">SUM(IF(OR($R227="Grass",$R227="Psychic",$R227="Dark"),0-1,IF(OR($R227="Fighting",$R227="Flying",$R227="Fire",$R227="Ghost",$R227="Poison",$R227="Steel",$R227="Fairy"),1,0)),IF(OR($S227="Grass",$S227="Psychic",$S227="Dark"),0-1,IF(OR($S227="Fighting",$S227="Flying",$S227="Fire",$S227="Ghost",$S227="Poison",$S227="Steel",$S227="Fairy"),1,0)))</f>
        <v>0</v>
      </c>
      <c r="AD227" s="507" t="n">
        <f aca="false">SUM(IF(OR($R227="Ghost",$R227="Psychic"),0-1,IF(OR($R227="Fighting",$R227="Dark",$R227="Fairy"),1,0)),IF(OR($S227="Ghost",$S227="Psychic"),0-1,IF(OR($S227="Fighting",$S227="Dark",$S227="Fairy"),1,0)))</f>
        <v>0</v>
      </c>
      <c r="AE227" s="507" t="n">
        <f aca="false">IF(OR($R227="Fairy",$S227="Fairy"),4,SUM(IF($R227="Dragon",0-1,IF($R227="Steel",1,0)),IF($S227="Dragon",0-1,IF($S227="Steel",1,0))))</f>
        <v>-1</v>
      </c>
      <c r="AF227" s="507" t="n">
        <f aca="false">IF(OR($R227="Ground",$S227="Ground"),4,SUM(IF(OR($R227="Flying",$R227="Water"),0-1,IF(OR($R227="Dragon",$R227="Electric",$R227="Grass"),1,0)),IF(OR($S227="Flying",$S227="Water"),0-1,IF(OR($S227="Dragon",$S227="Electric",$S227="Grass"),1,0))))</f>
        <v>0</v>
      </c>
      <c r="AG227" s="507" t="n">
        <f aca="false">SUM(IF(OR($R227="Dark",$R227="Dragon",$R227="Fighting"),0-1,IF(OR($R227="Steel",$R227="Poison",$R227="Fire"),1,0)),IF(OR($S227="Dark",$S227="Dragon",$S227="Fighting"),0-1,IF(OR($S227="Steel",$S227="Poison",$S227="Fire"),1,0)))</f>
        <v>-1</v>
      </c>
      <c r="AH227" s="507" t="n">
        <f aca="false">IF(OR($R227="Ghost",$S227="Ghost"),4,SUM(IF(OR($R227="Dark",$R227="Ice",$R227="Normal",$R227="Rock",$R227="Steel"),0-1,IF(OR($R227="Bug",$R227="Fairy",$R227="Flying",$R227="Poison",$R227="Psychic"),1,0)),IF(OR($S227="Dark",$S227="Ice",$S227="Normal",$S227="Rock",$S227="Steel"),0-1,IF(OR($S227="Bug",$S227="Fairy",$S227="Flying",$S227="Poison",$S227="Psychic"),1,0))))</f>
        <v>0</v>
      </c>
      <c r="AI227" s="507" t="n">
        <f aca="false">SUM(IF(OR($R227="Bug",$R227="Grass",$R227="Ice",$R227="Steel"),0-1,IF(OR($R227="Dragon",$R227="Fire",$R227="Rock",$R227="Water"),1,0)),IF(OR($S227="Bug",$S227="Grass",$S227="Ice",$S227="Steel"),0-1,IF(OR($S227="Dragon",$S227="Fire",$S227="Rock",$S227="Water"),1,0)))</f>
        <v>2</v>
      </c>
      <c r="AJ227" s="507" t="n">
        <f aca="false">SUM(IF(OR($R227="Bug",$R227="Grass",$R227="Fighting"),0-1,IF(OR($R227="Electric",$R227="Rock",$R227="Steel"),1,0)),IF(OR($S227="Bug",$S227="Grass",$S227="Fighting"),0-1,IF(OR($S227="Electric",$S227="Rock",$S227="Steel"),1,0)))</f>
        <v>0</v>
      </c>
      <c r="AK227" s="507" t="n">
        <f aca="false">IF(OR($R227="Normal",$S227="Normal"),4,SUM(IF(OR($R227="Ghost",$R227="Psychic"),0-1,IF($R227="Dark",1,0)),IF(OR($S227="Ghost",$S227="Psychic"),0-1,IF($S227="Dark",1,0))))</f>
        <v>0</v>
      </c>
      <c r="AL227" s="507" t="n">
        <f aca="false">SUM(IF(OR($R227="Ground",$R227="Rock",$R227="Water"),0-1,IF(OR($R227="Bug",$R227="Flying",$R227="Fire",$R227="Dragon",$R227="Poison",$R227="Steel",$R227="Grass"),1,0)),IF(OR($S227="Ground",$S227="Rock",$S227="Water"),0-1,IF(OR($S227="Bug",$S227="Flying",$S227="Fire",$S227="Dragon",$S227="Poison",$S227="Steel",$S227="Grass"),1,0)))</f>
        <v>0</v>
      </c>
      <c r="AM227" s="507" t="n">
        <f aca="false">IF(OR($R227="Flying",$S227="Flying"),4,SUM(IF(OR($R227="Electric",$R227="Fire",$R227="Rock",$R227="Steel",$R227="Poison"),0-1,IF(OR($R227="Bug",$R227="Grass"),1,0)),IF(OR($S227="Electric",$S227="Fire",$S227="Rock",$S227="Steel",$S227="Poison"),0-1,IF(OR($S227="Bug",$S227="Grass"),1,0))))</f>
        <v>0</v>
      </c>
      <c r="AN227" s="507" t="n">
        <f aca="false">SUM(IF(OR($R227="Flying",$R227="Dragon",$R227="Grass",$R227="Ground"),0-1,IF(OR($R227="Steel",$R227="Ice",$R227="Fire",$R227="Water"),1,0)),IF(OR($S227="Flying",$S227="Dragon",$S227="Grass",$S227="Ground"),0-1,IF(OR($S227="Steel",$S227="Ice",$S227="Fire",$S227="Water"),1,0)))</f>
        <v>0</v>
      </c>
      <c r="AO227" s="507" t="n">
        <f aca="false">IF(OR($R227="Ghost",$S227="Ghost"),4,SUM(IF(OR($R227="Steel",$R227="Rock"),1,0),IF(OR($S227="Steel",$S227="Rock"),1,0)))</f>
        <v>0</v>
      </c>
      <c r="AP227" s="507" t="n">
        <f aca="false">IF(OR($R227="Steel",$S227="Steel"),4,SUM(IF(OR($R227="Fairy",$R227="Grass"),0-1,IF(OR($R227="Ghost",$R227="Rock",$R227="Ground",$R227="Poison"),1,0)),IF(OR($S227="Fairy",$S227="Grass"),0-1,IF(OR($S227="Ghost",$S227="Rock",$S227="Ground",$S227="Poison"),1,0))))</f>
        <v>0</v>
      </c>
      <c r="AQ227" s="507" t="n">
        <f aca="false">IF(OR($R227="Dark",$S227="Dark"),4,SUM(IF(OR($R227="Fighting",$R227="Poison"),0-1,IF(OR($R227="Psychic",$R227="Steel"),1,0)),IF(OR($S227="Fighting",$S227="Poison"),0-1,IF(OR($S227="Psychic",$S227="Steel"),1,0))))</f>
        <v>0</v>
      </c>
      <c r="AR227" s="507" t="n">
        <f aca="false">SUM(IF(OR($R227="Bug",$R227="Fire",$R227="Flying",$R227="Ice"),0-1,IF(OR($R227="Steel",$R227="Fighting",$R227="Ground"),1,0)),IF(OR($S227="Bug",$S227="Fire",$S227="Flying",$S227="Ice"),0-1,IF(OR($S227="Steel",$S227="Fighting",$S227="Ground"),1,0)))</f>
        <v>0</v>
      </c>
      <c r="AS227" s="507" t="n">
        <f aca="false">SUM(IF(OR($R227="Fairy",$R227="Ice",$R227="Rock"),0-1,IF(OR($R227="Steel",$R227="Electric",$R227="Fire",$R227="Water"),1,0)),IF(OR($S227="Fairy",$S227="Ice",$S227="Rock"),0-1,IF(OR($S227="Steel",$S227="Electric",$S227="Fire",$S227="Water"),1,0)))</f>
        <v>1</v>
      </c>
      <c r="AT227" s="508" t="n">
        <f aca="false">SUM(IF(OR($R227="Fire",$R227="Ground",$R227="Rock"),0-1,IF(OR($R227="Dragon",$R227="Grass",$R227="Water"),1,0)),IF(OR($S227="Fire",$S227="Ground",$S227="Rock"),0-1,IF(OR($S227="Dragon",$S227="Grass",$S227="Water"),1,0)))</f>
        <v>2</v>
      </c>
      <c r="AU227" s="518"/>
    </row>
    <row r="228" customFormat="false" ht="15.75" hidden="false" customHeight="false" outlineLevel="0" collapsed="false">
      <c r="A228" s="510" t="str">
        <f aca="false" t="array" ref="A228:A228">IF(ISNA(INDEX(Source!$U$7:$U$95,MATCH(B228,Source!$V$7:$V$95,0))),"FREE",INDEX(Source!$U$7:$U$95,MATCH(B228,Source!$V$7:$V$95,0)))</f>
        <v>FREE</v>
      </c>
      <c r="B228" s="511" t="s">
        <v>655</v>
      </c>
      <c r="C228" s="511"/>
      <c r="D228" s="511"/>
      <c r="E228" s="499" t="str">
        <f aca="false">IF(SUM($W228:$X228)&gt;0,SUM($W228:$X228),IF($H228&gt;0,0,IF($H228&gt;0,0,"-")))</f>
        <v>-</v>
      </c>
      <c r="F228" s="499" t="str">
        <f aca="false">IF(SUM($Y228:$Z228)&gt;0,SUM($Y228:$Z228),IF($H228&gt;0,0,"-"))</f>
        <v>-</v>
      </c>
      <c r="G228" s="499" t="str">
        <f aca="false">IF($H228&gt;0,minus(E228,F228),"-")</f>
        <v>-</v>
      </c>
      <c r="H228" s="500" t="n">
        <f aca="false">SUM(COUNTIF(MatchSource!$A:$A,$B228),COUNTIF(MatchSource!$H:$H,$B228))</f>
        <v>0</v>
      </c>
      <c r="I228" s="501" t="n">
        <f aca="false">SUM($AA228:$AB228)</f>
        <v>0</v>
      </c>
      <c r="J228" s="501" t="s">
        <v>702</v>
      </c>
      <c r="K228" s="512" t="str">
        <f aca="false" t="array" ref="K228:K228">IF(ISNA(INDEX(DraftRosters!$AA$3:$AA$199,MATCH($B228,DraftRosters!$AB$3:$AB$199,0))),"FA",IF(INDEX(DraftRosters!$AA$3:$AA$199,MATCH($B228,DraftRosters!$AB$3:$AB$199,0))="Franchise","Franch",INDEX(DraftRosters!$AA$3:$AA$199,MATCH($B228,DraftRosters!$AB$3:$AB$199,0))))</f>
        <v>FA</v>
      </c>
      <c r="L228" s="499" t="n">
        <v>55</v>
      </c>
      <c r="M228" s="499" t="n">
        <v>130</v>
      </c>
      <c r="N228" s="499" t="n">
        <v>115</v>
      </c>
      <c r="O228" s="499" t="n">
        <v>50</v>
      </c>
      <c r="P228" s="499" t="n">
        <v>50</v>
      </c>
      <c r="Q228" s="501" t="n">
        <v>75</v>
      </c>
      <c r="R228" s="499" t="s">
        <v>811</v>
      </c>
      <c r="S228" s="501"/>
      <c r="T228" s="504" t="s">
        <v>933</v>
      </c>
      <c r="U228" s="505" t="s">
        <v>925</v>
      </c>
      <c r="V228" s="506" t="s">
        <v>898</v>
      </c>
      <c r="W228" s="500" t="str">
        <f aca="false">IFERROR(__xludf.dummyfunction("if(isna(SUM(FILTER(MatchSource!$A:$D,MatchSource!$A:$A=$B228))),0,SUM(FILTER(MatchSource!$A:$D,MatchSource!$A:$A=$B228)))"),"0")</f>
        <v>0</v>
      </c>
      <c r="X228" s="499" t="str">
        <f aca="false">IFERROR(__xludf.dummyfunction("if(isna(SUM(FILTER(MatchSource!$H:$K,MatchSource!$H:$H=$B228))),0,SUM(FILTER(MatchSource!$H:$K,MatchSource!$H:$H=$B228)))"),"0")</f>
        <v>0</v>
      </c>
      <c r="Y228" s="499" t="str">
        <f aca="false">IFERROR(__xludf.dummyfunction("if(isna(ABS(MINUS(SUM(FILTER(MatchSource!$A:$E,MatchSource!$A:$A=$B228)),SUM($W228)))),0,ABS(MINUS(SUM(FILTER(MatchSource!$A:$E,MatchSource!$A:$A=$B228)),SUM($W228))))"),"0")</f>
        <v>0</v>
      </c>
      <c r="Z228" s="499" t="str">
        <f aca="false">IFERROR(__xludf.dummyfunction("if(isna(ABS(MINUS(SUM(FILTER(MatchSource!$H:$L,MatchSource!$H:$H=$B228)),SUM($X228)))),0,ABS(MINUS(SUM(FILTER(MatchSource!$H:$L,MatchSource!$H:$H=$B228)),SUM($X228))))"),"0")</f>
        <v>0</v>
      </c>
      <c r="AA228" s="499" t="str">
        <f aca="false">IFERROR(__xludf.dummyfunction("if(isna(ABS(MINUS(SUM(FILTER(MatchSource!$A:$F,MatchSource!$A:$A=$B228)),SUM($W228,$Y228)))),0,ABS(MINUS(SUM(FILTER(MatchSource!$A:$F,MatchSource!$A:$A=$B228)),SUM($W228, $Y228,))))"),"0")</f>
        <v>0</v>
      </c>
      <c r="AB228" s="501" t="str">
        <f aca="false">IFERROR(__xludf.dummyfunction("if(isna(ABS(MINUS(SUM(FILTER(MatchSource!$H:$M,MatchSource!$H:$H=$B228)),SUM($X228,$Z228)))),0,ABS(MINUS(SUM(FILTER(MatchSource!$H:$M,MatchSource!$H:$H=$B228)),SUM($X228,$Z228))))"),"0")</f>
        <v>0</v>
      </c>
      <c r="AC228" s="507" t="n">
        <f aca="false">SUM(IF(OR($R228="Grass",$R228="Psychic",$R228="Dark"),0-1,IF(OR($R228="Fighting",$R228="Flying",$R228="Fire",$R228="Ghost",$R228="Poison",$R228="Steel",$R228="Fairy"),1,0)),IF(OR($S228="Grass",$S228="Psychic",$S228="Dark"),0-1,IF(OR($S228="Fighting",$S228="Flying",$S228="Fire",$S228="Ghost",$S228="Poison",$S228="Steel",$S228="Fairy"),1,0)))</f>
        <v>0</v>
      </c>
      <c r="AD228" s="507" t="n">
        <f aca="false">SUM(IF(OR($R228="Ghost",$R228="Psychic"),0-1,IF(OR($R228="Fighting",$R228="Dark",$R228="Fairy"),1,0)),IF(OR($S228="Ghost",$S228="Psychic"),0-1,IF(OR($S228="Fighting",$S228="Dark",$S228="Fairy"),1,0)))</f>
        <v>0</v>
      </c>
      <c r="AE228" s="507" t="n">
        <f aca="false">IF(OR($R228="Fairy",$S228="Fairy"),4,SUM(IF($R228="Dragon",0-1,IF($R228="Steel",1,0)),IF($S228="Dragon",0-1,IF($S228="Steel",1,0))))</f>
        <v>0</v>
      </c>
      <c r="AF228" s="507" t="n">
        <f aca="false">IF(OR($R228="Ground",$S228="Ground"),4,SUM(IF(OR($R228="Flying",$R228="Water"),0-1,IF(OR($R228="Dragon",$R228="Electric",$R228="Grass"),1,0)),IF(OR($S228="Flying",$S228="Water"),0-1,IF(OR($S228="Dragon",$S228="Electric",$S228="Grass"),1,0))))</f>
        <v>-1</v>
      </c>
      <c r="AG228" s="507" t="n">
        <f aca="false">SUM(IF(OR($R228="Dark",$R228="Dragon",$R228="Fighting"),0-1,IF(OR($R228="Steel",$R228="Poison",$R228="Fire"),1,0)),IF(OR($S228="Dark",$S228="Dragon",$S228="Fighting"),0-1,IF(OR($S228="Steel",$S228="Poison",$S228="Fire"),1,0)))</f>
        <v>0</v>
      </c>
      <c r="AH228" s="507" t="n">
        <f aca="false">IF(OR($R228="Ghost",$S228="Ghost"),4,SUM(IF(OR($R228="Dark",$R228="Ice",$R228="Normal",$R228="Rock",$R228="Steel"),0-1,IF(OR($R228="Bug",$R228="Fairy",$R228="Flying",$R228="Poison",$R228="Psychic"),1,0)),IF(OR($S228="Dark",$S228="Ice",$S228="Normal",$S228="Rock",$S228="Steel"),0-1,IF(OR($S228="Bug",$S228="Fairy",$S228="Flying",$S228="Poison",$S228="Psychic"),1,0))))</f>
        <v>0</v>
      </c>
      <c r="AI228" s="507" t="n">
        <f aca="false">SUM(IF(OR($R228="Bug",$R228="Grass",$R228="Ice",$R228="Steel"),0-1,IF(OR($R228="Dragon",$R228="Fire",$R228="Rock",$R228="Water"),1,0)),IF(OR($S228="Bug",$S228="Grass",$S228="Ice",$S228="Steel"),0-1,IF(OR($S228="Dragon",$S228="Fire",$S228="Rock",$S228="Water"),1,0)))</f>
        <v>1</v>
      </c>
      <c r="AJ228" s="507" t="n">
        <f aca="false">SUM(IF(OR($R228="Bug",$R228="Grass",$R228="Fighting"),0-1,IF(OR($R228="Electric",$R228="Rock",$R228="Steel"),1,0)),IF(OR($S228="Bug",$S228="Grass",$S228="Fighting"),0-1,IF(OR($S228="Electric",$S228="Rock",$S228="Steel"),1,0)))</f>
        <v>0</v>
      </c>
      <c r="AK228" s="507" t="n">
        <f aca="false">IF(OR($R228="Normal",$S228="Normal"),4,SUM(IF(OR($R228="Ghost",$R228="Psychic"),0-1,IF($R228="Dark",1,0)),IF(OR($S228="Ghost",$S228="Psychic"),0-1,IF($S228="Dark",1,0))))</f>
        <v>0</v>
      </c>
      <c r="AL228" s="507" t="n">
        <f aca="false">SUM(IF(OR($R228="Ground",$R228="Rock",$R228="Water"),0-1,IF(OR($R228="Bug",$R228="Flying",$R228="Fire",$R228="Dragon",$R228="Poison",$R228="Steel",$R228="Grass"),1,0)),IF(OR($S228="Ground",$S228="Rock",$S228="Water"),0-1,IF(OR($S228="Bug",$S228="Flying",$S228="Fire",$S228="Dragon",$S228="Poison",$S228="Steel",$S228="Grass"),1,0)))</f>
        <v>-1</v>
      </c>
      <c r="AM228" s="507" t="n">
        <f aca="false">IF(OR($R228="Flying",$S228="Flying"),4,SUM(IF(OR($R228="Electric",$R228="Fire",$R228="Rock",$R228="Steel",$R228="Poison"),0-1,IF(OR($R228="Bug",$R228="Grass"),1,0)),IF(OR($S228="Electric",$S228="Fire",$S228="Rock",$S228="Steel",$S228="Poison"),0-1,IF(OR($S228="Bug",$S228="Grass"),1,0))))</f>
        <v>0</v>
      </c>
      <c r="AN228" s="507" t="n">
        <f aca="false">SUM(IF(OR($R228="Flying",$R228="Dragon",$R228="Grass",$R228="Ground"),0-1,IF(OR($R228="Steel",$R228="Ice",$R228="Fire",$R228="Water"),1,0)),IF(OR($S228="Flying",$S228="Dragon",$S228="Grass",$S228="Ground"),0-1,IF(OR($S228="Steel",$S228="Ice",$S228="Fire",$S228="Water"),1,0)))</f>
        <v>1</v>
      </c>
      <c r="AO228" s="507" t="n">
        <f aca="false">IF(OR($R228="Ghost",$S228="Ghost"),4,SUM(IF(OR($R228="Steel",$R228="Rock"),1,0),IF(OR($S228="Steel",$S228="Rock"),1,0)))</f>
        <v>0</v>
      </c>
      <c r="AP228" s="507" t="n">
        <f aca="false">IF(OR($R228="Steel",$S228="Steel"),4,SUM(IF(OR($R228="Fairy",$R228="Grass"),0-1,IF(OR($R228="Ghost",$R228="Rock",$R228="Ground",$R228="Poison"),1,0)),IF(OR($S228="Fairy",$S228="Grass"),0-1,IF(OR($S228="Ghost",$S228="Rock",$S228="Ground",$S228="Poison"),1,0))))</f>
        <v>0</v>
      </c>
      <c r="AQ228" s="507" t="n">
        <f aca="false">IF(OR($R228="Dark",$S228="Dark"),4,SUM(IF(OR($R228="Fighting",$R228="Poison"),0-1,IF(OR($R228="Psychic",$R228="Steel"),1,0)),IF(OR($S228="Fighting",$S228="Poison"),0-1,IF(OR($S228="Psychic",$S228="Steel"),1,0))))</f>
        <v>0</v>
      </c>
      <c r="AR228" s="507" t="n">
        <f aca="false">SUM(IF(OR($R228="Bug",$R228="Fire",$R228="Flying",$R228="Ice"),0-1,IF(OR($R228="Steel",$R228="Fighting",$R228="Ground"),1,0)),IF(OR($S228="Bug",$S228="Fire",$S228="Flying",$S228="Ice"),0-1,IF(OR($S228="Steel",$S228="Fighting",$S228="Ground"),1,0)))</f>
        <v>0</v>
      </c>
      <c r="AS228" s="507" t="n">
        <f aca="false">SUM(IF(OR($R228="Fairy",$R228="Ice",$R228="Rock"),0-1,IF(OR($R228="Steel",$R228="Electric",$R228="Fire",$R228="Water"),1,0)),IF(OR($S228="Fairy",$S228="Ice",$S228="Rock"),0-1,IF(OR($S228="Steel",$S228="Electric",$S228="Fire",$S228="Water"),1,0)))</f>
        <v>1</v>
      </c>
      <c r="AT228" s="508" t="n">
        <f aca="false">SUM(IF(OR($R228="Fire",$R228="Ground",$R228="Rock"),0-1,IF(OR($R228="Dragon",$R228="Grass",$R228="Water"),1,0)),IF(OR($S228="Fire",$S228="Ground",$S228="Rock"),0-1,IF(OR($S228="Dragon",$S228="Grass",$S228="Water"),1,0)))</f>
        <v>1</v>
      </c>
      <c r="AU228" s="518"/>
    </row>
    <row r="229" customFormat="false" ht="15.75" hidden="false" customHeight="false" outlineLevel="0" collapsed="false">
      <c r="A229" s="515" t="str">
        <f aca="false" t="array" ref="A229:A229">IF(ISNA(INDEX(Source!$U$7:$U$95,MATCH(B229,Source!$V$7:$V$95,0))),"FREE",INDEX(Source!$U$7:$U$95,MATCH(B229,Source!$V$7:$V$95,0)))</f>
        <v>FREE</v>
      </c>
      <c r="B229" s="511" t="s">
        <v>421</v>
      </c>
      <c r="C229" s="511"/>
      <c r="D229" s="511"/>
      <c r="E229" s="499" t="str">
        <f aca="false">IF(SUM($W229:$X229)&gt;0,SUM($W229:$X229),IF($H229&gt;0,0,IF($H229&gt;0,0,"-")))</f>
        <v>-</v>
      </c>
      <c r="F229" s="499" t="str">
        <f aca="false">IF(SUM($Y229:$Z229)&gt;0,SUM($Y229:$Z229),IF($H229&gt;0,0,"-"))</f>
        <v>-</v>
      </c>
      <c r="G229" s="499" t="str">
        <f aca="false">IF($H229&gt;0,minus(E229,F229),"-")</f>
        <v>-</v>
      </c>
      <c r="H229" s="500" t="n">
        <f aca="false">SUM(COUNTIF(MatchSource!$A:$A,$B229),COUNTIF(MatchSource!$H:$H,$B229))</f>
        <v>0</v>
      </c>
      <c r="I229" s="501" t="n">
        <f aca="false">SUM($AA229:$AB229)</f>
        <v>0</v>
      </c>
      <c r="J229" s="501" t="s">
        <v>699</v>
      </c>
      <c r="K229" s="512" t="str">
        <f aca="false" t="array" ref="K229:K229">IF(ISNA(INDEX(DraftRosters!$AA$3:$AA$199,MATCH($B229,DraftRosters!$AB$3:$AB$199,0))),"FA",IF(INDEX(DraftRosters!$AA$3:$AA$199,MATCH($B229,DraftRosters!$AB$3:$AB$199,0))="Franchise","Franch",INDEX(DraftRosters!$AA$3:$AA$199,MATCH($B229,DraftRosters!$AB$3:$AB$199,0))))</f>
        <v>FA</v>
      </c>
      <c r="L229" s="507" t="n">
        <v>57</v>
      </c>
      <c r="M229" s="507" t="n">
        <v>80</v>
      </c>
      <c r="N229" s="507" t="n">
        <v>91</v>
      </c>
      <c r="O229" s="507" t="n">
        <v>80</v>
      </c>
      <c r="P229" s="507" t="n">
        <v>87</v>
      </c>
      <c r="Q229" s="508" t="n">
        <v>75</v>
      </c>
      <c r="R229" s="499" t="s">
        <v>798</v>
      </c>
      <c r="S229" s="501" t="s">
        <v>810</v>
      </c>
      <c r="T229" s="504" t="s">
        <v>943</v>
      </c>
      <c r="U229" s="505" t="s">
        <v>872</v>
      </c>
      <c r="V229" s="506"/>
      <c r="W229" s="500" t="str">
        <f aca="false">IFERROR(__xludf.dummyfunction("if(isna(SUM(FILTER(MatchSource!$A:$D,MatchSource!$A:$A=$B229))),0,SUM(FILTER(MatchSource!$A:$D,MatchSource!$A:$A=$B229)))"),"0")</f>
        <v>0</v>
      </c>
      <c r="X229" s="499" t="str">
        <f aca="false">IFERROR(__xludf.dummyfunction("if(isna(SUM(FILTER(MatchSource!$H:$K,MatchSource!$H:$H=$B229))),0,SUM(FILTER(MatchSource!$H:$K,MatchSource!$H:$H=$B229)))"),"0")</f>
        <v>0</v>
      </c>
      <c r="Y229" s="499" t="str">
        <f aca="false">IFERROR(__xludf.dummyfunction("if(isna(ABS(MINUS(SUM(FILTER(MatchSource!$A:$E,MatchSource!$A:$A=$B229)),SUM($W229)))),0,ABS(MINUS(SUM(FILTER(MatchSource!$A:$E,MatchSource!$A:$A=$B229)),SUM($W229))))"),"0")</f>
        <v>0</v>
      </c>
      <c r="Z229" s="499" t="str">
        <f aca="false">IFERROR(__xludf.dummyfunction("if(isna(ABS(MINUS(SUM(FILTER(MatchSource!$H:$L,MatchSource!$H:$H=$B229)),SUM($X229)))),0,ABS(MINUS(SUM(FILTER(MatchSource!$H:$L,MatchSource!$H:$H=$B229)),SUM($X229))))"),"0")</f>
        <v>0</v>
      </c>
      <c r="AA229" s="499" t="str">
        <f aca="false">IFERROR(__xludf.dummyfunction("if(isna(ABS(MINUS(SUM(FILTER(MatchSource!$A:$F,MatchSource!$A:$A=$B229)),SUM($W229,$Y229)))),0,ABS(MINUS(SUM(FILTER(MatchSource!$A:$F,MatchSource!$A:$A=$B229)),SUM($W229, $Y229,))))"),"0")</f>
        <v>0</v>
      </c>
      <c r="AB229" s="501" t="str">
        <f aca="false">IFERROR(__xludf.dummyfunction("if(isna(ABS(MINUS(SUM(FILTER(MatchSource!$H:$M,MatchSource!$H:$H=$B229)),SUM($X229,$Z229)))),0,ABS(MINUS(SUM(FILTER(MatchSource!$H:$M,MatchSource!$H:$H=$B229)),SUM($X229,$Z229))))"),"0")</f>
        <v>0</v>
      </c>
      <c r="AC229" s="507" t="n">
        <f aca="false">SUM(IF(OR($R229="Grass",$R229="Psychic",$R229="Dark"),0-1,IF(OR($R229="Fighting",$R229="Flying",$R229="Fire",$R229="Ghost",$R229="Poison",$R229="Steel",$R229="Fairy"),1,0)),IF(OR($S229="Grass",$S229="Psychic",$S229="Dark"),0-1,IF(OR($S229="Fighting",$S229="Flying",$S229="Fire",$S229="Ghost",$S229="Poison",$S229="Steel",$S229="Fairy"),1,0)))</f>
        <v>2</v>
      </c>
      <c r="AD229" s="507" t="n">
        <f aca="false">SUM(IF(OR($R229="Ghost",$R229="Psychic"),0-1,IF(OR($R229="Fighting",$R229="Dark",$R229="Fairy"),1,0)),IF(OR($S229="Ghost",$S229="Psychic"),0-1,IF(OR($S229="Fighting",$S229="Dark",$S229="Fairy"),1,0)))</f>
        <v>1</v>
      </c>
      <c r="AE229" s="507" t="n">
        <f aca="false">IF(OR($R229="Fairy",$S229="Fairy"),4,SUM(IF($R229="Dragon",0-1,IF($R229="Steel",1,0)),IF($S229="Dragon",0-1,IF($S229="Steel",1,0))))</f>
        <v>4</v>
      </c>
      <c r="AF229" s="507" t="n">
        <f aca="false">IF(OR($R229="Ground",$S229="Ground"),4,SUM(IF(OR($R229="Flying",$R229="Water"),0-1,IF(OR($R229="Dragon",$R229="Electric",$R229="Grass"),1,0)),IF(OR($S229="Flying",$S229="Water"),0-1,IF(OR($S229="Dragon",$S229="Electric",$S229="Grass"),1,0))))</f>
        <v>0</v>
      </c>
      <c r="AG229" s="507" t="n">
        <f aca="false">SUM(IF(OR($R229="Dark",$R229="Dragon",$R229="Fighting"),0-1,IF(OR($R229="Steel",$R229="Poison",$R229="Fire"),1,0)),IF(OR($S229="Dark",$S229="Dragon",$S229="Fighting"),0-1,IF(OR($S229="Steel",$S229="Poison",$S229="Fire"),1,0)))</f>
        <v>1</v>
      </c>
      <c r="AH229" s="507" t="n">
        <f aca="false">IF(OR($R229="Ghost",$S229="Ghost"),4,SUM(IF(OR($R229="Dark",$R229="Ice",$R229="Normal",$R229="Rock",$R229="Steel"),0-1,IF(OR($R229="Bug",$R229="Fairy",$R229="Flying",$R229="Poison",$R229="Psychic"),1,0)),IF(OR($S229="Dark",$S229="Ice",$S229="Normal",$S229="Rock",$S229="Steel"),0-1,IF(OR($S229="Bug",$S229="Fairy",$S229="Flying",$S229="Poison",$S229="Psychic"),1,0))))</f>
        <v>0</v>
      </c>
      <c r="AI229" s="507" t="n">
        <f aca="false">SUM(IF(OR($R229="Bug",$R229="Grass",$R229="Ice",$R229="Steel"),0-1,IF(OR($R229="Dragon",$R229="Fire",$R229="Rock",$R229="Water"),1,0)),IF(OR($S229="Bug",$S229="Grass",$S229="Ice",$S229="Steel"),0-1,IF(OR($S229="Dragon",$S229="Fire",$S229="Rock",$S229="Water"),1,0)))</f>
        <v>-1</v>
      </c>
      <c r="AJ229" s="507" t="n">
        <f aca="false">SUM(IF(OR($R229="Bug",$R229="Grass",$R229="Fighting"),0-1,IF(OR($R229="Electric",$R229="Rock",$R229="Steel"),1,0)),IF(OR($S229="Bug",$S229="Grass",$S229="Fighting"),0-1,IF(OR($S229="Electric",$S229="Rock",$S229="Steel"),1,0)))</f>
        <v>1</v>
      </c>
      <c r="AK229" s="507" t="n">
        <f aca="false">IF(OR($R229="Normal",$S229="Normal"),4,SUM(IF(OR($R229="Ghost",$R229="Psychic"),0-1,IF($R229="Dark",1,0)),IF(OR($S229="Ghost",$S229="Psychic"),0-1,IF($S229="Dark",1,0))))</f>
        <v>0</v>
      </c>
      <c r="AL229" s="507" t="n">
        <f aca="false">SUM(IF(OR($R229="Ground",$R229="Rock",$R229="Water"),0-1,IF(OR($R229="Bug",$R229="Flying",$R229="Fire",$R229="Dragon",$R229="Poison",$R229="Steel",$R229="Grass"),1,0)),IF(OR($S229="Ground",$S229="Rock",$S229="Water"),0-1,IF(OR($S229="Bug",$S229="Flying",$S229="Fire",$S229="Dragon",$S229="Poison",$S229="Steel",$S229="Grass"),1,0)))</f>
        <v>1</v>
      </c>
      <c r="AM229" s="507" t="n">
        <f aca="false">IF(OR($R229="Flying",$S229="Flying"),4,SUM(IF(OR($R229="Electric",$R229="Fire",$R229="Rock",$R229="Steel",$R229="Poison"),0-1,IF(OR($R229="Bug",$R229="Grass"),1,0)),IF(OR($S229="Electric",$S229="Fire",$S229="Rock",$S229="Steel",$S229="Poison"),0-1,IF(OR($S229="Bug",$S229="Grass"),1,0))))</f>
        <v>-1</v>
      </c>
      <c r="AN229" s="507" t="n">
        <f aca="false">SUM(IF(OR($R229="Flying",$R229="Dragon",$R229="Grass",$R229="Ground"),0-1,IF(OR($R229="Steel",$R229="Ice",$R229="Fire",$R229="Water"),1,0)),IF(OR($S229="Flying",$S229="Dragon",$S229="Grass",$S229="Ground"),0-1,IF(OR($S229="Steel",$S229="Ice",$S229="Fire",$S229="Water"),1,0)))</f>
        <v>1</v>
      </c>
      <c r="AO229" s="507" t="n">
        <f aca="false">IF(OR($R229="Ghost",$S229="Ghost"),4,SUM(IF(OR($R229="Steel",$R229="Rock"),1,0),IF(OR($S229="Steel",$S229="Rock"),1,0)))</f>
        <v>1</v>
      </c>
      <c r="AP229" s="507" t="n">
        <f aca="false">IF(OR($R229="Steel",$S229="Steel"),4,SUM(IF(OR($R229="Fairy",$R229="Grass"),0-1,IF(OR($R229="Ghost",$R229="Rock",$R229="Ground",$R229="Poison"),1,0)),IF(OR($S229="Fairy",$S229="Grass"),0-1,IF(OR($S229="Ghost",$S229="Rock",$S229="Ground",$S229="Poison"),1,0))))</f>
        <v>4</v>
      </c>
      <c r="AQ229" s="507" t="n">
        <f aca="false">IF(OR($R229="Dark",$S229="Dark"),4,SUM(IF(OR($R229="Fighting",$R229="Poison"),0-1,IF(OR($R229="Psychic",$R229="Steel"),1,0)),IF(OR($S229="Fighting",$S229="Poison"),0-1,IF(OR($S229="Psychic",$S229="Steel"),1,0))))</f>
        <v>1</v>
      </c>
      <c r="AR229" s="507" t="n">
        <f aca="false">SUM(IF(OR($R229="Bug",$R229="Fire",$R229="Flying",$R229="Ice"),0-1,IF(OR($R229="Steel",$R229="Fighting",$R229="Ground"),1,0)),IF(OR($S229="Bug",$S229="Fire",$S229="Flying",$S229="Ice"),0-1,IF(OR($S229="Steel",$S229="Fighting",$S229="Ground"),1,0)))</f>
        <v>1</v>
      </c>
      <c r="AS229" s="507" t="n">
        <f aca="false">SUM(IF(OR($R229="Fairy",$R229="Ice",$R229="Rock"),0-1,IF(OR($R229="Steel",$R229="Electric",$R229="Fire",$R229="Water"),1,0)),IF(OR($S229="Fairy",$S229="Ice",$S229="Rock"),0-1,IF(OR($S229="Steel",$S229="Electric",$S229="Fire",$S229="Water"),1,0)))</f>
        <v>0</v>
      </c>
      <c r="AT229" s="508" t="n">
        <f aca="false">SUM(IF(OR($R229="Fire",$R229="Ground",$R229="Rock"),0-1,IF(OR($R229="Dragon",$R229="Grass",$R229="Water"),1,0)),IF(OR($S229="Fire",$S229="Ground",$S229="Rock"),0-1,IF(OR($S229="Dragon",$S229="Grass",$S229="Water"),1,0)))</f>
        <v>0</v>
      </c>
      <c r="AU229" s="518"/>
    </row>
    <row r="230" customFormat="false" ht="15.75" hidden="false" customHeight="false" outlineLevel="0" collapsed="false">
      <c r="A230" s="515" t="str">
        <f aca="false" t="array" ref="A230:A230">IF(ISNA(INDEX(Source!$U$7:$U$95,MATCH(B230,Source!$V$7:$V$95,0))),"FREE",INDEX(Source!$U$7:$U$95,MATCH(B230,Source!$V$7:$V$95,0)))</f>
        <v>FREE</v>
      </c>
      <c r="B230" s="511" t="s">
        <v>657</v>
      </c>
      <c r="C230" s="511"/>
      <c r="D230" s="511"/>
      <c r="E230" s="499" t="str">
        <f aca="false">IF(SUM($W230:$X230)&gt;0,SUM($W230:$X230),IF($H230&gt;0,0,IF($H230&gt;0,0,"-")))</f>
        <v>-</v>
      </c>
      <c r="F230" s="499" t="str">
        <f aca="false">IF(SUM($Y230:$Z230)&gt;0,SUM($Y230:$Z230),IF($H230&gt;0,0,"-"))</f>
        <v>-</v>
      </c>
      <c r="G230" s="499" t="str">
        <f aca="false">IF($H230&gt;0,minus(E230,F230),"-")</f>
        <v>-</v>
      </c>
      <c r="H230" s="500" t="n">
        <f aca="false">SUM(COUNTIF(MatchSource!$A:$A,$B230),COUNTIF(MatchSource!$H:$H,$B230))</f>
        <v>0</v>
      </c>
      <c r="I230" s="501" t="n">
        <f aca="false">SUM($AA230:$AB230)</f>
        <v>0</v>
      </c>
      <c r="J230" s="501" t="s">
        <v>702</v>
      </c>
      <c r="K230" s="512" t="str">
        <f aca="false" t="array" ref="K230:K230">IF(ISNA(INDEX(DraftRosters!$AA$3:$AA$199,MATCH($B230,DraftRosters!$AB$3:$AB$199,0))),"FA",IF(INDEX(DraftRosters!$AA$3:$AA$199,MATCH($B230,DraftRosters!$AB$3:$AB$199,0))="Franchise","Franch",INDEX(DraftRosters!$AA$3:$AA$199,MATCH($B230,DraftRosters!$AB$3:$AB$199,0))))</f>
        <v>FA</v>
      </c>
      <c r="L230" s="499" t="n">
        <v>60</v>
      </c>
      <c r="M230" s="499" t="n">
        <v>100</v>
      </c>
      <c r="N230" s="499" t="n">
        <v>115</v>
      </c>
      <c r="O230" s="499" t="n">
        <v>70</v>
      </c>
      <c r="P230" s="499" t="n">
        <v>85</v>
      </c>
      <c r="Q230" s="501" t="n">
        <v>90</v>
      </c>
      <c r="R230" s="499" t="s">
        <v>810</v>
      </c>
      <c r="S230" s="501"/>
      <c r="T230" s="504" t="s">
        <v>911</v>
      </c>
      <c r="U230" s="505" t="s">
        <v>846</v>
      </c>
      <c r="V230" s="506" t="s">
        <v>1007</v>
      </c>
      <c r="W230" s="500" t="str">
        <f aca="false">IFERROR(__xludf.dummyfunction("if(isna(SUM(FILTER(MatchSource!$A:$D,MatchSource!$A:$A=$B230))),0,SUM(FILTER(MatchSource!$A:$D,MatchSource!$A:$A=$B230)))"),"0")</f>
        <v>0</v>
      </c>
      <c r="X230" s="499" t="str">
        <f aca="false">IFERROR(__xludf.dummyfunction("if(isna(SUM(FILTER(MatchSource!$H:$K,MatchSource!$H:$H=$B230))),0,SUM(FILTER(MatchSource!$H:$K,MatchSource!$H:$H=$B230)))"),"0")</f>
        <v>0</v>
      </c>
      <c r="Y230" s="499" t="str">
        <f aca="false">IFERROR(__xludf.dummyfunction("if(isna(ABS(MINUS(SUM(FILTER(MatchSource!$A:$E,MatchSource!$A:$A=$B230)),SUM($W230)))),0,ABS(MINUS(SUM(FILTER(MatchSource!$A:$E,MatchSource!$A:$A=$B230)),SUM($W230))))"),"0")</f>
        <v>0</v>
      </c>
      <c r="Z230" s="499" t="str">
        <f aca="false">IFERROR(__xludf.dummyfunction("if(isna(ABS(MINUS(SUM(FILTER(MatchSource!$H:$L,MatchSource!$H:$H=$B230)),SUM($X230)))),0,ABS(MINUS(SUM(FILTER(MatchSource!$H:$L,MatchSource!$H:$H=$B230)),SUM($X230))))"),"0")</f>
        <v>0</v>
      </c>
      <c r="AA230" s="499" t="str">
        <f aca="false">IFERROR(__xludf.dummyfunction("if(isna(ABS(MINUS(SUM(FILTER(MatchSource!$A:$F,MatchSource!$A:$A=$B230)),SUM($W230,$Y230)))),0,ABS(MINUS(SUM(FILTER(MatchSource!$A:$F,MatchSource!$A:$A=$B230)),SUM($W230, $Y230,))))"),"0")</f>
        <v>0</v>
      </c>
      <c r="AB230" s="501" t="str">
        <f aca="false">IFERROR(__xludf.dummyfunction("if(isna(ABS(MINUS(SUM(FILTER(MatchSource!$H:$M,MatchSource!$H:$H=$B230)),SUM($X230,$Z230)))),0,ABS(MINUS(SUM(FILTER(MatchSource!$H:$M,MatchSource!$H:$H=$B230)),SUM($X230,$Z230))))"),"0")</f>
        <v>0</v>
      </c>
      <c r="AC230" s="507" t="n">
        <f aca="false">SUM(IF(OR($R230="Grass",$R230="Psychic",$R230="Dark"),0-1,IF(OR($R230="Fighting",$R230="Flying",$R230="Fire",$R230="Ghost",$R230="Poison",$R230="Steel",$R230="Fairy"),1,0)),IF(OR($S230="Grass",$S230="Psychic",$S230="Dark"),0-1,IF(OR($S230="Fighting",$S230="Flying",$S230="Fire",$S230="Ghost",$S230="Poison",$S230="Steel",$S230="Fairy"),1,0)))</f>
        <v>1</v>
      </c>
      <c r="AD230" s="507" t="n">
        <f aca="false">SUM(IF(OR($R230="Ghost",$R230="Psychic"),0-1,IF(OR($R230="Fighting",$R230="Dark",$R230="Fairy"),1,0)),IF(OR($S230="Ghost",$S230="Psychic"),0-1,IF(OR($S230="Fighting",$S230="Dark",$S230="Fairy"),1,0)))</f>
        <v>0</v>
      </c>
      <c r="AE230" s="507" t="n">
        <f aca="false">IF(OR($R230="Fairy",$S230="Fairy"),4,SUM(IF($R230="Dragon",0-1,IF($R230="Steel",1,0)),IF($S230="Dragon",0-1,IF($S230="Steel",1,0))))</f>
        <v>1</v>
      </c>
      <c r="AF230" s="507" t="n">
        <f aca="false">IF(OR($R230="Ground",$S230="Ground"),4,SUM(IF(OR($R230="Flying",$R230="Water"),0-1,IF(OR($R230="Dragon",$R230="Electric",$R230="Grass"),1,0)),IF(OR($S230="Flying",$S230="Water"),0-1,IF(OR($S230="Dragon",$S230="Electric",$S230="Grass"),1,0))))</f>
        <v>0</v>
      </c>
      <c r="AG230" s="507" t="n">
        <f aca="false">SUM(IF(OR($R230="Dark",$R230="Dragon",$R230="Fighting"),0-1,IF(OR($R230="Steel",$R230="Poison",$R230="Fire"),1,0)),IF(OR($S230="Dark",$S230="Dragon",$S230="Fighting"),0-1,IF(OR($S230="Steel",$S230="Poison",$S230="Fire"),1,0)))</f>
        <v>1</v>
      </c>
      <c r="AH230" s="507" t="n">
        <f aca="false">IF(OR($R230="Ghost",$S230="Ghost"),4,SUM(IF(OR($R230="Dark",$R230="Ice",$R230="Normal",$R230="Rock",$R230="Steel"),0-1,IF(OR($R230="Bug",$R230="Fairy",$R230="Flying",$R230="Poison",$R230="Psychic"),1,0)),IF(OR($S230="Dark",$S230="Ice",$S230="Normal",$S230="Rock",$S230="Steel"),0-1,IF(OR($S230="Bug",$S230="Fairy",$S230="Flying",$S230="Poison",$S230="Psychic"),1,0))))</f>
        <v>-1</v>
      </c>
      <c r="AI230" s="507" t="n">
        <f aca="false">SUM(IF(OR($R230="Bug",$R230="Grass",$R230="Ice",$R230="Steel"),0-1,IF(OR($R230="Dragon",$R230="Fire",$R230="Rock",$R230="Water"),1,0)),IF(OR($S230="Bug",$S230="Grass",$S230="Ice",$S230="Steel"),0-1,IF(OR($S230="Dragon",$S230="Fire",$S230="Rock",$S230="Water"),1,0)))</f>
        <v>-1</v>
      </c>
      <c r="AJ230" s="507" t="n">
        <f aca="false">SUM(IF(OR($R230="Bug",$R230="Grass",$R230="Fighting"),0-1,IF(OR($R230="Electric",$R230="Rock",$R230="Steel"),1,0)),IF(OR($S230="Bug",$S230="Grass",$S230="Fighting"),0-1,IF(OR($S230="Electric",$S230="Rock",$S230="Steel"),1,0)))</f>
        <v>1</v>
      </c>
      <c r="AK230" s="507" t="n">
        <f aca="false">IF(OR($R230="Normal",$S230="Normal"),4,SUM(IF(OR($R230="Ghost",$R230="Psychic"),0-1,IF($R230="Dark",1,0)),IF(OR($S230="Ghost",$S230="Psychic"),0-1,IF($S230="Dark",1,0))))</f>
        <v>0</v>
      </c>
      <c r="AL230" s="507" t="n">
        <f aca="false">SUM(IF(OR($R230="Ground",$R230="Rock",$R230="Water"),0-1,IF(OR($R230="Bug",$R230="Flying",$R230="Fire",$R230="Dragon",$R230="Poison",$R230="Steel",$R230="Grass"),1,0)),IF(OR($S230="Ground",$S230="Rock",$S230="Water"),0-1,IF(OR($S230="Bug",$S230="Flying",$S230="Fire",$S230="Dragon",$S230="Poison",$S230="Steel",$S230="Grass"),1,0)))</f>
        <v>1</v>
      </c>
      <c r="AM230" s="507" t="n">
        <f aca="false">IF(OR($R230="Flying",$S230="Flying"),4,SUM(IF(OR($R230="Electric",$R230="Fire",$R230="Rock",$R230="Steel",$R230="Poison"),0-1,IF(OR($R230="Bug",$R230="Grass"),1,0)),IF(OR($S230="Electric",$S230="Fire",$S230="Rock",$S230="Steel",$S230="Poison"),0-1,IF(OR($S230="Bug",$S230="Grass"),1,0))))</f>
        <v>-1</v>
      </c>
      <c r="AN230" s="507" t="n">
        <f aca="false">SUM(IF(OR($R230="Flying",$R230="Dragon",$R230="Grass",$R230="Ground"),0-1,IF(OR($R230="Steel",$R230="Ice",$R230="Fire",$R230="Water"),1,0)),IF(OR($S230="Flying",$S230="Dragon",$S230="Grass",$S230="Ground"),0-1,IF(OR($S230="Steel",$S230="Ice",$S230="Fire",$S230="Water"),1,0)))</f>
        <v>1</v>
      </c>
      <c r="AO230" s="507" t="n">
        <f aca="false">IF(OR($R230="Ghost",$S230="Ghost"),4,SUM(IF(OR($R230="Steel",$R230="Rock"),1,0),IF(OR($S230="Steel",$S230="Rock"),1,0)))</f>
        <v>1</v>
      </c>
      <c r="AP230" s="507" t="n">
        <f aca="false">IF(OR($R230="Steel",$S230="Steel"),4,SUM(IF(OR($R230="Fairy",$R230="Grass"),0-1,IF(OR($R230="Ghost",$R230="Rock",$R230="Ground",$R230="Poison"),1,0)),IF(OR($S230="Fairy",$S230="Grass"),0-1,IF(OR($S230="Ghost",$S230="Rock",$S230="Ground",$S230="Poison"),1,0))))</f>
        <v>4</v>
      </c>
      <c r="AQ230" s="507" t="n">
        <f aca="false">IF(OR($R230="Dark",$S230="Dark"),4,SUM(IF(OR($R230="Fighting",$R230="Poison"),0-1,IF(OR($R230="Psychic",$R230="Steel"),1,0)),IF(OR($S230="Fighting",$S230="Poison"),0-1,IF(OR($S230="Psychic",$S230="Steel"),1,0))))</f>
        <v>1</v>
      </c>
      <c r="AR230" s="507" t="n">
        <f aca="false">SUM(IF(OR($R230="Bug",$R230="Fire",$R230="Flying",$R230="Ice"),0-1,IF(OR($R230="Steel",$R230="Fighting",$R230="Ground"),1,0)),IF(OR($S230="Bug",$S230="Fire",$S230="Flying",$S230="Ice"),0-1,IF(OR($S230="Steel",$S230="Fighting",$S230="Ground"),1,0)))</f>
        <v>1</v>
      </c>
      <c r="AS230" s="507" t="n">
        <f aca="false">SUM(IF(OR($R230="Fairy",$R230="Ice",$R230="Rock"),0-1,IF(OR($R230="Steel",$R230="Electric",$R230="Fire",$R230="Water"),1,0)),IF(OR($S230="Fairy",$S230="Ice",$S230="Rock"),0-1,IF(OR($S230="Steel",$S230="Electric",$S230="Fire",$S230="Water"),1,0)))</f>
        <v>1</v>
      </c>
      <c r="AT230" s="508" t="n">
        <f aca="false">SUM(IF(OR($R230="Fire",$R230="Ground",$R230="Rock"),0-1,IF(OR($R230="Dragon",$R230="Grass",$R230="Water"),1,0)),IF(OR($S230="Fire",$S230="Ground",$S230="Rock"),0-1,IF(OR($S230="Dragon",$S230="Grass",$S230="Water"),1,0)))</f>
        <v>0</v>
      </c>
      <c r="AU230" s="518"/>
    </row>
    <row r="231" customFormat="false" ht="15.75" hidden="false" customHeight="false" outlineLevel="0" collapsed="false">
      <c r="A231" s="510" t="str">
        <f aca="false" t="array" ref="A231:A231">IF(ISNA(INDEX(Source!$U$7:$U$95,MATCH(B231,Source!$V$7:$V$95,0))),"FREE",INDEX(Source!$U$7:$U$95,MATCH(B231,Source!$V$7:$V$95,0)))</f>
        <v>FREE</v>
      </c>
      <c r="B231" s="511" t="s">
        <v>537</v>
      </c>
      <c r="C231" s="511"/>
      <c r="D231" s="511"/>
      <c r="E231" s="499" t="str">
        <f aca="false">IF(SUM($W231:$X231)&gt;0,SUM($W231:$X231),IF($H231&gt;0,0,IF($H231&gt;0,0,"-")))</f>
        <v>-</v>
      </c>
      <c r="F231" s="499" t="str">
        <f aca="false">IF(SUM($Y231:$Z231)&gt;0,SUM($Y231:$Z231),IF($H231&gt;0,0,"-"))</f>
        <v>-</v>
      </c>
      <c r="G231" s="499" t="str">
        <f aca="false">IF($H231&gt;0,minus(E231,F231),"-")</f>
        <v>-</v>
      </c>
      <c r="H231" s="500" t="n">
        <f aca="false">SUM(COUNTIF(MatchSource!$A:$A,$B231),COUNTIF(MatchSource!$H:$H,$B231))</f>
        <v>0</v>
      </c>
      <c r="I231" s="501" t="n">
        <f aca="false">SUM($AA231:$AB231)</f>
        <v>0</v>
      </c>
      <c r="J231" s="501" t="s">
        <v>701</v>
      </c>
      <c r="K231" s="512" t="str">
        <f aca="false" t="array" ref="K231:K231">IF(ISNA(INDEX(DraftRosters!$AA$3:$AA$199,MATCH($B231,DraftRosters!$AB$3:$AB$199,0))),"FA",IF(INDEX(DraftRosters!$AA$3:$AA$199,MATCH($B231,DraftRosters!$AB$3:$AB$199,0))="Franchise","Franch",INDEX(DraftRosters!$AA$3:$AA$199,MATCH($B231,DraftRosters!$AB$3:$AB$199,0))))</f>
        <v>FA</v>
      </c>
      <c r="L231" s="499" t="n">
        <v>65</v>
      </c>
      <c r="M231" s="499" t="n">
        <v>115</v>
      </c>
      <c r="N231" s="499" t="n">
        <v>65</v>
      </c>
      <c r="O231" s="499" t="n">
        <v>75</v>
      </c>
      <c r="P231" s="499" t="n">
        <v>95</v>
      </c>
      <c r="Q231" s="501" t="n">
        <v>65</v>
      </c>
      <c r="R231" s="499" t="s">
        <v>839</v>
      </c>
      <c r="S231" s="501"/>
      <c r="T231" s="520" t="s">
        <v>1008</v>
      </c>
      <c r="U231" s="513"/>
      <c r="V231" s="514"/>
      <c r="W231" s="500" t="str">
        <f aca="false">IFERROR(__xludf.dummyfunction("if(isna(SUM(FILTER(MatchSource!$A:$D,MatchSource!$A:$A=$B231))),0,SUM(FILTER(MatchSource!$A:$D,MatchSource!$A:$A=$B231)))"),"0")</f>
        <v>0</v>
      </c>
      <c r="X231" s="499" t="str">
        <f aca="false">IFERROR(__xludf.dummyfunction("if(isna(SUM(FILTER(MatchSource!$H:$K,MatchSource!$H:$H=$B231))),0,SUM(FILTER(MatchSource!$H:$K,MatchSource!$H:$H=$B231)))"),"0")</f>
        <v>0</v>
      </c>
      <c r="Y231" s="499" t="str">
        <f aca="false">IFERROR(__xludf.dummyfunction("if(isna(ABS(MINUS(SUM(FILTER(MatchSource!$A:$E,MatchSource!$A:$A=$B231)),SUM($W231)))),0,ABS(MINUS(SUM(FILTER(MatchSource!$A:$E,MatchSource!$A:$A=$B231)),SUM($W231))))"),"0")</f>
        <v>0</v>
      </c>
      <c r="Z231" s="499" t="str">
        <f aca="false">IFERROR(__xludf.dummyfunction("if(isna(ABS(MINUS(SUM(FILTER(MatchSource!$H:$L,MatchSource!$H:$H=$B231)),SUM($X231)))),0,ABS(MINUS(SUM(FILTER(MatchSource!$H:$L,MatchSource!$H:$H=$B231)),SUM($X231))))"),"0")</f>
        <v>0</v>
      </c>
      <c r="AA231" s="499" t="str">
        <f aca="false">IFERROR(__xludf.dummyfunction("if(isna(ABS(MINUS(SUM(FILTER(MatchSource!$A:$F,MatchSource!$A:$A=$B231)),SUM($W231,$Y231)))),0,ABS(MINUS(SUM(FILTER(MatchSource!$A:$F,MatchSource!$A:$A=$B231)),SUM($W231, $Y231,))))"),"0")</f>
        <v>0</v>
      </c>
      <c r="AB231" s="501" t="str">
        <f aca="false">IFERROR(__xludf.dummyfunction("if(isna(ABS(MINUS(SUM(FILTER(MatchSource!$H:$M,MatchSource!$H:$H=$B231)),SUM($X231,$Z231)))),0,ABS(MINUS(SUM(FILTER(MatchSource!$H:$M,MatchSource!$H:$H=$B231)),SUM($X231,$Z231))))"),"0")</f>
        <v>0</v>
      </c>
      <c r="AC231" s="507" t="n">
        <f aca="false">SUM(IF(OR($R231="Grass",$R231="Psychic",$R231="Dark"),0-1,IF(OR($R231="Fighting",$R231="Flying",$R231="Fire",$R231="Ghost",$R231="Poison",$R231="Steel",$R231="Fairy"),1,0)),IF(OR($S231="Grass",$S231="Psychic",$S231="Dark"),0-1,IF(OR($S231="Fighting",$S231="Flying",$S231="Fire",$S231="Ghost",$S231="Poison",$S231="Steel",$S231="Fairy"),1,0)))</f>
        <v>0</v>
      </c>
      <c r="AD231" s="507" t="n">
        <f aca="false">SUM(IF(OR($R231="Ghost",$R231="Psychic"),0-1,IF(OR($R231="Fighting",$R231="Dark",$R231="Fairy"),1,0)),IF(OR($S231="Ghost",$S231="Psychic"),0-1,IF(OR($S231="Fighting",$S231="Dark",$S231="Fairy"),1,0)))</f>
        <v>0</v>
      </c>
      <c r="AE231" s="507" t="n">
        <f aca="false">IF(OR($R231="Fairy",$S231="Fairy"),4,SUM(IF($R231="Dragon",0-1,IF($R231="Steel",1,0)),IF($S231="Dragon",0-1,IF($S231="Steel",1,0))))</f>
        <v>0</v>
      </c>
      <c r="AF231" s="507" t="n">
        <f aca="false">IF(OR($R231="Ground",$S231="Ground"),4,SUM(IF(OR($R231="Flying",$R231="Water"),0-1,IF(OR($R231="Dragon",$R231="Electric",$R231="Grass"),1,0)),IF(OR($S231="Flying",$S231="Water"),0-1,IF(OR($S231="Dragon",$S231="Electric",$S231="Grass"),1,0))))</f>
        <v>0</v>
      </c>
      <c r="AG231" s="507" t="n">
        <f aca="false">SUM(IF(OR($R231="Dark",$R231="Dragon",$R231="Fighting"),0-1,IF(OR($R231="Steel",$R231="Poison",$R231="Fire"),1,0)),IF(OR($S231="Dark",$S231="Dragon",$S231="Fighting"),0-1,IF(OR($S231="Steel",$S231="Poison",$S231="Fire"),1,0)))</f>
        <v>0</v>
      </c>
      <c r="AH231" s="507" t="n">
        <f aca="false">IF(OR($R231="Ghost",$S231="Ghost"),4,SUM(IF(OR($R231="Dark",$R231="Ice",$R231="Normal",$R231="Rock",$R231="Steel"),0-1,IF(OR($R231="Bug",$R231="Fairy",$R231="Flying",$R231="Poison",$R231="Psychic"),1,0)),IF(OR($S231="Dark",$S231="Ice",$S231="Normal",$S231="Rock",$S231="Steel"),0-1,IF(OR($S231="Bug",$S231="Fairy",$S231="Flying",$S231="Poison",$S231="Psychic"),1,0))))</f>
        <v>-1</v>
      </c>
      <c r="AI231" s="507" t="n">
        <f aca="false">SUM(IF(OR($R231="Bug",$R231="Grass",$R231="Ice",$R231="Steel"),0-1,IF(OR($R231="Dragon",$R231="Fire",$R231="Rock",$R231="Water"),1,0)),IF(OR($S231="Bug",$S231="Grass",$S231="Ice",$S231="Steel"),0-1,IF(OR($S231="Dragon",$S231="Fire",$S231="Rock",$S231="Water"),1,0)))</f>
        <v>0</v>
      </c>
      <c r="AJ231" s="507" t="n">
        <f aca="false">SUM(IF(OR($R231="Bug",$R231="Grass",$R231="Fighting"),0-1,IF(OR($R231="Electric",$R231="Rock",$R231="Steel"),1,0)),IF(OR($S231="Bug",$S231="Grass",$S231="Fighting"),0-1,IF(OR($S231="Electric",$S231="Rock",$S231="Steel"),1,0)))</f>
        <v>0</v>
      </c>
      <c r="AK231" s="507" t="n">
        <f aca="false">IF(OR($R231="Normal",$S231="Normal"),4,SUM(IF(OR($R231="Ghost",$R231="Psychic"),0-1,IF($R231="Dark",1,0)),IF(OR($S231="Ghost",$S231="Psychic"),0-1,IF($S231="Dark",1,0))))</f>
        <v>4</v>
      </c>
      <c r="AL231" s="507" t="n">
        <f aca="false">SUM(IF(OR($R231="Ground",$R231="Rock",$R231="Water"),0-1,IF(OR($R231="Bug",$R231="Flying",$R231="Fire",$R231="Dragon",$R231="Poison",$R231="Steel",$R231="Grass"),1,0)),IF(OR($S231="Ground",$S231="Rock",$S231="Water"),0-1,IF(OR($S231="Bug",$S231="Flying",$S231="Fire",$S231="Dragon",$S231="Poison",$S231="Steel",$S231="Grass"),1,0)))</f>
        <v>0</v>
      </c>
      <c r="AM231" s="507" t="n">
        <f aca="false">IF(OR($R231="Flying",$S231="Flying"),4,SUM(IF(OR($R231="Electric",$R231="Fire",$R231="Rock",$R231="Steel",$R231="Poison"),0-1,IF(OR($R231="Bug",$R231="Grass"),1,0)),IF(OR($S231="Electric",$S231="Fire",$S231="Rock",$S231="Steel",$S231="Poison"),0-1,IF(OR($S231="Bug",$S231="Grass"),1,0))))</f>
        <v>0</v>
      </c>
      <c r="AN231" s="507" t="n">
        <f aca="false">SUM(IF(OR($R231="Flying",$R231="Dragon",$R231="Grass",$R231="Ground"),0-1,IF(OR($R231="Steel",$R231="Ice",$R231="Fire",$R231="Water"),1,0)),IF(OR($S231="Flying",$S231="Dragon",$S231="Grass",$S231="Ground"),0-1,IF(OR($S231="Steel",$S231="Ice",$S231="Fire",$S231="Water"),1,0)))</f>
        <v>0</v>
      </c>
      <c r="AO231" s="507" t="n">
        <f aca="false">IF(OR($R231="Ghost",$S231="Ghost"),4,SUM(IF(OR($R231="Steel",$R231="Rock"),1,0),IF(OR($S231="Steel",$S231="Rock"),1,0)))</f>
        <v>0</v>
      </c>
      <c r="AP231" s="507" t="n">
        <f aca="false">IF(OR($R231="Steel",$S231="Steel"),4,SUM(IF(OR($R231="Fairy",$R231="Grass"),0-1,IF(OR($R231="Ghost",$R231="Rock",$R231="Ground",$R231="Poison"),1,0)),IF(OR($S231="Fairy",$S231="Grass"),0-1,IF(OR($S231="Ghost",$S231="Rock",$S231="Ground",$S231="Poison"),1,0))))</f>
        <v>0</v>
      </c>
      <c r="AQ231" s="507" t="n">
        <f aca="false">IF(OR($R231="Dark",$S231="Dark"),4,SUM(IF(OR($R231="Fighting",$R231="Poison"),0-1,IF(OR($R231="Psychic",$R231="Steel"),1,0)),IF(OR($S231="Fighting",$S231="Poison"),0-1,IF(OR($S231="Psychic",$S231="Steel"),1,0))))</f>
        <v>0</v>
      </c>
      <c r="AR231" s="507" t="n">
        <f aca="false">SUM(IF(OR($R231="Bug",$R231="Fire",$R231="Flying",$R231="Ice"),0-1,IF(OR($R231="Steel",$R231="Fighting",$R231="Ground"),1,0)),IF(OR($S231="Bug",$S231="Fire",$S231="Flying",$S231="Ice"),0-1,IF(OR($S231="Steel",$S231="Fighting",$S231="Ground"),1,0)))</f>
        <v>0</v>
      </c>
      <c r="AS231" s="507" t="n">
        <f aca="false">SUM(IF(OR($R231="Fairy",$R231="Ice",$R231="Rock"),0-1,IF(OR($R231="Steel",$R231="Electric",$R231="Fire",$R231="Water"),1,0)),IF(OR($S231="Fairy",$S231="Ice",$S231="Rock"),0-1,IF(OR($S231="Steel",$S231="Electric",$S231="Fire",$S231="Water"),1,0)))</f>
        <v>0</v>
      </c>
      <c r="AT231" s="508" t="n">
        <f aca="false">SUM(IF(OR($R231="Fire",$R231="Ground",$R231="Rock"),0-1,IF(OR($R231="Dragon",$R231="Grass",$R231="Water"),1,0)),IF(OR($S231="Fire",$S231="Ground",$S231="Rock"),0-1,IF(OR($S231="Dragon",$S231="Grass",$S231="Water"),1,0)))</f>
        <v>0</v>
      </c>
      <c r="AU231" s="518"/>
    </row>
    <row r="232" customFormat="false" ht="15.75" hidden="false" customHeight="false" outlineLevel="0" collapsed="false">
      <c r="A232" s="515" t="str">
        <f aca="false" t="array" ref="A232:A232">IF(ISNA(INDEX(Source!$U$7:$U$95,MATCH(B232,Source!$V$7:$V$95,0))),"FREE",INDEX(Source!$U$7:$U$95,MATCH(B232,Source!$V$7:$V$95,0)))</f>
        <v>BBG</v>
      </c>
      <c r="B232" s="511" t="s">
        <v>38</v>
      </c>
      <c r="C232" s="511"/>
      <c r="D232" s="511"/>
      <c r="E232" s="499" t="n">
        <f aca="false">IF(SUM($W232:$X232)&gt;0,SUM($W232:$X232),IF($H232&gt;0,0,IF($H232&gt;0,0,"-")))</f>
        <v>0</v>
      </c>
      <c r="F232" s="499" t="n">
        <f aca="false">IF(SUM($Y232:$Z232)&gt;0,SUM($Y232:$Z232),IF($H232&gt;0,0,"-"))</f>
        <v>0</v>
      </c>
      <c r="G232" s="499" t="e">
        <f aca="false">IF($H232&gt;0,minus(E232,F232),"-")</f>
        <v>#NAME?</v>
      </c>
      <c r="H232" s="500" t="n">
        <f aca="false">SUM(COUNTIF(MatchSource!$A:$A,$B232),COUNTIF(MatchSource!$H:$H,$B232))</f>
        <v>4</v>
      </c>
      <c r="I232" s="501" t="n">
        <f aca="false">SUM($AA232:$AB232)</f>
        <v>0</v>
      </c>
      <c r="J232" s="501" t="s">
        <v>699</v>
      </c>
      <c r="K232" s="512" t="n">
        <f aca="false" t="array" ref="K232:K232">IF(ISNA(INDEX(DraftRosters!$AA$3:$AA$199,MATCH($B232,DraftRosters!$AB$3:$AB$199,0))),"FA",IF(INDEX(DraftRosters!$AA$3:$AA$199,MATCH($B232,DraftRosters!$AB$3:$AB$199,0))="Franchise","Franch",INDEX(DraftRosters!$AA$3:$AA$199,MATCH($B232,DraftRosters!$AB$3:$AB$199,0))))</f>
        <v>54</v>
      </c>
      <c r="L232" s="507" t="n">
        <v>75</v>
      </c>
      <c r="M232" s="507" t="n">
        <v>110</v>
      </c>
      <c r="N232" s="507" t="n">
        <v>125</v>
      </c>
      <c r="O232" s="507" t="n">
        <v>100</v>
      </c>
      <c r="P232" s="507" t="n">
        <v>105</v>
      </c>
      <c r="Q232" s="508" t="n">
        <v>85</v>
      </c>
      <c r="R232" s="499" t="s">
        <v>835</v>
      </c>
      <c r="S232" s="501" t="s">
        <v>881</v>
      </c>
      <c r="T232" s="504" t="s">
        <v>920</v>
      </c>
      <c r="U232" s="505" t="s">
        <v>814</v>
      </c>
      <c r="V232" s="506" t="s">
        <v>924</v>
      </c>
      <c r="W232" s="500" t="str">
        <f aca="false">IFERROR(__xludf.dummyfunction("if(isna(SUM(FILTER(MatchSource!$A:$D,MatchSource!$A:$A=$B232))),0,SUM(FILTER(MatchSource!$A:$D,MatchSource!$A:$A=$B232)))"),"0")</f>
        <v>0</v>
      </c>
      <c r="X232" s="499" t="str">
        <f aca="false">IFERROR(__xludf.dummyfunction("if(isna(SUM(FILTER(MatchSource!$H:$K,MatchSource!$H:$H=$B232))),0,SUM(FILTER(MatchSource!$H:$K,MatchSource!$H:$H=$B232)))"),"5")</f>
        <v>5</v>
      </c>
      <c r="Y232" s="499" t="str">
        <f aca="false">IFERROR(__xludf.dummyfunction("if(isna(ABS(MINUS(SUM(FILTER(MatchSource!$A:$E,MatchSource!$A:$A=$B232)),SUM($W232)))),0,ABS(MINUS(SUM(FILTER(MatchSource!$A:$E,MatchSource!$A:$A=$B232)),SUM($W232))))"),"1")</f>
        <v>1</v>
      </c>
      <c r="Z232" s="499" t="str">
        <f aca="false">IFERROR(__xludf.dummyfunction("if(isna(ABS(MINUS(SUM(FILTER(MatchSource!$H:$L,MatchSource!$H:$H=$B232)),SUM($X232)))),0,ABS(MINUS(SUM(FILTER(MatchSource!$H:$L,MatchSource!$H:$H=$B232)),SUM($X232))))"),"2")</f>
        <v>2</v>
      </c>
      <c r="AA232" s="499" t="str">
        <f aca="false">IFERROR(__xludf.dummyfunction("if(isna(ABS(MINUS(SUM(FILTER(MatchSource!$A:$F,MatchSource!$A:$A=$B232)),SUM($W232,$Y232)))),0,ABS(MINUS(SUM(FILTER(MatchSource!$A:$F,MatchSource!$A:$A=$B232)),SUM($W232, $Y232,))))"),"1")</f>
        <v>1</v>
      </c>
      <c r="AB232" s="501" t="str">
        <f aca="false">IFERROR(__xludf.dummyfunction("if(isna(ABS(MINUS(SUM(FILTER(MatchSource!$H:$M,MatchSource!$H:$H=$B232)),SUM($X232,$Z232)))),0,ABS(MINUS(SUM(FILTER(MatchSource!$H:$M,MatchSource!$H:$H=$B232)),SUM($X232,$Z232))))"),"1")</f>
        <v>1</v>
      </c>
      <c r="AC232" s="507" t="n">
        <f aca="false">SUM(IF(OR($R232="Grass",$R232="Psychic",$R232="Dark"),0-1,IF(OR($R232="Fighting",$R232="Flying",$R232="Fire",$R232="Ghost",$R232="Poison",$R232="Steel",$R232="Fairy"),1,0)),IF(OR($S232="Grass",$S232="Psychic",$S232="Dark"),0-1,IF(OR($S232="Fighting",$S232="Flying",$S232="Fire",$S232="Ghost",$S232="Poison",$S232="Steel",$S232="Fairy"),1,0)))</f>
        <v>1</v>
      </c>
      <c r="AD232" s="507" t="n">
        <f aca="false">SUM(IF(OR($R232="Ghost",$R232="Psychic"),0-1,IF(OR($R232="Fighting",$R232="Dark",$R232="Fairy"),1,0)),IF(OR($S232="Ghost",$S232="Psychic"),0-1,IF(OR($S232="Fighting",$S232="Dark",$S232="Fairy"),1,0)))</f>
        <v>1</v>
      </c>
      <c r="AE232" s="507" t="n">
        <f aca="false">IF(OR($R232="Fairy",$S232="Fairy"),4,SUM(IF($R232="Dragon",0-1,IF($R232="Steel",1,0)),IF($S232="Dragon",0-1,IF($S232="Steel",1,0))))</f>
        <v>-1</v>
      </c>
      <c r="AF232" s="507" t="n">
        <f aca="false">IF(OR($R232="Ground",$S232="Ground"),4,SUM(IF(OR($R232="Flying",$R232="Water"),0-1,IF(OR($R232="Dragon",$R232="Electric",$R232="Grass"),1,0)),IF(OR($S232="Flying",$S232="Water"),0-1,IF(OR($S232="Dragon",$S232="Electric",$S232="Grass"),1,0))))</f>
        <v>1</v>
      </c>
      <c r="AG232" s="507" t="n">
        <f aca="false">SUM(IF(OR($R232="Dark",$R232="Dragon",$R232="Fighting"),0-1,IF(OR($R232="Steel",$R232="Poison",$R232="Fire"),1,0)),IF(OR($S232="Dark",$S232="Dragon",$S232="Fighting"),0-1,IF(OR($S232="Steel",$S232="Poison",$S232="Fire"),1,0)))</f>
        <v>-2</v>
      </c>
      <c r="AH232" s="507" t="n">
        <f aca="false">IF(OR($R232="Ghost",$S232="Ghost"),4,SUM(IF(OR($R232="Dark",$R232="Ice",$R232="Normal",$R232="Rock",$R232="Steel"),0-1,IF(OR($R232="Bug",$R232="Fairy",$R232="Flying",$R232="Poison",$R232="Psychic"),1,0)),IF(OR($S232="Dark",$S232="Ice",$S232="Normal",$S232="Rock",$S232="Steel"),0-1,IF(OR($S232="Bug",$S232="Fairy",$S232="Flying",$S232="Poison",$S232="Psychic"),1,0))))</f>
        <v>0</v>
      </c>
      <c r="AI232" s="507" t="n">
        <f aca="false">SUM(IF(OR($R232="Bug",$R232="Grass",$R232="Ice",$R232="Steel"),0-1,IF(OR($R232="Dragon",$R232="Fire",$R232="Rock",$R232="Water"),1,0)),IF(OR($S232="Bug",$S232="Grass",$S232="Ice",$S232="Steel"),0-1,IF(OR($S232="Dragon",$S232="Fire",$S232="Rock",$S232="Water"),1,0)))</f>
        <v>1</v>
      </c>
      <c r="AJ232" s="507" t="n">
        <f aca="false">SUM(IF(OR($R232="Bug",$R232="Grass",$R232="Fighting"),0-1,IF(OR($R232="Electric",$R232="Rock",$R232="Steel"),1,0)),IF(OR($S232="Bug",$S232="Grass",$S232="Fighting"),0-1,IF(OR($S232="Electric",$S232="Rock",$S232="Steel"),1,0)))</f>
        <v>-1</v>
      </c>
      <c r="AK232" s="507" t="n">
        <f aca="false">IF(OR($R232="Normal",$S232="Normal"),4,SUM(IF(OR($R232="Ghost",$R232="Psychic"),0-1,IF($R232="Dark",1,0)),IF(OR($S232="Ghost",$S232="Psychic"),0-1,IF($S232="Dark",1,0))))</f>
        <v>0</v>
      </c>
      <c r="AL232" s="507" t="n">
        <f aca="false">SUM(IF(OR($R232="Ground",$R232="Rock",$R232="Water"),0-1,IF(OR($R232="Bug",$R232="Flying",$R232="Fire",$R232="Dragon",$R232="Poison",$R232="Steel",$R232="Grass"),1,0)),IF(OR($S232="Ground",$S232="Rock",$S232="Water"),0-1,IF(OR($S232="Bug",$S232="Flying",$S232="Fire",$S232="Dragon",$S232="Poison",$S232="Steel",$S232="Grass"),1,0)))</f>
        <v>1</v>
      </c>
      <c r="AM232" s="507" t="n">
        <f aca="false">IF(OR($R232="Flying",$S232="Flying"),4,SUM(IF(OR($R232="Electric",$R232="Fire",$R232="Rock",$R232="Steel",$R232="Poison"),0-1,IF(OR($R232="Bug",$R232="Grass"),1,0)),IF(OR($S232="Electric",$S232="Fire",$S232="Rock",$S232="Steel",$S232="Poison"),0-1,IF(OR($S232="Bug",$S232="Grass"),1,0))))</f>
        <v>0</v>
      </c>
      <c r="AN232" s="507" t="n">
        <f aca="false">SUM(IF(OR($R232="Flying",$R232="Dragon",$R232="Grass",$R232="Ground"),0-1,IF(OR($R232="Steel",$R232="Ice",$R232="Fire",$R232="Water"),1,0)),IF(OR($S232="Flying",$S232="Dragon",$S232="Grass",$S232="Ground"),0-1,IF(OR($S232="Steel",$S232="Ice",$S232="Fire",$S232="Water"),1,0)))</f>
        <v>-1</v>
      </c>
      <c r="AO232" s="507" t="n">
        <f aca="false">IF(OR($R232="Ghost",$S232="Ghost"),4,SUM(IF(OR($R232="Steel",$R232="Rock"),1,0),IF(OR($S232="Steel",$S232="Rock"),1,0)))</f>
        <v>0</v>
      </c>
      <c r="AP232" s="507" t="n">
        <f aca="false">IF(OR($R232="Steel",$S232="Steel"),4,SUM(IF(OR($R232="Fairy",$R232="Grass"),0-1,IF(OR($R232="Ghost",$R232="Rock",$R232="Ground",$R232="Poison"),1,0)),IF(OR($S232="Fairy",$S232="Grass"),0-1,IF(OR($S232="Ghost",$S232="Rock",$S232="Ground",$S232="Poison"),1,0))))</f>
        <v>0</v>
      </c>
      <c r="AQ232" s="507" t="n">
        <f aca="false">IF(OR($R232="Dark",$S232="Dark"),4,SUM(IF(OR($R232="Fighting",$R232="Poison"),0-1,IF(OR($R232="Psychic",$R232="Steel"),1,0)),IF(OR($S232="Fighting",$S232="Poison"),0-1,IF(OR($S232="Psychic",$S232="Steel"),1,0))))</f>
        <v>-1</v>
      </c>
      <c r="AR232" s="507" t="n">
        <f aca="false">SUM(IF(OR($R232="Bug",$R232="Fire",$R232="Flying",$R232="Ice"),0-1,IF(OR($R232="Steel",$R232="Fighting",$R232="Ground"),1,0)),IF(OR($S232="Bug",$S232="Fire",$S232="Flying",$S232="Ice"),0-1,IF(OR($S232="Steel",$S232="Fighting",$S232="Ground"),1,0)))</f>
        <v>1</v>
      </c>
      <c r="AS232" s="507" t="n">
        <f aca="false">SUM(IF(OR($R232="Fairy",$R232="Ice",$R232="Rock"),0-1,IF(OR($R232="Steel",$R232="Electric",$R232="Fire",$R232="Water"),1,0)),IF(OR($S232="Fairy",$S232="Ice",$S232="Rock"),0-1,IF(OR($S232="Steel",$S232="Electric",$S232="Fire",$S232="Water"),1,0)))</f>
        <v>0</v>
      </c>
      <c r="AT232" s="508" t="n">
        <f aca="false">SUM(IF(OR($R232="Fire",$R232="Ground",$R232="Rock"),0-1,IF(OR($R232="Dragon",$R232="Grass",$R232="Water"),1,0)),IF(OR($S232="Fire",$S232="Ground",$S232="Rock"),0-1,IF(OR($S232="Dragon",$S232="Grass",$S232="Water"),1,0)))</f>
        <v>1</v>
      </c>
      <c r="AU232" s="518"/>
    </row>
    <row r="233" customFormat="false" ht="15.75" hidden="false" customHeight="false" outlineLevel="0" collapsed="false">
      <c r="A233" s="536" t="str">
        <f aca="false" t="array" ref="A233:A233">IF(ISNA(INDEX(Source!$U$7:$U$95,MATCH(B233,Source!$V$7:$V$95,0))),"FREE",INDEX(Source!$U$7:$U$95,MATCH(B233,Source!$V$7:$V$95,0)))</f>
        <v>FREE</v>
      </c>
      <c r="B233" s="511" t="s">
        <v>660</v>
      </c>
      <c r="C233" s="511"/>
      <c r="D233" s="511"/>
      <c r="E233" s="499" t="str">
        <f aca="false">IF(SUM($W233:$X233)&gt;0,SUM($W233:$X233),IF($H233&gt;0,0,IF($H233&gt;0,0,"-")))</f>
        <v>-</v>
      </c>
      <c r="F233" s="499" t="str">
        <f aca="false">IF(SUM($Y233:$Z233)&gt;0,SUM($Y233:$Z233),IF($H233&gt;0,0,"-"))</f>
        <v>-</v>
      </c>
      <c r="G233" s="499" t="str">
        <f aca="false">IF($H233&gt;0,minus(E233,F233),"-")</f>
        <v>-</v>
      </c>
      <c r="H233" s="500" t="n">
        <f aca="false">SUM(COUNTIF(MatchSource!$A:$A,$B233),COUNTIF(MatchSource!$H:$H,$B233))</f>
        <v>0</v>
      </c>
      <c r="I233" s="501" t="n">
        <f aca="false">SUM($AA233:$AB233)</f>
        <v>0</v>
      </c>
      <c r="J233" s="501" t="s">
        <v>702</v>
      </c>
      <c r="K233" s="512" t="str">
        <f aca="false" t="array" ref="K233:K233">IF(ISNA(INDEX(DraftRosters!$AA$3:$AA$199,MATCH($B233,DraftRosters!$AB$3:$AB$199,0))),"FA",IF(INDEX(DraftRosters!$AA$3:$AA$199,MATCH($B233,DraftRosters!$AB$3:$AB$199,0))="Franchise","Franch",INDEX(DraftRosters!$AA$3:$AA$199,MATCH($B233,DraftRosters!$AB$3:$AB$199,0))))</f>
        <v>FA</v>
      </c>
      <c r="L233" s="499" t="n">
        <v>77</v>
      </c>
      <c r="M233" s="499" t="n">
        <v>85</v>
      </c>
      <c r="N233" s="499" t="n">
        <v>51</v>
      </c>
      <c r="O233" s="499" t="n">
        <v>55</v>
      </c>
      <c r="P233" s="499" t="n">
        <v>51</v>
      </c>
      <c r="Q233" s="501" t="n">
        <v>65</v>
      </c>
      <c r="R233" s="499" t="s">
        <v>794</v>
      </c>
      <c r="S233" s="501"/>
      <c r="T233" s="504" t="s">
        <v>949</v>
      </c>
      <c r="U233" s="505" t="s">
        <v>852</v>
      </c>
      <c r="V233" s="506"/>
      <c r="W233" s="500" t="str">
        <f aca="false">IFERROR(__xludf.dummyfunction("if(isna(SUM(FILTER(MatchSource!$A:$D,MatchSource!$A:$A=$B233))),0,SUM(FILTER(MatchSource!$A:$D,MatchSource!$A:$A=$B233)))"),"0")</f>
        <v>0</v>
      </c>
      <c r="X233" s="499" t="str">
        <f aca="false">IFERROR(__xludf.dummyfunction("if(isna(SUM(FILTER(MatchSource!$H:$K,MatchSource!$H:$H=$B233))),0,SUM(FILTER(MatchSource!$H:$K,MatchSource!$H:$H=$B233)))"),"0")</f>
        <v>0</v>
      </c>
      <c r="Y233" s="499" t="str">
        <f aca="false">IFERROR(__xludf.dummyfunction("if(isna(ABS(MINUS(SUM(FILTER(MatchSource!$A:$E,MatchSource!$A:$A=$B233)),SUM($W233)))),0,ABS(MINUS(SUM(FILTER(MatchSource!$A:$E,MatchSource!$A:$A=$B233)),SUM($W233))))"),"0")</f>
        <v>0</v>
      </c>
      <c r="Z233" s="499" t="str">
        <f aca="false">IFERROR(__xludf.dummyfunction("if(isna(ABS(MINUS(SUM(FILTER(MatchSource!$H:$L,MatchSource!$H:$H=$B233)),SUM($X233)))),0,ABS(MINUS(SUM(FILTER(MatchSource!$H:$L,MatchSource!$H:$H=$B233)),SUM($X233))))"),"0")</f>
        <v>0</v>
      </c>
      <c r="AA233" s="499" t="str">
        <f aca="false">IFERROR(__xludf.dummyfunction("if(isna(ABS(MINUS(SUM(FILTER(MatchSource!$A:$F,MatchSource!$A:$A=$B233)),SUM($W233,$Y233)))),0,ABS(MINUS(SUM(FILTER(MatchSource!$A:$F,MatchSource!$A:$A=$B233)),SUM($W233, $Y233,))))"),"0")</f>
        <v>0</v>
      </c>
      <c r="AB233" s="501" t="str">
        <f aca="false">IFERROR(__xludf.dummyfunction("if(isna(ABS(MINUS(SUM(FILTER(MatchSource!$H:$M,MatchSource!$H:$H=$B233)),SUM($X233,$Z233)))),0,ABS(MINUS(SUM(FILTER(MatchSource!$H:$M,MatchSource!$H:$H=$B233)),SUM($X233,$Z233))))"),"0")</f>
        <v>0</v>
      </c>
      <c r="AC233" s="507" t="n">
        <f aca="false">SUM(IF(OR($R233="Grass",$R233="Psychic",$R233="Dark"),0-1,IF(OR($R233="Fighting",$R233="Flying",$R233="Fire",$R233="Ghost",$R233="Poison",$R233="Steel",$R233="Fairy"),1,0)),IF(OR($S233="Grass",$S233="Psychic",$S233="Dark"),0-1,IF(OR($S233="Fighting",$S233="Flying",$S233="Fire",$S233="Ghost",$S233="Poison",$S233="Steel",$S233="Fairy"),1,0)))</f>
        <v>0</v>
      </c>
      <c r="AD233" s="507" t="n">
        <f aca="false">SUM(IF(OR($R233="Ghost",$R233="Psychic"),0-1,IF(OR($R233="Fighting",$R233="Dark",$R233="Fairy"),1,0)),IF(OR($S233="Ghost",$S233="Psychic"),0-1,IF(OR($S233="Fighting",$S233="Dark",$S233="Fairy"),1,0)))</f>
        <v>0</v>
      </c>
      <c r="AE233" s="507" t="n">
        <f aca="false">IF(OR($R233="Fairy",$S233="Fairy"),4,SUM(IF($R233="Dragon",0-1,IF($R233="Steel",1,0)),IF($S233="Dragon",0-1,IF($S233="Steel",1,0))))</f>
        <v>0</v>
      </c>
      <c r="AF233" s="507" t="n">
        <f aca="false">IF(OR($R233="Ground",$S233="Ground"),4,SUM(IF(OR($R233="Flying",$R233="Water"),0-1,IF(OR($R233="Dragon",$R233="Electric",$R233="Grass"),1,0)),IF(OR($S233="Flying",$S233="Water"),0-1,IF(OR($S233="Dragon",$S233="Electric",$S233="Grass"),1,0))))</f>
        <v>0</v>
      </c>
      <c r="AG233" s="507" t="n">
        <f aca="false">SUM(IF(OR($R233="Dark",$R233="Dragon",$R233="Fighting"),0-1,IF(OR($R233="Steel",$R233="Poison",$R233="Fire"),1,0)),IF(OR($S233="Dark",$S233="Dragon",$S233="Fighting"),0-1,IF(OR($S233="Steel",$S233="Poison",$S233="Fire"),1,0)))</f>
        <v>0</v>
      </c>
      <c r="AH233" s="507" t="n">
        <f aca="false">IF(OR($R233="Ghost",$S233="Ghost"),4,SUM(IF(OR($R233="Dark",$R233="Ice",$R233="Normal",$R233="Rock",$R233="Steel"),0-1,IF(OR($R233="Bug",$R233="Fairy",$R233="Flying",$R233="Poison",$R233="Psychic"),1,0)),IF(OR($S233="Dark",$S233="Ice",$S233="Normal",$S233="Rock",$S233="Steel"),0-1,IF(OR($S233="Bug",$S233="Fairy",$S233="Flying",$S233="Poison",$S233="Psychic"),1,0))))</f>
        <v>1</v>
      </c>
      <c r="AI233" s="507" t="n">
        <f aca="false">SUM(IF(OR($R233="Bug",$R233="Grass",$R233="Ice",$R233="Steel"),0-1,IF(OR($R233="Dragon",$R233="Fire",$R233="Rock",$R233="Water"),1,0)),IF(OR($S233="Bug",$S233="Grass",$S233="Ice",$S233="Steel"),0-1,IF(OR($S233="Dragon",$S233="Fire",$S233="Rock",$S233="Water"),1,0)))</f>
        <v>-1</v>
      </c>
      <c r="AJ233" s="507" t="n">
        <f aca="false">SUM(IF(OR($R233="Bug",$R233="Grass",$R233="Fighting"),0-1,IF(OR($R233="Electric",$R233="Rock",$R233="Steel"),1,0)),IF(OR($S233="Bug",$S233="Grass",$S233="Fighting"),0-1,IF(OR($S233="Electric",$S233="Rock",$S233="Steel"),1,0)))</f>
        <v>-1</v>
      </c>
      <c r="AK233" s="507" t="n">
        <f aca="false">IF(OR($R233="Normal",$S233="Normal"),4,SUM(IF(OR($R233="Ghost",$R233="Psychic"),0-1,IF($R233="Dark",1,0)),IF(OR($S233="Ghost",$S233="Psychic"),0-1,IF($S233="Dark",1,0))))</f>
        <v>0</v>
      </c>
      <c r="AL233" s="507" t="n">
        <f aca="false">SUM(IF(OR($R233="Ground",$R233="Rock",$R233="Water"),0-1,IF(OR($R233="Bug",$R233="Flying",$R233="Fire",$R233="Dragon",$R233="Poison",$R233="Steel",$R233="Grass"),1,0)),IF(OR($S233="Ground",$S233="Rock",$S233="Water"),0-1,IF(OR($S233="Bug",$S233="Flying",$S233="Fire",$S233="Dragon",$S233="Poison",$S233="Steel",$S233="Grass"),1,0)))</f>
        <v>1</v>
      </c>
      <c r="AM233" s="507" t="n">
        <f aca="false">IF(OR($R233="Flying",$S233="Flying"),4,SUM(IF(OR($R233="Electric",$R233="Fire",$R233="Rock",$R233="Steel",$R233="Poison"),0-1,IF(OR($R233="Bug",$R233="Grass"),1,0)),IF(OR($S233="Electric",$S233="Fire",$S233="Rock",$S233="Steel",$S233="Poison"),0-1,IF(OR($S233="Bug",$S233="Grass"),1,0))))</f>
        <v>1</v>
      </c>
      <c r="AN233" s="507" t="n">
        <f aca="false">SUM(IF(OR($R233="Flying",$R233="Dragon",$R233="Grass",$R233="Ground"),0-1,IF(OR($R233="Steel",$R233="Ice",$R233="Fire",$R233="Water"),1,0)),IF(OR($S233="Flying",$S233="Dragon",$S233="Grass",$S233="Ground"),0-1,IF(OR($S233="Steel",$S233="Ice",$S233="Fire",$S233="Water"),1,0)))</f>
        <v>0</v>
      </c>
      <c r="AO233" s="507" t="n">
        <f aca="false">IF(OR($R233="Ghost",$S233="Ghost"),4,SUM(IF(OR($R233="Steel",$R233="Rock"),1,0),IF(OR($S233="Steel",$S233="Rock"),1,0)))</f>
        <v>0</v>
      </c>
      <c r="AP233" s="507" t="n">
        <f aca="false">IF(OR($R233="Steel",$S233="Steel"),4,SUM(IF(OR($R233="Fairy",$R233="Grass"),0-1,IF(OR($R233="Ghost",$R233="Rock",$R233="Ground",$R233="Poison"),1,0)),IF(OR($S233="Fairy",$S233="Grass"),0-1,IF(OR($S233="Ghost",$S233="Rock",$S233="Ground",$S233="Poison"),1,0))))</f>
        <v>0</v>
      </c>
      <c r="AQ233" s="507" t="n">
        <f aca="false">IF(OR($R233="Dark",$S233="Dark"),4,SUM(IF(OR($R233="Fighting",$R233="Poison"),0-1,IF(OR($R233="Psychic",$R233="Steel"),1,0)),IF(OR($S233="Fighting",$S233="Poison"),0-1,IF(OR($S233="Psychic",$S233="Steel"),1,0))))</f>
        <v>0</v>
      </c>
      <c r="AR233" s="507" t="n">
        <f aca="false">SUM(IF(OR($R233="Bug",$R233="Fire",$R233="Flying",$R233="Ice"),0-1,IF(OR($R233="Steel",$R233="Fighting",$R233="Ground"),1,0)),IF(OR($S233="Bug",$S233="Fire",$S233="Flying",$S233="Ice"),0-1,IF(OR($S233="Steel",$S233="Fighting",$S233="Ground"),1,0)))</f>
        <v>-1</v>
      </c>
      <c r="AS233" s="507" t="n">
        <f aca="false">SUM(IF(OR($R233="Fairy",$R233="Ice",$R233="Rock"),0-1,IF(OR($R233="Steel",$R233="Electric",$R233="Fire",$R233="Water"),1,0)),IF(OR($S233="Fairy",$S233="Ice",$S233="Rock"),0-1,IF(OR($S233="Steel",$S233="Electric",$S233="Fire",$S233="Water"),1,0)))</f>
        <v>0</v>
      </c>
      <c r="AT233" s="508" t="n">
        <f aca="false">SUM(IF(OR($R233="Fire",$R233="Ground",$R233="Rock"),0-1,IF(OR($R233="Dragon",$R233="Grass",$R233="Water"),1,0)),IF(OR($S233="Fire",$S233="Ground",$S233="Rock"),0-1,IF(OR($S233="Dragon",$S233="Grass",$S233="Water"),1,0)))</f>
        <v>0</v>
      </c>
      <c r="AU233" s="518"/>
    </row>
    <row r="234" customFormat="false" ht="15.75" hidden="false" customHeight="false" outlineLevel="0" collapsed="false">
      <c r="A234" s="510" t="str">
        <f aca="false" t="array" ref="A234:A234">IF(ISNA(INDEX(Source!$U$7:$U$95,MATCH(B234,Source!$V$7:$V$95,0))),"FREE",INDEX(Source!$U$7:$U$95,MATCH(B234,Source!$V$7:$V$95,0)))</f>
        <v>FREE</v>
      </c>
      <c r="B234" s="511" t="s">
        <v>472</v>
      </c>
      <c r="C234" s="511"/>
      <c r="D234" s="511"/>
      <c r="E234" s="499" t="str">
        <f aca="false">IF(SUM($W234:$X234)&gt;0,SUM($W234:$X234),IF($H234&gt;0,0,IF($H234&gt;0,0,"-")))</f>
        <v>-</v>
      </c>
      <c r="F234" s="499" t="str">
        <f aca="false">IF(SUM($Y234:$Z234)&gt;0,SUM($Y234:$Z234),IF($H234&gt;0,0,"-"))</f>
        <v>-</v>
      </c>
      <c r="G234" s="499" t="str">
        <f aca="false">IF($H234&gt;0,minus(E234,F234),"-")</f>
        <v>-</v>
      </c>
      <c r="H234" s="500" t="n">
        <f aca="false">SUM(COUNTIF(MatchSource!$A:$A,$B234),COUNTIF(MatchSource!$H:$H,$B234))</f>
        <v>0</v>
      </c>
      <c r="I234" s="501" t="n">
        <f aca="false">SUM($AA234:$AB234)</f>
        <v>0</v>
      </c>
      <c r="J234" s="501" t="s">
        <v>700</v>
      </c>
      <c r="K234" s="512" t="str">
        <f aca="false" t="array" ref="K234:K234">IF(ISNA(INDEX(DraftRosters!$AA$3:$AA$199,MATCH($B234,DraftRosters!$AB$3:$AB$199,0))),"FA",IF(INDEX(DraftRosters!$AA$3:$AA$199,MATCH($B234,DraftRosters!$AB$3:$AB$199,0))="Franchise","Franch",INDEX(DraftRosters!$AA$3:$AA$199,MATCH($B234,DraftRosters!$AB$3:$AB$199,0))))</f>
        <v>FA</v>
      </c>
      <c r="L234" s="507" t="n">
        <v>95</v>
      </c>
      <c r="M234" s="507" t="n">
        <v>117</v>
      </c>
      <c r="N234" s="507" t="n">
        <v>80</v>
      </c>
      <c r="O234" s="507" t="n">
        <v>65</v>
      </c>
      <c r="P234" s="507" t="n">
        <v>70</v>
      </c>
      <c r="Q234" s="508" t="n">
        <v>92</v>
      </c>
      <c r="R234" s="499" t="s">
        <v>795</v>
      </c>
      <c r="S234" s="501" t="s">
        <v>907</v>
      </c>
      <c r="T234" s="504" t="s">
        <v>908</v>
      </c>
      <c r="U234" s="505" t="s">
        <v>997</v>
      </c>
      <c r="V234" s="506" t="s">
        <v>851</v>
      </c>
      <c r="W234" s="500" t="str">
        <f aca="false">IFERROR(__xludf.dummyfunction("if(isna(SUM(FILTER(MatchSource!$A:$D,MatchSource!$A:$A=$B234))),0,SUM(FILTER(MatchSource!$A:$D,MatchSource!$A:$A=$B234)))"),"0")</f>
        <v>0</v>
      </c>
      <c r="X234" s="499" t="str">
        <f aca="false">IFERROR(__xludf.dummyfunction("if(isna(SUM(FILTER(MatchSource!$H:$K,MatchSource!$H:$H=$B234))),0,SUM(FILTER(MatchSource!$H:$K,MatchSource!$H:$H=$B234)))"),"0")</f>
        <v>0</v>
      </c>
      <c r="Y234" s="499" t="str">
        <f aca="false">IFERROR(__xludf.dummyfunction("if(isna(ABS(MINUS(SUM(FILTER(MatchSource!$A:$E,MatchSource!$A:$A=$B234)),SUM($W234)))),0,ABS(MINUS(SUM(FILTER(MatchSource!$A:$E,MatchSource!$A:$A=$B234)),SUM($W234))))"),"0")</f>
        <v>0</v>
      </c>
      <c r="Z234" s="499" t="str">
        <f aca="false">IFERROR(__xludf.dummyfunction("if(isna(ABS(MINUS(SUM(FILTER(MatchSource!$H:$L,MatchSource!$H:$H=$B234)),SUM($X234)))),0,ABS(MINUS(SUM(FILTER(MatchSource!$H:$L,MatchSource!$H:$H=$B234)),SUM($X234))))"),"0")</f>
        <v>0</v>
      </c>
      <c r="AA234" s="499" t="str">
        <f aca="false">IFERROR(__xludf.dummyfunction("if(isna(ABS(MINUS(SUM(FILTER(MatchSource!$A:$F,MatchSource!$A:$A=$B234)),SUM($W234,$Y234)))),0,ABS(MINUS(SUM(FILTER(MatchSource!$A:$F,MatchSource!$A:$A=$B234)),SUM($W234, $Y234,))))"),"0")</f>
        <v>0</v>
      </c>
      <c r="AB234" s="501" t="str">
        <f aca="false">IFERROR(__xludf.dummyfunction("if(isna(ABS(MINUS(SUM(FILTER(MatchSource!$H:$M,MatchSource!$H:$H=$B234)),SUM($X234,$Z234)))),0,ABS(MINUS(SUM(FILTER(MatchSource!$H:$M,MatchSource!$H:$H=$B234)),SUM($X234,$Z234))))"),"0")</f>
        <v>0</v>
      </c>
      <c r="AC234" s="507" t="n">
        <f aca="false">SUM(IF(OR($R234="Grass",$R234="Psychic",$R234="Dark"),0-1,IF(OR($R234="Fighting",$R234="Flying",$R234="Fire",$R234="Ghost",$R234="Poison",$R234="Steel",$R234="Fairy"),1,0)),IF(OR($S234="Grass",$S234="Psychic",$S234="Dark"),0-1,IF(OR($S234="Fighting",$S234="Flying",$S234="Fire",$S234="Ghost",$S234="Poison",$S234="Steel",$S234="Fairy"),1,0)))</f>
        <v>-1</v>
      </c>
      <c r="AD234" s="507" t="n">
        <f aca="false">SUM(IF(OR($R234="Ghost",$R234="Psychic"),0-1,IF(OR($R234="Fighting",$R234="Dark",$R234="Fairy"),1,0)),IF(OR($S234="Ghost",$S234="Psychic"),0-1,IF(OR($S234="Fighting",$S234="Dark",$S234="Fairy"),1,0)))</f>
        <v>1</v>
      </c>
      <c r="AE234" s="507" t="n">
        <f aca="false">IF(OR($R234="Fairy",$S234="Fairy"),4,SUM(IF($R234="Dragon",0-1,IF($R234="Steel",1,0)),IF($S234="Dragon",0-1,IF($S234="Steel",1,0))))</f>
        <v>0</v>
      </c>
      <c r="AF234" s="507" t="n">
        <f aca="false">IF(OR($R234="Ground",$S234="Ground"),4,SUM(IF(OR($R234="Flying",$R234="Water"),0-1,IF(OR($R234="Dragon",$R234="Electric",$R234="Grass"),1,0)),IF(OR($S234="Flying",$S234="Water"),0-1,IF(OR($S234="Dragon",$S234="Electric",$S234="Grass"),1,0))))</f>
        <v>4</v>
      </c>
      <c r="AG234" s="507" t="n">
        <f aca="false">SUM(IF(OR($R234="Dark",$R234="Dragon",$R234="Fighting"),0-1,IF(OR($R234="Steel",$R234="Poison",$R234="Fire"),1,0)),IF(OR($S234="Dark",$S234="Dragon",$S234="Fighting"),0-1,IF(OR($S234="Steel",$S234="Poison",$S234="Fire"),1,0)))</f>
        <v>-1</v>
      </c>
      <c r="AH234" s="507" t="n">
        <f aca="false">IF(OR($R234="Ghost",$S234="Ghost"),4,SUM(IF(OR($R234="Dark",$R234="Ice",$R234="Normal",$R234="Rock",$R234="Steel"),0-1,IF(OR($R234="Bug",$R234="Fairy",$R234="Flying",$R234="Poison",$R234="Psychic"),1,0)),IF(OR($S234="Dark",$S234="Ice",$S234="Normal",$S234="Rock",$S234="Steel"),0-1,IF(OR($S234="Bug",$S234="Fairy",$S234="Flying",$S234="Poison",$S234="Psychic"),1,0))))</f>
        <v>-1</v>
      </c>
      <c r="AI234" s="507" t="n">
        <f aca="false">SUM(IF(OR($R234="Bug",$R234="Grass",$R234="Ice",$R234="Steel"),0-1,IF(OR($R234="Dragon",$R234="Fire",$R234="Rock",$R234="Water"),1,0)),IF(OR($S234="Bug",$S234="Grass",$S234="Ice",$S234="Steel"),0-1,IF(OR($S234="Dragon",$S234="Fire",$S234="Rock",$S234="Water"),1,0)))</f>
        <v>0</v>
      </c>
      <c r="AJ234" s="507" t="n">
        <f aca="false">SUM(IF(OR($R234="Bug",$R234="Grass",$R234="Fighting"),0-1,IF(OR($R234="Electric",$R234="Rock",$R234="Steel"),1,0)),IF(OR($S234="Bug",$S234="Grass",$S234="Fighting"),0-1,IF(OR($S234="Electric",$S234="Rock",$S234="Steel"),1,0)))</f>
        <v>0</v>
      </c>
      <c r="AK234" s="507" t="n">
        <f aca="false">IF(OR($R234="Normal",$S234="Normal"),4,SUM(IF(OR($R234="Ghost",$R234="Psychic"),0-1,IF($R234="Dark",1,0)),IF(OR($S234="Ghost",$S234="Psychic"),0-1,IF($S234="Dark",1,0))))</f>
        <v>1</v>
      </c>
      <c r="AL234" s="507" t="n">
        <f aca="false">SUM(IF(OR($R234="Ground",$R234="Rock",$R234="Water"),0-1,IF(OR($R234="Bug",$R234="Flying",$R234="Fire",$R234="Dragon",$R234="Poison",$R234="Steel",$R234="Grass"),1,0)),IF(OR($S234="Ground",$S234="Rock",$S234="Water"),0-1,IF(OR($S234="Bug",$S234="Flying",$S234="Fire",$S234="Dragon",$S234="Poison",$S234="Steel",$S234="Grass"),1,0)))</f>
        <v>-1</v>
      </c>
      <c r="AM234" s="507" t="n">
        <f aca="false">IF(OR($R234="Flying",$S234="Flying"),4,SUM(IF(OR($R234="Electric",$R234="Fire",$R234="Rock",$R234="Steel",$R234="Poison"),0-1,IF(OR($R234="Bug",$R234="Grass"),1,0)),IF(OR($S234="Electric",$S234="Fire",$S234="Rock",$S234="Steel",$S234="Poison"),0-1,IF(OR($S234="Bug",$S234="Grass"),1,0))))</f>
        <v>0</v>
      </c>
      <c r="AN234" s="507" t="n">
        <f aca="false">SUM(IF(OR($R234="Flying",$R234="Dragon",$R234="Grass",$R234="Ground"),0-1,IF(OR($R234="Steel",$R234="Ice",$R234="Fire",$R234="Water"),1,0)),IF(OR($S234="Flying",$S234="Dragon",$S234="Grass",$S234="Ground"),0-1,IF(OR($S234="Steel",$S234="Ice",$S234="Fire",$S234="Water"),1,0)))</f>
        <v>-1</v>
      </c>
      <c r="AO234" s="507" t="n">
        <f aca="false">IF(OR($R234="Ghost",$S234="Ghost"),4,SUM(IF(OR($R234="Steel",$R234="Rock"),1,0),IF(OR($S234="Steel",$S234="Rock"),1,0)))</f>
        <v>0</v>
      </c>
      <c r="AP234" s="507" t="n">
        <f aca="false">IF(OR($R234="Steel",$S234="Steel"),4,SUM(IF(OR($R234="Fairy",$R234="Grass"),0-1,IF(OR($R234="Ghost",$R234="Rock",$R234="Ground",$R234="Poison"),1,0)),IF(OR($S234="Fairy",$S234="Grass"),0-1,IF(OR($S234="Ghost",$S234="Rock",$S234="Ground",$S234="Poison"),1,0))))</f>
        <v>1</v>
      </c>
      <c r="AQ234" s="507" t="n">
        <f aca="false">IF(OR($R234="Dark",$S234="Dark"),4,SUM(IF(OR($R234="Fighting",$R234="Poison"),0-1,IF(OR($R234="Psychic",$R234="Steel"),1,0)),IF(OR($S234="Fighting",$S234="Poison"),0-1,IF(OR($S234="Psychic",$S234="Steel"),1,0))))</f>
        <v>4</v>
      </c>
      <c r="AR234" s="507" t="n">
        <f aca="false">SUM(IF(OR($R234="Bug",$R234="Fire",$R234="Flying",$R234="Ice"),0-1,IF(OR($R234="Steel",$R234="Fighting",$R234="Ground"),1,0)),IF(OR($S234="Bug",$S234="Fire",$S234="Flying",$S234="Ice"),0-1,IF(OR($S234="Steel",$S234="Fighting",$S234="Ground"),1,0)))</f>
        <v>1</v>
      </c>
      <c r="AS234" s="507" t="n">
        <f aca="false">SUM(IF(OR($R234="Fairy",$R234="Ice",$R234="Rock"),0-1,IF(OR($R234="Steel",$R234="Electric",$R234="Fire",$R234="Water"),1,0)),IF(OR($S234="Fairy",$S234="Ice",$S234="Rock"),0-1,IF(OR($S234="Steel",$S234="Electric",$S234="Fire",$S234="Water"),1,0)))</f>
        <v>0</v>
      </c>
      <c r="AT234" s="508" t="n">
        <f aca="false">SUM(IF(OR($R234="Fire",$R234="Ground",$R234="Rock"),0-1,IF(OR($R234="Dragon",$R234="Grass",$R234="Water"),1,0)),IF(OR($S234="Fire",$S234="Ground",$S234="Rock"),0-1,IF(OR($S234="Dragon",$S234="Grass",$S234="Water"),1,0)))</f>
        <v>-1</v>
      </c>
      <c r="AU234" s="518"/>
    </row>
    <row r="235" customFormat="false" ht="15.75" hidden="false" customHeight="false" outlineLevel="0" collapsed="false">
      <c r="A235" s="510" t="str">
        <f aca="false" t="array" ref="A235:A235">IF(ISNA(INDEX(Source!$U$7:$U$95,MATCH(B235,Source!$V$7:$V$95,0))),"FREE",INDEX(Source!$U$7:$U$95,MATCH(B235,Source!$V$7:$V$95,0)))</f>
        <v>FREE</v>
      </c>
      <c r="B235" s="511" t="s">
        <v>477</v>
      </c>
      <c r="C235" s="511"/>
      <c r="D235" s="511"/>
      <c r="E235" s="499" t="str">
        <f aca="false">IF(SUM($W235:$X235)&gt;0,SUM($W235:$X235),IF($H235&gt;0,0,IF($H235&gt;0,0,"-")))</f>
        <v>-</v>
      </c>
      <c r="F235" s="499" t="str">
        <f aca="false">IF(SUM($Y235:$Z235)&gt;0,SUM($Y235:$Z235),IF($H235&gt;0,0,"-"))</f>
        <v>-</v>
      </c>
      <c r="G235" s="499" t="str">
        <f aca="false">IF($H235&gt;0,minus(E235,F235),"-")</f>
        <v>-</v>
      </c>
      <c r="H235" s="500" t="n">
        <f aca="false">SUM(COUNTIF(MatchSource!$A:$A,$B235),COUNTIF(MatchSource!$H:$H,$B235))</f>
        <v>0</v>
      </c>
      <c r="I235" s="501" t="n">
        <f aca="false">SUM($AA235:$AB235)</f>
        <v>0</v>
      </c>
      <c r="J235" s="501" t="s">
        <v>700</v>
      </c>
      <c r="K235" s="512" t="str">
        <f aca="false" t="array" ref="K235:K235">IF(ISNA(INDEX(DraftRosters!$AA$3:$AA$199,MATCH($B235,DraftRosters!$AB$3:$AB$199,0))),"FA",IF(INDEX(DraftRosters!$AA$3:$AA$199,MATCH($B235,DraftRosters!$AB$3:$AB$199,0))="Franchise","Franch",INDEX(DraftRosters!$AA$3:$AA$199,MATCH($B235,DraftRosters!$AB$3:$AB$199,0))))</f>
        <v>FA</v>
      </c>
      <c r="L235" s="499" t="n">
        <v>125</v>
      </c>
      <c r="M235" s="499" t="n">
        <v>130</v>
      </c>
      <c r="N235" s="499" t="n">
        <v>90</v>
      </c>
      <c r="O235" s="499" t="n">
        <v>130</v>
      </c>
      <c r="P235" s="499" t="n">
        <v>90</v>
      </c>
      <c r="Q235" s="501" t="n">
        <v>95</v>
      </c>
      <c r="R235" s="499" t="s">
        <v>835</v>
      </c>
      <c r="S235" s="501" t="s">
        <v>805</v>
      </c>
      <c r="T235" s="504" t="s">
        <v>816</v>
      </c>
      <c r="U235" s="505"/>
      <c r="V235" s="506"/>
      <c r="W235" s="500" t="str">
        <f aca="false">IFERROR(__xludf.dummyfunction("if(isna(SUM(FILTER(MatchSource!$A:$D,MatchSource!$A:$A=$B235))),0,SUM(FILTER(MatchSource!$A:$D,MatchSource!$A:$A=$B235)))"),"0")</f>
        <v>0</v>
      </c>
      <c r="X235" s="499" t="str">
        <f aca="false">IFERROR(__xludf.dummyfunction("if(isna(SUM(FILTER(MatchSource!$H:$K,MatchSource!$H:$H=$B235))),0,SUM(FILTER(MatchSource!$H:$K,MatchSource!$H:$H=$B235)))"),"0")</f>
        <v>0</v>
      </c>
      <c r="Y235" s="499" t="str">
        <f aca="false">IFERROR(__xludf.dummyfunction("if(isna(ABS(MINUS(SUM(FILTER(MatchSource!$A:$E,MatchSource!$A:$A=$B235)),SUM($W235)))),0,ABS(MINUS(SUM(FILTER(MatchSource!$A:$E,MatchSource!$A:$A=$B235)),SUM($W235))))"),"0")</f>
        <v>0</v>
      </c>
      <c r="Z235" s="499" t="str">
        <f aca="false">IFERROR(__xludf.dummyfunction("if(isna(ABS(MINUS(SUM(FILTER(MatchSource!$H:$L,MatchSource!$H:$H=$B235)),SUM($X235)))),0,ABS(MINUS(SUM(FILTER(MatchSource!$H:$L,MatchSource!$H:$H=$B235)),SUM($X235))))"),"0")</f>
        <v>0</v>
      </c>
      <c r="AA235" s="499" t="str">
        <f aca="false">IFERROR(__xludf.dummyfunction("if(isna(ABS(MINUS(SUM(FILTER(MatchSource!$A:$F,MatchSource!$A:$A=$B235)),SUM($W235,$Y235)))),0,ABS(MINUS(SUM(FILTER(MatchSource!$A:$F,MatchSource!$A:$A=$B235)),SUM($W235, $Y235,))))"),"0")</f>
        <v>0</v>
      </c>
      <c r="AB235" s="501" t="str">
        <f aca="false">IFERROR(__xludf.dummyfunction("if(isna(ABS(MINUS(SUM(FILTER(MatchSource!$H:$M,MatchSource!$H:$H=$B235)),SUM($X235,$Z235)))),0,ABS(MINUS(SUM(FILTER(MatchSource!$H:$M,MatchSource!$H:$H=$B235)),SUM($X235,$Z235))))"),"0")</f>
        <v>0</v>
      </c>
      <c r="AC235" s="507" t="n">
        <f aca="false">SUM(IF(OR($R235="Grass",$R235="Psychic",$R235="Dark"),0-1,IF(OR($R235="Fighting",$R235="Flying",$R235="Fire",$R235="Ghost",$R235="Poison",$R235="Steel",$R235="Fairy"),1,0)),IF(OR($S235="Grass",$S235="Psychic",$S235="Dark"),0-1,IF(OR($S235="Fighting",$S235="Flying",$S235="Fire",$S235="Ghost",$S235="Poison",$S235="Steel",$S235="Fairy"),1,0)))</f>
        <v>0</v>
      </c>
      <c r="AD235" s="507" t="n">
        <f aca="false">SUM(IF(OR($R235="Ghost",$R235="Psychic"),0-1,IF(OR($R235="Fighting",$R235="Dark",$R235="Fairy"),1,0)),IF(OR($S235="Ghost",$S235="Psychic"),0-1,IF(OR($S235="Fighting",$S235="Dark",$S235="Fairy"),1,0)))</f>
        <v>0</v>
      </c>
      <c r="AE235" s="507" t="n">
        <f aca="false">IF(OR($R235="Fairy",$S235="Fairy"),4,SUM(IF($R235="Dragon",0-1,IF($R235="Steel",1,0)),IF($S235="Dragon",0-1,IF($S235="Steel",1,0))))</f>
        <v>-1</v>
      </c>
      <c r="AF235" s="507" t="n">
        <f aca="false">IF(OR($R235="Ground",$S235="Ground"),4,SUM(IF(OR($R235="Flying",$R235="Water"),0-1,IF(OR($R235="Dragon",$R235="Electric",$R235="Grass"),1,0)),IF(OR($S235="Flying",$S235="Water"),0-1,IF(OR($S235="Dragon",$S235="Electric",$S235="Grass"),1,0))))</f>
        <v>1</v>
      </c>
      <c r="AG235" s="507" t="n">
        <f aca="false">SUM(IF(OR($R235="Dark",$R235="Dragon",$R235="Fighting"),0-1,IF(OR($R235="Steel",$R235="Poison",$R235="Fire"),1,0)),IF(OR($S235="Dark",$S235="Dragon",$S235="Fighting"),0-1,IF(OR($S235="Steel",$S235="Poison",$S235="Fire"),1,0)))</f>
        <v>-1</v>
      </c>
      <c r="AH235" s="507" t="n">
        <f aca="false">IF(OR($R235="Ghost",$S235="Ghost"),4,SUM(IF(OR($R235="Dark",$R235="Ice",$R235="Normal",$R235="Rock",$R235="Steel"),0-1,IF(OR($R235="Bug",$R235="Fairy",$R235="Flying",$R235="Poison",$R235="Psychic"),1,0)),IF(OR($S235="Dark",$S235="Ice",$S235="Normal",$S235="Rock",$S235="Steel"),0-1,IF(OR($S235="Bug",$S235="Fairy",$S235="Flying",$S235="Poison",$S235="Psychic"),1,0))))</f>
        <v>-1</v>
      </c>
      <c r="AI235" s="507" t="n">
        <f aca="false">SUM(IF(OR($R235="Bug",$R235="Grass",$R235="Ice",$R235="Steel"),0-1,IF(OR($R235="Dragon",$R235="Fire",$R235="Rock",$R235="Water"),1,0)),IF(OR($S235="Bug",$S235="Grass",$S235="Ice",$S235="Steel"),0-1,IF(OR($S235="Dragon",$S235="Fire",$S235="Rock",$S235="Water"),1,0)))</f>
        <v>0</v>
      </c>
      <c r="AJ235" s="507" t="n">
        <f aca="false">SUM(IF(OR($R235="Bug",$R235="Grass",$R235="Fighting"),0-1,IF(OR($R235="Electric",$R235="Rock",$R235="Steel"),1,0)),IF(OR($S235="Bug",$S235="Grass",$S235="Fighting"),0-1,IF(OR($S235="Electric",$S235="Rock",$S235="Steel"),1,0)))</f>
        <v>0</v>
      </c>
      <c r="AK235" s="507" t="n">
        <f aca="false">IF(OR($R235="Normal",$S235="Normal"),4,SUM(IF(OR($R235="Ghost",$R235="Psychic"),0-1,IF($R235="Dark",1,0)),IF(OR($S235="Ghost",$S235="Psychic"),0-1,IF($S235="Dark",1,0))))</f>
        <v>0</v>
      </c>
      <c r="AL235" s="507" t="n">
        <f aca="false">SUM(IF(OR($R235="Ground",$R235="Rock",$R235="Water"),0-1,IF(OR($R235="Bug",$R235="Flying",$R235="Fire",$R235="Dragon",$R235="Poison",$R235="Steel",$R235="Grass"),1,0)),IF(OR($S235="Ground",$S235="Rock",$S235="Water"),0-1,IF(OR($S235="Bug",$S235="Flying",$S235="Fire",$S235="Dragon",$S235="Poison",$S235="Steel",$S235="Grass"),1,0)))</f>
        <v>1</v>
      </c>
      <c r="AM235" s="507" t="n">
        <f aca="false">IF(OR($R235="Flying",$S235="Flying"),4,SUM(IF(OR($R235="Electric",$R235="Fire",$R235="Rock",$R235="Steel",$R235="Poison"),0-1,IF(OR($R235="Bug",$R235="Grass"),1,0)),IF(OR($S235="Electric",$S235="Fire",$S235="Rock",$S235="Steel",$S235="Poison"),0-1,IF(OR($S235="Bug",$S235="Grass"),1,0))))</f>
        <v>0</v>
      </c>
      <c r="AN235" s="507" t="n">
        <f aca="false">SUM(IF(OR($R235="Flying",$R235="Dragon",$R235="Grass",$R235="Ground"),0-1,IF(OR($R235="Steel",$R235="Ice",$R235="Fire",$R235="Water"),1,0)),IF(OR($S235="Flying",$S235="Dragon",$S235="Grass",$S235="Ground"),0-1,IF(OR($S235="Steel",$S235="Ice",$S235="Fire",$S235="Water"),1,0)))</f>
        <v>0</v>
      </c>
      <c r="AO235" s="507" t="n">
        <f aca="false">IF(OR($R235="Ghost",$S235="Ghost"),4,SUM(IF(OR($R235="Steel",$R235="Rock"),1,0),IF(OR($S235="Steel",$S235="Rock"),1,0)))</f>
        <v>0</v>
      </c>
      <c r="AP235" s="507" t="n">
        <f aca="false">IF(OR($R235="Steel",$S235="Steel"),4,SUM(IF(OR($R235="Fairy",$R235="Grass"),0-1,IF(OR($R235="Ghost",$R235="Rock",$R235="Ground",$R235="Poison"),1,0)),IF(OR($S235="Fairy",$S235="Grass"),0-1,IF(OR($S235="Ghost",$S235="Rock",$S235="Ground",$S235="Poison"),1,0))))</f>
        <v>0</v>
      </c>
      <c r="AQ235" s="507" t="n">
        <f aca="false">IF(OR($R235="Dark",$S235="Dark"),4,SUM(IF(OR($R235="Fighting",$R235="Poison"),0-1,IF(OR($R235="Psychic",$R235="Steel"),1,0)),IF(OR($S235="Fighting",$S235="Poison"),0-1,IF(OR($S235="Psychic",$S235="Steel"),1,0))))</f>
        <v>0</v>
      </c>
      <c r="AR235" s="507" t="n">
        <f aca="false">SUM(IF(OR($R235="Bug",$R235="Fire",$R235="Flying",$R235="Ice"),0-1,IF(OR($R235="Steel",$R235="Fighting",$R235="Ground"),1,0)),IF(OR($S235="Bug",$S235="Fire",$S235="Flying",$S235="Ice"),0-1,IF(OR($S235="Steel",$S235="Fighting",$S235="Ground"),1,0)))</f>
        <v>-1</v>
      </c>
      <c r="AS235" s="507" t="n">
        <f aca="false">SUM(IF(OR($R235="Fairy",$R235="Ice",$R235="Rock"),0-1,IF(OR($R235="Steel",$R235="Electric",$R235="Fire",$R235="Water"),1,0)),IF(OR($S235="Fairy",$S235="Ice",$S235="Rock"),0-1,IF(OR($S235="Steel",$S235="Electric",$S235="Fire",$S235="Water"),1,0)))</f>
        <v>-1</v>
      </c>
      <c r="AT235" s="508" t="n">
        <f aca="false">SUM(IF(OR($R235="Fire",$R235="Ground",$R235="Rock"),0-1,IF(OR($R235="Dragon",$R235="Grass",$R235="Water"),1,0)),IF(OR($S235="Fire",$S235="Ground",$S235="Rock"),0-1,IF(OR($S235="Dragon",$S235="Grass",$S235="Water"),1,0)))</f>
        <v>1</v>
      </c>
      <c r="AU235" s="518"/>
    </row>
    <row r="236" customFormat="false" ht="15.75" hidden="false" customHeight="false" outlineLevel="0" collapsed="false">
      <c r="A236" s="510" t="str">
        <f aca="false" t="array" ref="A236:A236">IF(ISNA(INDEX(Source!$U$7:$U$95,MATCH(B236,Source!$V$7:$V$95,0))),"FREE",INDEX(Source!$U$7:$U$95,MATCH(B236,Source!$V$7:$V$95,0)))</f>
        <v>FREE</v>
      </c>
      <c r="B236" s="511" t="s">
        <v>738</v>
      </c>
      <c r="C236" s="511"/>
      <c r="D236" s="511"/>
      <c r="E236" s="499" t="str">
        <f aca="false">IF(SUM($W236:$X236)&gt;0,SUM($W236:$X236),IF($H236&gt;0,0,IF($H236&gt;0,0,"-")))</f>
        <v>-</v>
      </c>
      <c r="F236" s="499" t="str">
        <f aca="false">IF(SUM($Y236:$Z236)&gt;0,SUM($Y236:$Z236),IF($H236&gt;0,0,"-"))</f>
        <v>-</v>
      </c>
      <c r="G236" s="499" t="str">
        <f aca="false">IF($H236&gt;0,minus(E236,F236),"-")</f>
        <v>-</v>
      </c>
      <c r="H236" s="500" t="n">
        <f aca="false">SUM(COUNTIF(MatchSource!$A:$A,$B236),COUNTIF(MatchSource!$H:$H,$B236))</f>
        <v>0</v>
      </c>
      <c r="I236" s="501" t="n">
        <f aca="false">SUM($AA236:$AB236)</f>
        <v>0</v>
      </c>
      <c r="J236" s="501" t="s">
        <v>698</v>
      </c>
      <c r="K236" s="512" t="str">
        <f aca="false" t="array" ref="K236:K236">IF(ISNA(INDEX(DraftRosters!$AA$3:$AA$199,MATCH($B236,DraftRosters!$AB$3:$AB$199,0))),"FA",IF(INDEX(DraftRosters!$AA$3:$AA$199,MATCH($B236,DraftRosters!$AB$3:$AB$199,0))="Franchise","Franch",INDEX(DraftRosters!$AA$3:$AA$199,MATCH($B236,DraftRosters!$AB$3:$AB$199,0))))</f>
        <v>FA</v>
      </c>
      <c r="L236" s="499" t="n">
        <v>125</v>
      </c>
      <c r="M236" s="499" t="n">
        <v>170</v>
      </c>
      <c r="N236" s="499" t="n">
        <v>100</v>
      </c>
      <c r="O236" s="499" t="n">
        <v>120</v>
      </c>
      <c r="P236" s="499" t="n">
        <v>90</v>
      </c>
      <c r="Q236" s="501" t="n">
        <v>95</v>
      </c>
      <c r="R236" s="499" t="s">
        <v>835</v>
      </c>
      <c r="S236" s="501" t="s">
        <v>805</v>
      </c>
      <c r="T236" s="504" t="s">
        <v>1009</v>
      </c>
      <c r="U236" s="505"/>
      <c r="V236" s="506"/>
      <c r="W236" s="500" t="str">
        <f aca="false">IFERROR(__xludf.dummyfunction("if(isna(SUM(FILTER(MatchSource!$A:$D,MatchSource!$A:$A=$B236))),0,SUM(FILTER(MatchSource!$A:$D,MatchSource!$A:$A=$B236)))"),"0")</f>
        <v>0</v>
      </c>
      <c r="X236" s="499" t="str">
        <f aca="false">IFERROR(__xludf.dummyfunction("if(isna(SUM(FILTER(MatchSource!$H:$K,MatchSource!$H:$H=$B236))),0,SUM(FILTER(MatchSource!$H:$K,MatchSource!$H:$H=$B236)))"),"0")</f>
        <v>0</v>
      </c>
      <c r="Y236" s="499" t="str">
        <f aca="false">IFERROR(__xludf.dummyfunction("if(isna(ABS(MINUS(SUM(FILTER(MatchSource!$A:$E,MatchSource!$A:$A=$B236)),SUM($W236)))),0,ABS(MINUS(SUM(FILTER(MatchSource!$A:$E,MatchSource!$A:$A=$B236)),SUM($W236))))"),"0")</f>
        <v>0</v>
      </c>
      <c r="Z236" s="499" t="str">
        <f aca="false">IFERROR(__xludf.dummyfunction("if(isna(ABS(MINUS(SUM(FILTER(MatchSource!$H:$L,MatchSource!$H:$H=$B236)),SUM($X236)))),0,ABS(MINUS(SUM(FILTER(MatchSource!$H:$L,MatchSource!$H:$H=$B236)),SUM($X236))))"),"0")</f>
        <v>0</v>
      </c>
      <c r="AA236" s="499" t="str">
        <f aca="false">IFERROR(__xludf.dummyfunction("if(isna(ABS(MINUS(SUM(FILTER(MatchSource!$A:$F,MatchSource!$A:$A=$B236)),SUM($W236,$Y236)))),0,ABS(MINUS(SUM(FILTER(MatchSource!$A:$F,MatchSource!$A:$A=$B236)),SUM($W236, $Y236,))))"),"0")</f>
        <v>0</v>
      </c>
      <c r="AB236" s="501" t="str">
        <f aca="false">IFERROR(__xludf.dummyfunction("if(isna(ABS(MINUS(SUM(FILTER(MatchSource!$H:$M,MatchSource!$H:$H=$B236)),SUM($X236,$Z236)))),0,ABS(MINUS(SUM(FILTER(MatchSource!$H:$M,MatchSource!$H:$H=$B236)),SUM($X236,$Z236))))"),"0")</f>
        <v>0</v>
      </c>
      <c r="AC236" s="507" t="n">
        <f aca="false">SUM(IF(OR($R236="Grass",$R236="Psychic",$R236="Dark"),0-1,IF(OR($R236="Fighting",$R236="Flying",$R236="Fire",$R236="Ghost",$R236="Poison",$R236="Steel",$R236="Fairy"),1,0)),IF(OR($S236="Grass",$S236="Psychic",$S236="Dark"),0-1,IF(OR($S236="Fighting",$S236="Flying",$S236="Fire",$S236="Ghost",$S236="Poison",$S236="Steel",$S236="Fairy"),1,0)))</f>
        <v>0</v>
      </c>
      <c r="AD236" s="507" t="n">
        <f aca="false">SUM(IF(OR($R236="Ghost",$R236="Psychic"),0-1,IF(OR($R236="Fighting",$R236="Dark",$R236="Fairy"),1,0)),IF(OR($S236="Ghost",$S236="Psychic"),0-1,IF(OR($S236="Fighting",$S236="Dark",$S236="Fairy"),1,0)))</f>
        <v>0</v>
      </c>
      <c r="AE236" s="507" t="n">
        <f aca="false">IF(OR($R236="Fairy",$S236="Fairy"),4,SUM(IF($R236="Dragon",0-1,IF($R236="Steel",1,0)),IF($S236="Dragon",0-1,IF($S236="Steel",1,0))))</f>
        <v>-1</v>
      </c>
      <c r="AF236" s="507" t="n">
        <f aca="false">IF(OR($R236="Ground",$S236="Ground"),4,SUM(IF(OR($R236="Flying",$R236="Water"),0-1,IF(OR($R236="Dragon",$R236="Electric",$R236="Grass"),1,0)),IF(OR($S236="Flying",$S236="Water"),0-1,IF(OR($S236="Dragon",$S236="Electric",$S236="Grass"),1,0))))</f>
        <v>1</v>
      </c>
      <c r="AG236" s="507" t="n">
        <f aca="false">SUM(IF(OR($R236="Dark",$R236="Dragon",$R236="Fighting"),0-1,IF(OR($R236="Steel",$R236="Poison",$R236="Fire"),1,0)),IF(OR($S236="Dark",$S236="Dragon",$S236="Fighting"),0-1,IF(OR($S236="Steel",$S236="Poison",$S236="Fire"),1,0)))</f>
        <v>-1</v>
      </c>
      <c r="AH236" s="507" t="n">
        <f aca="false">IF(OR($R236="Ghost",$S236="Ghost"),4,SUM(IF(OR($R236="Dark",$R236="Ice",$R236="Normal",$R236="Rock",$R236="Steel"),0-1,IF(OR($R236="Bug",$R236="Fairy",$R236="Flying",$R236="Poison",$R236="Psychic"),1,0)),IF(OR($S236="Dark",$S236="Ice",$S236="Normal",$S236="Rock",$S236="Steel"),0-1,IF(OR($S236="Bug",$S236="Fairy",$S236="Flying",$S236="Poison",$S236="Psychic"),1,0))))</f>
        <v>-1</v>
      </c>
      <c r="AI236" s="507" t="n">
        <f aca="false">SUM(IF(OR($R236="Bug",$R236="Grass",$R236="Ice",$R236="Steel"),0-1,IF(OR($R236="Dragon",$R236="Fire",$R236="Rock",$R236="Water"),1,0)),IF(OR($S236="Bug",$S236="Grass",$S236="Ice",$S236="Steel"),0-1,IF(OR($S236="Dragon",$S236="Fire",$S236="Rock",$S236="Water"),1,0)))</f>
        <v>0</v>
      </c>
      <c r="AJ236" s="507" t="n">
        <f aca="false">SUM(IF(OR($R236="Bug",$R236="Grass",$R236="Fighting"),0-1,IF(OR($R236="Electric",$R236="Rock",$R236="Steel"),1,0)),IF(OR($S236="Bug",$S236="Grass",$S236="Fighting"),0-1,IF(OR($S236="Electric",$S236="Rock",$S236="Steel"),1,0)))</f>
        <v>0</v>
      </c>
      <c r="AK236" s="507" t="n">
        <f aca="false">IF(OR($R236="Normal",$S236="Normal"),4,SUM(IF(OR($R236="Ghost",$R236="Psychic"),0-1,IF($R236="Dark",1,0)),IF(OR($S236="Ghost",$S236="Psychic"),0-1,IF($S236="Dark",1,0))))</f>
        <v>0</v>
      </c>
      <c r="AL236" s="507" t="n">
        <f aca="false">SUM(IF(OR($R236="Ground",$R236="Rock",$R236="Water"),0-1,IF(OR($R236="Bug",$R236="Flying",$R236="Fire",$R236="Dragon",$R236="Poison",$R236="Steel",$R236="Grass"),1,0)),IF(OR($S236="Ground",$S236="Rock",$S236="Water"),0-1,IF(OR($S236="Bug",$S236="Flying",$S236="Fire",$S236="Dragon",$S236="Poison",$S236="Steel",$S236="Grass"),1,0)))</f>
        <v>1</v>
      </c>
      <c r="AM236" s="507" t="n">
        <f aca="false">IF(OR($R236="Flying",$S236="Flying"),4,SUM(IF(OR($R236="Electric",$R236="Fire",$R236="Rock",$R236="Steel",$R236="Poison"),0-1,IF(OR($R236="Bug",$R236="Grass"),1,0)),IF(OR($S236="Electric",$S236="Fire",$S236="Rock",$S236="Steel",$S236="Poison"),0-1,IF(OR($S236="Bug",$S236="Grass"),1,0))))</f>
        <v>0</v>
      </c>
      <c r="AN236" s="507" t="n">
        <f aca="false">SUM(IF(OR($R236="Flying",$R236="Dragon",$R236="Grass",$R236="Ground"),0-1,IF(OR($R236="Steel",$R236="Ice",$R236="Fire",$R236="Water"),1,0)),IF(OR($S236="Flying",$S236="Dragon",$S236="Grass",$S236="Ground"),0-1,IF(OR($S236="Steel",$S236="Ice",$S236="Fire",$S236="Water"),1,0)))</f>
        <v>0</v>
      </c>
      <c r="AO236" s="507" t="n">
        <f aca="false">IF(OR($R236="Ghost",$S236="Ghost"),4,SUM(IF(OR($R236="Steel",$R236="Rock"),1,0),IF(OR($S236="Steel",$S236="Rock"),1,0)))</f>
        <v>0</v>
      </c>
      <c r="AP236" s="507" t="n">
        <f aca="false">IF(OR($R236="Steel",$S236="Steel"),4,SUM(IF(OR($R236="Fairy",$R236="Grass"),0-1,IF(OR($R236="Ghost",$R236="Rock",$R236="Ground",$R236="Poison"),1,0)),IF(OR($S236="Fairy",$S236="Grass"),0-1,IF(OR($S236="Ghost",$S236="Rock",$S236="Ground",$S236="Poison"),1,0))))</f>
        <v>0</v>
      </c>
      <c r="AQ236" s="507" t="n">
        <f aca="false">IF(OR($R236="Dark",$S236="Dark"),4,SUM(IF(OR($R236="Fighting",$R236="Poison"),0-1,IF(OR($R236="Psychic",$R236="Steel"),1,0)),IF(OR($S236="Fighting",$S236="Poison"),0-1,IF(OR($S236="Psychic",$S236="Steel"),1,0))))</f>
        <v>0</v>
      </c>
      <c r="AR236" s="507" t="n">
        <f aca="false">SUM(IF(OR($R236="Bug",$R236="Fire",$R236="Flying",$R236="Ice"),0-1,IF(OR($R236="Steel",$R236="Fighting",$R236="Ground"),1,0)),IF(OR($S236="Bug",$S236="Fire",$S236="Flying",$S236="Ice"),0-1,IF(OR($S236="Steel",$S236="Fighting",$S236="Ground"),1,0)))</f>
        <v>-1</v>
      </c>
      <c r="AS236" s="507" t="n">
        <f aca="false">SUM(IF(OR($R236="Fairy",$R236="Ice",$R236="Rock"),0-1,IF(OR($R236="Steel",$R236="Electric",$R236="Fire",$R236="Water"),1,0)),IF(OR($S236="Fairy",$S236="Ice",$S236="Rock"),0-1,IF(OR($S236="Steel",$S236="Electric",$S236="Fire",$S236="Water"),1,0)))</f>
        <v>-1</v>
      </c>
      <c r="AT236" s="508" t="n">
        <f aca="false">SUM(IF(OR($R236="Fire",$R236="Ground",$R236="Rock"),0-1,IF(OR($R236="Dragon",$R236="Grass",$R236="Water"),1,0)),IF(OR($S236="Fire",$S236="Ground",$S236="Rock"),0-1,IF(OR($S236="Dragon",$S236="Grass",$S236="Water"),1,0)))</f>
        <v>1</v>
      </c>
      <c r="AU236" s="518"/>
    </row>
    <row r="237" customFormat="false" ht="15.75" hidden="false" customHeight="false" outlineLevel="0" collapsed="false">
      <c r="A237" s="510" t="str">
        <f aca="false" t="array" ref="A237:A237">IF(ISNA(INDEX(Source!$U$7:$U$95,MATCH(B237,Source!$V$7:$V$95,0))),"FREE",INDEX(Source!$U$7:$U$95,MATCH(B237,Source!$V$7:$V$95,0)))</f>
        <v>FREE</v>
      </c>
      <c r="B237" s="511" t="s">
        <v>1010</v>
      </c>
      <c r="C237" s="511"/>
      <c r="D237" s="511"/>
      <c r="E237" s="499" t="str">
        <f aca="false">IF(SUM($W237:$X237)&gt;0,SUM($W237:$X237),IF($H237&gt;0,0,IF($H237&gt;0,0,"-")))</f>
        <v>-</v>
      </c>
      <c r="F237" s="499" t="str">
        <f aca="false">IF(SUM($Y237:$Z237)&gt;0,SUM($Y237:$Z237),IF($H237&gt;0,0,"-"))</f>
        <v>-</v>
      </c>
      <c r="G237" s="499" t="str">
        <f aca="false">IF($H237&gt;0,minus(E237,F237),"-")</f>
        <v>-</v>
      </c>
      <c r="H237" s="500" t="n">
        <f aca="false">SUM(COUNTIF(MatchSource!$A:$A,$B237),COUNTIF(MatchSource!$H:$H,$B237))</f>
        <v>0</v>
      </c>
      <c r="I237" s="501" t="n">
        <f aca="false">SUM($AA237:$AB237)</f>
        <v>0</v>
      </c>
      <c r="J237" s="501" t="s">
        <v>888</v>
      </c>
      <c r="K237" s="512" t="str">
        <f aca="false" t="array" ref="K237:K237">IF(ISNA(INDEX(DraftRosters!$AA$3:$AA$199,MATCH($B237,DraftRosters!$AB$3:$AB$199,0))),"FA",IF(INDEX(DraftRosters!$AA$3:$AA$199,MATCH($B237,DraftRosters!$AB$3:$AB$199,0))="Franchise","Franch",INDEX(DraftRosters!$AA$3:$AA$199,MATCH($B237,DraftRosters!$AB$3:$AB$199,0))))</f>
        <v>FA</v>
      </c>
      <c r="L237" s="499" t="n">
        <v>89</v>
      </c>
      <c r="M237" s="499" t="n">
        <v>125</v>
      </c>
      <c r="N237" s="499" t="n">
        <v>90</v>
      </c>
      <c r="O237" s="499" t="n">
        <v>115</v>
      </c>
      <c r="P237" s="499" t="n">
        <v>80</v>
      </c>
      <c r="Q237" s="501" t="n">
        <v>101</v>
      </c>
      <c r="R237" s="499" t="s">
        <v>907</v>
      </c>
      <c r="S237" s="501" t="s">
        <v>801</v>
      </c>
      <c r="T237" s="520" t="s">
        <v>959</v>
      </c>
      <c r="U237" s="513" t="s">
        <v>1011</v>
      </c>
      <c r="V237" s="506"/>
      <c r="W237" s="500" t="str">
        <f aca="false">IFERROR(__xludf.dummyfunction("if(isna(SUM(FILTER(MatchSource!$A:$D,MatchSource!$A:$A=$B237))),0,SUM(FILTER(MatchSource!$A:$D,MatchSource!$A:$A=$B237)))"),"0")</f>
        <v>0</v>
      </c>
      <c r="X237" s="499" t="str">
        <f aca="false">IFERROR(__xludf.dummyfunction("if(isna(SUM(FILTER(MatchSource!$H:$K,MatchSource!$H:$H=$B237))),0,SUM(FILTER(MatchSource!$H:$K,MatchSource!$H:$H=$B237)))"),"0")</f>
        <v>0</v>
      </c>
      <c r="Y237" s="499" t="str">
        <f aca="false">IFERROR(__xludf.dummyfunction("if(isna(ABS(MINUS(SUM(FILTER(MatchSource!$A:$E,MatchSource!$A:$A=$B237)),SUM($W237)))),0,ABS(MINUS(SUM(FILTER(MatchSource!$A:$E,MatchSource!$A:$A=$B237)),SUM($W237))))"),"0")</f>
        <v>0</v>
      </c>
      <c r="Z237" s="499" t="str">
        <f aca="false">IFERROR(__xludf.dummyfunction("if(isna(ABS(MINUS(SUM(FILTER(MatchSource!$H:$L,MatchSource!$H:$H=$B237)),SUM($X237)))),0,ABS(MINUS(SUM(FILTER(MatchSource!$H:$L,MatchSource!$H:$H=$B237)),SUM($X237))))"),"0")</f>
        <v>0</v>
      </c>
      <c r="AA237" s="499" t="str">
        <f aca="false">IFERROR(__xludf.dummyfunction("if(isna(ABS(MINUS(SUM(FILTER(MatchSource!$A:$F,MatchSource!$A:$A=$B237)),SUM($W237,$Y237)))),0,ABS(MINUS(SUM(FILTER(MatchSource!$A:$F,MatchSource!$A:$A=$B237)),SUM($W237, $Y237,))))"),"0")</f>
        <v>0</v>
      </c>
      <c r="AB237" s="501" t="str">
        <f aca="false">IFERROR(__xludf.dummyfunction("if(isna(ABS(MINUS(SUM(FILTER(MatchSource!$H:$M,MatchSource!$H:$H=$B237)),SUM($X237,$Z237)))),0,ABS(MINUS(SUM(FILTER(MatchSource!$H:$M,MatchSource!$H:$H=$B237)),SUM($X237,$Z237))))"),"0")</f>
        <v>0</v>
      </c>
      <c r="AC237" s="507" t="n">
        <f aca="false">SUM(IF(OR($R237="Grass",$R237="Psychic",$R237="Dark"),0-1,IF(OR($R237="Fighting",$R237="Flying",$R237="Fire",$R237="Ghost",$R237="Poison",$R237="Steel",$R237="Fairy"),1,0)),IF(OR($S237="Grass",$S237="Psychic",$S237="Dark"),0-1,IF(OR($S237="Fighting",$S237="Flying",$S237="Fire",$S237="Ghost",$S237="Poison",$S237="Steel",$S237="Fairy"),1,0)))</f>
        <v>1</v>
      </c>
      <c r="AD237" s="507" t="n">
        <f aca="false">SUM(IF(OR($R237="Ghost",$R237="Psychic"),0-1,IF(OR($R237="Fighting",$R237="Dark",$R237="Fairy"),1,0)),IF(OR($S237="Ghost",$S237="Psychic"),0-1,IF(OR($S237="Fighting",$S237="Dark",$S237="Fairy"),1,0)))</f>
        <v>0</v>
      </c>
      <c r="AE237" s="507" t="n">
        <f aca="false">IF(OR($R237="Fairy",$S237="Fairy"),4,SUM(IF($R237="Dragon",0-1,IF($R237="Steel",1,0)),IF($S237="Dragon",0-1,IF($S237="Steel",1,0))))</f>
        <v>0</v>
      </c>
      <c r="AF237" s="507" t="n">
        <f aca="false">IF(OR($R237="Ground",$S237="Ground"),4,SUM(IF(OR($R237="Flying",$R237="Water"),0-1,IF(OR($R237="Dragon",$R237="Electric",$R237="Grass"),1,0)),IF(OR($S237="Flying",$S237="Water"),0-1,IF(OR($S237="Dragon",$S237="Electric",$S237="Grass"),1,0))))</f>
        <v>4</v>
      </c>
      <c r="AG237" s="507" t="n">
        <f aca="false">SUM(IF(OR($R237="Dark",$R237="Dragon",$R237="Fighting"),0-1,IF(OR($R237="Steel",$R237="Poison",$R237="Fire"),1,0)),IF(OR($S237="Dark",$S237="Dragon",$S237="Fighting"),0-1,IF(OR($S237="Steel",$S237="Poison",$S237="Fire"),1,0)))</f>
        <v>0</v>
      </c>
      <c r="AH237" s="507" t="n">
        <f aca="false">IF(OR($R237="Ghost",$S237="Ghost"),4,SUM(IF(OR($R237="Dark",$R237="Ice",$R237="Normal",$R237="Rock",$R237="Steel"),0-1,IF(OR($R237="Bug",$R237="Fairy",$R237="Flying",$R237="Poison",$R237="Psychic"),1,0)),IF(OR($S237="Dark",$S237="Ice",$S237="Normal",$S237="Rock",$S237="Steel"),0-1,IF(OR($S237="Bug",$S237="Fairy",$S237="Flying",$S237="Poison",$S237="Psychic"),1,0))))</f>
        <v>1</v>
      </c>
      <c r="AI237" s="507" t="n">
        <f aca="false">SUM(IF(OR($R237="Bug",$R237="Grass",$R237="Ice",$R237="Steel"),0-1,IF(OR($R237="Dragon",$R237="Fire",$R237="Rock",$R237="Water"),1,0)),IF(OR($S237="Bug",$S237="Grass",$S237="Ice",$S237="Steel"),0-1,IF(OR($S237="Dragon",$S237="Fire",$S237="Rock",$S237="Water"),1,0)))</f>
        <v>0</v>
      </c>
      <c r="AJ237" s="507" t="n">
        <f aca="false">SUM(IF(OR($R237="Bug",$R237="Grass",$R237="Fighting"),0-1,IF(OR($R237="Electric",$R237="Rock",$R237="Steel"),1,0)),IF(OR($S237="Bug",$S237="Grass",$S237="Fighting"),0-1,IF(OR($S237="Electric",$S237="Rock",$S237="Steel"),1,0)))</f>
        <v>0</v>
      </c>
      <c r="AK237" s="507" t="n">
        <f aca="false">IF(OR($R237="Normal",$S237="Normal"),4,SUM(IF(OR($R237="Ghost",$R237="Psychic"),0-1,IF($R237="Dark",1,0)),IF(OR($S237="Ghost",$S237="Psychic"),0-1,IF($S237="Dark",1,0))))</f>
        <v>0</v>
      </c>
      <c r="AL237" s="507" t="n">
        <f aca="false">SUM(IF(OR($R237="Ground",$R237="Rock",$R237="Water"),0-1,IF(OR($R237="Bug",$R237="Flying",$R237="Fire",$R237="Dragon",$R237="Poison",$R237="Steel",$R237="Grass"),1,0)),IF(OR($S237="Ground",$S237="Rock",$S237="Water"),0-1,IF(OR($S237="Bug",$S237="Flying",$S237="Fire",$S237="Dragon",$S237="Poison",$S237="Steel",$S237="Grass"),1,0)))</f>
        <v>0</v>
      </c>
      <c r="AM237" s="507" t="n">
        <f aca="false">IF(OR($R237="Flying",$S237="Flying"),4,SUM(IF(OR($R237="Electric",$R237="Fire",$R237="Rock",$R237="Steel",$R237="Poison"),0-1,IF(OR($R237="Bug",$R237="Grass"),1,0)),IF(OR($S237="Electric",$S237="Fire",$S237="Rock",$S237="Steel",$S237="Poison"),0-1,IF(OR($S237="Bug",$S237="Grass"),1,0))))</f>
        <v>4</v>
      </c>
      <c r="AN237" s="507" t="n">
        <f aca="false">SUM(IF(OR($R237="Flying",$R237="Dragon",$R237="Grass",$R237="Ground"),0-1,IF(OR($R237="Steel",$R237="Ice",$R237="Fire",$R237="Water"),1,0)),IF(OR($S237="Flying",$S237="Dragon",$S237="Grass",$S237="Ground"),0-1,IF(OR($S237="Steel",$S237="Ice",$S237="Fire",$S237="Water"),1,0)))</f>
        <v>-2</v>
      </c>
      <c r="AO237" s="507" t="n">
        <f aca="false">IF(OR($R237="Ghost",$S237="Ghost"),4,SUM(IF(OR($R237="Steel",$R237="Rock"),1,0),IF(OR($S237="Steel",$S237="Rock"),1,0)))</f>
        <v>0</v>
      </c>
      <c r="AP237" s="507" t="n">
        <f aca="false">IF(OR($R237="Steel",$S237="Steel"),4,SUM(IF(OR($R237="Fairy",$R237="Grass"),0-1,IF(OR($R237="Ghost",$R237="Rock",$R237="Ground",$R237="Poison"),1,0)),IF(OR($S237="Fairy",$S237="Grass"),0-1,IF(OR($S237="Ghost",$S237="Rock",$S237="Ground",$S237="Poison"),1,0))))</f>
        <v>1</v>
      </c>
      <c r="AQ237" s="507" t="n">
        <f aca="false">IF(OR($R237="Dark",$S237="Dark"),4,SUM(IF(OR($R237="Fighting",$R237="Poison"),0-1,IF(OR($R237="Psychic",$R237="Steel"),1,0)),IF(OR($S237="Fighting",$S237="Poison"),0-1,IF(OR($S237="Psychic",$S237="Steel"),1,0))))</f>
        <v>0</v>
      </c>
      <c r="AR237" s="507" t="n">
        <f aca="false">SUM(IF(OR($R237="Bug",$R237="Fire",$R237="Flying",$R237="Ice"),0-1,IF(OR($R237="Steel",$R237="Fighting",$R237="Ground"),1,0)),IF(OR($S237="Bug",$S237="Fire",$S237="Flying",$S237="Ice"),0-1,IF(OR($S237="Steel",$S237="Fighting",$S237="Ground"),1,0)))</f>
        <v>0</v>
      </c>
      <c r="AS237" s="507" t="n">
        <f aca="false">SUM(IF(OR($R237="Fairy",$R237="Ice",$R237="Rock"),0-1,IF(OR($R237="Steel",$R237="Electric",$R237="Fire",$R237="Water"),1,0)),IF(OR($S237="Fairy",$S237="Ice",$S237="Rock"),0-1,IF(OR($S237="Steel",$S237="Electric",$S237="Fire",$S237="Water"),1,0)))</f>
        <v>0</v>
      </c>
      <c r="AT237" s="508" t="n">
        <f aca="false">SUM(IF(OR($R237="Fire",$R237="Ground",$R237="Rock"),0-1,IF(OR($R237="Dragon",$R237="Grass",$R237="Water"),1,0)),IF(OR($S237="Fire",$S237="Ground",$S237="Rock"),0-1,IF(OR($S237="Dragon",$S237="Grass",$S237="Water"),1,0)))</f>
        <v>-1</v>
      </c>
      <c r="AU237" s="518"/>
    </row>
    <row r="238" customFormat="false" ht="15.75" hidden="false" customHeight="false" outlineLevel="0" collapsed="false">
      <c r="A238" s="510" t="str">
        <f aca="false" t="array" ref="A238:A238">IF(ISNA(INDEX(Source!$U$7:$U$95,MATCH(B238,Source!$V$7:$V$95,0))),"FREE",INDEX(Source!$U$7:$U$95,MATCH(B238,Source!$V$7:$V$95,0)))</f>
        <v>FREE</v>
      </c>
      <c r="B238" s="511" t="s">
        <v>378</v>
      </c>
      <c r="C238" s="511"/>
      <c r="D238" s="511"/>
      <c r="E238" s="499" t="str">
        <f aca="false">IF(SUM($W238:$X238)&gt;0,SUM($W238:$X238),IF($H238&gt;0,0,IF($H238&gt;0,0,"-")))</f>
        <v>-</v>
      </c>
      <c r="F238" s="499" t="str">
        <f aca="false">IF(SUM($Y238:$Z238)&gt;0,SUM($Y238:$Z238),IF($H238&gt;0,0,"-"))</f>
        <v>-</v>
      </c>
      <c r="G238" s="499" t="str">
        <f aca="false">IF($H238&gt;0,minus(E238,F238),"-")</f>
        <v>-</v>
      </c>
      <c r="H238" s="500" t="n">
        <f aca="false">SUM(COUNTIF(MatchSource!$A:$A,$B238),COUNTIF(MatchSource!$H:$H,$B238))</f>
        <v>0</v>
      </c>
      <c r="I238" s="501" t="n">
        <f aca="false">SUM($AA238:$AB238)</f>
        <v>0</v>
      </c>
      <c r="J238" s="501" t="s">
        <v>698</v>
      </c>
      <c r="K238" s="512" t="str">
        <f aca="false" t="array" ref="K238:K238">IF(ISNA(INDEX(DraftRosters!$AA$3:$AA$199,MATCH($B238,DraftRosters!$AB$3:$AB$199,0))),"FA",IF(INDEX(DraftRosters!$AA$3:$AA$199,MATCH($B238,DraftRosters!$AB$3:$AB$199,0))="Franchise","Franch",INDEX(DraftRosters!$AA$3:$AA$199,MATCH($B238,DraftRosters!$AB$3:$AB$199,0))))</f>
        <v>FA</v>
      </c>
      <c r="L238" s="499" t="n">
        <v>89</v>
      </c>
      <c r="M238" s="499" t="n">
        <v>145</v>
      </c>
      <c r="N238" s="499" t="n">
        <v>90</v>
      </c>
      <c r="O238" s="499" t="n">
        <v>105</v>
      </c>
      <c r="P238" s="499" t="n">
        <v>80</v>
      </c>
      <c r="Q238" s="501" t="n">
        <v>91</v>
      </c>
      <c r="R238" s="499" t="s">
        <v>907</v>
      </c>
      <c r="S238" s="501" t="s">
        <v>801</v>
      </c>
      <c r="T238" s="520" t="s">
        <v>851</v>
      </c>
      <c r="U238" s="513"/>
      <c r="V238" s="514"/>
      <c r="W238" s="500" t="str">
        <f aca="false">IFERROR(__xludf.dummyfunction("if(isna(SUM(FILTER(MatchSource!$A:$D,MatchSource!$A:$A=$B238))),0,SUM(FILTER(MatchSource!$A:$D,MatchSource!$A:$A=$B238)))"),"0")</f>
        <v>0</v>
      </c>
      <c r="X238" s="499" t="str">
        <f aca="false">IFERROR(__xludf.dummyfunction("if(isna(SUM(FILTER(MatchSource!$H:$K,MatchSource!$H:$H=$B238))),0,SUM(FILTER(MatchSource!$H:$K,MatchSource!$H:$H=$B238)))"),"0")</f>
        <v>0</v>
      </c>
      <c r="Y238" s="499" t="str">
        <f aca="false">IFERROR(__xludf.dummyfunction("if(isna(ABS(MINUS(SUM(FILTER(MatchSource!$A:$E,MatchSource!$A:$A=$B238)),SUM($W238)))),0,ABS(MINUS(SUM(FILTER(MatchSource!$A:$E,MatchSource!$A:$A=$B238)),SUM($W238))))"),"0")</f>
        <v>0</v>
      </c>
      <c r="Z238" s="499" t="str">
        <f aca="false">IFERROR(__xludf.dummyfunction("if(isna(ABS(MINUS(SUM(FILTER(MatchSource!$H:$L,MatchSource!$H:$H=$B238)),SUM($X238)))),0,ABS(MINUS(SUM(FILTER(MatchSource!$H:$L,MatchSource!$H:$H=$B238)),SUM($X238))))"),"0")</f>
        <v>0</v>
      </c>
      <c r="AA238" s="499" t="str">
        <f aca="false">IFERROR(__xludf.dummyfunction("if(isna(ABS(MINUS(SUM(FILTER(MatchSource!$A:$F,MatchSource!$A:$A=$B238)),SUM($W238,$Y238)))),0,ABS(MINUS(SUM(FILTER(MatchSource!$A:$F,MatchSource!$A:$A=$B238)),SUM($W238, $Y238,))))"),"0")</f>
        <v>0</v>
      </c>
      <c r="AB238" s="501" t="str">
        <f aca="false">IFERROR(__xludf.dummyfunction("if(isna(ABS(MINUS(SUM(FILTER(MatchSource!$H:$M,MatchSource!$H:$H=$B238)),SUM($X238,$Z238)))),0,ABS(MINUS(SUM(FILTER(MatchSource!$H:$M,MatchSource!$H:$H=$B238)),SUM($X238,$Z238))))"),"0")</f>
        <v>0</v>
      </c>
      <c r="AC238" s="507" t="n">
        <f aca="false">SUM(IF(OR($R238="Grass",$R238="Psychic",$R238="Dark"),0-1,IF(OR($R238="Fighting",$R238="Flying",$R238="Fire",$R238="Ghost",$R238="Poison",$R238="Steel",$R238="Fairy"),1,0)),IF(OR($S238="Grass",$S238="Psychic",$S238="Dark"),0-1,IF(OR($S238="Fighting",$S238="Flying",$S238="Fire",$S238="Ghost",$S238="Poison",$S238="Steel",$S238="Fairy"),1,0)))</f>
        <v>1</v>
      </c>
      <c r="AD238" s="507" t="n">
        <f aca="false">SUM(IF(OR($R238="Ghost",$R238="Psychic"),0-1,IF(OR($R238="Fighting",$R238="Dark",$R238="Fairy"),1,0)),IF(OR($S238="Ghost",$S238="Psychic"),0-1,IF(OR($S238="Fighting",$S238="Dark",$S238="Fairy"),1,0)))</f>
        <v>0</v>
      </c>
      <c r="AE238" s="507" t="n">
        <f aca="false">IF(OR($R238="Fairy",$S238="Fairy"),4,SUM(IF($R238="Dragon",0-1,IF($R238="Steel",1,0)),IF($S238="Dragon",0-1,IF($S238="Steel",1,0))))</f>
        <v>0</v>
      </c>
      <c r="AF238" s="507" t="n">
        <f aca="false">IF(OR($R238="Ground",$S238="Ground"),4,SUM(IF(OR($R238="Flying",$R238="Water"),0-1,IF(OR($R238="Dragon",$R238="Electric",$R238="Grass"),1,0)),IF(OR($S238="Flying",$S238="Water"),0-1,IF(OR($S238="Dragon",$S238="Electric",$S238="Grass"),1,0))))</f>
        <v>4</v>
      </c>
      <c r="AG238" s="507" t="n">
        <f aca="false">SUM(IF(OR($R238="Dark",$R238="Dragon",$R238="Fighting"),0-1,IF(OR($R238="Steel",$R238="Poison",$R238="Fire"),1,0)),IF(OR($S238="Dark",$S238="Dragon",$S238="Fighting"),0-1,IF(OR($S238="Steel",$S238="Poison",$S238="Fire"),1,0)))</f>
        <v>0</v>
      </c>
      <c r="AH238" s="507" t="n">
        <f aca="false">IF(OR($R238="Ghost",$S238="Ghost"),4,SUM(IF(OR($R238="Dark",$R238="Ice",$R238="Normal",$R238="Rock",$R238="Steel"),0-1,IF(OR($R238="Bug",$R238="Fairy",$R238="Flying",$R238="Poison",$R238="Psychic"),1,0)),IF(OR($S238="Dark",$S238="Ice",$S238="Normal",$S238="Rock",$S238="Steel"),0-1,IF(OR($S238="Bug",$S238="Fairy",$S238="Flying",$S238="Poison",$S238="Psychic"),1,0))))</f>
        <v>1</v>
      </c>
      <c r="AI238" s="507" t="n">
        <f aca="false">SUM(IF(OR($R238="Bug",$R238="Grass",$R238="Ice",$R238="Steel"),0-1,IF(OR($R238="Dragon",$R238="Fire",$R238="Rock",$R238="Water"),1,0)),IF(OR($S238="Bug",$S238="Grass",$S238="Ice",$S238="Steel"),0-1,IF(OR($S238="Dragon",$S238="Fire",$S238="Rock",$S238="Water"),1,0)))</f>
        <v>0</v>
      </c>
      <c r="AJ238" s="507" t="n">
        <f aca="false">SUM(IF(OR($R238="Bug",$R238="Grass",$R238="Fighting"),0-1,IF(OR($R238="Electric",$R238="Rock",$R238="Steel"),1,0)),IF(OR($S238="Bug",$S238="Grass",$S238="Fighting"),0-1,IF(OR($S238="Electric",$S238="Rock",$S238="Steel"),1,0)))</f>
        <v>0</v>
      </c>
      <c r="AK238" s="507" t="n">
        <f aca="false">IF(OR($R238="Normal",$S238="Normal"),4,SUM(IF(OR($R238="Ghost",$R238="Psychic"),0-1,IF($R238="Dark",1,0)),IF(OR($S238="Ghost",$S238="Psychic"),0-1,IF($S238="Dark",1,0))))</f>
        <v>0</v>
      </c>
      <c r="AL238" s="507" t="n">
        <f aca="false">SUM(IF(OR($R238="Ground",$R238="Rock",$R238="Water"),0-1,IF(OR($R238="Bug",$R238="Flying",$R238="Fire",$R238="Dragon",$R238="Poison",$R238="Steel",$R238="Grass"),1,0)),IF(OR($S238="Ground",$S238="Rock",$S238="Water"),0-1,IF(OR($S238="Bug",$S238="Flying",$S238="Fire",$S238="Dragon",$S238="Poison",$S238="Steel",$S238="Grass"),1,0)))</f>
        <v>0</v>
      </c>
      <c r="AM238" s="507" t="n">
        <f aca="false">IF(OR($R238="Flying",$S238="Flying"),4,SUM(IF(OR($R238="Electric",$R238="Fire",$R238="Rock",$R238="Steel",$R238="Poison"),0-1,IF(OR($R238="Bug",$R238="Grass"),1,0)),IF(OR($S238="Electric",$S238="Fire",$S238="Rock",$S238="Steel",$S238="Poison"),0-1,IF(OR($S238="Bug",$S238="Grass"),1,0))))</f>
        <v>4</v>
      </c>
      <c r="AN238" s="507" t="n">
        <f aca="false">SUM(IF(OR($R238="Flying",$R238="Dragon",$R238="Grass",$R238="Ground"),0-1,IF(OR($R238="Steel",$R238="Ice",$R238="Fire",$R238="Water"),1,0)),IF(OR($S238="Flying",$S238="Dragon",$S238="Grass",$S238="Ground"),0-1,IF(OR($S238="Steel",$S238="Ice",$S238="Fire",$S238="Water"),1,0)))</f>
        <v>-2</v>
      </c>
      <c r="AO238" s="507" t="n">
        <f aca="false">IF(OR($R238="Ghost",$S238="Ghost"),4,SUM(IF(OR($R238="Steel",$R238="Rock"),1,0),IF(OR($S238="Steel",$S238="Rock"),1,0)))</f>
        <v>0</v>
      </c>
      <c r="AP238" s="507" t="n">
        <f aca="false">IF(OR($R238="Steel",$S238="Steel"),4,SUM(IF(OR($R238="Fairy",$R238="Grass"),0-1,IF(OR($R238="Ghost",$R238="Rock",$R238="Ground",$R238="Poison"),1,0)),IF(OR($S238="Fairy",$S238="Grass"),0-1,IF(OR($S238="Ghost",$S238="Rock",$S238="Ground",$S238="Poison"),1,0))))</f>
        <v>1</v>
      </c>
      <c r="AQ238" s="507" t="n">
        <f aca="false">IF(OR($R238="Dark",$S238="Dark"),4,SUM(IF(OR($R238="Fighting",$R238="Poison"),0-1,IF(OR($R238="Psychic",$R238="Steel"),1,0)),IF(OR($S238="Fighting",$S238="Poison"),0-1,IF(OR($S238="Psychic",$S238="Steel"),1,0))))</f>
        <v>0</v>
      </c>
      <c r="AR238" s="507" t="n">
        <f aca="false">SUM(IF(OR($R238="Bug",$R238="Fire",$R238="Flying",$R238="Ice"),0-1,IF(OR($R238="Steel",$R238="Fighting",$R238="Ground"),1,0)),IF(OR($S238="Bug",$S238="Fire",$S238="Flying",$S238="Ice"),0-1,IF(OR($S238="Steel",$S238="Fighting",$S238="Ground"),1,0)))</f>
        <v>0</v>
      </c>
      <c r="AS238" s="507" t="n">
        <f aca="false">SUM(IF(OR($R238="Fairy",$R238="Ice",$R238="Rock"),0-1,IF(OR($R238="Steel",$R238="Electric",$R238="Fire",$R238="Water"),1,0)),IF(OR($S238="Fairy",$S238="Ice",$S238="Rock"),0-1,IF(OR($S238="Steel",$S238="Electric",$S238="Fire",$S238="Water"),1,0)))</f>
        <v>0</v>
      </c>
      <c r="AT238" s="508" t="n">
        <f aca="false">SUM(IF(OR($R238="Fire",$R238="Ground",$R238="Rock"),0-1,IF(OR($R238="Dragon",$R238="Grass",$R238="Water"),1,0)),IF(OR($S238="Fire",$S238="Ground",$S238="Rock"),0-1,IF(OR($S238="Dragon",$S238="Grass",$S238="Water"),1,0)))</f>
        <v>-1</v>
      </c>
      <c r="AU238" s="518"/>
    </row>
    <row r="239" customFormat="false" ht="15.75" hidden="false" customHeight="false" outlineLevel="0" collapsed="false">
      <c r="A239" s="510" t="str">
        <f aca="false" t="array" ref="A239:A239">IF(ISNA(INDEX(Source!$U$7:$U$95,MATCH(B239,Source!$V$7:$V$95,0))),"FREE",INDEX(Source!$U$7:$U$95,MATCH(B239,Source!$V$7:$V$95,0)))</f>
        <v>LVC</v>
      </c>
      <c r="B239" s="511" t="s">
        <v>86</v>
      </c>
      <c r="C239" s="511"/>
      <c r="D239" s="511"/>
      <c r="E239" s="499" t="n">
        <f aca="false">IF(SUM($W239:$X239)&gt;0,SUM($W239:$X239),IF($H239&gt;0,0,IF($H239&gt;0,0,"-")))</f>
        <v>0</v>
      </c>
      <c r="F239" s="499" t="n">
        <f aca="false">IF(SUM($Y239:$Z239)&gt;0,SUM($Y239:$Z239),IF($H239&gt;0,0,"-"))</f>
        <v>0</v>
      </c>
      <c r="G239" s="499" t="e">
        <f aca="false">IF($H239&gt;0,minus(E239,F239),"-")</f>
        <v>#NAME?</v>
      </c>
      <c r="H239" s="500" t="n">
        <f aca="false">SUM(COUNTIF(MatchSource!$A:$A,$B239),COUNTIF(MatchSource!$H:$H,$B239))</f>
        <v>1</v>
      </c>
      <c r="I239" s="501" t="n">
        <f aca="false">SUM($AA239:$AB239)</f>
        <v>0</v>
      </c>
      <c r="J239" s="501" t="s">
        <v>702</v>
      </c>
      <c r="K239" s="512" t="n">
        <f aca="false" t="array" ref="K239:K239">IF(ISNA(INDEX(DraftRosters!$AA$3:$AA$199,MATCH($B239,DraftRosters!$AB$3:$AB$199,0))),"FA",IF(INDEX(DraftRosters!$AA$3:$AA$199,MATCH($B239,DraftRosters!$AB$3:$AB$199,0))="Franchise","Franch",INDEX(DraftRosters!$AA$3:$AA$199,MATCH($B239,DraftRosters!$AB$3:$AB$199,0))))</f>
        <v>70</v>
      </c>
      <c r="L239" s="499" t="n">
        <v>125</v>
      </c>
      <c r="M239" s="499" t="n">
        <v>58</v>
      </c>
      <c r="N239" s="499" t="n">
        <v>58</v>
      </c>
      <c r="O239" s="499" t="n">
        <v>76</v>
      </c>
      <c r="P239" s="499" t="n">
        <v>76</v>
      </c>
      <c r="Q239" s="501" t="n">
        <v>67</v>
      </c>
      <c r="R239" s="499" t="s">
        <v>845</v>
      </c>
      <c r="S239" s="501" t="s">
        <v>811</v>
      </c>
      <c r="T239" s="504" t="s">
        <v>1012</v>
      </c>
      <c r="U239" s="505" t="s">
        <v>849</v>
      </c>
      <c r="V239" s="506" t="s">
        <v>1003</v>
      </c>
      <c r="W239" s="500" t="str">
        <f aca="false">IFERROR(__xludf.dummyfunction("if(isna(SUM(FILTER(MatchSource!$A:$D,MatchSource!$A:$A=$B239))),0,SUM(FILTER(MatchSource!$A:$D,MatchSource!$A:$A=$B239)))"),"0")</f>
        <v>0</v>
      </c>
      <c r="X239" s="499" t="str">
        <f aca="false">IFERROR(__xludf.dummyfunction("if(isna(SUM(FILTER(MatchSource!$H:$K,MatchSource!$H:$H=$B239))),0,SUM(FILTER(MatchSource!$H:$K,MatchSource!$H:$H=$B239)))"),"0")</f>
        <v>0</v>
      </c>
      <c r="Y239" s="499" t="str">
        <f aca="false">IFERROR(__xludf.dummyfunction("if(isna(ABS(MINUS(SUM(FILTER(MatchSource!$A:$E,MatchSource!$A:$A=$B239)),SUM($W239)))),0,ABS(MINUS(SUM(FILTER(MatchSource!$A:$E,MatchSource!$A:$A=$B239)),SUM($W239))))"),"1")</f>
        <v>1</v>
      </c>
      <c r="Z239" s="499" t="str">
        <f aca="false">IFERROR(__xludf.dummyfunction("if(isna(ABS(MINUS(SUM(FILTER(MatchSource!$H:$L,MatchSource!$H:$H=$B239)),SUM($X239)))),0,ABS(MINUS(SUM(FILTER(MatchSource!$H:$L,MatchSource!$H:$H=$B239)),SUM($X239))))"),"0")</f>
        <v>0</v>
      </c>
      <c r="AA239" s="499" t="str">
        <f aca="false">IFERROR(__xludf.dummyfunction("if(isna(ABS(MINUS(SUM(FILTER(MatchSource!$A:$F,MatchSource!$A:$A=$B239)),SUM($W239,$Y239)))),0,ABS(MINUS(SUM(FILTER(MatchSource!$A:$F,MatchSource!$A:$A=$B239)),SUM($W239, $Y239,))))"),"0")</f>
        <v>0</v>
      </c>
      <c r="AB239" s="501" t="str">
        <f aca="false">IFERROR(__xludf.dummyfunction("if(isna(ABS(MINUS(SUM(FILTER(MatchSource!$H:$M,MatchSource!$H:$H=$B239)),SUM($X239,$Z239)))),0,ABS(MINUS(SUM(FILTER(MatchSource!$H:$M,MatchSource!$H:$H=$B239)),SUM($X239,$Z239))))"),"0")</f>
        <v>0</v>
      </c>
      <c r="AC239" s="507" t="n">
        <f aca="false">SUM(IF(OR($R239="Grass",$R239="Psychic",$R239="Dark"),0-1,IF(OR($R239="Fighting",$R239="Flying",$R239="Fire",$R239="Ghost",$R239="Poison",$R239="Steel",$R239="Fairy"),1,0)),IF(OR($S239="Grass",$S239="Psychic",$S239="Dark"),0-1,IF(OR($S239="Fighting",$S239="Flying",$S239="Fire",$S239="Ghost",$S239="Poison",$S239="Steel",$S239="Fairy"),1,0)))</f>
        <v>0</v>
      </c>
      <c r="AD239" s="507" t="n">
        <f aca="false">SUM(IF(OR($R239="Ghost",$R239="Psychic"),0-1,IF(OR($R239="Fighting",$R239="Dark",$R239="Fairy"),1,0)),IF(OR($S239="Ghost",$S239="Psychic"),0-1,IF(OR($S239="Fighting",$S239="Dark",$S239="Fairy"),1,0)))</f>
        <v>0</v>
      </c>
      <c r="AE239" s="507" t="n">
        <f aca="false">IF(OR($R239="Fairy",$S239="Fairy"),4,SUM(IF($R239="Dragon",0-1,IF($R239="Steel",1,0)),IF($S239="Dragon",0-1,IF($S239="Steel",1,0))))</f>
        <v>0</v>
      </c>
      <c r="AF239" s="507" t="n">
        <f aca="false">IF(OR($R239="Ground",$S239="Ground"),4,SUM(IF(OR($R239="Flying",$R239="Water"),0-1,IF(OR($R239="Dragon",$R239="Electric",$R239="Grass"),1,0)),IF(OR($S239="Flying",$S239="Water"),0-1,IF(OR($S239="Dragon",$S239="Electric",$S239="Grass"),1,0))))</f>
        <v>0</v>
      </c>
      <c r="AG239" s="507" t="n">
        <f aca="false">SUM(IF(OR($R239="Dark",$R239="Dragon",$R239="Fighting"),0-1,IF(OR($R239="Steel",$R239="Poison",$R239="Fire"),1,0)),IF(OR($S239="Dark",$S239="Dragon",$S239="Fighting"),0-1,IF(OR($S239="Steel",$S239="Poison",$S239="Fire"),1,0)))</f>
        <v>0</v>
      </c>
      <c r="AH239" s="507" t="n">
        <f aca="false">IF(OR($R239="Ghost",$S239="Ghost"),4,SUM(IF(OR($R239="Dark",$R239="Ice",$R239="Normal",$R239="Rock",$R239="Steel"),0-1,IF(OR($R239="Bug",$R239="Fairy",$R239="Flying",$R239="Poison",$R239="Psychic"),1,0)),IF(OR($S239="Dark",$S239="Ice",$S239="Normal",$S239="Rock",$S239="Steel"),0-1,IF(OR($S239="Bug",$S239="Fairy",$S239="Flying",$S239="Poison",$S239="Psychic"),1,0))))</f>
        <v>0</v>
      </c>
      <c r="AI239" s="507" t="n">
        <f aca="false">SUM(IF(OR($R239="Bug",$R239="Grass",$R239="Ice",$R239="Steel"),0-1,IF(OR($R239="Dragon",$R239="Fire",$R239="Rock",$R239="Water"),1,0)),IF(OR($S239="Bug",$S239="Grass",$S239="Ice",$S239="Steel"),0-1,IF(OR($S239="Dragon",$S239="Fire",$S239="Rock",$S239="Water"),1,0)))</f>
        <v>1</v>
      </c>
      <c r="AJ239" s="507" t="n">
        <f aca="false">SUM(IF(OR($R239="Bug",$R239="Grass",$R239="Fighting"),0-1,IF(OR($R239="Electric",$R239="Rock",$R239="Steel"),1,0)),IF(OR($S239="Bug",$S239="Grass",$S239="Fighting"),0-1,IF(OR($S239="Electric",$S239="Rock",$S239="Steel"),1,0)))</f>
        <v>1</v>
      </c>
      <c r="AK239" s="507" t="n">
        <f aca="false">IF(OR($R239="Normal",$S239="Normal"),4,SUM(IF(OR($R239="Ghost",$R239="Psychic"),0-1,IF($R239="Dark",1,0)),IF(OR($S239="Ghost",$S239="Psychic"),0-1,IF($S239="Dark",1,0))))</f>
        <v>0</v>
      </c>
      <c r="AL239" s="507" t="n">
        <f aca="false">SUM(IF(OR($R239="Ground",$R239="Rock",$R239="Water"),0-1,IF(OR($R239="Bug",$R239="Flying",$R239="Fire",$R239="Dragon",$R239="Poison",$R239="Steel",$R239="Grass"),1,0)),IF(OR($S239="Ground",$S239="Rock",$S239="Water"),0-1,IF(OR($S239="Bug",$S239="Flying",$S239="Fire",$S239="Dragon",$S239="Poison",$S239="Steel",$S239="Grass"),1,0)))</f>
        <v>-1</v>
      </c>
      <c r="AM239" s="507" t="n">
        <f aca="false">IF(OR($R239="Flying",$S239="Flying"),4,SUM(IF(OR($R239="Electric",$R239="Fire",$R239="Rock",$R239="Steel",$R239="Poison"),0-1,IF(OR($R239="Bug",$R239="Grass"),1,0)),IF(OR($S239="Electric",$S239="Fire",$S239="Rock",$S239="Steel",$S239="Poison"),0-1,IF(OR($S239="Bug",$S239="Grass"),1,0))))</f>
        <v>-1</v>
      </c>
      <c r="AN239" s="507" t="n">
        <f aca="false">SUM(IF(OR($R239="Flying",$R239="Dragon",$R239="Grass",$R239="Ground"),0-1,IF(OR($R239="Steel",$R239="Ice",$R239="Fire",$R239="Water"),1,0)),IF(OR($S239="Flying",$S239="Dragon",$S239="Grass",$S239="Ground"),0-1,IF(OR($S239="Steel",$S239="Ice",$S239="Fire",$S239="Water"),1,0)))</f>
        <v>1</v>
      </c>
      <c r="AO239" s="507" t="n">
        <f aca="false">IF(OR($R239="Ghost",$S239="Ghost"),4,SUM(IF(OR($R239="Steel",$R239="Rock"),1,0),IF(OR($S239="Steel",$S239="Rock"),1,0)))</f>
        <v>0</v>
      </c>
      <c r="AP239" s="507" t="n">
        <f aca="false">IF(OR($R239="Steel",$S239="Steel"),4,SUM(IF(OR($R239="Fairy",$R239="Grass"),0-1,IF(OR($R239="Ghost",$R239="Rock",$R239="Ground",$R239="Poison"),1,0)),IF(OR($S239="Fairy",$S239="Grass"),0-1,IF(OR($S239="Ghost",$S239="Rock",$S239="Ground",$S239="Poison"),1,0))))</f>
        <v>0</v>
      </c>
      <c r="AQ239" s="507" t="n">
        <f aca="false">IF(OR($R239="Dark",$S239="Dark"),4,SUM(IF(OR($R239="Fighting",$R239="Poison"),0-1,IF(OR($R239="Psychic",$R239="Steel"),1,0)),IF(OR($S239="Fighting",$S239="Poison"),0-1,IF(OR($S239="Psychic",$S239="Steel"),1,0))))</f>
        <v>0</v>
      </c>
      <c r="AR239" s="507" t="n">
        <f aca="false">SUM(IF(OR($R239="Bug",$R239="Fire",$R239="Flying",$R239="Ice"),0-1,IF(OR($R239="Steel",$R239="Fighting",$R239="Ground"),1,0)),IF(OR($S239="Bug",$S239="Fire",$S239="Flying",$S239="Ice"),0-1,IF(OR($S239="Steel",$S239="Fighting",$S239="Ground"),1,0)))</f>
        <v>0</v>
      </c>
      <c r="AS239" s="507" t="n">
        <f aca="false">SUM(IF(OR($R239="Fairy",$R239="Ice",$R239="Rock"),0-1,IF(OR($R239="Steel",$R239="Electric",$R239="Fire",$R239="Water"),1,0)),IF(OR($S239="Fairy",$S239="Ice",$S239="Rock"),0-1,IF(OR($S239="Steel",$S239="Electric",$S239="Fire",$S239="Water"),1,0)))</f>
        <v>2</v>
      </c>
      <c r="AT239" s="508" t="n">
        <f aca="false">SUM(IF(OR($R239="Fire",$R239="Ground",$R239="Rock"),0-1,IF(OR($R239="Dragon",$R239="Grass",$R239="Water"),1,0)),IF(OR($S239="Fire",$S239="Ground",$S239="Rock"),0-1,IF(OR($S239="Dragon",$S239="Grass",$S239="Water"),1,0)))</f>
        <v>1</v>
      </c>
      <c r="AU239" s="518"/>
    </row>
    <row r="240" customFormat="false" ht="15.75" hidden="false" customHeight="false" outlineLevel="0" collapsed="false">
      <c r="A240" s="515" t="str">
        <f aca="false" t="array" ref="A240:A240">IF(ISNA(INDEX(Source!$U$7:$U$95,MATCH(B240,Source!$V$7:$V$95,0))),"FREE",INDEX(Source!$U$7:$U$95,MATCH(B240,Source!$V$7:$V$95,0)))</f>
        <v>BTB</v>
      </c>
      <c r="B240" s="511" t="s">
        <v>262</v>
      </c>
      <c r="C240" s="511"/>
      <c r="D240" s="511"/>
      <c r="E240" s="499" t="str">
        <f aca="false">IF(SUM($W240:$X240)&gt;0,SUM($W240:$X240),IF($H240&gt;0,0,IF($H240&gt;0,0,"-")))</f>
        <v>-</v>
      </c>
      <c r="F240" s="499" t="str">
        <f aca="false">IF(SUM($Y240:$Z240)&gt;0,SUM($Y240:$Z240),IF($H240&gt;0,0,"-"))</f>
        <v>-</v>
      </c>
      <c r="G240" s="499" t="str">
        <f aca="false">IF($H240&gt;0,minus(E240,F240),"-")</f>
        <v>-</v>
      </c>
      <c r="H240" s="500" t="n">
        <f aca="false">SUM(COUNTIF(MatchSource!$A:$A,$B240),COUNTIF(MatchSource!$H:$H,$B240))</f>
        <v>0</v>
      </c>
      <c r="I240" s="501" t="n">
        <f aca="false">SUM($AA240:$AB240)</f>
        <v>0</v>
      </c>
      <c r="J240" s="501" t="s">
        <v>702</v>
      </c>
      <c r="K240" s="512" t="n">
        <f aca="false" t="array" ref="K240:K240">IF(ISNA(INDEX(DraftRosters!$AA$3:$AA$199,MATCH($B240,DraftRosters!$AB$3:$AB$199,0))),"FA",IF(INDEX(DraftRosters!$AA$3:$AA$199,MATCH($B240,DraftRosters!$AB$3:$AB$199,0))="Franchise","Franch",INDEX(DraftRosters!$AA$3:$AA$199,MATCH($B240,DraftRosters!$AB$3:$AB$199,0))))</f>
        <v>74</v>
      </c>
      <c r="L240" s="499" t="n">
        <v>130</v>
      </c>
      <c r="M240" s="499" t="n">
        <v>85</v>
      </c>
      <c r="N240" s="499" t="n">
        <v>80</v>
      </c>
      <c r="O240" s="499" t="n">
        <v>85</v>
      </c>
      <c r="P240" s="499" t="n">
        <v>95</v>
      </c>
      <c r="Q240" s="501" t="n">
        <v>60</v>
      </c>
      <c r="R240" s="499" t="s">
        <v>805</v>
      </c>
      <c r="S240" s="501" t="s">
        <v>811</v>
      </c>
      <c r="T240" s="504" t="s">
        <v>819</v>
      </c>
      <c r="U240" s="505" t="s">
        <v>849</v>
      </c>
      <c r="V240" s="506" t="s">
        <v>925</v>
      </c>
      <c r="W240" s="500" t="str">
        <f aca="false">IFERROR(__xludf.dummyfunction("if(isna(SUM(FILTER(MatchSource!$A:$D,MatchSource!$A:$A=$B240))),0,SUM(FILTER(MatchSource!$A:$D,MatchSource!$A:$A=$B240)))"),"0")</f>
        <v>0</v>
      </c>
      <c r="X240" s="499" t="str">
        <f aca="false">IFERROR(__xludf.dummyfunction("if(isna(SUM(FILTER(MatchSource!$H:$K,MatchSource!$H:$H=$B240))),0,SUM(FILTER(MatchSource!$H:$K,MatchSource!$H:$H=$B240)))"),"0")</f>
        <v>0</v>
      </c>
      <c r="Y240" s="499" t="str">
        <f aca="false">IFERROR(__xludf.dummyfunction("if(isna(ABS(MINUS(SUM(FILTER(MatchSource!$A:$E,MatchSource!$A:$A=$B240)),SUM($W240)))),0,ABS(MINUS(SUM(FILTER(MatchSource!$A:$E,MatchSource!$A:$A=$B240)),SUM($W240))))"),"0")</f>
        <v>0</v>
      </c>
      <c r="Z240" s="499" t="str">
        <f aca="false">IFERROR(__xludf.dummyfunction("if(isna(ABS(MINUS(SUM(FILTER(MatchSource!$H:$L,MatchSource!$H:$H=$B240)),SUM($X240)))),0,ABS(MINUS(SUM(FILTER(MatchSource!$H:$L,MatchSource!$H:$H=$B240)),SUM($X240))))"),"0")</f>
        <v>0</v>
      </c>
      <c r="AA240" s="499" t="str">
        <f aca="false">IFERROR(__xludf.dummyfunction("if(isna(ABS(MINUS(SUM(FILTER(MatchSource!$A:$F,MatchSource!$A:$A=$B240)),SUM($W240,$Y240)))),0,ABS(MINUS(SUM(FILTER(MatchSource!$A:$F,MatchSource!$A:$A=$B240)),SUM($W240, $Y240,))))"),"0")</f>
        <v>0</v>
      </c>
      <c r="AB240" s="501" t="str">
        <f aca="false">IFERROR(__xludf.dummyfunction("if(isna(ABS(MINUS(SUM(FILTER(MatchSource!$H:$M,MatchSource!$H:$H=$B240)),SUM($X240,$Z240)))),0,ABS(MINUS(SUM(FILTER(MatchSource!$H:$M,MatchSource!$H:$H=$B240)),SUM($X240,$Z240))))"),"0")</f>
        <v>0</v>
      </c>
      <c r="AC240" s="507" t="n">
        <f aca="false">SUM(IF(OR($R240="Grass",$R240="Psychic",$R240="Dark"),0-1,IF(OR($R240="Fighting",$R240="Flying",$R240="Fire",$R240="Ghost",$R240="Poison",$R240="Steel",$R240="Fairy"),1,0)),IF(OR($S240="Grass",$S240="Psychic",$S240="Dark"),0-1,IF(OR($S240="Fighting",$S240="Flying",$S240="Fire",$S240="Ghost",$S240="Poison",$S240="Steel",$S240="Fairy"),1,0)))</f>
        <v>0</v>
      </c>
      <c r="AD240" s="507" t="n">
        <f aca="false">SUM(IF(OR($R240="Ghost",$R240="Psychic"),0-1,IF(OR($R240="Fighting",$R240="Dark",$R240="Fairy"),1,0)),IF(OR($S240="Ghost",$S240="Psychic"),0-1,IF(OR($S240="Fighting",$S240="Dark",$S240="Fairy"),1,0)))</f>
        <v>0</v>
      </c>
      <c r="AE240" s="507" t="n">
        <f aca="false">IF(OR($R240="Fairy",$S240="Fairy"),4,SUM(IF($R240="Dragon",0-1,IF($R240="Steel",1,0)),IF($S240="Dragon",0-1,IF($S240="Steel",1,0))))</f>
        <v>0</v>
      </c>
      <c r="AF240" s="507" t="n">
        <f aca="false">IF(OR($R240="Ground",$S240="Ground"),4,SUM(IF(OR($R240="Flying",$R240="Water"),0-1,IF(OR($R240="Dragon",$R240="Electric",$R240="Grass"),1,0)),IF(OR($S240="Flying",$S240="Water"),0-1,IF(OR($S240="Dragon",$S240="Electric",$S240="Grass"),1,0))))</f>
        <v>-1</v>
      </c>
      <c r="AG240" s="507" t="n">
        <f aca="false">SUM(IF(OR($R240="Dark",$R240="Dragon",$R240="Fighting"),0-1,IF(OR($R240="Steel",$R240="Poison",$R240="Fire"),1,0)),IF(OR($S240="Dark",$S240="Dragon",$S240="Fighting"),0-1,IF(OR($S240="Steel",$S240="Poison",$S240="Fire"),1,0)))</f>
        <v>0</v>
      </c>
      <c r="AH240" s="507" t="n">
        <f aca="false">IF(OR($R240="Ghost",$S240="Ghost"),4,SUM(IF(OR($R240="Dark",$R240="Ice",$R240="Normal",$R240="Rock",$R240="Steel"),0-1,IF(OR($R240="Bug",$R240="Fairy",$R240="Flying",$R240="Poison",$R240="Psychic"),1,0)),IF(OR($S240="Dark",$S240="Ice",$S240="Normal",$S240="Rock",$S240="Steel"),0-1,IF(OR($S240="Bug",$S240="Fairy",$S240="Flying",$S240="Poison",$S240="Psychic"),1,0))))</f>
        <v>-1</v>
      </c>
      <c r="AI240" s="507" t="n">
        <f aca="false">SUM(IF(OR($R240="Bug",$R240="Grass",$R240="Ice",$R240="Steel"),0-1,IF(OR($R240="Dragon",$R240="Fire",$R240="Rock",$R240="Water"),1,0)),IF(OR($S240="Bug",$S240="Grass",$S240="Ice",$S240="Steel"),0-1,IF(OR($S240="Dragon",$S240="Fire",$S240="Rock",$S240="Water"),1,0)))</f>
        <v>0</v>
      </c>
      <c r="AJ240" s="507" t="n">
        <f aca="false">SUM(IF(OR($R240="Bug",$R240="Grass",$R240="Fighting"),0-1,IF(OR($R240="Electric",$R240="Rock",$R240="Steel"),1,0)),IF(OR($S240="Bug",$S240="Grass",$S240="Fighting"),0-1,IF(OR($S240="Electric",$S240="Rock",$S240="Steel"),1,0)))</f>
        <v>0</v>
      </c>
      <c r="AK240" s="507" t="n">
        <f aca="false">IF(OR($R240="Normal",$S240="Normal"),4,SUM(IF(OR($R240="Ghost",$R240="Psychic"),0-1,IF($R240="Dark",1,0)),IF(OR($S240="Ghost",$S240="Psychic"),0-1,IF($S240="Dark",1,0))))</f>
        <v>0</v>
      </c>
      <c r="AL240" s="507" t="n">
        <f aca="false">SUM(IF(OR($R240="Ground",$R240="Rock",$R240="Water"),0-1,IF(OR($R240="Bug",$R240="Flying",$R240="Fire",$R240="Dragon",$R240="Poison",$R240="Steel",$R240="Grass"),1,0)),IF(OR($S240="Ground",$S240="Rock",$S240="Water"),0-1,IF(OR($S240="Bug",$S240="Flying",$S240="Fire",$S240="Dragon",$S240="Poison",$S240="Steel",$S240="Grass"),1,0)))</f>
        <v>-1</v>
      </c>
      <c r="AM240" s="507" t="n">
        <f aca="false">IF(OR($R240="Flying",$S240="Flying"),4,SUM(IF(OR($R240="Electric",$R240="Fire",$R240="Rock",$R240="Steel",$R240="Poison"),0-1,IF(OR($R240="Bug",$R240="Grass"),1,0)),IF(OR($S240="Electric",$S240="Fire",$S240="Rock",$S240="Steel",$S240="Poison"),0-1,IF(OR($S240="Bug",$S240="Grass"),1,0))))</f>
        <v>0</v>
      </c>
      <c r="AN240" s="507" t="n">
        <f aca="false">SUM(IF(OR($R240="Flying",$R240="Dragon",$R240="Grass",$R240="Ground"),0-1,IF(OR($R240="Steel",$R240="Ice",$R240="Fire",$R240="Water"),1,0)),IF(OR($S240="Flying",$S240="Dragon",$S240="Grass",$S240="Ground"),0-1,IF(OR($S240="Steel",$S240="Ice",$S240="Fire",$S240="Water"),1,0)))</f>
        <v>2</v>
      </c>
      <c r="AO240" s="507" t="n">
        <f aca="false">IF(OR($R240="Ghost",$S240="Ghost"),4,SUM(IF(OR($R240="Steel",$R240="Rock"),1,0),IF(OR($S240="Steel",$S240="Rock"),1,0)))</f>
        <v>0</v>
      </c>
      <c r="AP240" s="507" t="n">
        <f aca="false">IF(OR($R240="Steel",$S240="Steel"),4,SUM(IF(OR($R240="Fairy",$R240="Grass"),0-1,IF(OR($R240="Ghost",$R240="Rock",$R240="Ground",$R240="Poison"),1,0)),IF(OR($S240="Fairy",$S240="Grass"),0-1,IF(OR($S240="Ghost",$S240="Rock",$S240="Ground",$S240="Poison"),1,0))))</f>
        <v>0</v>
      </c>
      <c r="AQ240" s="507" t="n">
        <f aca="false">IF(OR($R240="Dark",$S240="Dark"),4,SUM(IF(OR($R240="Fighting",$R240="Poison"),0-1,IF(OR($R240="Psychic",$R240="Steel"),1,0)),IF(OR($S240="Fighting",$S240="Poison"),0-1,IF(OR($S240="Psychic",$S240="Steel"),1,0))))</f>
        <v>0</v>
      </c>
      <c r="AR240" s="507" t="n">
        <f aca="false">SUM(IF(OR($R240="Bug",$R240="Fire",$R240="Flying",$R240="Ice"),0-1,IF(OR($R240="Steel",$R240="Fighting",$R240="Ground"),1,0)),IF(OR($S240="Bug",$S240="Fire",$S240="Flying",$S240="Ice"),0-1,IF(OR($S240="Steel",$S240="Fighting",$S240="Ground"),1,0)))</f>
        <v>-1</v>
      </c>
      <c r="AS240" s="507" t="n">
        <f aca="false">SUM(IF(OR($R240="Fairy",$R240="Ice",$R240="Rock"),0-1,IF(OR($R240="Steel",$R240="Electric",$R240="Fire",$R240="Water"),1,0)),IF(OR($S240="Fairy",$S240="Ice",$S240="Rock"),0-1,IF(OR($S240="Steel",$S240="Electric",$S240="Fire",$S240="Water"),1,0)))</f>
        <v>0</v>
      </c>
      <c r="AT240" s="508" t="n">
        <f aca="false">SUM(IF(OR($R240="Fire",$R240="Ground",$R240="Rock"),0-1,IF(OR($R240="Dragon",$R240="Grass",$R240="Water"),1,0)),IF(OR($S240="Fire",$S240="Ground",$S240="Rock"),0-1,IF(OR($S240="Dragon",$S240="Grass",$S240="Water"),1,0)))</f>
        <v>1</v>
      </c>
      <c r="AU240" s="518"/>
    </row>
    <row r="241" customFormat="false" ht="15.75" hidden="false" customHeight="false" outlineLevel="0" collapsed="false">
      <c r="A241" s="515" t="str">
        <f aca="false" t="array" ref="A241:A241">IF(ISNA(INDEX(Source!$U$7:$U$95,MATCH(B241,Source!$V$7:$V$95,0))),"FREE",INDEX(Source!$U$7:$U$95,MATCH(B241,Source!$V$7:$V$95,0)))</f>
        <v>FREE</v>
      </c>
      <c r="B241" s="511" t="s">
        <v>1013</v>
      </c>
      <c r="C241" s="511"/>
      <c r="D241" s="511"/>
      <c r="E241" s="499" t="str">
        <f aca="false">IF(SUM($W241:$X241)&gt;0,SUM($W241:$X241),IF($H241&gt;0,0,IF($H241&gt;0,0,"-")))</f>
        <v>-</v>
      </c>
      <c r="F241" s="499" t="str">
        <f aca="false">IF(SUM($Y241:$Z241)&gt;0,SUM($Y241:$Z241),IF($H241&gt;0,0,"-"))</f>
        <v>-</v>
      </c>
      <c r="G241" s="499" t="str">
        <f aca="false">IF($H241&gt;0,minus(E241,F241),"-")</f>
        <v>-</v>
      </c>
      <c r="H241" s="500" t="n">
        <f aca="false">SUM(COUNTIF(MatchSource!$A:$A,$B241),COUNTIF(MatchSource!$H:$H,$B241))</f>
        <v>0</v>
      </c>
      <c r="I241" s="501" t="n">
        <f aca="false">SUM($AA241:$AB241)</f>
        <v>0</v>
      </c>
      <c r="J241" s="501" t="s">
        <v>888</v>
      </c>
      <c r="K241" s="512" t="str">
        <f aca="false" t="array" ref="K241:K241">IF(ISNA(INDEX(DraftRosters!$AA$3:$AA$199,MATCH($B241,DraftRosters!$AB$3:$AB$199,0))),"FA",IF(INDEX(DraftRosters!$AA$3:$AA$199,MATCH($B241,DraftRosters!$AB$3:$AB$199,0))="Franchise","Franch",INDEX(DraftRosters!$AA$3:$AA$199,MATCH($B241,DraftRosters!$AB$3:$AB$199,0))))</f>
        <v>FA</v>
      </c>
      <c r="L241" s="499" t="n">
        <v>80</v>
      </c>
      <c r="M241" s="499" t="n">
        <v>80</v>
      </c>
      <c r="N241" s="499" t="n">
        <v>90</v>
      </c>
      <c r="O241" s="499" t="n">
        <v>110</v>
      </c>
      <c r="P241" s="499" t="n">
        <v>130</v>
      </c>
      <c r="Q241" s="501" t="n">
        <v>110</v>
      </c>
      <c r="R241" s="499" t="s">
        <v>835</v>
      </c>
      <c r="S241" s="501" t="s">
        <v>828</v>
      </c>
      <c r="T241" s="504" t="s">
        <v>866</v>
      </c>
      <c r="U241" s="505"/>
      <c r="V241" s="506"/>
      <c r="W241" s="500" t="str">
        <f aca="false">IFERROR(__xludf.dummyfunction("if(isna(SUM(FILTER(MatchSource!$A:$D,MatchSource!$A:$A=$B241))),0,SUM(FILTER(MatchSource!$A:$D,MatchSource!$A:$A=$B241)))"),"0")</f>
        <v>0</v>
      </c>
      <c r="X241" s="499" t="str">
        <f aca="false">IFERROR(__xludf.dummyfunction("if(isna(SUM(FILTER(MatchSource!$H:$K,MatchSource!$H:$H=$B241))),0,SUM(FILTER(MatchSource!$H:$K,MatchSource!$H:$H=$B241)))"),"0")</f>
        <v>0</v>
      </c>
      <c r="Y241" s="499" t="str">
        <f aca="false">IFERROR(__xludf.dummyfunction("if(isna(ABS(MINUS(SUM(FILTER(MatchSource!$A:$E,MatchSource!$A:$A=$B241)),SUM($W241)))),0,ABS(MINUS(SUM(FILTER(MatchSource!$A:$E,MatchSource!$A:$A=$B241)),SUM($W241))))"),"0")</f>
        <v>0</v>
      </c>
      <c r="Z241" s="499" t="str">
        <f aca="false">IFERROR(__xludf.dummyfunction("if(isna(ABS(MINUS(SUM(FILTER(MatchSource!$H:$L,MatchSource!$H:$H=$B241)),SUM($X241)))),0,ABS(MINUS(SUM(FILTER(MatchSource!$H:$L,MatchSource!$H:$H=$B241)),SUM($X241))))"),"0")</f>
        <v>0</v>
      </c>
      <c r="AA241" s="499" t="str">
        <f aca="false">IFERROR(__xludf.dummyfunction("if(isna(ABS(MINUS(SUM(FILTER(MatchSource!$A:$F,MatchSource!$A:$A=$B241)),SUM($W241,$Y241)))),0,ABS(MINUS(SUM(FILTER(MatchSource!$A:$F,MatchSource!$A:$A=$B241)),SUM($W241, $Y241,))))"),"0")</f>
        <v>0</v>
      </c>
      <c r="AB241" s="501" t="str">
        <f aca="false">IFERROR(__xludf.dummyfunction("if(isna(ABS(MINUS(SUM(FILTER(MatchSource!$H:$M,MatchSource!$H:$H=$B241)),SUM($X241,$Z241)))),0,ABS(MINUS(SUM(FILTER(MatchSource!$H:$M,MatchSource!$H:$H=$B241)),SUM($X241,$Z241))))"),"0")</f>
        <v>0</v>
      </c>
      <c r="AC241" s="507" t="n">
        <f aca="false">SUM(IF(OR($R241="Grass",$R241="Psychic",$R241="Dark"),0-1,IF(OR($R241="Fighting",$R241="Flying",$R241="Fire",$R241="Ghost",$R241="Poison",$R241="Steel",$R241="Fairy"),1,0)),IF(OR($S241="Grass",$S241="Psychic",$S241="Dark"),0-1,IF(OR($S241="Fighting",$S241="Flying",$S241="Fire",$S241="Ghost",$S241="Poison",$S241="Steel",$S241="Fairy"),1,0)))</f>
        <v>-1</v>
      </c>
      <c r="AD241" s="507" t="n">
        <f aca="false">SUM(IF(OR($R241="Ghost",$R241="Psychic"),0-1,IF(OR($R241="Fighting",$R241="Dark",$R241="Fairy"),1,0)),IF(OR($S241="Ghost",$S241="Psychic"),0-1,IF(OR($S241="Fighting",$S241="Dark",$S241="Fairy"),1,0)))</f>
        <v>-1</v>
      </c>
      <c r="AE241" s="507" t="n">
        <f aca="false">IF(OR($R241="Fairy",$S241="Fairy"),4,SUM(IF($R241="Dragon",0-1,IF($R241="Steel",1,0)),IF($S241="Dragon",0-1,IF($S241="Steel",1,0))))</f>
        <v>-1</v>
      </c>
      <c r="AF241" s="507" t="n">
        <f aca="false">IF(OR($R241="Ground",$S241="Ground"),4,SUM(IF(OR($R241="Flying",$R241="Water"),0-1,IF(OR($R241="Dragon",$R241="Electric",$R241="Grass"),1,0)),IF(OR($S241="Flying",$S241="Water"),0-1,IF(OR($S241="Dragon",$S241="Electric",$S241="Grass"),1,0))))</f>
        <v>1</v>
      </c>
      <c r="AG241" s="507" t="n">
        <f aca="false">SUM(IF(OR($R241="Dark",$R241="Dragon",$R241="Fighting"),0-1,IF(OR($R241="Steel",$R241="Poison",$R241="Fire"),1,0)),IF(OR($S241="Dark",$S241="Dragon",$S241="Fighting"),0-1,IF(OR($S241="Steel",$S241="Poison",$S241="Fire"),1,0)))</f>
        <v>-1</v>
      </c>
      <c r="AH241" s="507" t="n">
        <f aca="false">IF(OR($R241="Ghost",$S241="Ghost"),4,SUM(IF(OR($R241="Dark",$R241="Ice",$R241="Normal",$R241="Rock",$R241="Steel"),0-1,IF(OR($R241="Bug",$R241="Fairy",$R241="Flying",$R241="Poison",$R241="Psychic"),1,0)),IF(OR($S241="Dark",$S241="Ice",$S241="Normal",$S241="Rock",$S241="Steel"),0-1,IF(OR($S241="Bug",$S241="Fairy",$S241="Flying",$S241="Poison",$S241="Psychic"),1,0))))</f>
        <v>1</v>
      </c>
      <c r="AI241" s="507" t="n">
        <f aca="false">SUM(IF(OR($R241="Bug",$R241="Grass",$R241="Ice",$R241="Steel"),0-1,IF(OR($R241="Dragon",$R241="Fire",$R241="Rock",$R241="Water"),1,0)),IF(OR($S241="Bug",$S241="Grass",$S241="Ice",$S241="Steel"),0-1,IF(OR($S241="Dragon",$S241="Fire",$S241="Rock",$S241="Water"),1,0)))</f>
        <v>1</v>
      </c>
      <c r="AJ241" s="507" t="n">
        <f aca="false">SUM(IF(OR($R241="Bug",$R241="Grass",$R241="Fighting"),0-1,IF(OR($R241="Electric",$R241="Rock",$R241="Steel"),1,0)),IF(OR($S241="Bug",$S241="Grass",$S241="Fighting"),0-1,IF(OR($S241="Electric",$S241="Rock",$S241="Steel"),1,0)))</f>
        <v>0</v>
      </c>
      <c r="AK241" s="507" t="n">
        <f aca="false">IF(OR($R241="Normal",$S241="Normal"),4,SUM(IF(OR($R241="Ghost",$R241="Psychic"),0-1,IF($R241="Dark",1,0)),IF(OR($S241="Ghost",$S241="Psychic"),0-1,IF($S241="Dark",1,0))))</f>
        <v>-1</v>
      </c>
      <c r="AL241" s="507" t="n">
        <f aca="false">SUM(IF(OR($R241="Ground",$R241="Rock",$R241="Water"),0-1,IF(OR($R241="Bug",$R241="Flying",$R241="Fire",$R241="Dragon",$R241="Poison",$R241="Steel",$R241="Grass"),1,0)),IF(OR($S241="Ground",$S241="Rock",$S241="Water"),0-1,IF(OR($S241="Bug",$S241="Flying",$S241="Fire",$S241="Dragon",$S241="Poison",$S241="Steel",$S241="Grass"),1,0)))</f>
        <v>1</v>
      </c>
      <c r="AM241" s="507" t="n">
        <f aca="false">IF(OR($R241="Flying",$S241="Flying"),4,SUM(IF(OR($R241="Electric",$R241="Fire",$R241="Rock",$R241="Steel",$R241="Poison"),0-1,IF(OR($R241="Bug",$R241="Grass"),1,0)),IF(OR($S241="Electric",$S241="Fire",$S241="Rock",$S241="Steel",$S241="Poison"),0-1,IF(OR($S241="Bug",$S241="Grass"),1,0))))</f>
        <v>0</v>
      </c>
      <c r="AN241" s="507" t="n">
        <f aca="false">SUM(IF(OR($R241="Flying",$R241="Dragon",$R241="Grass",$R241="Ground"),0-1,IF(OR($R241="Steel",$R241="Ice",$R241="Fire",$R241="Water"),1,0)),IF(OR($S241="Flying",$S241="Dragon",$S241="Grass",$S241="Ground"),0-1,IF(OR($S241="Steel",$S241="Ice",$S241="Fire",$S241="Water"),1,0)))</f>
        <v>-1</v>
      </c>
      <c r="AO241" s="507" t="n">
        <f aca="false">IF(OR($R241="Ghost",$S241="Ghost"),4,SUM(IF(OR($R241="Steel",$R241="Rock"),1,0),IF(OR($S241="Steel",$S241="Rock"),1,0)))</f>
        <v>0</v>
      </c>
      <c r="AP241" s="507" t="n">
        <f aca="false">IF(OR($R241="Steel",$S241="Steel"),4,SUM(IF(OR($R241="Fairy",$R241="Grass"),0-1,IF(OR($R241="Ghost",$R241="Rock",$R241="Ground",$R241="Poison"),1,0)),IF(OR($S241="Fairy",$S241="Grass"),0-1,IF(OR($S241="Ghost",$S241="Rock",$S241="Ground",$S241="Poison"),1,0))))</f>
        <v>0</v>
      </c>
      <c r="AQ241" s="507" t="n">
        <f aca="false">IF(OR($R241="Dark",$S241="Dark"),4,SUM(IF(OR($R241="Fighting",$R241="Poison"),0-1,IF(OR($R241="Psychic",$R241="Steel"),1,0)),IF(OR($S241="Fighting",$S241="Poison"),0-1,IF(OR($S241="Psychic",$S241="Steel"),1,0))))</f>
        <v>1</v>
      </c>
      <c r="AR241" s="507" t="n">
        <f aca="false">SUM(IF(OR($R241="Bug",$R241="Fire",$R241="Flying",$R241="Ice"),0-1,IF(OR($R241="Steel",$R241="Fighting",$R241="Ground"),1,0)),IF(OR($S241="Bug",$S241="Fire",$S241="Flying",$S241="Ice"),0-1,IF(OR($S241="Steel",$S241="Fighting",$S241="Ground"),1,0)))</f>
        <v>0</v>
      </c>
      <c r="AS241" s="507" t="n">
        <f aca="false">SUM(IF(OR($R241="Fairy",$R241="Ice",$R241="Rock"),0-1,IF(OR($R241="Steel",$R241="Electric",$R241="Fire",$R241="Water"),1,0)),IF(OR($S241="Fairy",$S241="Ice",$S241="Rock"),0-1,IF(OR($S241="Steel",$S241="Electric",$S241="Fire",$S241="Water"),1,0)))</f>
        <v>0</v>
      </c>
      <c r="AT241" s="508" t="n">
        <f aca="false">SUM(IF(OR($R241="Fire",$R241="Ground",$R241="Rock"),0-1,IF(OR($R241="Dragon",$R241="Grass",$R241="Water"),1,0)),IF(OR($S241="Fire",$S241="Ground",$S241="Rock"),0-1,IF(OR($S241="Dragon",$S241="Grass",$S241="Water"),1,0)))</f>
        <v>1</v>
      </c>
      <c r="AU241" s="518"/>
    </row>
    <row r="242" customFormat="false" ht="15.75" hidden="false" customHeight="false" outlineLevel="0" collapsed="false">
      <c r="A242" s="510" t="str">
        <f aca="false" t="array" ref="A242:A242">IF(ISNA(INDEX(Source!$U$7:$U$95,MATCH(B242,Source!$V$7:$V$95,0))),"FREE",INDEX(Source!$U$7:$U$95,MATCH(B242,Source!$V$7:$V$95,0)))</f>
        <v>FREE</v>
      </c>
      <c r="B242" s="511" t="s">
        <v>1014</v>
      </c>
      <c r="C242" s="511"/>
      <c r="D242" s="511"/>
      <c r="E242" s="499" t="str">
        <f aca="false">IF(SUM($W242:$X242)&gt;0,SUM($W242:$X242),IF($H242&gt;0,0,IF($H242&gt;0,0,"-")))</f>
        <v>-</v>
      </c>
      <c r="F242" s="499" t="str">
        <f aca="false">IF(SUM($Y242:$Z242)&gt;0,SUM($Y242:$Z242),IF($H242&gt;0,0,"-"))</f>
        <v>-</v>
      </c>
      <c r="G242" s="499" t="str">
        <f aca="false">IF($H242&gt;0,minus(E242,F242),"-")</f>
        <v>-</v>
      </c>
      <c r="H242" s="500" t="n">
        <f aca="false">SUM(COUNTIF(MatchSource!$A:$A,$B242),COUNTIF(MatchSource!$H:$H,$B242))</f>
        <v>0</v>
      </c>
      <c r="I242" s="501" t="n">
        <f aca="false">SUM($AA242:$AB242)</f>
        <v>0</v>
      </c>
      <c r="J242" s="501" t="s">
        <v>888</v>
      </c>
      <c r="K242" s="512" t="str">
        <f aca="false" t="array" ref="K242:K242">IF(ISNA(INDEX(DraftRosters!$AA$3:$AA$199,MATCH($B242,DraftRosters!$AB$3:$AB$199,0))),"FA",IF(INDEX(DraftRosters!$AA$3:$AA$199,MATCH($B242,DraftRosters!$AB$3:$AB$199,0))="Franchise","Franch",INDEX(DraftRosters!$AA$3:$AA$199,MATCH($B242,DraftRosters!$AB$3:$AB$199,0))))</f>
        <v>FA</v>
      </c>
      <c r="L242" s="499" t="n">
        <v>80</v>
      </c>
      <c r="M242" s="499" t="n">
        <v>100</v>
      </c>
      <c r="N242" s="499" t="n">
        <v>120</v>
      </c>
      <c r="O242" s="499" t="n">
        <v>140</v>
      </c>
      <c r="P242" s="499" t="n">
        <v>150</v>
      </c>
      <c r="Q242" s="501" t="n">
        <v>110</v>
      </c>
      <c r="R242" s="499" t="s">
        <v>835</v>
      </c>
      <c r="S242" s="501" t="s">
        <v>828</v>
      </c>
      <c r="T242" s="504" t="s">
        <v>866</v>
      </c>
      <c r="U242" s="513"/>
      <c r="V242" s="514"/>
      <c r="W242" s="500" t="str">
        <f aca="false">IFERROR(__xludf.dummyfunction("if(isna(SUM(FILTER(MatchSource!$A:$D,MatchSource!$A:$A=$B242))),0,SUM(FILTER(MatchSource!$A:$D,MatchSource!$A:$A=$B242)))"),"0")</f>
        <v>0</v>
      </c>
      <c r="X242" s="499" t="str">
        <f aca="false">IFERROR(__xludf.dummyfunction("if(isna(SUM(FILTER(MatchSource!$H:$K,MatchSource!$H:$H=$B242))),0,SUM(FILTER(MatchSource!$H:$K,MatchSource!$H:$H=$B242)))"),"0")</f>
        <v>0</v>
      </c>
      <c r="Y242" s="499" t="str">
        <f aca="false">IFERROR(__xludf.dummyfunction("if(isna(ABS(MINUS(SUM(FILTER(MatchSource!$A:$E,MatchSource!$A:$A=$B242)),SUM($W242)))),0,ABS(MINUS(SUM(FILTER(MatchSource!$A:$E,MatchSource!$A:$A=$B242)),SUM($W242))))"),"0")</f>
        <v>0</v>
      </c>
      <c r="Z242" s="499" t="str">
        <f aca="false">IFERROR(__xludf.dummyfunction("if(isna(ABS(MINUS(SUM(FILTER(MatchSource!$H:$L,MatchSource!$H:$H=$B242)),SUM($X242)))),0,ABS(MINUS(SUM(FILTER(MatchSource!$H:$L,MatchSource!$H:$H=$B242)),SUM($X242))))"),"0")</f>
        <v>0</v>
      </c>
      <c r="AA242" s="499" t="str">
        <f aca="false">IFERROR(__xludf.dummyfunction("if(isna(ABS(MINUS(SUM(FILTER(MatchSource!$A:$F,MatchSource!$A:$A=$B242)),SUM($W242,$Y242)))),0,ABS(MINUS(SUM(FILTER(MatchSource!$A:$F,MatchSource!$A:$A=$B242)),SUM($W242, $Y242,))))"),"0")</f>
        <v>0</v>
      </c>
      <c r="AB242" s="501" t="str">
        <f aca="false">IFERROR(__xludf.dummyfunction("if(isna(ABS(MINUS(SUM(FILTER(MatchSource!$H:$M,MatchSource!$H:$H=$B242)),SUM($X242,$Z242)))),0,ABS(MINUS(SUM(FILTER(MatchSource!$H:$M,MatchSource!$H:$H=$B242)),SUM($X242,$Z242))))"),"0")</f>
        <v>0</v>
      </c>
      <c r="AC242" s="507" t="n">
        <f aca="false">SUM(IF(OR($R242="Grass",$R242="Psychic",$R242="Dark"),0-1,IF(OR($R242="Fighting",$R242="Flying",$R242="Fire",$R242="Ghost",$R242="Poison",$R242="Steel",$R242="Fairy"),1,0)),IF(OR($S242="Grass",$S242="Psychic",$S242="Dark"),0-1,IF(OR($S242="Fighting",$S242="Flying",$S242="Fire",$S242="Ghost",$S242="Poison",$S242="Steel",$S242="Fairy"),1,0)))</f>
        <v>-1</v>
      </c>
      <c r="AD242" s="507" t="n">
        <f aca="false">SUM(IF(OR($R242="Ghost",$R242="Psychic"),0-1,IF(OR($R242="Fighting",$R242="Dark",$R242="Fairy"),1,0)),IF(OR($S242="Ghost",$S242="Psychic"),0-1,IF(OR($S242="Fighting",$S242="Dark",$S242="Fairy"),1,0)))</f>
        <v>-1</v>
      </c>
      <c r="AE242" s="507" t="n">
        <f aca="false">IF(OR($R242="Fairy",$S242="Fairy"),4,SUM(IF($R242="Dragon",0-1,IF($R242="Steel",1,0)),IF($S242="Dragon",0-1,IF($S242="Steel",1,0))))</f>
        <v>-1</v>
      </c>
      <c r="AF242" s="507" t="n">
        <f aca="false">IF(OR($R242="Ground",$S242="Ground"),4,SUM(IF(OR($R242="Flying",$R242="Water"),0-1,IF(OR($R242="Dragon",$R242="Electric",$R242="Grass"),1,0)),IF(OR($S242="Flying",$S242="Water"),0-1,IF(OR($S242="Dragon",$S242="Electric",$S242="Grass"),1,0))))</f>
        <v>1</v>
      </c>
      <c r="AG242" s="507" t="n">
        <f aca="false">SUM(IF(OR($R242="Dark",$R242="Dragon",$R242="Fighting"),0-1,IF(OR($R242="Steel",$R242="Poison",$R242="Fire"),1,0)),IF(OR($S242="Dark",$S242="Dragon",$S242="Fighting"),0-1,IF(OR($S242="Steel",$S242="Poison",$S242="Fire"),1,0)))</f>
        <v>-1</v>
      </c>
      <c r="AH242" s="507" t="n">
        <f aca="false">IF(OR($R242="Ghost",$S242="Ghost"),4,SUM(IF(OR($R242="Dark",$R242="Ice",$R242="Normal",$R242="Rock",$R242="Steel"),0-1,IF(OR($R242="Bug",$R242="Fairy",$R242="Flying",$R242="Poison",$R242="Psychic"),1,0)),IF(OR($S242="Dark",$S242="Ice",$S242="Normal",$S242="Rock",$S242="Steel"),0-1,IF(OR($S242="Bug",$S242="Fairy",$S242="Flying",$S242="Poison",$S242="Psychic"),1,0))))</f>
        <v>1</v>
      </c>
      <c r="AI242" s="507" t="n">
        <f aca="false">SUM(IF(OR($R242="Bug",$R242="Grass",$R242="Ice",$R242="Steel"),0-1,IF(OR($R242="Dragon",$R242="Fire",$R242="Rock",$R242="Water"),1,0)),IF(OR($S242="Bug",$S242="Grass",$S242="Ice",$S242="Steel"),0-1,IF(OR($S242="Dragon",$S242="Fire",$S242="Rock",$S242="Water"),1,0)))</f>
        <v>1</v>
      </c>
      <c r="AJ242" s="507" t="n">
        <f aca="false">SUM(IF(OR($R242="Bug",$R242="Grass",$R242="Fighting"),0-1,IF(OR($R242="Electric",$R242="Rock",$R242="Steel"),1,0)),IF(OR($S242="Bug",$S242="Grass",$S242="Fighting"),0-1,IF(OR($S242="Electric",$S242="Rock",$S242="Steel"),1,0)))</f>
        <v>0</v>
      </c>
      <c r="AK242" s="507" t="n">
        <f aca="false">IF(OR($R242="Normal",$S242="Normal"),4,SUM(IF(OR($R242="Ghost",$R242="Psychic"),0-1,IF($R242="Dark",1,0)),IF(OR($S242="Ghost",$S242="Psychic"),0-1,IF($S242="Dark",1,0))))</f>
        <v>-1</v>
      </c>
      <c r="AL242" s="507" t="n">
        <f aca="false">SUM(IF(OR($R242="Ground",$R242="Rock",$R242="Water"),0-1,IF(OR($R242="Bug",$R242="Flying",$R242="Fire",$R242="Dragon",$R242="Poison",$R242="Steel",$R242="Grass"),1,0)),IF(OR($S242="Ground",$S242="Rock",$S242="Water"),0-1,IF(OR($S242="Bug",$S242="Flying",$S242="Fire",$S242="Dragon",$S242="Poison",$S242="Steel",$S242="Grass"),1,0)))</f>
        <v>1</v>
      </c>
      <c r="AM242" s="507" t="n">
        <f aca="false">IF(OR($R242="Flying",$S242="Flying"),4,SUM(IF(OR($R242="Electric",$R242="Fire",$R242="Rock",$R242="Steel",$R242="Poison"),0-1,IF(OR($R242="Bug",$R242="Grass"),1,0)),IF(OR($S242="Electric",$S242="Fire",$S242="Rock",$S242="Steel",$S242="Poison"),0-1,IF(OR($S242="Bug",$S242="Grass"),1,0))))</f>
        <v>0</v>
      </c>
      <c r="AN242" s="507" t="n">
        <f aca="false">SUM(IF(OR($R242="Flying",$R242="Dragon",$R242="Grass",$R242="Ground"),0-1,IF(OR($R242="Steel",$R242="Ice",$R242="Fire",$R242="Water"),1,0)),IF(OR($S242="Flying",$S242="Dragon",$S242="Grass",$S242="Ground"),0-1,IF(OR($S242="Steel",$S242="Ice",$S242="Fire",$S242="Water"),1,0)))</f>
        <v>-1</v>
      </c>
      <c r="AO242" s="507" t="n">
        <f aca="false">IF(OR($R242="Ghost",$S242="Ghost"),4,SUM(IF(OR($R242="Steel",$R242="Rock"),1,0),IF(OR($S242="Steel",$S242="Rock"),1,0)))</f>
        <v>0</v>
      </c>
      <c r="AP242" s="507" t="n">
        <f aca="false">IF(OR($R242="Steel",$S242="Steel"),4,SUM(IF(OR($R242="Fairy",$R242="Grass"),0-1,IF(OR($R242="Ghost",$R242="Rock",$R242="Ground",$R242="Poison"),1,0)),IF(OR($S242="Fairy",$S242="Grass"),0-1,IF(OR($S242="Ghost",$S242="Rock",$S242="Ground",$S242="Poison"),1,0))))</f>
        <v>0</v>
      </c>
      <c r="AQ242" s="507" t="n">
        <f aca="false">IF(OR($R242="Dark",$S242="Dark"),4,SUM(IF(OR($R242="Fighting",$R242="Poison"),0-1,IF(OR($R242="Psychic",$R242="Steel"),1,0)),IF(OR($S242="Fighting",$S242="Poison"),0-1,IF(OR($S242="Psychic",$S242="Steel"),1,0))))</f>
        <v>1</v>
      </c>
      <c r="AR242" s="507" t="n">
        <f aca="false">SUM(IF(OR($R242="Bug",$R242="Fire",$R242="Flying",$R242="Ice"),0-1,IF(OR($R242="Steel",$R242="Fighting",$R242="Ground"),1,0)),IF(OR($S242="Bug",$S242="Fire",$S242="Flying",$S242="Ice"),0-1,IF(OR($S242="Steel",$S242="Fighting",$S242="Ground"),1,0)))</f>
        <v>0</v>
      </c>
      <c r="AS242" s="507" t="n">
        <f aca="false">SUM(IF(OR($R242="Fairy",$R242="Ice",$R242="Rock"),0-1,IF(OR($R242="Steel",$R242="Electric",$R242="Fire",$R242="Water"),1,0)),IF(OR($S242="Fairy",$S242="Ice",$S242="Rock"),0-1,IF(OR($S242="Steel",$S242="Electric",$S242="Fire",$S242="Water"),1,0)))</f>
        <v>0</v>
      </c>
      <c r="AT242" s="508" t="n">
        <f aca="false">SUM(IF(OR($R242="Fire",$R242="Ground",$R242="Rock"),0-1,IF(OR($R242="Dragon",$R242="Grass",$R242="Water"),1,0)),IF(OR($S242="Fire",$S242="Ground",$S242="Rock"),0-1,IF(OR($S242="Dragon",$S242="Grass",$S242="Water"),1,0)))</f>
        <v>1</v>
      </c>
      <c r="AU242" s="518"/>
    </row>
    <row r="243" customFormat="false" ht="15.75" hidden="false" customHeight="false" outlineLevel="0" collapsed="false">
      <c r="A243" s="515" t="str">
        <f aca="false" t="array" ref="A243:A243">IF(ISNA(INDEX(Source!$U$7:$U$95,MATCH(B243,Source!$V$7:$V$95,0))),"FREE",INDEX(Source!$U$7:$U$95,MATCH(B243,Source!$V$7:$V$95,0)))</f>
        <v>FREE</v>
      </c>
      <c r="B243" s="511" t="s">
        <v>1015</v>
      </c>
      <c r="C243" s="511"/>
      <c r="D243" s="511"/>
      <c r="E243" s="499" t="str">
        <f aca="false">IF(SUM($W243:$X243)&gt;0,SUM($W243:$X243),IF($H243&gt;0,0,IF($H243&gt;0,0,"-")))</f>
        <v>-</v>
      </c>
      <c r="F243" s="499" t="str">
        <f aca="false">IF(SUM($Y243:$Z243)&gt;0,SUM($Y243:$Z243),IF($H243&gt;0,0,"-"))</f>
        <v>-</v>
      </c>
      <c r="G243" s="499" t="str">
        <f aca="false">IF($H243&gt;0,minus(E243,F243),"-")</f>
        <v>-</v>
      </c>
      <c r="H243" s="500" t="n">
        <f aca="false">SUM(COUNTIF(MatchSource!$A:$A,$B243),COUNTIF(MatchSource!$H:$H,$B243))</f>
        <v>0</v>
      </c>
      <c r="I243" s="501" t="n">
        <f aca="false">SUM($AA243:$AB243)</f>
        <v>0</v>
      </c>
      <c r="J243" s="501" t="s">
        <v>888</v>
      </c>
      <c r="K243" s="512" t="str">
        <f aca="false" t="array" ref="K243:K243">IF(ISNA(INDEX(DraftRosters!$AA$3:$AA$199,MATCH($B243,DraftRosters!$AB$3:$AB$199,0))),"FA",IF(INDEX(DraftRosters!$AA$3:$AA$199,MATCH($B243,DraftRosters!$AB$3:$AB$199,0))="Franchise","Franch",INDEX(DraftRosters!$AA$3:$AA$199,MATCH($B243,DraftRosters!$AB$3:$AB$199,0))))</f>
        <v>FA</v>
      </c>
      <c r="L243" s="507" t="n">
        <v>80</v>
      </c>
      <c r="M243" s="507" t="n">
        <v>90</v>
      </c>
      <c r="N243" s="507" t="n">
        <v>80</v>
      </c>
      <c r="O243" s="507" t="n">
        <v>130</v>
      </c>
      <c r="P243" s="507" t="n">
        <v>110</v>
      </c>
      <c r="Q243" s="508" t="n">
        <v>110</v>
      </c>
      <c r="R243" s="499" t="s">
        <v>835</v>
      </c>
      <c r="S243" s="501" t="s">
        <v>828</v>
      </c>
      <c r="T243" s="504" t="s">
        <v>866</v>
      </c>
      <c r="U243" s="505"/>
      <c r="V243" s="506"/>
      <c r="W243" s="500" t="str">
        <f aca="false">IFERROR(__xludf.dummyfunction("if(isna(SUM(FILTER(MatchSource!$A:$D,MatchSource!$A:$A=$B243))),0,SUM(FILTER(MatchSource!$A:$D,MatchSource!$A:$A=$B243)))"),"0")</f>
        <v>0</v>
      </c>
      <c r="X243" s="499" t="str">
        <f aca="false">IFERROR(__xludf.dummyfunction("if(isna(SUM(FILTER(MatchSource!$H:$K,MatchSource!$H:$H=$B243))),0,SUM(FILTER(MatchSource!$H:$K,MatchSource!$H:$H=$B243)))"),"0")</f>
        <v>0</v>
      </c>
      <c r="Y243" s="499" t="str">
        <f aca="false">IFERROR(__xludf.dummyfunction("if(isna(ABS(MINUS(SUM(FILTER(MatchSource!$A:$E,MatchSource!$A:$A=$B243)),SUM($W243)))),0,ABS(MINUS(SUM(FILTER(MatchSource!$A:$E,MatchSource!$A:$A=$B243)),SUM($W243))))"),"0")</f>
        <v>0</v>
      </c>
      <c r="Z243" s="499" t="str">
        <f aca="false">IFERROR(__xludf.dummyfunction("if(isna(ABS(MINUS(SUM(FILTER(MatchSource!$H:$L,MatchSource!$H:$H=$B243)),SUM($X243)))),0,ABS(MINUS(SUM(FILTER(MatchSource!$H:$L,MatchSource!$H:$H=$B243)),SUM($X243))))"),"0")</f>
        <v>0</v>
      </c>
      <c r="AA243" s="499" t="str">
        <f aca="false">IFERROR(__xludf.dummyfunction("if(isna(ABS(MINUS(SUM(FILTER(MatchSource!$A:$F,MatchSource!$A:$A=$B243)),SUM($W243,$Y243)))),0,ABS(MINUS(SUM(FILTER(MatchSource!$A:$F,MatchSource!$A:$A=$B243)),SUM($W243, $Y243,))))"),"0")</f>
        <v>0</v>
      </c>
      <c r="AB243" s="501" t="str">
        <f aca="false">IFERROR(__xludf.dummyfunction("if(isna(ABS(MINUS(SUM(FILTER(MatchSource!$H:$M,MatchSource!$H:$H=$B243)),SUM($X243,$Z243)))),0,ABS(MINUS(SUM(FILTER(MatchSource!$H:$M,MatchSource!$H:$H=$B243)),SUM($X243,$Z243))))"),"0")</f>
        <v>0</v>
      </c>
      <c r="AC243" s="507" t="n">
        <f aca="false">SUM(IF(OR($R243="Grass",$R243="Psychic",$R243="Dark"),0-1,IF(OR($R243="Fighting",$R243="Flying",$R243="Fire",$R243="Ghost",$R243="Poison",$R243="Steel",$R243="Fairy"),1,0)),IF(OR($S243="Grass",$S243="Psychic",$S243="Dark"),0-1,IF(OR($S243="Fighting",$S243="Flying",$S243="Fire",$S243="Ghost",$S243="Poison",$S243="Steel",$S243="Fairy"),1,0)))</f>
        <v>-1</v>
      </c>
      <c r="AD243" s="507" t="n">
        <f aca="false">SUM(IF(OR($R243="Ghost",$R243="Psychic"),0-1,IF(OR($R243="Fighting",$R243="Dark",$R243="Fairy"),1,0)),IF(OR($S243="Ghost",$S243="Psychic"),0-1,IF(OR($S243="Fighting",$S243="Dark",$S243="Fairy"),1,0)))</f>
        <v>-1</v>
      </c>
      <c r="AE243" s="507" t="n">
        <f aca="false">IF(OR($R243="Fairy",$S243="Fairy"),4,SUM(IF($R243="Dragon",0-1,IF($R243="Steel",1,0)),IF($S243="Dragon",0-1,IF($S243="Steel",1,0))))</f>
        <v>-1</v>
      </c>
      <c r="AF243" s="507" t="n">
        <f aca="false">IF(OR($R243="Ground",$S243="Ground"),4,SUM(IF(OR($R243="Flying",$R243="Water"),0-1,IF(OR($R243="Dragon",$R243="Electric",$R243="Grass"),1,0)),IF(OR($S243="Flying",$S243="Water"),0-1,IF(OR($S243="Dragon",$S243="Electric",$S243="Grass"),1,0))))</f>
        <v>1</v>
      </c>
      <c r="AG243" s="507" t="n">
        <f aca="false">SUM(IF(OR($R243="Dark",$R243="Dragon",$R243="Fighting"),0-1,IF(OR($R243="Steel",$R243="Poison",$R243="Fire"),1,0)),IF(OR($S243="Dark",$S243="Dragon",$S243="Fighting"),0-1,IF(OR($S243="Steel",$S243="Poison",$S243="Fire"),1,0)))</f>
        <v>-1</v>
      </c>
      <c r="AH243" s="507" t="n">
        <f aca="false">IF(OR($R243="Ghost",$S243="Ghost"),4,SUM(IF(OR($R243="Dark",$R243="Ice",$R243="Normal",$R243="Rock",$R243="Steel"),0-1,IF(OR($R243="Bug",$R243="Fairy",$R243="Flying",$R243="Poison",$R243="Psychic"),1,0)),IF(OR($S243="Dark",$S243="Ice",$S243="Normal",$S243="Rock",$S243="Steel"),0-1,IF(OR($S243="Bug",$S243="Fairy",$S243="Flying",$S243="Poison",$S243="Psychic"),1,0))))</f>
        <v>1</v>
      </c>
      <c r="AI243" s="507" t="n">
        <f aca="false">SUM(IF(OR($R243="Bug",$R243="Grass",$R243="Ice",$R243="Steel"),0-1,IF(OR($R243="Dragon",$R243="Fire",$R243="Rock",$R243="Water"),1,0)),IF(OR($S243="Bug",$S243="Grass",$S243="Ice",$S243="Steel"),0-1,IF(OR($S243="Dragon",$S243="Fire",$S243="Rock",$S243="Water"),1,0)))</f>
        <v>1</v>
      </c>
      <c r="AJ243" s="507" t="n">
        <f aca="false">SUM(IF(OR($R243="Bug",$R243="Grass",$R243="Fighting"),0-1,IF(OR($R243="Electric",$R243="Rock",$R243="Steel"),1,0)),IF(OR($S243="Bug",$S243="Grass",$S243="Fighting"),0-1,IF(OR($S243="Electric",$S243="Rock",$S243="Steel"),1,0)))</f>
        <v>0</v>
      </c>
      <c r="AK243" s="507" t="n">
        <f aca="false">IF(OR($R243="Normal",$S243="Normal"),4,SUM(IF(OR($R243="Ghost",$R243="Psychic"),0-1,IF($R243="Dark",1,0)),IF(OR($S243="Ghost",$S243="Psychic"),0-1,IF($S243="Dark",1,0))))</f>
        <v>-1</v>
      </c>
      <c r="AL243" s="507" t="n">
        <f aca="false">SUM(IF(OR($R243="Ground",$R243="Rock",$R243="Water"),0-1,IF(OR($R243="Bug",$R243="Flying",$R243="Fire",$R243="Dragon",$R243="Poison",$R243="Steel",$R243="Grass"),1,0)),IF(OR($S243="Ground",$S243="Rock",$S243="Water"),0-1,IF(OR($S243="Bug",$S243="Flying",$S243="Fire",$S243="Dragon",$S243="Poison",$S243="Steel",$S243="Grass"),1,0)))</f>
        <v>1</v>
      </c>
      <c r="AM243" s="507" t="n">
        <f aca="false">IF(OR($R243="Flying",$S243="Flying"),4,SUM(IF(OR($R243="Electric",$R243="Fire",$R243="Rock",$R243="Steel",$R243="Poison"),0-1,IF(OR($R243="Bug",$R243="Grass"),1,0)),IF(OR($S243="Electric",$S243="Fire",$S243="Rock",$S243="Steel",$S243="Poison"),0-1,IF(OR($S243="Bug",$S243="Grass"),1,0))))</f>
        <v>0</v>
      </c>
      <c r="AN243" s="507" t="n">
        <f aca="false">SUM(IF(OR($R243="Flying",$R243="Dragon",$R243="Grass",$R243="Ground"),0-1,IF(OR($R243="Steel",$R243="Ice",$R243="Fire",$R243="Water"),1,0)),IF(OR($S243="Flying",$S243="Dragon",$S243="Grass",$S243="Ground"),0-1,IF(OR($S243="Steel",$S243="Ice",$S243="Fire",$S243="Water"),1,0)))</f>
        <v>-1</v>
      </c>
      <c r="AO243" s="507" t="n">
        <f aca="false">IF(OR($R243="Ghost",$S243="Ghost"),4,SUM(IF(OR($R243="Steel",$R243="Rock"),1,0),IF(OR($S243="Steel",$S243="Rock"),1,0)))</f>
        <v>0</v>
      </c>
      <c r="AP243" s="507" t="n">
        <f aca="false">IF(OR($R243="Steel",$S243="Steel"),4,SUM(IF(OR($R243="Fairy",$R243="Grass"),0-1,IF(OR($R243="Ghost",$R243="Rock",$R243="Ground",$R243="Poison"),1,0)),IF(OR($S243="Fairy",$S243="Grass"),0-1,IF(OR($S243="Ghost",$S243="Rock",$S243="Ground",$S243="Poison"),1,0))))</f>
        <v>0</v>
      </c>
      <c r="AQ243" s="507" t="n">
        <f aca="false">IF(OR($R243="Dark",$S243="Dark"),4,SUM(IF(OR($R243="Fighting",$R243="Poison"),0-1,IF(OR($R243="Psychic",$R243="Steel"),1,0)),IF(OR($S243="Fighting",$S243="Poison"),0-1,IF(OR($S243="Psychic",$S243="Steel"),1,0))))</f>
        <v>1</v>
      </c>
      <c r="AR243" s="507" t="n">
        <f aca="false">SUM(IF(OR($R243="Bug",$R243="Fire",$R243="Flying",$R243="Ice"),0-1,IF(OR($R243="Steel",$R243="Fighting",$R243="Ground"),1,0)),IF(OR($S243="Bug",$S243="Fire",$S243="Flying",$S243="Ice"),0-1,IF(OR($S243="Steel",$S243="Fighting",$S243="Ground"),1,0)))</f>
        <v>0</v>
      </c>
      <c r="AS243" s="507" t="n">
        <f aca="false">SUM(IF(OR($R243="Fairy",$R243="Ice",$R243="Rock"),0-1,IF(OR($R243="Steel",$R243="Electric",$R243="Fire",$R243="Water"),1,0)),IF(OR($S243="Fairy",$S243="Ice",$S243="Rock"),0-1,IF(OR($S243="Steel",$S243="Electric",$S243="Fire",$S243="Water"),1,0)))</f>
        <v>0</v>
      </c>
      <c r="AT243" s="508" t="n">
        <f aca="false">SUM(IF(OR($R243="Fire",$R243="Ground",$R243="Rock"),0-1,IF(OR($R243="Dragon",$R243="Grass",$R243="Water"),1,0)),IF(OR($S243="Fire",$S243="Ground",$S243="Rock"),0-1,IF(OR($S243="Dragon",$S243="Grass",$S243="Water"),1,0)))</f>
        <v>1</v>
      </c>
      <c r="AU243" s="518"/>
    </row>
    <row r="244" customFormat="false" ht="15.75" hidden="false" customHeight="false" outlineLevel="0" collapsed="false">
      <c r="A244" s="510" t="str">
        <f aca="false" t="array" ref="A244:A244">IF(ISNA(INDEX(Source!$U$7:$U$95,MATCH(B244,Source!$V$7:$V$95,0))),"FREE",INDEX(Source!$U$7:$U$95,MATCH(B244,Source!$V$7:$V$95,0)))</f>
        <v>FREE</v>
      </c>
      <c r="B244" s="511" t="s">
        <v>1016</v>
      </c>
      <c r="C244" s="511"/>
      <c r="D244" s="511"/>
      <c r="E244" s="499" t="str">
        <f aca="false">IF(SUM($W244:$X244)&gt;0,SUM($W244:$X244),IF($H244&gt;0,0,IF($H244&gt;0,0,"-")))</f>
        <v>-</v>
      </c>
      <c r="F244" s="499" t="str">
        <f aca="false">IF(SUM($Y244:$Z244)&gt;0,SUM($Y244:$Z244),IF($H244&gt;0,0,"-"))</f>
        <v>-</v>
      </c>
      <c r="G244" s="499" t="str">
        <f aca="false">IF($H244&gt;0,minus(E244,F244),"-")</f>
        <v>-</v>
      </c>
      <c r="H244" s="500" t="n">
        <f aca="false">SUM(COUNTIF(MatchSource!$A:$A,$B244),COUNTIF(MatchSource!$H:$H,$B244))</f>
        <v>0</v>
      </c>
      <c r="I244" s="501" t="n">
        <f aca="false">SUM($AA244:$AB244)</f>
        <v>0</v>
      </c>
      <c r="J244" s="501" t="s">
        <v>888</v>
      </c>
      <c r="K244" s="512" t="str">
        <f aca="false" t="array" ref="K244:K244">IF(ISNA(INDEX(DraftRosters!$AA$3:$AA$199,MATCH($B244,DraftRosters!$AB$3:$AB$199,0))),"FA",IF(INDEX(DraftRosters!$AA$3:$AA$199,MATCH($B244,DraftRosters!$AB$3:$AB$199,0))="Franchise","Franch",INDEX(DraftRosters!$AA$3:$AA$199,MATCH($B244,DraftRosters!$AB$3:$AB$199,0))))</f>
        <v>FA</v>
      </c>
      <c r="L244" s="499" t="n">
        <v>80</v>
      </c>
      <c r="M244" s="499" t="n">
        <v>130</v>
      </c>
      <c r="N244" s="499" t="n">
        <v>100</v>
      </c>
      <c r="O244" s="499" t="n">
        <v>160</v>
      </c>
      <c r="P244" s="499" t="n">
        <v>120</v>
      </c>
      <c r="Q244" s="501" t="n">
        <v>110</v>
      </c>
      <c r="R244" s="499" t="s">
        <v>835</v>
      </c>
      <c r="S244" s="501" t="s">
        <v>828</v>
      </c>
      <c r="T244" s="504" t="s">
        <v>866</v>
      </c>
      <c r="U244" s="513"/>
      <c r="V244" s="514"/>
      <c r="W244" s="500" t="str">
        <f aca="false">IFERROR(__xludf.dummyfunction("if(isna(SUM(FILTER(MatchSource!$A:$D,MatchSource!$A:$A=$B244))),0,SUM(FILTER(MatchSource!$A:$D,MatchSource!$A:$A=$B244)))"),"0")</f>
        <v>0</v>
      </c>
      <c r="X244" s="499" t="str">
        <f aca="false">IFERROR(__xludf.dummyfunction("if(isna(SUM(FILTER(MatchSource!$H:$K,MatchSource!$H:$H=$B244))),0,SUM(FILTER(MatchSource!$H:$K,MatchSource!$H:$H=$B244)))"),"0")</f>
        <v>0</v>
      </c>
      <c r="Y244" s="499" t="str">
        <f aca="false">IFERROR(__xludf.dummyfunction("if(isna(ABS(MINUS(SUM(FILTER(MatchSource!$A:$E,MatchSource!$A:$A=$B244)),SUM($W244)))),0,ABS(MINUS(SUM(FILTER(MatchSource!$A:$E,MatchSource!$A:$A=$B244)),SUM($W244))))"),"0")</f>
        <v>0</v>
      </c>
      <c r="Z244" s="499" t="str">
        <f aca="false">IFERROR(__xludf.dummyfunction("if(isna(ABS(MINUS(SUM(FILTER(MatchSource!$H:$L,MatchSource!$H:$H=$B244)),SUM($X244)))),0,ABS(MINUS(SUM(FILTER(MatchSource!$H:$L,MatchSource!$H:$H=$B244)),SUM($X244))))"),"0")</f>
        <v>0</v>
      </c>
      <c r="AA244" s="499" t="str">
        <f aca="false">IFERROR(__xludf.dummyfunction("if(isna(ABS(MINUS(SUM(FILTER(MatchSource!$A:$F,MatchSource!$A:$A=$B244)),SUM($W244,$Y244)))),0,ABS(MINUS(SUM(FILTER(MatchSource!$A:$F,MatchSource!$A:$A=$B244)),SUM($W244, $Y244,))))"),"0")</f>
        <v>0</v>
      </c>
      <c r="AB244" s="501" t="str">
        <f aca="false">IFERROR(__xludf.dummyfunction("if(isna(ABS(MINUS(SUM(FILTER(MatchSource!$H:$M,MatchSource!$H:$H=$B244)),SUM($X244,$Z244)))),0,ABS(MINUS(SUM(FILTER(MatchSource!$H:$M,MatchSource!$H:$H=$B244)),SUM($X244,$Z244))))"),"0")</f>
        <v>0</v>
      </c>
      <c r="AC244" s="507" t="n">
        <f aca="false">SUM(IF(OR($R244="Grass",$R244="Psychic",$R244="Dark"),0-1,IF(OR($R244="Fighting",$R244="Flying",$R244="Fire",$R244="Ghost",$R244="Poison",$R244="Steel",$R244="Fairy"),1,0)),IF(OR($S244="Grass",$S244="Psychic",$S244="Dark"),0-1,IF(OR($S244="Fighting",$S244="Flying",$S244="Fire",$S244="Ghost",$S244="Poison",$S244="Steel",$S244="Fairy"),1,0)))</f>
        <v>-1</v>
      </c>
      <c r="AD244" s="507" t="n">
        <f aca="false">SUM(IF(OR($R244="Ghost",$R244="Psychic"),0-1,IF(OR($R244="Fighting",$R244="Dark",$R244="Fairy"),1,0)),IF(OR($S244="Ghost",$S244="Psychic"),0-1,IF(OR($S244="Fighting",$S244="Dark",$S244="Fairy"),1,0)))</f>
        <v>-1</v>
      </c>
      <c r="AE244" s="507" t="n">
        <f aca="false">IF(OR($R244="Fairy",$S244="Fairy"),4,SUM(IF($R244="Dragon",0-1,IF($R244="Steel",1,0)),IF($S244="Dragon",0-1,IF($S244="Steel",1,0))))</f>
        <v>-1</v>
      </c>
      <c r="AF244" s="507" t="n">
        <f aca="false">IF(OR($R244="Ground",$S244="Ground"),4,SUM(IF(OR($R244="Flying",$R244="Water"),0-1,IF(OR($R244="Dragon",$R244="Electric",$R244="Grass"),1,0)),IF(OR($S244="Flying",$S244="Water"),0-1,IF(OR($S244="Dragon",$S244="Electric",$S244="Grass"),1,0))))</f>
        <v>1</v>
      </c>
      <c r="AG244" s="507" t="n">
        <f aca="false">SUM(IF(OR($R244="Dark",$R244="Dragon",$R244="Fighting"),0-1,IF(OR($R244="Steel",$R244="Poison",$R244="Fire"),1,0)),IF(OR($S244="Dark",$S244="Dragon",$S244="Fighting"),0-1,IF(OR($S244="Steel",$S244="Poison",$S244="Fire"),1,0)))</f>
        <v>-1</v>
      </c>
      <c r="AH244" s="507" t="n">
        <f aca="false">IF(OR($R244="Ghost",$S244="Ghost"),4,SUM(IF(OR($R244="Dark",$R244="Ice",$R244="Normal",$R244="Rock",$R244="Steel"),0-1,IF(OR($R244="Bug",$R244="Fairy",$R244="Flying",$R244="Poison",$R244="Psychic"),1,0)),IF(OR($S244="Dark",$S244="Ice",$S244="Normal",$S244="Rock",$S244="Steel"),0-1,IF(OR($S244="Bug",$S244="Fairy",$S244="Flying",$S244="Poison",$S244="Psychic"),1,0))))</f>
        <v>1</v>
      </c>
      <c r="AI244" s="507" t="n">
        <f aca="false">SUM(IF(OR($R244="Bug",$R244="Grass",$R244="Ice",$R244="Steel"),0-1,IF(OR($R244="Dragon",$R244="Fire",$R244="Rock",$R244="Water"),1,0)),IF(OR($S244="Bug",$S244="Grass",$S244="Ice",$S244="Steel"),0-1,IF(OR($S244="Dragon",$S244="Fire",$S244="Rock",$S244="Water"),1,0)))</f>
        <v>1</v>
      </c>
      <c r="AJ244" s="507" t="n">
        <f aca="false">SUM(IF(OR($R244="Bug",$R244="Grass",$R244="Fighting"),0-1,IF(OR($R244="Electric",$R244="Rock",$R244="Steel"),1,0)),IF(OR($S244="Bug",$S244="Grass",$S244="Fighting"),0-1,IF(OR($S244="Electric",$S244="Rock",$S244="Steel"),1,0)))</f>
        <v>0</v>
      </c>
      <c r="AK244" s="507" t="n">
        <f aca="false">IF(OR($R244="Normal",$S244="Normal"),4,SUM(IF(OR($R244="Ghost",$R244="Psychic"),0-1,IF($R244="Dark",1,0)),IF(OR($S244="Ghost",$S244="Psychic"),0-1,IF($S244="Dark",1,0))))</f>
        <v>-1</v>
      </c>
      <c r="AL244" s="507" t="n">
        <f aca="false">SUM(IF(OR($R244="Ground",$R244="Rock",$R244="Water"),0-1,IF(OR($R244="Bug",$R244="Flying",$R244="Fire",$R244="Dragon",$R244="Poison",$R244="Steel",$R244="Grass"),1,0)),IF(OR($S244="Ground",$S244="Rock",$S244="Water"),0-1,IF(OR($S244="Bug",$S244="Flying",$S244="Fire",$S244="Dragon",$S244="Poison",$S244="Steel",$S244="Grass"),1,0)))</f>
        <v>1</v>
      </c>
      <c r="AM244" s="507" t="n">
        <f aca="false">IF(OR($R244="Flying",$S244="Flying"),4,SUM(IF(OR($R244="Electric",$R244="Fire",$R244="Rock",$R244="Steel",$R244="Poison"),0-1,IF(OR($R244="Bug",$R244="Grass"),1,0)),IF(OR($S244="Electric",$S244="Fire",$S244="Rock",$S244="Steel",$S244="Poison"),0-1,IF(OR($S244="Bug",$S244="Grass"),1,0))))</f>
        <v>0</v>
      </c>
      <c r="AN244" s="507" t="n">
        <f aca="false">SUM(IF(OR($R244="Flying",$R244="Dragon",$R244="Grass",$R244="Ground"),0-1,IF(OR($R244="Steel",$R244="Ice",$R244="Fire",$R244="Water"),1,0)),IF(OR($S244="Flying",$S244="Dragon",$S244="Grass",$S244="Ground"),0-1,IF(OR($S244="Steel",$S244="Ice",$S244="Fire",$S244="Water"),1,0)))</f>
        <v>-1</v>
      </c>
      <c r="AO244" s="507" t="n">
        <f aca="false">IF(OR($R244="Ghost",$S244="Ghost"),4,SUM(IF(OR($R244="Steel",$R244="Rock"),1,0),IF(OR($S244="Steel",$S244="Rock"),1,0)))</f>
        <v>0</v>
      </c>
      <c r="AP244" s="507" t="n">
        <f aca="false">IF(OR($R244="Steel",$S244="Steel"),4,SUM(IF(OR($R244="Fairy",$R244="Grass"),0-1,IF(OR($R244="Ghost",$R244="Rock",$R244="Ground",$R244="Poison"),1,0)),IF(OR($S244="Fairy",$S244="Grass"),0-1,IF(OR($S244="Ghost",$S244="Rock",$S244="Ground",$S244="Poison"),1,0))))</f>
        <v>0</v>
      </c>
      <c r="AQ244" s="507" t="n">
        <f aca="false">IF(OR($R244="Dark",$S244="Dark"),4,SUM(IF(OR($R244="Fighting",$R244="Poison"),0-1,IF(OR($R244="Psychic",$R244="Steel"),1,0)),IF(OR($S244="Fighting",$S244="Poison"),0-1,IF(OR($S244="Psychic",$S244="Steel"),1,0))))</f>
        <v>1</v>
      </c>
      <c r="AR244" s="507" t="n">
        <f aca="false">SUM(IF(OR($R244="Bug",$R244="Fire",$R244="Flying",$R244="Ice"),0-1,IF(OR($R244="Steel",$R244="Fighting",$R244="Ground"),1,0)),IF(OR($S244="Bug",$S244="Fire",$S244="Flying",$S244="Ice"),0-1,IF(OR($S244="Steel",$S244="Fighting",$S244="Ground"),1,0)))</f>
        <v>0</v>
      </c>
      <c r="AS244" s="507" t="n">
        <f aca="false">SUM(IF(OR($R244="Fairy",$R244="Ice",$R244="Rock"),0-1,IF(OR($R244="Steel",$R244="Electric",$R244="Fire",$R244="Water"),1,0)),IF(OR($S244="Fairy",$S244="Ice",$S244="Rock"),0-1,IF(OR($S244="Steel",$S244="Electric",$S244="Fire",$S244="Water"),1,0)))</f>
        <v>0</v>
      </c>
      <c r="AT244" s="508" t="n">
        <f aca="false">SUM(IF(OR($R244="Fire",$R244="Ground",$R244="Rock"),0-1,IF(OR($R244="Dragon",$R244="Grass",$R244="Water"),1,0)),IF(OR($S244="Fire",$S244="Ground",$S244="Rock"),0-1,IF(OR($S244="Dragon",$S244="Grass",$S244="Water"),1,0)))</f>
        <v>1</v>
      </c>
      <c r="AU244" s="518"/>
    </row>
    <row r="245" customFormat="false" ht="15.75" hidden="false" customHeight="false" outlineLevel="0" collapsed="false">
      <c r="A245" s="510" t="str">
        <f aca="false" t="array" ref="A245:A245">IF(ISNA(INDEX(Source!$U$7:$U$95,MATCH(B245,Source!$V$7:$V$95,0))),"FREE",INDEX(Source!$U$7:$U$95,MATCH(B245,Source!$V$7:$V$95,0)))</f>
        <v>FREE</v>
      </c>
      <c r="B245" s="511" t="s">
        <v>668</v>
      </c>
      <c r="C245" s="511"/>
      <c r="D245" s="511"/>
      <c r="E245" s="499" t="str">
        <f aca="false">IF(SUM($W245:$X245)&gt;0,SUM($W245:$X245),IF($H245&gt;0,0,IF($H245&gt;0,0,"-")))</f>
        <v>-</v>
      </c>
      <c r="F245" s="499" t="str">
        <f aca="false">IF(SUM($Y245:$Z245)&gt;0,SUM($Y245:$Z245),IF($H245&gt;0,0,"-"))</f>
        <v>-</v>
      </c>
      <c r="G245" s="499" t="str">
        <f aca="false">IF($H245&gt;0,minus(E245,F245),"-")</f>
        <v>-</v>
      </c>
      <c r="H245" s="500" t="n">
        <f aca="false">SUM(COUNTIF(MatchSource!$A:$A,$B245),COUNTIF(MatchSource!$H:$H,$B245))</f>
        <v>0</v>
      </c>
      <c r="I245" s="501" t="n">
        <f aca="false">SUM($AA245:$AB245)</f>
        <v>0</v>
      </c>
      <c r="J245" s="501" t="s">
        <v>702</v>
      </c>
      <c r="K245" s="512" t="str">
        <f aca="false" t="array" ref="K245:K245">IF(ISNA(INDEX(DraftRosters!$AA$3:$AA$199,MATCH($B245,DraftRosters!$AB$3:$AB$199,0))),"FA",IF(INDEX(DraftRosters!$AA$3:$AA$199,MATCH($B245,DraftRosters!$AB$3:$AB$199,0))="Franchise","Franch",INDEX(DraftRosters!$AA$3:$AA$199,MATCH($B245,DraftRosters!$AB$3:$AB$199,0))))</f>
        <v>FA</v>
      </c>
      <c r="L245" s="499" t="n">
        <v>65</v>
      </c>
      <c r="M245" s="499" t="n">
        <v>110</v>
      </c>
      <c r="N245" s="499" t="n">
        <v>130</v>
      </c>
      <c r="O245" s="499" t="n">
        <v>60</v>
      </c>
      <c r="P245" s="499" t="n">
        <v>65</v>
      </c>
      <c r="Q245" s="501" t="n">
        <v>95</v>
      </c>
      <c r="R245" s="499" t="s">
        <v>803</v>
      </c>
      <c r="S245" s="501"/>
      <c r="T245" s="504" t="s">
        <v>880</v>
      </c>
      <c r="U245" s="505" t="s">
        <v>1004</v>
      </c>
      <c r="V245" s="506"/>
      <c r="W245" s="500" t="str">
        <f aca="false">IFERROR(__xludf.dummyfunction("if(isna(SUM(FILTER(MatchSource!$A:$D,MatchSource!$A:$A=$B245))),0,SUM(FILTER(MatchSource!$A:$D,MatchSource!$A:$A=$B245)))"),"0")</f>
        <v>0</v>
      </c>
      <c r="X245" s="499" t="str">
        <f aca="false">IFERROR(__xludf.dummyfunction("if(isna(SUM(FILTER(MatchSource!$H:$K,MatchSource!$H:$H=$B245))),0,SUM(FILTER(MatchSource!$H:$K,MatchSource!$H:$H=$B245)))"),"0")</f>
        <v>0</v>
      </c>
      <c r="Y245" s="499" t="str">
        <f aca="false">IFERROR(__xludf.dummyfunction("if(isna(ABS(MINUS(SUM(FILTER(MatchSource!$A:$E,MatchSource!$A:$A=$B245)),SUM($W245)))),0,ABS(MINUS(SUM(FILTER(MatchSource!$A:$E,MatchSource!$A:$A=$B245)),SUM($W245))))"),"0")</f>
        <v>0</v>
      </c>
      <c r="Z245" s="499" t="str">
        <f aca="false">IFERROR(__xludf.dummyfunction("if(isna(ABS(MINUS(SUM(FILTER(MatchSource!$H:$L,MatchSource!$H:$H=$B245)),SUM($X245)))),0,ABS(MINUS(SUM(FILTER(MatchSource!$H:$L,MatchSource!$H:$H=$B245)),SUM($X245))))"),"0")</f>
        <v>0</v>
      </c>
      <c r="AA245" s="499" t="str">
        <f aca="false">IFERROR(__xludf.dummyfunction("if(isna(ABS(MINUS(SUM(FILTER(MatchSource!$A:$F,MatchSource!$A:$A=$B245)),SUM($W245,$Y245)))),0,ABS(MINUS(SUM(FILTER(MatchSource!$A:$F,MatchSource!$A:$A=$B245)),SUM($W245, $Y245,))))"),"0")</f>
        <v>0</v>
      </c>
      <c r="AB245" s="501" t="str">
        <f aca="false">IFERROR(__xludf.dummyfunction("if(isna(ABS(MINUS(SUM(FILTER(MatchSource!$H:$M,MatchSource!$H:$H=$B245)),SUM($X245,$Z245)))),0,ABS(MINUS(SUM(FILTER(MatchSource!$H:$M,MatchSource!$H:$H=$B245)),SUM($X245,$Z245))))"),"0")</f>
        <v>0</v>
      </c>
      <c r="AC245" s="507" t="n">
        <f aca="false">SUM(IF(OR($R245="Grass",$R245="Psychic",$R245="Dark"),0-1,IF(OR($R245="Fighting",$R245="Flying",$R245="Fire",$R245="Ghost",$R245="Poison",$R245="Steel",$R245="Fairy"),1,0)),IF(OR($S245="Grass",$S245="Psychic",$S245="Dark"),0-1,IF(OR($S245="Fighting",$S245="Flying",$S245="Fire",$S245="Ghost",$S245="Poison",$S245="Steel",$S245="Fairy"),1,0)))</f>
        <v>-1</v>
      </c>
      <c r="AD245" s="507" t="n">
        <f aca="false">SUM(IF(OR($R245="Ghost",$R245="Psychic"),0-1,IF(OR($R245="Fighting",$R245="Dark",$R245="Fairy"),1,0)),IF(OR($S245="Ghost",$S245="Psychic"),0-1,IF(OR($S245="Fighting",$S245="Dark",$S245="Fairy"),1,0)))</f>
        <v>0</v>
      </c>
      <c r="AE245" s="507" t="n">
        <f aca="false">IF(OR($R245="Fairy",$S245="Fairy"),4,SUM(IF($R245="Dragon",0-1,IF($R245="Steel",1,0)),IF($S245="Dragon",0-1,IF($S245="Steel",1,0))))</f>
        <v>0</v>
      </c>
      <c r="AF245" s="507" t="n">
        <f aca="false">IF(OR($R245="Ground",$S245="Ground"),4,SUM(IF(OR($R245="Flying",$R245="Water"),0-1,IF(OR($R245="Dragon",$R245="Electric",$R245="Grass"),1,0)),IF(OR($S245="Flying",$S245="Water"),0-1,IF(OR($S245="Dragon",$S245="Electric",$S245="Grass"),1,0))))</f>
        <v>1</v>
      </c>
      <c r="AG245" s="507" t="n">
        <f aca="false">SUM(IF(OR($R245="Dark",$R245="Dragon",$R245="Fighting"),0-1,IF(OR($R245="Steel",$R245="Poison",$R245="Fire"),1,0)),IF(OR($S245="Dark",$S245="Dragon",$S245="Fighting"),0-1,IF(OR($S245="Steel",$S245="Poison",$S245="Fire"),1,0)))</f>
        <v>0</v>
      </c>
      <c r="AH245" s="507" t="n">
        <f aca="false">IF(OR($R245="Ghost",$S245="Ghost"),4,SUM(IF(OR($R245="Dark",$R245="Ice",$R245="Normal",$R245="Rock",$R245="Steel"),0-1,IF(OR($R245="Bug",$R245="Fairy",$R245="Flying",$R245="Poison",$R245="Psychic"),1,0)),IF(OR($S245="Dark",$S245="Ice",$S245="Normal",$S245="Rock",$S245="Steel"),0-1,IF(OR($S245="Bug",$S245="Fairy",$S245="Flying",$S245="Poison",$S245="Psychic"),1,0))))</f>
        <v>0</v>
      </c>
      <c r="AI245" s="507" t="n">
        <f aca="false">SUM(IF(OR($R245="Bug",$R245="Grass",$R245="Ice",$R245="Steel"),0-1,IF(OR($R245="Dragon",$R245="Fire",$R245="Rock",$R245="Water"),1,0)),IF(OR($S245="Bug",$S245="Grass",$S245="Ice",$S245="Steel"),0-1,IF(OR($S245="Dragon",$S245="Fire",$S245="Rock",$S245="Water"),1,0)))</f>
        <v>-1</v>
      </c>
      <c r="AJ245" s="507" t="n">
        <f aca="false">SUM(IF(OR($R245="Bug",$R245="Grass",$R245="Fighting"),0-1,IF(OR($R245="Electric",$R245="Rock",$R245="Steel"),1,0)),IF(OR($S245="Bug",$S245="Grass",$S245="Fighting"),0-1,IF(OR($S245="Electric",$S245="Rock",$S245="Steel"),1,0)))</f>
        <v>-1</v>
      </c>
      <c r="AK245" s="507" t="n">
        <f aca="false">IF(OR($R245="Normal",$S245="Normal"),4,SUM(IF(OR($R245="Ghost",$R245="Psychic"),0-1,IF($R245="Dark",1,0)),IF(OR($S245="Ghost",$S245="Psychic"),0-1,IF($S245="Dark",1,0))))</f>
        <v>0</v>
      </c>
      <c r="AL245" s="507" t="n">
        <f aca="false">SUM(IF(OR($R245="Ground",$R245="Rock",$R245="Water"),0-1,IF(OR($R245="Bug",$R245="Flying",$R245="Fire",$R245="Dragon",$R245="Poison",$R245="Steel",$R245="Grass"),1,0)),IF(OR($S245="Ground",$S245="Rock",$S245="Water"),0-1,IF(OR($S245="Bug",$S245="Flying",$S245="Fire",$S245="Dragon",$S245="Poison",$S245="Steel",$S245="Grass"),1,0)))</f>
        <v>1</v>
      </c>
      <c r="AM245" s="507" t="n">
        <f aca="false">IF(OR($R245="Flying",$S245="Flying"),4,SUM(IF(OR($R245="Electric",$R245="Fire",$R245="Rock",$R245="Steel",$R245="Poison"),0-1,IF(OR($R245="Bug",$R245="Grass"),1,0)),IF(OR($S245="Electric",$S245="Fire",$S245="Rock",$S245="Steel",$S245="Poison"),0-1,IF(OR($S245="Bug",$S245="Grass"),1,0))))</f>
        <v>1</v>
      </c>
      <c r="AN245" s="507" t="n">
        <f aca="false">SUM(IF(OR($R245="Flying",$R245="Dragon",$R245="Grass",$R245="Ground"),0-1,IF(OR($R245="Steel",$R245="Ice",$R245="Fire",$R245="Water"),1,0)),IF(OR($S245="Flying",$S245="Dragon",$S245="Grass",$S245="Ground"),0-1,IF(OR($S245="Steel",$S245="Ice",$S245="Fire",$S245="Water"),1,0)))</f>
        <v>-1</v>
      </c>
      <c r="AO245" s="507" t="n">
        <f aca="false">IF(OR($R245="Ghost",$S245="Ghost"),4,SUM(IF(OR($R245="Steel",$R245="Rock"),1,0),IF(OR($S245="Steel",$S245="Rock"),1,0)))</f>
        <v>0</v>
      </c>
      <c r="AP245" s="507" t="n">
        <f aca="false">IF(OR($R245="Steel",$S245="Steel"),4,SUM(IF(OR($R245="Fairy",$R245="Grass"),0-1,IF(OR($R245="Ghost",$R245="Rock",$R245="Ground",$R245="Poison"),1,0)),IF(OR($S245="Fairy",$S245="Grass"),0-1,IF(OR($S245="Ghost",$S245="Rock",$S245="Ground",$S245="Poison"),1,0))))</f>
        <v>-1</v>
      </c>
      <c r="AQ245" s="507" t="n">
        <f aca="false">IF(OR($R245="Dark",$S245="Dark"),4,SUM(IF(OR($R245="Fighting",$R245="Poison"),0-1,IF(OR($R245="Psychic",$R245="Steel"),1,0)),IF(OR($S245="Fighting",$S245="Poison"),0-1,IF(OR($S245="Psychic",$S245="Steel"),1,0))))</f>
        <v>0</v>
      </c>
      <c r="AR245" s="507" t="n">
        <f aca="false">SUM(IF(OR($R245="Bug",$R245="Fire",$R245="Flying",$R245="Ice"),0-1,IF(OR($R245="Steel",$R245="Fighting",$R245="Ground"),1,0)),IF(OR($S245="Bug",$S245="Fire",$S245="Flying",$S245="Ice"),0-1,IF(OR($S245="Steel",$S245="Fighting",$S245="Ground"),1,0)))</f>
        <v>0</v>
      </c>
      <c r="AS245" s="507" t="n">
        <f aca="false">SUM(IF(OR($R245="Fairy",$R245="Ice",$R245="Rock"),0-1,IF(OR($R245="Steel",$R245="Electric",$R245="Fire",$R245="Water"),1,0)),IF(OR($S245="Fairy",$S245="Ice",$S245="Rock"),0-1,IF(OR($S245="Steel",$S245="Electric",$S245="Fire",$S245="Water"),1,0)))</f>
        <v>0</v>
      </c>
      <c r="AT245" s="508" t="n">
        <f aca="false">SUM(IF(OR($R245="Fire",$R245="Ground",$R245="Rock"),0-1,IF(OR($R245="Dragon",$R245="Grass",$R245="Water"),1,0)),IF(OR($S245="Fire",$S245="Ground",$S245="Rock"),0-1,IF(OR($S245="Dragon",$S245="Grass",$S245="Water"),1,0)))</f>
        <v>1</v>
      </c>
      <c r="AU245" s="518"/>
    </row>
    <row r="246" customFormat="false" ht="15.75" hidden="false" customHeight="false" outlineLevel="0" collapsed="false">
      <c r="A246" s="510" t="str">
        <f aca="false" t="array" ref="A246:A246">IF(ISNA(INDEX(Source!$U$7:$U$95,MATCH(B246,Source!$V$7:$V$95,0))),"FREE",INDEX(Source!$U$7:$U$95,MATCH(B246,Source!$V$7:$V$95,0)))</f>
        <v>FREE</v>
      </c>
      <c r="B246" s="511" t="s">
        <v>671</v>
      </c>
      <c r="C246" s="511"/>
      <c r="D246" s="511"/>
      <c r="E246" s="499" t="str">
        <f aca="false">IF(SUM($W246:$X246)&gt;0,SUM($W246:$X246),IF($H246&gt;0,0,IF($H246&gt;0,0,"-")))</f>
        <v>-</v>
      </c>
      <c r="F246" s="499" t="str">
        <f aca="false">IF(SUM($Y246:$Z246)&gt;0,SUM($Y246:$Z246),IF($H246&gt;0,0,"-"))</f>
        <v>-</v>
      </c>
      <c r="G246" s="499" t="str">
        <f aca="false">IF($H246&gt;0,minus(E246,F246),"-")</f>
        <v>-</v>
      </c>
      <c r="H246" s="500" t="n">
        <f aca="false">SUM(COUNTIF(MatchSource!$A:$A,$B246),COUNTIF(MatchSource!$H:$H,$B246))</f>
        <v>0</v>
      </c>
      <c r="I246" s="501" t="n">
        <f aca="false">SUM($AA246:$AB246)</f>
        <v>0</v>
      </c>
      <c r="J246" s="501" t="s">
        <v>702</v>
      </c>
      <c r="K246" s="512" t="str">
        <f aca="false" t="array" ref="K246:K246">IF(ISNA(INDEX(DraftRosters!$AA$3:$AA$199,MATCH($B246,DraftRosters!$AB$3:$AB$199,0))),"FA",IF(INDEX(DraftRosters!$AA$3:$AA$199,MATCH($B246,DraftRosters!$AB$3:$AB$199,0))="Franchise","Franch",INDEX(DraftRosters!$AA$3:$AA$199,MATCH($B246,DraftRosters!$AB$3:$AB$199,0))))</f>
        <v>FA</v>
      </c>
      <c r="L246" s="507" t="n">
        <v>75</v>
      </c>
      <c r="M246" s="507" t="n">
        <v>103</v>
      </c>
      <c r="N246" s="507" t="n">
        <v>80</v>
      </c>
      <c r="O246" s="507" t="n">
        <v>70</v>
      </c>
      <c r="P246" s="507" t="n">
        <v>80</v>
      </c>
      <c r="Q246" s="508" t="n">
        <v>92</v>
      </c>
      <c r="R246" s="499" t="s">
        <v>794</v>
      </c>
      <c r="S246" s="501" t="s">
        <v>803</v>
      </c>
      <c r="T246" s="504" t="s">
        <v>880</v>
      </c>
      <c r="U246" s="505" t="s">
        <v>857</v>
      </c>
      <c r="V246" s="506" t="s">
        <v>924</v>
      </c>
      <c r="W246" s="500" t="str">
        <f aca="false">IFERROR(__xludf.dummyfunction("if(isna(SUM(FILTER(MatchSource!$A:$D,MatchSource!$A:$A=$B246))),0,SUM(FILTER(MatchSource!$A:$D,MatchSource!$A:$A=$B246)))"),"0")</f>
        <v>0</v>
      </c>
      <c r="X246" s="499" t="str">
        <f aca="false">IFERROR(__xludf.dummyfunction("if(isna(SUM(FILTER(MatchSource!$H:$K,MatchSource!$H:$H=$B246))),0,SUM(FILTER(MatchSource!$H:$K,MatchSource!$H:$H=$B246)))"),"0")</f>
        <v>0</v>
      </c>
      <c r="Y246" s="499" t="str">
        <f aca="false">IFERROR(__xludf.dummyfunction("if(isna(ABS(MINUS(SUM(FILTER(MatchSource!$A:$E,MatchSource!$A:$A=$B246)),SUM($W246)))),0,ABS(MINUS(SUM(FILTER(MatchSource!$A:$E,MatchSource!$A:$A=$B246)),SUM($W246))))"),"0")</f>
        <v>0</v>
      </c>
      <c r="Z246" s="499" t="str">
        <f aca="false">IFERROR(__xludf.dummyfunction("if(isna(ABS(MINUS(SUM(FILTER(MatchSource!$H:$L,MatchSource!$H:$H=$B246)),SUM($X246)))),0,ABS(MINUS(SUM(FILTER(MatchSource!$H:$L,MatchSource!$H:$H=$B246)),SUM($X246))))"),"0")</f>
        <v>0</v>
      </c>
      <c r="AA246" s="499" t="str">
        <f aca="false">IFERROR(__xludf.dummyfunction("if(isna(ABS(MINUS(SUM(FILTER(MatchSource!$A:$F,MatchSource!$A:$A=$B246)),SUM($W246,$Y246)))),0,ABS(MINUS(SUM(FILTER(MatchSource!$A:$F,MatchSource!$A:$A=$B246)),SUM($W246, $Y246,))))"),"0")</f>
        <v>0</v>
      </c>
      <c r="AB246" s="501" t="str">
        <f aca="false">IFERROR(__xludf.dummyfunction("if(isna(ABS(MINUS(SUM(FILTER(MatchSource!$H:$M,MatchSource!$H:$H=$B246)),SUM($X246,$Z246)))),0,ABS(MINUS(SUM(FILTER(MatchSource!$H:$M,MatchSource!$H:$H=$B246)),SUM($X246,$Z246))))"),"0")</f>
        <v>0</v>
      </c>
      <c r="AC246" s="507" t="n">
        <f aca="false">SUM(IF(OR($R246="Grass",$R246="Psychic",$R246="Dark"),0-1,IF(OR($R246="Fighting",$R246="Flying",$R246="Fire",$R246="Ghost",$R246="Poison",$R246="Steel",$R246="Fairy"),1,0)),IF(OR($S246="Grass",$S246="Psychic",$S246="Dark"),0-1,IF(OR($S246="Fighting",$S246="Flying",$S246="Fire",$S246="Ghost",$S246="Poison",$S246="Steel",$S246="Fairy"),1,0)))</f>
        <v>-1</v>
      </c>
      <c r="AD246" s="507" t="n">
        <f aca="false">SUM(IF(OR($R246="Ghost",$R246="Psychic"),0-1,IF(OR($R246="Fighting",$R246="Dark",$R246="Fairy"),1,0)),IF(OR($S246="Ghost",$S246="Psychic"),0-1,IF(OR($S246="Fighting",$S246="Dark",$S246="Fairy"),1,0)))</f>
        <v>0</v>
      </c>
      <c r="AE246" s="507" t="n">
        <f aca="false">IF(OR($R246="Fairy",$S246="Fairy"),4,SUM(IF($R246="Dragon",0-1,IF($R246="Steel",1,0)),IF($S246="Dragon",0-1,IF($S246="Steel",1,0))))</f>
        <v>0</v>
      </c>
      <c r="AF246" s="507" t="n">
        <f aca="false">IF(OR($R246="Ground",$S246="Ground"),4,SUM(IF(OR($R246="Flying",$R246="Water"),0-1,IF(OR($R246="Dragon",$R246="Electric",$R246="Grass"),1,0)),IF(OR($S246="Flying",$S246="Water"),0-1,IF(OR($S246="Dragon",$S246="Electric",$S246="Grass"),1,0))))</f>
        <v>1</v>
      </c>
      <c r="AG246" s="507" t="n">
        <f aca="false">SUM(IF(OR($R246="Dark",$R246="Dragon",$R246="Fighting"),0-1,IF(OR($R246="Steel",$R246="Poison",$R246="Fire"),1,0)),IF(OR($S246="Dark",$S246="Dragon",$S246="Fighting"),0-1,IF(OR($S246="Steel",$S246="Poison",$S246="Fire"),1,0)))</f>
        <v>0</v>
      </c>
      <c r="AH246" s="507" t="n">
        <f aca="false">IF(OR($R246="Ghost",$S246="Ghost"),4,SUM(IF(OR($R246="Dark",$R246="Ice",$R246="Normal",$R246="Rock",$R246="Steel"),0-1,IF(OR($R246="Bug",$R246="Fairy",$R246="Flying",$R246="Poison",$R246="Psychic"),1,0)),IF(OR($S246="Dark",$S246="Ice",$S246="Normal",$S246="Rock",$S246="Steel"),0-1,IF(OR($S246="Bug",$S246="Fairy",$S246="Flying",$S246="Poison",$S246="Psychic"),1,0))))</f>
        <v>1</v>
      </c>
      <c r="AI246" s="507" t="n">
        <f aca="false">SUM(IF(OR($R246="Bug",$R246="Grass",$R246="Ice",$R246="Steel"),0-1,IF(OR($R246="Dragon",$R246="Fire",$R246="Rock",$R246="Water"),1,0)),IF(OR($S246="Bug",$S246="Grass",$S246="Ice",$S246="Steel"),0-1,IF(OR($S246="Dragon",$S246="Fire",$S246="Rock",$S246="Water"),1,0)))</f>
        <v>-2</v>
      </c>
      <c r="AJ246" s="507" t="n">
        <f aca="false">SUM(IF(OR($R246="Bug",$R246="Grass",$R246="Fighting"),0-1,IF(OR($R246="Electric",$R246="Rock",$R246="Steel"),1,0)),IF(OR($S246="Bug",$S246="Grass",$S246="Fighting"),0-1,IF(OR($S246="Electric",$S246="Rock",$S246="Steel"),1,0)))</f>
        <v>-2</v>
      </c>
      <c r="AK246" s="507" t="n">
        <f aca="false">IF(OR($R246="Normal",$S246="Normal"),4,SUM(IF(OR($R246="Ghost",$R246="Psychic"),0-1,IF($R246="Dark",1,0)),IF(OR($S246="Ghost",$S246="Psychic"),0-1,IF($S246="Dark",1,0))))</f>
        <v>0</v>
      </c>
      <c r="AL246" s="507" t="n">
        <f aca="false">SUM(IF(OR($R246="Ground",$R246="Rock",$R246="Water"),0-1,IF(OR($R246="Bug",$R246="Flying",$R246="Fire",$R246="Dragon",$R246="Poison",$R246="Steel",$R246="Grass"),1,0)),IF(OR($S246="Ground",$S246="Rock",$S246="Water"),0-1,IF(OR($S246="Bug",$S246="Flying",$S246="Fire",$S246="Dragon",$S246="Poison",$S246="Steel",$S246="Grass"),1,0)))</f>
        <v>2</v>
      </c>
      <c r="AM246" s="507" t="n">
        <f aca="false">IF(OR($R246="Flying",$S246="Flying"),4,SUM(IF(OR($R246="Electric",$R246="Fire",$R246="Rock",$R246="Steel",$R246="Poison"),0-1,IF(OR($R246="Bug",$R246="Grass"),1,0)),IF(OR($S246="Electric",$S246="Fire",$S246="Rock",$S246="Steel",$S246="Poison"),0-1,IF(OR($S246="Bug",$S246="Grass"),1,0))))</f>
        <v>2</v>
      </c>
      <c r="AN246" s="507" t="n">
        <f aca="false">SUM(IF(OR($R246="Flying",$R246="Dragon",$R246="Grass",$R246="Ground"),0-1,IF(OR($R246="Steel",$R246="Ice",$R246="Fire",$R246="Water"),1,0)),IF(OR($S246="Flying",$S246="Dragon",$S246="Grass",$S246="Ground"),0-1,IF(OR($S246="Steel",$S246="Ice",$S246="Fire",$S246="Water"),1,0)))</f>
        <v>-1</v>
      </c>
      <c r="AO246" s="507" t="n">
        <f aca="false">IF(OR($R246="Ghost",$S246="Ghost"),4,SUM(IF(OR($R246="Steel",$R246="Rock"),1,0),IF(OR($S246="Steel",$S246="Rock"),1,0)))</f>
        <v>0</v>
      </c>
      <c r="AP246" s="507" t="n">
        <f aca="false">IF(OR($R246="Steel",$S246="Steel"),4,SUM(IF(OR($R246="Fairy",$R246="Grass"),0-1,IF(OR($R246="Ghost",$R246="Rock",$R246="Ground",$R246="Poison"),1,0)),IF(OR($S246="Fairy",$S246="Grass"),0-1,IF(OR($S246="Ghost",$S246="Rock",$S246="Ground",$S246="Poison"),1,0))))</f>
        <v>-1</v>
      </c>
      <c r="AQ246" s="507" t="n">
        <f aca="false">IF(OR($R246="Dark",$S246="Dark"),4,SUM(IF(OR($R246="Fighting",$R246="Poison"),0-1,IF(OR($R246="Psychic",$R246="Steel"),1,0)),IF(OR($S246="Fighting",$S246="Poison"),0-1,IF(OR($S246="Psychic",$S246="Steel"),1,0))))</f>
        <v>0</v>
      </c>
      <c r="AR246" s="507" t="n">
        <f aca="false">SUM(IF(OR($R246="Bug",$R246="Fire",$R246="Flying",$R246="Ice"),0-1,IF(OR($R246="Steel",$R246="Fighting",$R246="Ground"),1,0)),IF(OR($S246="Bug",$S246="Fire",$S246="Flying",$S246="Ice"),0-1,IF(OR($S246="Steel",$S246="Fighting",$S246="Ground"),1,0)))</f>
        <v>-1</v>
      </c>
      <c r="AS246" s="507" t="n">
        <f aca="false">SUM(IF(OR($R246="Fairy",$R246="Ice",$R246="Rock"),0-1,IF(OR($R246="Steel",$R246="Electric",$R246="Fire",$R246="Water"),1,0)),IF(OR($S246="Fairy",$S246="Ice",$S246="Rock"),0-1,IF(OR($S246="Steel",$S246="Electric",$S246="Fire",$S246="Water"),1,0)))</f>
        <v>0</v>
      </c>
      <c r="AT246" s="508" t="n">
        <f aca="false">SUM(IF(OR($R246="Fire",$R246="Ground",$R246="Rock"),0-1,IF(OR($R246="Dragon",$R246="Grass",$R246="Water"),1,0)),IF(OR($S246="Fire",$S246="Ground",$S246="Rock"),0-1,IF(OR($S246="Dragon",$S246="Grass",$S246="Water"),1,0)))</f>
        <v>1</v>
      </c>
      <c r="AU246" s="518"/>
    </row>
    <row r="247" customFormat="false" ht="15.75" hidden="false" customHeight="false" outlineLevel="0" collapsed="false">
      <c r="A247" s="510" t="str">
        <f aca="false" t="array" ref="A247:A247">IF(ISNA(INDEX(Source!$U$7:$U$95,MATCH(B247,Source!$V$7:$V$95,0))),"FREE",INDEX(Source!$U$7:$U$95,MATCH(B247,Source!$V$7:$V$95,0)))</f>
        <v>FREE</v>
      </c>
      <c r="B247" s="511" t="s">
        <v>674</v>
      </c>
      <c r="C247" s="511"/>
      <c r="D247" s="511"/>
      <c r="E247" s="499" t="str">
        <f aca="false">IF(SUM($W247:$X247)&gt;0,SUM($W247:$X247),IF($H247&gt;0,0,IF($H247&gt;0,0,"-")))</f>
        <v>-</v>
      </c>
      <c r="F247" s="499" t="str">
        <f aca="false">IF(SUM($Y247:$Z247)&gt;0,SUM($Y247:$Z247),IF($H247&gt;0,0,"-"))</f>
        <v>-</v>
      </c>
      <c r="G247" s="499" t="str">
        <f aca="false">IF($H247&gt;0,minus(E247,F247),"-")</f>
        <v>-</v>
      </c>
      <c r="H247" s="500" t="n">
        <f aca="false">SUM(COUNTIF(MatchSource!$A:$A,$B247),COUNTIF(MatchSource!$H:$H,$B247))</f>
        <v>0</v>
      </c>
      <c r="I247" s="501" t="n">
        <f aca="false">SUM($AA247:$AB247)</f>
        <v>0</v>
      </c>
      <c r="J247" s="501" t="s">
        <v>702</v>
      </c>
      <c r="K247" s="512" t="str">
        <f aca="false" t="array" ref="K247:K247">IF(ISNA(INDEX(DraftRosters!$AA$3:$AA$199,MATCH($B247,DraftRosters!$AB$3:$AB$199,0))),"FA",IF(INDEX(DraftRosters!$AA$3:$AA$199,MATCH($B247,DraftRosters!$AB$3:$AB$199,0))="Franchise","Franch",INDEX(DraftRosters!$AA$3:$AA$199,MATCH($B247,DraftRosters!$AB$3:$AB$199,0))))</f>
        <v>FA</v>
      </c>
      <c r="L247" s="499" t="n">
        <v>55</v>
      </c>
      <c r="M247" s="499" t="n">
        <v>35</v>
      </c>
      <c r="N247" s="499" t="n">
        <v>50</v>
      </c>
      <c r="O247" s="499" t="n">
        <v>55</v>
      </c>
      <c r="P247" s="499" t="n">
        <v>110</v>
      </c>
      <c r="Q247" s="501" t="n">
        <v>85</v>
      </c>
      <c r="R247" s="499" t="s">
        <v>794</v>
      </c>
      <c r="S247" s="501" t="s">
        <v>801</v>
      </c>
      <c r="T247" s="504" t="s">
        <v>948</v>
      </c>
      <c r="U247" s="505" t="s">
        <v>857</v>
      </c>
      <c r="V247" s="506" t="s">
        <v>931</v>
      </c>
      <c r="W247" s="500" t="str">
        <f aca="false">IFERROR(__xludf.dummyfunction("if(isna(SUM(FILTER(MatchSource!$A:$D,MatchSource!$A:$A=$B247))),0,SUM(FILTER(MatchSource!$A:$D,MatchSource!$A:$A=$B247)))"),"0")</f>
        <v>0</v>
      </c>
      <c r="X247" s="499" t="str">
        <f aca="false">IFERROR(__xludf.dummyfunction("if(isna(SUM(FILTER(MatchSource!$H:$K,MatchSource!$H:$H=$B247))),0,SUM(FILTER(MatchSource!$H:$K,MatchSource!$H:$H=$B247)))"),"0")</f>
        <v>0</v>
      </c>
      <c r="Y247" s="499" t="str">
        <f aca="false">IFERROR(__xludf.dummyfunction("if(isna(ABS(MINUS(SUM(FILTER(MatchSource!$A:$E,MatchSource!$A:$A=$B247)),SUM($W247)))),0,ABS(MINUS(SUM(FILTER(MatchSource!$A:$E,MatchSource!$A:$A=$B247)),SUM($W247))))"),"0")</f>
        <v>0</v>
      </c>
      <c r="Z247" s="499" t="str">
        <f aca="false">IFERROR(__xludf.dummyfunction("if(isna(ABS(MINUS(SUM(FILTER(MatchSource!$H:$L,MatchSource!$H:$H=$B247)),SUM($X247)))),0,ABS(MINUS(SUM(FILTER(MatchSource!$H:$L,MatchSource!$H:$H=$B247)),SUM($X247))))"),"0")</f>
        <v>0</v>
      </c>
      <c r="AA247" s="499" t="str">
        <f aca="false">IFERROR(__xludf.dummyfunction("if(isna(ABS(MINUS(SUM(FILTER(MatchSource!$A:$F,MatchSource!$A:$A=$B247)),SUM($W247,$Y247)))),0,ABS(MINUS(SUM(FILTER(MatchSource!$A:$F,MatchSource!$A:$A=$B247)),SUM($W247, $Y247,))))"),"0")</f>
        <v>0</v>
      </c>
      <c r="AB247" s="501" t="str">
        <f aca="false">IFERROR(__xludf.dummyfunction("if(isna(ABS(MINUS(SUM(FILTER(MatchSource!$H:$M,MatchSource!$H:$H=$B247)),SUM($X247,$Z247)))),0,ABS(MINUS(SUM(FILTER(MatchSource!$H:$M,MatchSource!$H:$H=$B247)),SUM($X247,$Z247))))"),"0")</f>
        <v>0</v>
      </c>
      <c r="AC247" s="507" t="n">
        <f aca="false">SUM(IF(OR($R247="Grass",$R247="Psychic",$R247="Dark"),0-1,IF(OR($R247="Fighting",$R247="Flying",$R247="Fire",$R247="Ghost",$R247="Poison",$R247="Steel",$R247="Fairy"),1,0)),IF(OR($S247="Grass",$S247="Psychic",$S247="Dark"),0-1,IF(OR($S247="Fighting",$S247="Flying",$S247="Fire",$S247="Ghost",$S247="Poison",$S247="Steel",$S247="Fairy"),1,0)))</f>
        <v>1</v>
      </c>
      <c r="AD247" s="507" t="n">
        <f aca="false">SUM(IF(OR($R247="Ghost",$R247="Psychic"),0-1,IF(OR($R247="Fighting",$R247="Dark",$R247="Fairy"),1,0)),IF(OR($S247="Ghost",$S247="Psychic"),0-1,IF(OR($S247="Fighting",$S247="Dark",$S247="Fairy"),1,0)))</f>
        <v>0</v>
      </c>
      <c r="AE247" s="507" t="n">
        <f aca="false">IF(OR($R247="Fairy",$S247="Fairy"),4,SUM(IF($R247="Dragon",0-1,IF($R247="Steel",1,0)),IF($S247="Dragon",0-1,IF($S247="Steel",1,0))))</f>
        <v>0</v>
      </c>
      <c r="AF247" s="507" t="n">
        <f aca="false">IF(OR($R247="Ground",$S247="Ground"),4,SUM(IF(OR($R247="Flying",$R247="Water"),0-1,IF(OR($R247="Dragon",$R247="Electric",$R247="Grass"),1,0)),IF(OR($S247="Flying",$S247="Water"),0-1,IF(OR($S247="Dragon",$S247="Electric",$S247="Grass"),1,0))))</f>
        <v>-1</v>
      </c>
      <c r="AG247" s="507" t="n">
        <f aca="false">SUM(IF(OR($R247="Dark",$R247="Dragon",$R247="Fighting"),0-1,IF(OR($R247="Steel",$R247="Poison",$R247="Fire"),1,0)),IF(OR($S247="Dark",$S247="Dragon",$S247="Fighting"),0-1,IF(OR($S247="Steel",$S247="Poison",$S247="Fire"),1,0)))</f>
        <v>0</v>
      </c>
      <c r="AH247" s="507" t="n">
        <f aca="false">IF(OR($R247="Ghost",$S247="Ghost"),4,SUM(IF(OR($R247="Dark",$R247="Ice",$R247="Normal",$R247="Rock",$R247="Steel"),0-1,IF(OR($R247="Bug",$R247="Fairy",$R247="Flying",$R247="Poison",$R247="Psychic"),1,0)),IF(OR($S247="Dark",$S247="Ice",$S247="Normal",$S247="Rock",$S247="Steel"),0-1,IF(OR($S247="Bug",$S247="Fairy",$S247="Flying",$S247="Poison",$S247="Psychic"),1,0))))</f>
        <v>2</v>
      </c>
      <c r="AI247" s="507" t="n">
        <f aca="false">SUM(IF(OR($R247="Bug",$R247="Grass",$R247="Ice",$R247="Steel"),0-1,IF(OR($R247="Dragon",$R247="Fire",$R247="Rock",$R247="Water"),1,0)),IF(OR($S247="Bug",$S247="Grass",$S247="Ice",$S247="Steel"),0-1,IF(OR($S247="Dragon",$S247="Fire",$S247="Rock",$S247="Water"),1,0)))</f>
        <v>-1</v>
      </c>
      <c r="AJ247" s="507" t="n">
        <f aca="false">SUM(IF(OR($R247="Bug",$R247="Grass",$R247="Fighting"),0-1,IF(OR($R247="Electric",$R247="Rock",$R247="Steel"),1,0)),IF(OR($S247="Bug",$S247="Grass",$S247="Fighting"),0-1,IF(OR($S247="Electric",$S247="Rock",$S247="Steel"),1,0)))</f>
        <v>-1</v>
      </c>
      <c r="AK247" s="507" t="n">
        <f aca="false">IF(OR($R247="Normal",$S247="Normal"),4,SUM(IF(OR($R247="Ghost",$R247="Psychic"),0-1,IF($R247="Dark",1,0)),IF(OR($S247="Ghost",$S247="Psychic"),0-1,IF($S247="Dark",1,0))))</f>
        <v>0</v>
      </c>
      <c r="AL247" s="507" t="n">
        <f aca="false">SUM(IF(OR($R247="Ground",$R247="Rock",$R247="Water"),0-1,IF(OR($R247="Bug",$R247="Flying",$R247="Fire",$R247="Dragon",$R247="Poison",$R247="Steel",$R247="Grass"),1,0)),IF(OR($S247="Ground",$S247="Rock",$S247="Water"),0-1,IF(OR($S247="Bug",$S247="Flying",$S247="Fire",$S247="Dragon",$S247="Poison",$S247="Steel",$S247="Grass"),1,0)))</f>
        <v>2</v>
      </c>
      <c r="AM247" s="507" t="n">
        <f aca="false">IF(OR($R247="Flying",$S247="Flying"),4,SUM(IF(OR($R247="Electric",$R247="Fire",$R247="Rock",$R247="Steel",$R247="Poison"),0-1,IF(OR($R247="Bug",$R247="Grass"),1,0)),IF(OR($S247="Electric",$S247="Fire",$S247="Rock",$S247="Steel",$S247="Poison"),0-1,IF(OR($S247="Bug",$S247="Grass"),1,0))))</f>
        <v>4</v>
      </c>
      <c r="AN247" s="507" t="n">
        <f aca="false">SUM(IF(OR($R247="Flying",$R247="Dragon",$R247="Grass",$R247="Ground"),0-1,IF(OR($R247="Steel",$R247="Ice",$R247="Fire",$R247="Water"),1,0)),IF(OR($S247="Flying",$S247="Dragon",$S247="Grass",$S247="Ground"),0-1,IF(OR($S247="Steel",$S247="Ice",$S247="Fire",$S247="Water"),1,0)))</f>
        <v>-1</v>
      </c>
      <c r="AO247" s="507" t="n">
        <f aca="false">IF(OR($R247="Ghost",$S247="Ghost"),4,SUM(IF(OR($R247="Steel",$R247="Rock"),1,0),IF(OR($S247="Steel",$S247="Rock"),1,0)))</f>
        <v>0</v>
      </c>
      <c r="AP247" s="507" t="n">
        <f aca="false">IF(OR($R247="Steel",$S247="Steel"),4,SUM(IF(OR($R247="Fairy",$R247="Grass"),0-1,IF(OR($R247="Ghost",$R247="Rock",$R247="Ground",$R247="Poison"),1,0)),IF(OR($S247="Fairy",$S247="Grass"),0-1,IF(OR($S247="Ghost",$S247="Rock",$S247="Ground",$S247="Poison"),1,0))))</f>
        <v>0</v>
      </c>
      <c r="AQ247" s="507" t="n">
        <f aca="false">IF(OR($R247="Dark",$S247="Dark"),4,SUM(IF(OR($R247="Fighting",$R247="Poison"),0-1,IF(OR($R247="Psychic",$R247="Steel"),1,0)),IF(OR($S247="Fighting",$S247="Poison"),0-1,IF(OR($S247="Psychic",$S247="Steel"),1,0))))</f>
        <v>0</v>
      </c>
      <c r="AR247" s="507" t="n">
        <f aca="false">SUM(IF(OR($R247="Bug",$R247="Fire",$R247="Flying",$R247="Ice"),0-1,IF(OR($R247="Steel",$R247="Fighting",$R247="Ground"),1,0)),IF(OR($S247="Bug",$S247="Fire",$S247="Flying",$S247="Ice"),0-1,IF(OR($S247="Steel",$S247="Fighting",$S247="Ground"),1,0)))</f>
        <v>-2</v>
      </c>
      <c r="AS247" s="507" t="n">
        <f aca="false">SUM(IF(OR($R247="Fairy",$R247="Ice",$R247="Rock"),0-1,IF(OR($R247="Steel",$R247="Electric",$R247="Fire",$R247="Water"),1,0)),IF(OR($S247="Fairy",$S247="Ice",$S247="Rock"),0-1,IF(OR($S247="Steel",$S247="Electric",$S247="Fire",$S247="Water"),1,0)))</f>
        <v>0</v>
      </c>
      <c r="AT247" s="508" t="n">
        <f aca="false">SUM(IF(OR($R247="Fire",$R247="Ground",$R247="Rock"),0-1,IF(OR($R247="Dragon",$R247="Grass",$R247="Water"),1,0)),IF(OR($S247="Fire",$S247="Ground",$S247="Rock"),0-1,IF(OR($S247="Dragon",$S247="Grass",$S247="Water"),1,0)))</f>
        <v>0</v>
      </c>
      <c r="AU247" s="518"/>
    </row>
    <row r="248" customFormat="false" ht="15.75" hidden="false" customHeight="false" outlineLevel="0" collapsed="false">
      <c r="A248" s="510" t="str">
        <f aca="false" t="array" ref="A248:A248">IF(ISNA(INDEX(Source!$U$7:$U$95,MATCH(B248,Source!$V$7:$V$95,0))),"FREE",INDEX(Source!$U$7:$U$95,MATCH(B248,Source!$V$7:$V$95,0)))</f>
        <v>FREE</v>
      </c>
      <c r="B248" s="511" t="s">
        <v>541</v>
      </c>
      <c r="C248" s="511"/>
      <c r="D248" s="511"/>
      <c r="E248" s="499" t="str">
        <f aca="false">IF(SUM($W248:$X248)&gt;0,SUM($W248:$X248),IF($H248&gt;0,0,IF($H248&gt;0,0,"-")))</f>
        <v>-</v>
      </c>
      <c r="F248" s="499" t="str">
        <f aca="false">IF(SUM($Y248:$Z248)&gt;0,SUM($Y248:$Z248),IF($H248&gt;0,0,"-"))</f>
        <v>-</v>
      </c>
      <c r="G248" s="499" t="str">
        <f aca="false">IF($H248&gt;0,minus(E248,F248),"-")</f>
        <v>-</v>
      </c>
      <c r="H248" s="500" t="n">
        <f aca="false">SUM(COUNTIF(MatchSource!$A:$A,$B248),COUNTIF(MatchSource!$H:$H,$B248))</f>
        <v>0</v>
      </c>
      <c r="I248" s="501" t="n">
        <f aca="false">SUM($AA248:$AB248)</f>
        <v>0</v>
      </c>
      <c r="J248" s="501" t="s">
        <v>701</v>
      </c>
      <c r="K248" s="512" t="str">
        <f aca="false" t="array" ref="K248:K248">IF(ISNA(INDEX(DraftRosters!$AA$3:$AA$199,MATCH($B248,DraftRosters!$AB$3:$AB$199,0))),"FA",IF(INDEX(DraftRosters!$AA$3:$AA$199,MATCH($B248,DraftRosters!$AB$3:$AB$199,0))="Franchise","Franch",INDEX(DraftRosters!$AA$3:$AA$199,MATCH($B248,DraftRosters!$AB$3:$AB$199,0))))</f>
        <v>FA</v>
      </c>
      <c r="L248" s="499" t="n">
        <v>110</v>
      </c>
      <c r="M248" s="499" t="n">
        <v>85</v>
      </c>
      <c r="N248" s="499" t="n">
        <v>95</v>
      </c>
      <c r="O248" s="499" t="n">
        <v>80</v>
      </c>
      <c r="P248" s="499" t="n">
        <v>95</v>
      </c>
      <c r="Q248" s="501" t="n">
        <v>50</v>
      </c>
      <c r="R248" s="499" t="s">
        <v>839</v>
      </c>
      <c r="S248" s="501"/>
      <c r="T248" s="504" t="s">
        <v>836</v>
      </c>
      <c r="U248" s="505" t="s">
        <v>865</v>
      </c>
      <c r="V248" s="506" t="s">
        <v>1002</v>
      </c>
      <c r="W248" s="500" t="str">
        <f aca="false">IFERROR(__xludf.dummyfunction("if(isna(SUM(FILTER(MatchSource!$A:$D,MatchSource!$A:$A=$B248))),0,SUM(FILTER(MatchSource!$A:$D,MatchSource!$A:$A=$B248)))"),"0")</f>
        <v>0</v>
      </c>
      <c r="X248" s="499" t="str">
        <f aca="false">IFERROR(__xludf.dummyfunction("if(isna(SUM(FILTER(MatchSource!$H:$K,MatchSource!$H:$H=$B248))),0,SUM(FILTER(MatchSource!$H:$K,MatchSource!$H:$H=$B248)))"),"0")</f>
        <v>0</v>
      </c>
      <c r="Y248" s="499" t="str">
        <f aca="false">IFERROR(__xludf.dummyfunction("if(isna(ABS(MINUS(SUM(FILTER(MatchSource!$A:$E,MatchSource!$A:$A=$B248)),SUM($W248)))),0,ABS(MINUS(SUM(FILTER(MatchSource!$A:$E,MatchSource!$A:$A=$B248)),SUM($W248))))"),"0")</f>
        <v>0</v>
      </c>
      <c r="Z248" s="499" t="str">
        <f aca="false">IFERROR(__xludf.dummyfunction("if(isna(ABS(MINUS(SUM(FILTER(MatchSource!$H:$L,MatchSource!$H:$H=$B248)),SUM($X248)))),0,ABS(MINUS(SUM(FILTER(MatchSource!$H:$L,MatchSource!$H:$H=$B248)),SUM($X248))))"),"0")</f>
        <v>0</v>
      </c>
      <c r="AA248" s="499" t="str">
        <f aca="false">IFERROR(__xludf.dummyfunction("if(isna(ABS(MINUS(SUM(FILTER(MatchSource!$A:$F,MatchSource!$A:$A=$B248)),SUM($W248,$Y248)))),0,ABS(MINUS(SUM(FILTER(MatchSource!$A:$F,MatchSource!$A:$A=$B248)),SUM($W248, $Y248,))))"),"0")</f>
        <v>0</v>
      </c>
      <c r="AB248" s="501" t="str">
        <f aca="false">IFERROR(__xludf.dummyfunction("if(isna(ABS(MINUS(SUM(FILTER(MatchSource!$H:$M,MatchSource!$H:$H=$B248)),SUM($X248,$Z248)))),0,ABS(MINUS(SUM(FILTER(MatchSource!$H:$M,MatchSource!$H:$H=$B248)),SUM($X248,$Z248))))"),"0")</f>
        <v>0</v>
      </c>
      <c r="AC248" s="507" t="n">
        <f aca="false">SUM(IF(OR($R248="Grass",$R248="Psychic",$R248="Dark"),0-1,IF(OR($R248="Fighting",$R248="Flying",$R248="Fire",$R248="Ghost",$R248="Poison",$R248="Steel",$R248="Fairy"),1,0)),IF(OR($S248="Grass",$S248="Psychic",$S248="Dark"),0-1,IF(OR($S248="Fighting",$S248="Flying",$S248="Fire",$S248="Ghost",$S248="Poison",$S248="Steel",$S248="Fairy"),1,0)))</f>
        <v>0</v>
      </c>
      <c r="AD248" s="507" t="n">
        <f aca="false">SUM(IF(OR($R248="Ghost",$R248="Psychic"),0-1,IF(OR($R248="Fighting",$R248="Dark",$R248="Fairy"),1,0)),IF(OR($S248="Ghost",$S248="Psychic"),0-1,IF(OR($S248="Fighting",$S248="Dark",$S248="Fairy"),1,0)))</f>
        <v>0</v>
      </c>
      <c r="AE248" s="507" t="n">
        <f aca="false">IF(OR($R248="Fairy",$S248="Fairy"),4,SUM(IF($R248="Dragon",0-1,IF($R248="Steel",1,0)),IF($S248="Dragon",0-1,IF($S248="Steel",1,0))))</f>
        <v>0</v>
      </c>
      <c r="AF248" s="507" t="n">
        <f aca="false">IF(OR($R248="Ground",$S248="Ground"),4,SUM(IF(OR($R248="Flying",$R248="Water"),0-1,IF(OR($R248="Dragon",$R248="Electric",$R248="Grass"),1,0)),IF(OR($S248="Flying",$S248="Water"),0-1,IF(OR($S248="Dragon",$S248="Electric",$S248="Grass"),1,0))))</f>
        <v>0</v>
      </c>
      <c r="AG248" s="507" t="n">
        <f aca="false">SUM(IF(OR($R248="Dark",$R248="Dragon",$R248="Fighting"),0-1,IF(OR($R248="Steel",$R248="Poison",$R248="Fire"),1,0)),IF(OR($S248="Dark",$S248="Dragon",$S248="Fighting"),0-1,IF(OR($S248="Steel",$S248="Poison",$S248="Fire"),1,0)))</f>
        <v>0</v>
      </c>
      <c r="AH248" s="507" t="n">
        <f aca="false">IF(OR($R248="Ghost",$S248="Ghost"),4,SUM(IF(OR($R248="Dark",$R248="Ice",$R248="Normal",$R248="Rock",$R248="Steel"),0-1,IF(OR($R248="Bug",$R248="Fairy",$R248="Flying",$R248="Poison",$R248="Psychic"),1,0)),IF(OR($S248="Dark",$S248="Ice",$S248="Normal",$S248="Rock",$S248="Steel"),0-1,IF(OR($S248="Bug",$S248="Fairy",$S248="Flying",$S248="Poison",$S248="Psychic"),1,0))))</f>
        <v>-1</v>
      </c>
      <c r="AI248" s="507" t="n">
        <f aca="false">SUM(IF(OR($R248="Bug",$R248="Grass",$R248="Ice",$R248="Steel"),0-1,IF(OR($R248="Dragon",$R248="Fire",$R248="Rock",$R248="Water"),1,0)),IF(OR($S248="Bug",$S248="Grass",$S248="Ice",$S248="Steel"),0-1,IF(OR($S248="Dragon",$S248="Fire",$S248="Rock",$S248="Water"),1,0)))</f>
        <v>0</v>
      </c>
      <c r="AJ248" s="507" t="n">
        <f aca="false">SUM(IF(OR($R248="Bug",$R248="Grass",$R248="Fighting"),0-1,IF(OR($R248="Electric",$R248="Rock",$R248="Steel"),1,0)),IF(OR($S248="Bug",$S248="Grass",$S248="Fighting"),0-1,IF(OR($S248="Electric",$S248="Rock",$S248="Steel"),1,0)))</f>
        <v>0</v>
      </c>
      <c r="AK248" s="507" t="n">
        <f aca="false">IF(OR($R248="Normal",$S248="Normal"),4,SUM(IF(OR($R248="Ghost",$R248="Psychic"),0-1,IF($R248="Dark",1,0)),IF(OR($S248="Ghost",$S248="Psychic"),0-1,IF($S248="Dark",1,0))))</f>
        <v>4</v>
      </c>
      <c r="AL248" s="507" t="n">
        <f aca="false">SUM(IF(OR($R248="Ground",$R248="Rock",$R248="Water"),0-1,IF(OR($R248="Bug",$R248="Flying",$R248="Fire",$R248="Dragon",$R248="Poison",$R248="Steel",$R248="Grass"),1,0)),IF(OR($S248="Ground",$S248="Rock",$S248="Water"),0-1,IF(OR($S248="Bug",$S248="Flying",$S248="Fire",$S248="Dragon",$S248="Poison",$S248="Steel",$S248="Grass"),1,0)))</f>
        <v>0</v>
      </c>
      <c r="AM248" s="507" t="n">
        <f aca="false">IF(OR($R248="Flying",$S248="Flying"),4,SUM(IF(OR($R248="Electric",$R248="Fire",$R248="Rock",$R248="Steel",$R248="Poison"),0-1,IF(OR($R248="Bug",$R248="Grass"),1,0)),IF(OR($S248="Electric",$S248="Fire",$S248="Rock",$S248="Steel",$S248="Poison"),0-1,IF(OR($S248="Bug",$S248="Grass"),1,0))))</f>
        <v>0</v>
      </c>
      <c r="AN248" s="507" t="n">
        <f aca="false">SUM(IF(OR($R248="Flying",$R248="Dragon",$R248="Grass",$R248="Ground"),0-1,IF(OR($R248="Steel",$R248="Ice",$R248="Fire",$R248="Water"),1,0)),IF(OR($S248="Flying",$S248="Dragon",$S248="Grass",$S248="Ground"),0-1,IF(OR($S248="Steel",$S248="Ice",$S248="Fire",$S248="Water"),1,0)))</f>
        <v>0</v>
      </c>
      <c r="AO248" s="507" t="n">
        <f aca="false">IF(OR($R248="Ghost",$S248="Ghost"),4,SUM(IF(OR($R248="Steel",$R248="Rock"),1,0),IF(OR($S248="Steel",$S248="Rock"),1,0)))</f>
        <v>0</v>
      </c>
      <c r="AP248" s="507" t="n">
        <f aca="false">IF(OR($R248="Steel",$S248="Steel"),4,SUM(IF(OR($R248="Fairy",$R248="Grass"),0-1,IF(OR($R248="Ghost",$R248="Rock",$R248="Ground",$R248="Poison"),1,0)),IF(OR($S248="Fairy",$S248="Grass"),0-1,IF(OR($S248="Ghost",$S248="Rock",$S248="Ground",$S248="Poison"),1,0))))</f>
        <v>0</v>
      </c>
      <c r="AQ248" s="507" t="n">
        <f aca="false">IF(OR($R248="Dark",$S248="Dark"),4,SUM(IF(OR($R248="Fighting",$R248="Poison"),0-1,IF(OR($R248="Psychic",$R248="Steel"),1,0)),IF(OR($S248="Fighting",$S248="Poison"),0-1,IF(OR($S248="Psychic",$S248="Steel"),1,0))))</f>
        <v>0</v>
      </c>
      <c r="AR248" s="507" t="n">
        <f aca="false">SUM(IF(OR($R248="Bug",$R248="Fire",$R248="Flying",$R248="Ice"),0-1,IF(OR($R248="Steel",$R248="Fighting",$R248="Ground"),1,0)),IF(OR($S248="Bug",$S248="Fire",$S248="Flying",$S248="Ice"),0-1,IF(OR($S248="Steel",$S248="Fighting",$S248="Ground"),1,0)))</f>
        <v>0</v>
      </c>
      <c r="AS248" s="507" t="n">
        <f aca="false">SUM(IF(OR($R248="Fairy",$R248="Ice",$R248="Rock"),0-1,IF(OR($R248="Steel",$R248="Electric",$R248="Fire",$R248="Water"),1,0)),IF(OR($S248="Fairy",$S248="Ice",$S248="Rock"),0-1,IF(OR($S248="Steel",$S248="Electric",$S248="Fire",$S248="Water"),1,0)))</f>
        <v>0</v>
      </c>
      <c r="AT248" s="508" t="n">
        <f aca="false">SUM(IF(OR($R248="Fire",$R248="Ground",$R248="Rock"),0-1,IF(OR($R248="Dragon",$R248="Grass",$R248="Water"),1,0)),IF(OR($S248="Fire",$S248="Ground",$S248="Rock"),0-1,IF(OR($S248="Dragon",$S248="Grass",$S248="Water"),1,0)))</f>
        <v>0</v>
      </c>
      <c r="AU248" s="518"/>
    </row>
    <row r="249" customFormat="false" ht="15.75" hidden="false" customHeight="false" outlineLevel="0" collapsed="false">
      <c r="A249" s="510" t="str">
        <f aca="false" t="array" ref="A249:A249">IF(ISNA(INDEX(Source!$U$7:$U$95,MATCH(B249,Source!$V$7:$V$95,0))),"FREE",INDEX(Source!$U$7:$U$95,MATCH(B249,Source!$V$7:$V$95,0)))</f>
        <v>FREE</v>
      </c>
      <c r="B249" s="511" t="s">
        <v>545</v>
      </c>
      <c r="C249" s="511"/>
      <c r="D249" s="511"/>
      <c r="E249" s="499" t="str">
        <f aca="false">IF(SUM($W249:$X249)&gt;0,SUM($W249:$X249),IF($H249&gt;0,0,IF($H249&gt;0,0,"-")))</f>
        <v>-</v>
      </c>
      <c r="F249" s="499" t="str">
        <f aca="false">IF(SUM($Y249:$Z249)&gt;0,SUM($Y249:$Z249),IF($H249&gt;0,0,"-"))</f>
        <v>-</v>
      </c>
      <c r="G249" s="499" t="str">
        <f aca="false">IF($H249&gt;0,minus(E249,F249),"-")</f>
        <v>-</v>
      </c>
      <c r="H249" s="500" t="n">
        <f aca="false">SUM(COUNTIF(MatchSource!$A:$A,$B249),COUNTIF(MatchSource!$H:$H,$B249))</f>
        <v>0</v>
      </c>
      <c r="I249" s="501" t="n">
        <f aca="false">SUM($AA249:$AB249)</f>
        <v>0</v>
      </c>
      <c r="J249" s="501" t="s">
        <v>701</v>
      </c>
      <c r="K249" s="512" t="str">
        <f aca="false" t="array" ref="K249:K249">IF(ISNA(INDEX(DraftRosters!$AA$3:$AA$199,MATCH($B249,DraftRosters!$AB$3:$AB$199,0))),"FA",IF(INDEX(DraftRosters!$AA$3:$AA$199,MATCH($B249,DraftRosters!$AB$3:$AB$199,0))="Franchise","Franch",INDEX(DraftRosters!$AA$3:$AA$199,MATCH($B249,DraftRosters!$AB$3:$AB$199,0))))</f>
        <v>FA</v>
      </c>
      <c r="L249" s="507" t="n">
        <v>64</v>
      </c>
      <c r="M249" s="507" t="n">
        <v>88</v>
      </c>
      <c r="N249" s="507" t="n">
        <v>50</v>
      </c>
      <c r="O249" s="507" t="n">
        <v>88</v>
      </c>
      <c r="P249" s="507" t="n">
        <v>50</v>
      </c>
      <c r="Q249" s="508" t="n">
        <v>106</v>
      </c>
      <c r="R249" s="499" t="s">
        <v>795</v>
      </c>
      <c r="S249" s="501"/>
      <c r="T249" s="504" t="s">
        <v>947</v>
      </c>
      <c r="U249" s="505" t="s">
        <v>821</v>
      </c>
      <c r="V249" s="506" t="s">
        <v>872</v>
      </c>
      <c r="W249" s="500" t="str">
        <f aca="false">IFERROR(__xludf.dummyfunction("if(isna(SUM(FILTER(MatchSource!$A:$D,MatchSource!$A:$A=$B249))),0,SUM(FILTER(MatchSource!$A:$D,MatchSource!$A:$A=$B249)))"),"0")</f>
        <v>0</v>
      </c>
      <c r="X249" s="499" t="str">
        <f aca="false">IFERROR(__xludf.dummyfunction("if(isna(SUM(FILTER(MatchSource!$H:$K,MatchSource!$H:$H=$B249))),0,SUM(FILTER(MatchSource!$H:$K,MatchSource!$H:$H=$B249)))"),"0")</f>
        <v>0</v>
      </c>
      <c r="Y249" s="499" t="str">
        <f aca="false">IFERROR(__xludf.dummyfunction("if(isna(ABS(MINUS(SUM(FILTER(MatchSource!$A:$E,MatchSource!$A:$A=$B249)),SUM($W249)))),0,ABS(MINUS(SUM(FILTER(MatchSource!$A:$E,MatchSource!$A:$A=$B249)),SUM($W249))))"),"0")</f>
        <v>0</v>
      </c>
      <c r="Z249" s="499" t="str">
        <f aca="false">IFERROR(__xludf.dummyfunction("if(isna(ABS(MINUS(SUM(FILTER(MatchSource!$H:$L,MatchSource!$H:$H=$B249)),SUM($X249)))),0,ABS(MINUS(SUM(FILTER(MatchSource!$H:$L,MatchSource!$H:$H=$B249)),SUM($X249))))"),"0")</f>
        <v>0</v>
      </c>
      <c r="AA249" s="499" t="str">
        <f aca="false">IFERROR(__xludf.dummyfunction("if(isna(ABS(MINUS(SUM(FILTER(MatchSource!$A:$F,MatchSource!$A:$A=$B249)),SUM($W249,$Y249)))),0,ABS(MINUS(SUM(FILTER(MatchSource!$A:$F,MatchSource!$A:$A=$B249)),SUM($W249, $Y249,))))"),"0")</f>
        <v>0</v>
      </c>
      <c r="AB249" s="501" t="str">
        <f aca="false">IFERROR(__xludf.dummyfunction("if(isna(ABS(MINUS(SUM(FILTER(MatchSource!$H:$M,MatchSource!$H:$H=$B249)),SUM($X249,$Z249)))),0,ABS(MINUS(SUM(FILTER(MatchSource!$H:$M,MatchSource!$H:$H=$B249)),SUM($X249,$Z249))))"),"0")</f>
        <v>0</v>
      </c>
      <c r="AC249" s="507" t="n">
        <f aca="false">SUM(IF(OR($R249="Grass",$R249="Psychic",$R249="Dark"),0-1,IF(OR($R249="Fighting",$R249="Flying",$R249="Fire",$R249="Ghost",$R249="Poison",$R249="Steel",$R249="Fairy"),1,0)),IF(OR($S249="Grass",$S249="Psychic",$S249="Dark"),0-1,IF(OR($S249="Fighting",$S249="Flying",$S249="Fire",$S249="Ghost",$S249="Poison",$S249="Steel",$S249="Fairy"),1,0)))</f>
        <v>-1</v>
      </c>
      <c r="AD249" s="507" t="n">
        <f aca="false">SUM(IF(OR($R249="Ghost",$R249="Psychic"),0-1,IF(OR($R249="Fighting",$R249="Dark",$R249="Fairy"),1,0)),IF(OR($S249="Ghost",$S249="Psychic"),0-1,IF(OR($S249="Fighting",$S249="Dark",$S249="Fairy"),1,0)))</f>
        <v>1</v>
      </c>
      <c r="AE249" s="507" t="n">
        <f aca="false">IF(OR($R249="Fairy",$S249="Fairy"),4,SUM(IF($R249="Dragon",0-1,IF($R249="Steel",1,0)),IF($S249="Dragon",0-1,IF($S249="Steel",1,0))))</f>
        <v>0</v>
      </c>
      <c r="AF249" s="507" t="n">
        <f aca="false">IF(OR($R249="Ground",$S249="Ground"),4,SUM(IF(OR($R249="Flying",$R249="Water"),0-1,IF(OR($R249="Dragon",$R249="Electric",$R249="Grass"),1,0)),IF(OR($S249="Flying",$S249="Water"),0-1,IF(OR($S249="Dragon",$S249="Electric",$S249="Grass"),1,0))))</f>
        <v>0</v>
      </c>
      <c r="AG249" s="507" t="n">
        <f aca="false">SUM(IF(OR($R249="Dark",$R249="Dragon",$R249="Fighting"),0-1,IF(OR($R249="Steel",$R249="Poison",$R249="Fire"),1,0)),IF(OR($S249="Dark",$S249="Dragon",$S249="Fighting"),0-1,IF(OR($S249="Steel",$S249="Poison",$S249="Fire"),1,0)))</f>
        <v>-1</v>
      </c>
      <c r="AH249" s="507" t="n">
        <f aca="false">IF(OR($R249="Ghost",$S249="Ghost"),4,SUM(IF(OR($R249="Dark",$R249="Ice",$R249="Normal",$R249="Rock",$R249="Steel"),0-1,IF(OR($R249="Bug",$R249="Fairy",$R249="Flying",$R249="Poison",$R249="Psychic"),1,0)),IF(OR($S249="Dark",$S249="Ice",$S249="Normal",$S249="Rock",$S249="Steel"),0-1,IF(OR($S249="Bug",$S249="Fairy",$S249="Flying",$S249="Poison",$S249="Psychic"),1,0))))</f>
        <v>-1</v>
      </c>
      <c r="AI249" s="507" t="n">
        <f aca="false">SUM(IF(OR($R249="Bug",$R249="Grass",$R249="Ice",$R249="Steel"),0-1,IF(OR($R249="Dragon",$R249="Fire",$R249="Rock",$R249="Water"),1,0)),IF(OR($S249="Bug",$S249="Grass",$S249="Ice",$S249="Steel"),0-1,IF(OR($S249="Dragon",$S249="Fire",$S249="Rock",$S249="Water"),1,0)))</f>
        <v>0</v>
      </c>
      <c r="AJ249" s="507" t="n">
        <f aca="false">SUM(IF(OR($R249="Bug",$R249="Grass",$R249="Fighting"),0-1,IF(OR($R249="Electric",$R249="Rock",$R249="Steel"),1,0)),IF(OR($S249="Bug",$S249="Grass",$S249="Fighting"),0-1,IF(OR($S249="Electric",$S249="Rock",$S249="Steel"),1,0)))</f>
        <v>0</v>
      </c>
      <c r="AK249" s="507" t="n">
        <f aca="false">IF(OR($R249="Normal",$S249="Normal"),4,SUM(IF(OR($R249="Ghost",$R249="Psychic"),0-1,IF($R249="Dark",1,0)),IF(OR($S249="Ghost",$S249="Psychic"),0-1,IF($S249="Dark",1,0))))</f>
        <v>1</v>
      </c>
      <c r="AL249" s="507" t="n">
        <f aca="false">SUM(IF(OR($R249="Ground",$R249="Rock",$R249="Water"),0-1,IF(OR($R249="Bug",$R249="Flying",$R249="Fire",$R249="Dragon",$R249="Poison",$R249="Steel",$R249="Grass"),1,0)),IF(OR($S249="Ground",$S249="Rock",$S249="Water"),0-1,IF(OR($S249="Bug",$S249="Flying",$S249="Fire",$S249="Dragon",$S249="Poison",$S249="Steel",$S249="Grass"),1,0)))</f>
        <v>0</v>
      </c>
      <c r="AM249" s="507" t="n">
        <f aca="false">IF(OR($R249="Flying",$S249="Flying"),4,SUM(IF(OR($R249="Electric",$R249="Fire",$R249="Rock",$R249="Steel",$R249="Poison"),0-1,IF(OR($R249="Bug",$R249="Grass"),1,0)),IF(OR($S249="Electric",$S249="Fire",$S249="Rock",$S249="Steel",$S249="Poison"),0-1,IF(OR($S249="Bug",$S249="Grass"),1,0))))</f>
        <v>0</v>
      </c>
      <c r="AN249" s="507" t="n">
        <f aca="false">SUM(IF(OR($R249="Flying",$R249="Dragon",$R249="Grass",$R249="Ground"),0-1,IF(OR($R249="Steel",$R249="Ice",$R249="Fire",$R249="Water"),1,0)),IF(OR($S249="Flying",$S249="Dragon",$S249="Grass",$S249="Ground"),0-1,IF(OR($S249="Steel",$S249="Ice",$S249="Fire",$S249="Water"),1,0)))</f>
        <v>0</v>
      </c>
      <c r="AO249" s="507" t="n">
        <f aca="false">IF(OR($R249="Ghost",$S249="Ghost"),4,SUM(IF(OR($R249="Steel",$R249="Rock"),1,0),IF(OR($S249="Steel",$S249="Rock"),1,0)))</f>
        <v>0</v>
      </c>
      <c r="AP249" s="507" t="n">
        <f aca="false">IF(OR($R249="Steel",$S249="Steel"),4,SUM(IF(OR($R249="Fairy",$R249="Grass"),0-1,IF(OR($R249="Ghost",$R249="Rock",$R249="Ground",$R249="Poison"),1,0)),IF(OR($S249="Fairy",$S249="Grass"),0-1,IF(OR($S249="Ghost",$S249="Rock",$S249="Ground",$S249="Poison"),1,0))))</f>
        <v>0</v>
      </c>
      <c r="AQ249" s="507" t="n">
        <f aca="false">IF(OR($R249="Dark",$S249="Dark"),4,SUM(IF(OR($R249="Fighting",$R249="Poison"),0-1,IF(OR($R249="Psychic",$R249="Steel"),1,0)),IF(OR($S249="Fighting",$S249="Poison"),0-1,IF(OR($S249="Psychic",$S249="Steel"),1,0))))</f>
        <v>4</v>
      </c>
      <c r="AR249" s="507" t="n">
        <f aca="false">SUM(IF(OR($R249="Bug",$R249="Fire",$R249="Flying",$R249="Ice"),0-1,IF(OR($R249="Steel",$R249="Fighting",$R249="Ground"),1,0)),IF(OR($S249="Bug",$S249="Fire",$S249="Flying",$S249="Ice"),0-1,IF(OR($S249="Steel",$S249="Fighting",$S249="Ground"),1,0)))</f>
        <v>0</v>
      </c>
      <c r="AS249" s="507" t="n">
        <f aca="false">SUM(IF(OR($R249="Fairy",$R249="Ice",$R249="Rock"),0-1,IF(OR($R249="Steel",$R249="Electric",$R249="Fire",$R249="Water"),1,0)),IF(OR($S249="Fairy",$S249="Ice",$S249="Rock"),0-1,IF(OR($S249="Steel",$S249="Electric",$S249="Fire",$S249="Water"),1,0)))</f>
        <v>0</v>
      </c>
      <c r="AT249" s="508" t="n">
        <f aca="false">SUM(IF(OR($R249="Fire",$R249="Ground",$R249="Rock"),0-1,IF(OR($R249="Dragon",$R249="Grass",$R249="Water"),1,0)),IF(OR($S249="Fire",$S249="Ground",$S249="Rock"),0-1,IF(OR($S249="Dragon",$S249="Grass",$S249="Water"),1,0)))</f>
        <v>0</v>
      </c>
      <c r="AU249" s="518"/>
    </row>
    <row r="250" customFormat="false" ht="15.75" hidden="false" customHeight="false" outlineLevel="0" collapsed="false">
      <c r="A250" s="510" t="str">
        <f aca="false" t="array" ref="A250:A250">IF(ISNA(INDEX(Source!$U$7:$U$95,MATCH(B250,Source!$V$7:$V$95,0))),"FREE",INDEX(Source!$U$7:$U$95,MATCH(B250,Source!$V$7:$V$95,0)))</f>
        <v>FREE</v>
      </c>
      <c r="B250" s="511" t="s">
        <v>680</v>
      </c>
      <c r="C250" s="511"/>
      <c r="D250" s="511"/>
      <c r="E250" s="499" t="str">
        <f aca="false">IF(SUM($W250:$X250)&gt;0,SUM($W250:$X250),IF($H250&gt;0,0,IF($H250&gt;0,0,"-")))</f>
        <v>-</v>
      </c>
      <c r="F250" s="499" t="str">
        <f aca="false">IF(SUM($Y250:$Z250)&gt;0,SUM($Y250:$Z250),IF($H250&gt;0,0,"-"))</f>
        <v>-</v>
      </c>
      <c r="G250" s="499" t="str">
        <f aca="false">IF($H250&gt;0,minus(E250,F250),"-")</f>
        <v>-</v>
      </c>
      <c r="H250" s="500" t="n">
        <f aca="false">SUM(COUNTIF(MatchSource!$A:$A,$B250),COUNTIF(MatchSource!$H:$H,$B250))</f>
        <v>0</v>
      </c>
      <c r="I250" s="501" t="n">
        <f aca="false">SUM($AA250:$AB250)</f>
        <v>0</v>
      </c>
      <c r="J250" s="501" t="s">
        <v>702</v>
      </c>
      <c r="K250" s="512" t="str">
        <f aca="false" t="array" ref="K250:K250">IF(ISNA(INDEX(DraftRosters!$AA$3:$AA$199,MATCH($B250,DraftRosters!$AB$3:$AB$199,0))),"FA",IF(INDEX(DraftRosters!$AA$3:$AA$199,MATCH($B250,DraftRosters!$AB$3:$AB$199,0))="Franchise","Franch",INDEX(DraftRosters!$AA$3:$AA$199,MATCH($B250,DraftRosters!$AB$3:$AB$199,0))))</f>
        <v>FA</v>
      </c>
      <c r="L250" s="499" t="n">
        <v>70</v>
      </c>
      <c r="M250" s="499" t="n">
        <v>60</v>
      </c>
      <c r="N250" s="499" t="n">
        <v>75</v>
      </c>
      <c r="O250" s="499" t="n">
        <v>110</v>
      </c>
      <c r="P250" s="499" t="n">
        <v>75</v>
      </c>
      <c r="Q250" s="501" t="n">
        <v>90</v>
      </c>
      <c r="R250" s="499" t="s">
        <v>803</v>
      </c>
      <c r="S250" s="501"/>
      <c r="T250" s="504" t="s">
        <v>880</v>
      </c>
      <c r="U250" s="505" t="s">
        <v>865</v>
      </c>
      <c r="V250" s="506" t="s">
        <v>1004</v>
      </c>
      <c r="W250" s="500" t="str">
        <f aca="false">IFERROR(__xludf.dummyfunction("if(isna(SUM(FILTER(MatchSource!$A:$D,MatchSource!$A:$A=$B250))),0,SUM(FILTER(MatchSource!$A:$D,MatchSource!$A:$A=$B250)))"),"0")</f>
        <v>0</v>
      </c>
      <c r="X250" s="499" t="str">
        <f aca="false">IFERROR(__xludf.dummyfunction("if(isna(SUM(FILTER(MatchSource!$H:$K,MatchSource!$H:$H=$B250))),0,SUM(FILTER(MatchSource!$H:$K,MatchSource!$H:$H=$B250)))"),"0")</f>
        <v>0</v>
      </c>
      <c r="Y250" s="499" t="str">
        <f aca="false">IFERROR(__xludf.dummyfunction("if(isna(ABS(MINUS(SUM(FILTER(MatchSource!$A:$E,MatchSource!$A:$A=$B250)),SUM($W250)))),0,ABS(MINUS(SUM(FILTER(MatchSource!$A:$E,MatchSource!$A:$A=$B250)),SUM($W250))))"),"0")</f>
        <v>0</v>
      </c>
      <c r="Z250" s="499" t="str">
        <f aca="false">IFERROR(__xludf.dummyfunction("if(isna(ABS(MINUS(SUM(FILTER(MatchSource!$H:$L,MatchSource!$H:$H=$B250)),SUM($X250)))),0,ABS(MINUS(SUM(FILTER(MatchSource!$H:$L,MatchSource!$H:$H=$B250)),SUM($X250))))"),"0")</f>
        <v>0</v>
      </c>
      <c r="AA250" s="499" t="str">
        <f aca="false">IFERROR(__xludf.dummyfunction("if(isna(ABS(MINUS(SUM(FILTER(MatchSource!$A:$F,MatchSource!$A:$A=$B250)),SUM($W250,$Y250)))),0,ABS(MINUS(SUM(FILTER(MatchSource!$A:$F,MatchSource!$A:$A=$B250)),SUM($W250, $Y250,))))"),"0")</f>
        <v>0</v>
      </c>
      <c r="AB250" s="501" t="str">
        <f aca="false">IFERROR(__xludf.dummyfunction("if(isna(ABS(MINUS(SUM(FILTER(MatchSource!$H:$M,MatchSource!$H:$H=$B250)),SUM($X250,$Z250)))),0,ABS(MINUS(SUM(FILTER(MatchSource!$H:$M,MatchSource!$H:$H=$B250)),SUM($X250,$Z250))))"),"0")</f>
        <v>0</v>
      </c>
      <c r="AC250" s="507" t="n">
        <f aca="false">SUM(IF(OR($R250="Grass",$R250="Psychic",$R250="Dark"),0-1,IF(OR($R250="Fighting",$R250="Flying",$R250="Fire",$R250="Ghost",$R250="Poison",$R250="Steel",$R250="Fairy"),1,0)),IF(OR($S250="Grass",$S250="Psychic",$S250="Dark"),0-1,IF(OR($S250="Fighting",$S250="Flying",$S250="Fire",$S250="Ghost",$S250="Poison",$S250="Steel",$S250="Fairy"),1,0)))</f>
        <v>-1</v>
      </c>
      <c r="AD250" s="507" t="n">
        <f aca="false">SUM(IF(OR($R250="Ghost",$R250="Psychic"),0-1,IF(OR($R250="Fighting",$R250="Dark",$R250="Fairy"),1,0)),IF(OR($S250="Ghost",$S250="Psychic"),0-1,IF(OR($S250="Fighting",$S250="Dark",$S250="Fairy"),1,0)))</f>
        <v>0</v>
      </c>
      <c r="AE250" s="507" t="n">
        <f aca="false">IF(OR($R250="Fairy",$S250="Fairy"),4,SUM(IF($R250="Dragon",0-1,IF($R250="Steel",1,0)),IF($S250="Dragon",0-1,IF($S250="Steel",1,0))))</f>
        <v>0</v>
      </c>
      <c r="AF250" s="507" t="n">
        <f aca="false">IF(OR($R250="Ground",$S250="Ground"),4,SUM(IF(OR($R250="Flying",$R250="Water"),0-1,IF(OR($R250="Dragon",$R250="Electric",$R250="Grass"),1,0)),IF(OR($S250="Flying",$S250="Water"),0-1,IF(OR($S250="Dragon",$S250="Electric",$S250="Grass"),1,0))))</f>
        <v>1</v>
      </c>
      <c r="AG250" s="507" t="n">
        <f aca="false">SUM(IF(OR($R250="Dark",$R250="Dragon",$R250="Fighting"),0-1,IF(OR($R250="Steel",$R250="Poison",$R250="Fire"),1,0)),IF(OR($S250="Dark",$S250="Dragon",$S250="Fighting"),0-1,IF(OR($S250="Steel",$S250="Poison",$S250="Fire"),1,0)))</f>
        <v>0</v>
      </c>
      <c r="AH250" s="507" t="n">
        <f aca="false">IF(OR($R250="Ghost",$S250="Ghost"),4,SUM(IF(OR($R250="Dark",$R250="Ice",$R250="Normal",$R250="Rock",$R250="Steel"),0-1,IF(OR($R250="Bug",$R250="Fairy",$R250="Flying",$R250="Poison",$R250="Psychic"),1,0)),IF(OR($S250="Dark",$S250="Ice",$S250="Normal",$S250="Rock",$S250="Steel"),0-1,IF(OR($S250="Bug",$S250="Fairy",$S250="Flying",$S250="Poison",$S250="Psychic"),1,0))))</f>
        <v>0</v>
      </c>
      <c r="AI250" s="507" t="n">
        <f aca="false">SUM(IF(OR($R250="Bug",$R250="Grass",$R250="Ice",$R250="Steel"),0-1,IF(OR($R250="Dragon",$R250="Fire",$R250="Rock",$R250="Water"),1,0)),IF(OR($S250="Bug",$S250="Grass",$S250="Ice",$S250="Steel"),0-1,IF(OR($S250="Dragon",$S250="Fire",$S250="Rock",$S250="Water"),1,0)))</f>
        <v>-1</v>
      </c>
      <c r="AJ250" s="507" t="n">
        <f aca="false">SUM(IF(OR($R250="Bug",$R250="Grass",$R250="Fighting"),0-1,IF(OR($R250="Electric",$R250="Rock",$R250="Steel"),1,0)),IF(OR($S250="Bug",$S250="Grass",$S250="Fighting"),0-1,IF(OR($S250="Electric",$S250="Rock",$S250="Steel"),1,0)))</f>
        <v>-1</v>
      </c>
      <c r="AK250" s="507" t="n">
        <f aca="false">IF(OR($R250="Normal",$S250="Normal"),4,SUM(IF(OR($R250="Ghost",$R250="Psychic"),0-1,IF($R250="Dark",1,0)),IF(OR($S250="Ghost",$S250="Psychic"),0-1,IF($S250="Dark",1,0))))</f>
        <v>0</v>
      </c>
      <c r="AL250" s="507" t="n">
        <f aca="false">SUM(IF(OR($R250="Ground",$R250="Rock",$R250="Water"),0-1,IF(OR($R250="Bug",$R250="Flying",$R250="Fire",$R250="Dragon",$R250="Poison",$R250="Steel",$R250="Grass"),1,0)),IF(OR($S250="Ground",$S250="Rock",$S250="Water"),0-1,IF(OR($S250="Bug",$S250="Flying",$S250="Fire",$S250="Dragon",$S250="Poison",$S250="Steel",$S250="Grass"),1,0)))</f>
        <v>1</v>
      </c>
      <c r="AM250" s="507" t="n">
        <f aca="false">IF(OR($R250="Flying",$S250="Flying"),4,SUM(IF(OR($R250="Electric",$R250="Fire",$R250="Rock",$R250="Steel",$R250="Poison"),0-1,IF(OR($R250="Bug",$R250="Grass"),1,0)),IF(OR($S250="Electric",$S250="Fire",$S250="Rock",$S250="Steel",$S250="Poison"),0-1,IF(OR($S250="Bug",$S250="Grass"),1,0))))</f>
        <v>1</v>
      </c>
      <c r="AN250" s="507" t="n">
        <f aca="false">SUM(IF(OR($R250="Flying",$R250="Dragon",$R250="Grass",$R250="Ground"),0-1,IF(OR($R250="Steel",$R250="Ice",$R250="Fire",$R250="Water"),1,0)),IF(OR($S250="Flying",$S250="Dragon",$S250="Grass",$S250="Ground"),0-1,IF(OR($S250="Steel",$S250="Ice",$S250="Fire",$S250="Water"),1,0)))</f>
        <v>-1</v>
      </c>
      <c r="AO250" s="507" t="n">
        <f aca="false">IF(OR($R250="Ghost",$S250="Ghost"),4,SUM(IF(OR($R250="Steel",$R250="Rock"),1,0),IF(OR($S250="Steel",$S250="Rock"),1,0)))</f>
        <v>0</v>
      </c>
      <c r="AP250" s="507" t="n">
        <f aca="false">IF(OR($R250="Steel",$S250="Steel"),4,SUM(IF(OR($R250="Fairy",$R250="Grass"),0-1,IF(OR($R250="Ghost",$R250="Rock",$R250="Ground",$R250="Poison"),1,0)),IF(OR($S250="Fairy",$S250="Grass"),0-1,IF(OR($S250="Ghost",$S250="Rock",$S250="Ground",$S250="Poison"),1,0))))</f>
        <v>-1</v>
      </c>
      <c r="AQ250" s="507" t="n">
        <f aca="false">IF(OR($R250="Dark",$S250="Dark"),4,SUM(IF(OR($R250="Fighting",$R250="Poison"),0-1,IF(OR($R250="Psychic",$R250="Steel"),1,0)),IF(OR($S250="Fighting",$S250="Poison"),0-1,IF(OR($S250="Psychic",$S250="Steel"),1,0))))</f>
        <v>0</v>
      </c>
      <c r="AR250" s="507" t="n">
        <f aca="false">SUM(IF(OR($R250="Bug",$R250="Fire",$R250="Flying",$R250="Ice"),0-1,IF(OR($R250="Steel",$R250="Fighting",$R250="Ground"),1,0)),IF(OR($S250="Bug",$S250="Fire",$S250="Flying",$S250="Ice"),0-1,IF(OR($S250="Steel",$S250="Fighting",$S250="Ground"),1,0)))</f>
        <v>0</v>
      </c>
      <c r="AS250" s="507" t="n">
        <f aca="false">SUM(IF(OR($R250="Fairy",$R250="Ice",$R250="Rock"),0-1,IF(OR($R250="Steel",$R250="Electric",$R250="Fire",$R250="Water"),1,0)),IF(OR($S250="Fairy",$S250="Ice",$S250="Rock"),0-1,IF(OR($S250="Steel",$S250="Electric",$S250="Fire",$S250="Water"),1,0)))</f>
        <v>0</v>
      </c>
      <c r="AT250" s="508" t="n">
        <f aca="false">SUM(IF(OR($R250="Fire",$R250="Ground",$R250="Rock"),0-1,IF(OR($R250="Dragon",$R250="Grass",$R250="Water"),1,0)),IF(OR($S250="Fire",$S250="Ground",$S250="Rock"),0-1,IF(OR($S250="Dragon",$S250="Grass",$S250="Water"),1,0)))</f>
        <v>1</v>
      </c>
      <c r="AU250" s="518"/>
    </row>
    <row r="251" customFormat="false" ht="15.75" hidden="false" customHeight="false" outlineLevel="0" collapsed="false">
      <c r="A251" s="515" t="str">
        <f aca="false" t="array" ref="A251:A251">IF(ISNA(INDEX(Source!$U$7:$U$95,MATCH(B251,Source!$V$7:$V$95,0))),"FREE",INDEX(Source!$U$7:$U$95,MATCH(B251,Source!$V$7:$V$95,0)))</f>
        <v>FREE</v>
      </c>
      <c r="B251" s="511" t="s">
        <v>683</v>
      </c>
      <c r="C251" s="511"/>
      <c r="D251" s="511"/>
      <c r="E251" s="499" t="str">
        <f aca="false">IF(SUM($W251:$X251)&gt;0,SUM($W251:$X251),IF($H251&gt;0,0,IF($H251&gt;0,0,"-")))</f>
        <v>-</v>
      </c>
      <c r="F251" s="499" t="str">
        <f aca="false">IF(SUM($Y251:$Z251)&gt;0,SUM($Y251:$Z251),IF($H251&gt;0,0,"-"))</f>
        <v>-</v>
      </c>
      <c r="G251" s="499" t="str">
        <f aca="false">IF($H251&gt;0,minus(E251,F251),"-")</f>
        <v>-</v>
      </c>
      <c r="H251" s="500" t="n">
        <f aca="false">SUM(COUNTIF(MatchSource!$A:$A,$B251),COUNTIF(MatchSource!$H:$H,$B251))</f>
        <v>0</v>
      </c>
      <c r="I251" s="501" t="n">
        <f aca="false">SUM($AA251:$AB251)</f>
        <v>0</v>
      </c>
      <c r="J251" s="501" t="s">
        <v>702</v>
      </c>
      <c r="K251" s="512" t="str">
        <f aca="false" t="array" ref="K251:K251">IF(ISNA(INDEX(DraftRosters!$AA$3:$AA$199,MATCH($B251,DraftRosters!$AB$3:$AB$199,0))),"FA",IF(INDEX(DraftRosters!$AA$3:$AA$199,MATCH($B251,DraftRosters!$AB$3:$AB$199,0))="Franchise","Franch",INDEX(DraftRosters!$AA$3:$AA$199,MATCH($B251,DraftRosters!$AB$3:$AB$199,0))))</f>
        <v>FA</v>
      </c>
      <c r="L251" s="499" t="n">
        <v>78</v>
      </c>
      <c r="M251" s="499" t="n">
        <v>70</v>
      </c>
      <c r="N251" s="499" t="n">
        <v>61</v>
      </c>
      <c r="O251" s="499" t="n">
        <v>50</v>
      </c>
      <c r="P251" s="499" t="n">
        <v>61</v>
      </c>
      <c r="Q251" s="501" t="n">
        <v>100</v>
      </c>
      <c r="R251" s="499" t="s">
        <v>839</v>
      </c>
      <c r="S251" s="501"/>
      <c r="T251" s="504" t="s">
        <v>995</v>
      </c>
      <c r="U251" s="505" t="s">
        <v>991</v>
      </c>
      <c r="V251" s="506" t="s">
        <v>840</v>
      </c>
      <c r="W251" s="500" t="str">
        <f aca="false">IFERROR(__xludf.dummyfunction("if(isna(SUM(FILTER(MatchSource!$A:$D,MatchSource!$A:$A=$B251))),0,SUM(FILTER(MatchSource!$A:$D,MatchSource!$A:$A=$B251)))"),"0")</f>
        <v>0</v>
      </c>
      <c r="X251" s="499" t="str">
        <f aca="false">IFERROR(__xludf.dummyfunction("if(isna(SUM(FILTER(MatchSource!$H:$K,MatchSource!$H:$H=$B251))),0,SUM(FILTER(MatchSource!$H:$K,MatchSource!$H:$H=$B251)))"),"0")</f>
        <v>0</v>
      </c>
      <c r="Y251" s="499" t="str">
        <f aca="false">IFERROR(__xludf.dummyfunction("if(isna(ABS(MINUS(SUM(FILTER(MatchSource!$A:$E,MatchSource!$A:$A=$B251)),SUM($W251)))),0,ABS(MINUS(SUM(FILTER(MatchSource!$A:$E,MatchSource!$A:$A=$B251)),SUM($W251))))"),"0")</f>
        <v>0</v>
      </c>
      <c r="Z251" s="499" t="str">
        <f aca="false">IFERROR(__xludf.dummyfunction("if(isna(ABS(MINUS(SUM(FILTER(MatchSource!$H:$L,MatchSource!$H:$H=$B251)),SUM($X251)))),0,ABS(MINUS(SUM(FILTER(MatchSource!$H:$L,MatchSource!$H:$H=$B251)),SUM($X251))))"),"0")</f>
        <v>0</v>
      </c>
      <c r="AA251" s="499" t="str">
        <f aca="false">IFERROR(__xludf.dummyfunction("if(isna(ABS(MINUS(SUM(FILTER(MatchSource!$A:$F,MatchSource!$A:$A=$B251)),SUM($W251,$Y251)))),0,ABS(MINUS(SUM(FILTER(MatchSource!$A:$F,MatchSource!$A:$A=$B251)),SUM($W251, $Y251,))))"),"0")</f>
        <v>0</v>
      </c>
      <c r="AB251" s="501" t="str">
        <f aca="false">IFERROR(__xludf.dummyfunction("if(isna(ABS(MINUS(SUM(FILTER(MatchSource!$H:$M,MatchSource!$H:$H=$B251)),SUM($X251,$Z251)))),0,ABS(MINUS(SUM(FILTER(MatchSource!$H:$M,MatchSource!$H:$H=$B251)),SUM($X251,$Z251))))"),"0")</f>
        <v>0</v>
      </c>
      <c r="AC251" s="507" t="n">
        <f aca="false">SUM(IF(OR($R251="Grass",$R251="Psychic",$R251="Dark"),0-1,IF(OR($R251="Fighting",$R251="Flying",$R251="Fire",$R251="Ghost",$R251="Poison",$R251="Steel",$R251="Fairy"),1,0)),IF(OR($S251="Grass",$S251="Psychic",$S251="Dark"),0-1,IF(OR($S251="Fighting",$S251="Flying",$S251="Fire",$S251="Ghost",$S251="Poison",$S251="Steel",$S251="Fairy"),1,0)))</f>
        <v>0</v>
      </c>
      <c r="AD251" s="507" t="n">
        <f aca="false">SUM(IF(OR($R251="Ghost",$R251="Psychic"),0-1,IF(OR($R251="Fighting",$R251="Dark",$R251="Fairy"),1,0)),IF(OR($S251="Ghost",$S251="Psychic"),0-1,IF(OR($S251="Fighting",$S251="Dark",$S251="Fairy"),1,0)))</f>
        <v>0</v>
      </c>
      <c r="AE251" s="507" t="n">
        <f aca="false">IF(OR($R251="Fairy",$S251="Fairy"),4,SUM(IF($R251="Dragon",0-1,IF($R251="Steel",1,0)),IF($S251="Dragon",0-1,IF($S251="Steel",1,0))))</f>
        <v>0</v>
      </c>
      <c r="AF251" s="507" t="n">
        <f aca="false">IF(OR($R251="Ground",$S251="Ground"),4,SUM(IF(OR($R251="Flying",$R251="Water"),0-1,IF(OR($R251="Dragon",$R251="Electric",$R251="Grass"),1,0)),IF(OR($S251="Flying",$S251="Water"),0-1,IF(OR($S251="Dragon",$S251="Electric",$S251="Grass"),1,0))))</f>
        <v>0</v>
      </c>
      <c r="AG251" s="507" t="n">
        <f aca="false">SUM(IF(OR($R251="Dark",$R251="Dragon",$R251="Fighting"),0-1,IF(OR($R251="Steel",$R251="Poison",$R251="Fire"),1,0)),IF(OR($S251="Dark",$S251="Dragon",$S251="Fighting"),0-1,IF(OR($S251="Steel",$S251="Poison",$S251="Fire"),1,0)))</f>
        <v>0</v>
      </c>
      <c r="AH251" s="507" t="n">
        <f aca="false">IF(OR($R251="Ghost",$S251="Ghost"),4,SUM(IF(OR($R251="Dark",$R251="Ice",$R251="Normal",$R251="Rock",$R251="Steel"),0-1,IF(OR($R251="Bug",$R251="Fairy",$R251="Flying",$R251="Poison",$R251="Psychic"),1,0)),IF(OR($S251="Dark",$S251="Ice",$S251="Normal",$S251="Rock",$S251="Steel"),0-1,IF(OR($S251="Bug",$S251="Fairy",$S251="Flying",$S251="Poison",$S251="Psychic"),1,0))))</f>
        <v>-1</v>
      </c>
      <c r="AI251" s="507" t="n">
        <f aca="false">SUM(IF(OR($R251="Bug",$R251="Grass",$R251="Ice",$R251="Steel"),0-1,IF(OR($R251="Dragon",$R251="Fire",$R251="Rock",$R251="Water"),1,0)),IF(OR($S251="Bug",$S251="Grass",$S251="Ice",$S251="Steel"),0-1,IF(OR($S251="Dragon",$S251="Fire",$S251="Rock",$S251="Water"),1,0)))</f>
        <v>0</v>
      </c>
      <c r="AJ251" s="507" t="n">
        <f aca="false">SUM(IF(OR($R251="Bug",$R251="Grass",$R251="Fighting"),0-1,IF(OR($R251="Electric",$R251="Rock",$R251="Steel"),1,0)),IF(OR($S251="Bug",$S251="Grass",$S251="Fighting"),0-1,IF(OR($S251="Electric",$S251="Rock",$S251="Steel"),1,0)))</f>
        <v>0</v>
      </c>
      <c r="AK251" s="507" t="n">
        <f aca="false">IF(OR($R251="Normal",$S251="Normal"),4,SUM(IF(OR($R251="Ghost",$R251="Psychic"),0-1,IF($R251="Dark",1,0)),IF(OR($S251="Ghost",$S251="Psychic"),0-1,IF($S251="Dark",1,0))))</f>
        <v>4</v>
      </c>
      <c r="AL251" s="507" t="n">
        <f aca="false">SUM(IF(OR($R251="Ground",$R251="Rock",$R251="Water"),0-1,IF(OR($R251="Bug",$R251="Flying",$R251="Fire",$R251="Dragon",$R251="Poison",$R251="Steel",$R251="Grass"),1,0)),IF(OR($S251="Ground",$S251="Rock",$S251="Water"),0-1,IF(OR($S251="Bug",$S251="Flying",$S251="Fire",$S251="Dragon",$S251="Poison",$S251="Steel",$S251="Grass"),1,0)))</f>
        <v>0</v>
      </c>
      <c r="AM251" s="507" t="n">
        <f aca="false">IF(OR($R251="Flying",$S251="Flying"),4,SUM(IF(OR($R251="Electric",$R251="Fire",$R251="Rock",$R251="Steel",$R251="Poison"),0-1,IF(OR($R251="Bug",$R251="Grass"),1,0)),IF(OR($S251="Electric",$S251="Fire",$S251="Rock",$S251="Steel",$S251="Poison"),0-1,IF(OR($S251="Bug",$S251="Grass"),1,0))))</f>
        <v>0</v>
      </c>
      <c r="AN251" s="507" t="n">
        <f aca="false">SUM(IF(OR($R251="Flying",$R251="Dragon",$R251="Grass",$R251="Ground"),0-1,IF(OR($R251="Steel",$R251="Ice",$R251="Fire",$R251="Water"),1,0)),IF(OR($S251="Flying",$S251="Dragon",$S251="Grass",$S251="Ground"),0-1,IF(OR($S251="Steel",$S251="Ice",$S251="Fire",$S251="Water"),1,0)))</f>
        <v>0</v>
      </c>
      <c r="AO251" s="507" t="n">
        <f aca="false">IF(OR($R251="Ghost",$S251="Ghost"),4,SUM(IF(OR($R251="Steel",$R251="Rock"),1,0),IF(OR($S251="Steel",$S251="Rock"),1,0)))</f>
        <v>0</v>
      </c>
      <c r="AP251" s="507" t="n">
        <f aca="false">IF(OR($R251="Steel",$S251="Steel"),4,SUM(IF(OR($R251="Fairy",$R251="Grass"),0-1,IF(OR($R251="Ghost",$R251="Rock",$R251="Ground",$R251="Poison"),1,0)),IF(OR($S251="Fairy",$S251="Grass"),0-1,IF(OR($S251="Ghost",$S251="Rock",$S251="Ground",$S251="Poison"),1,0))))</f>
        <v>0</v>
      </c>
      <c r="AQ251" s="507" t="n">
        <f aca="false">IF(OR($R251="Dark",$S251="Dark"),4,SUM(IF(OR($R251="Fighting",$R251="Poison"),0-1,IF(OR($R251="Psychic",$R251="Steel"),1,0)),IF(OR($S251="Fighting",$S251="Poison"),0-1,IF(OR($S251="Psychic",$S251="Steel"),1,0))))</f>
        <v>0</v>
      </c>
      <c r="AR251" s="507" t="n">
        <f aca="false">SUM(IF(OR($R251="Bug",$R251="Fire",$R251="Flying",$R251="Ice"),0-1,IF(OR($R251="Steel",$R251="Fighting",$R251="Ground"),1,0)),IF(OR($S251="Bug",$S251="Fire",$S251="Flying",$S251="Ice"),0-1,IF(OR($S251="Steel",$S251="Fighting",$S251="Ground"),1,0)))</f>
        <v>0</v>
      </c>
      <c r="AS251" s="507" t="n">
        <f aca="false">SUM(IF(OR($R251="Fairy",$R251="Ice",$R251="Rock"),0-1,IF(OR($R251="Steel",$R251="Electric",$R251="Fire",$R251="Water"),1,0)),IF(OR($S251="Fairy",$S251="Ice",$S251="Rock"),0-1,IF(OR($S251="Steel",$S251="Electric",$S251="Fire",$S251="Water"),1,0)))</f>
        <v>0</v>
      </c>
      <c r="AT251" s="508" t="n">
        <f aca="false">SUM(IF(OR($R251="Fire",$R251="Ground",$R251="Rock"),0-1,IF(OR($R251="Dragon",$R251="Grass",$R251="Water"),1,0)),IF(OR($S251="Fire",$S251="Ground",$S251="Rock"),0-1,IF(OR($S251="Dragon",$S251="Grass",$S251="Water"),1,0)))</f>
        <v>0</v>
      </c>
      <c r="AU251" s="518"/>
    </row>
    <row r="252" customFormat="false" ht="15.75" hidden="false" customHeight="false" outlineLevel="0" collapsed="false">
      <c r="A252" s="515" t="str">
        <f aca="false" t="array" ref="A252:A252">IF(ISNA(INDEX(Source!$U$7:$U$95,MATCH(B252,Source!$V$7:$V$95,0))),"FREE",INDEX(Source!$U$7:$U$95,MATCH(B252,Source!$V$7:$V$95,0)))</f>
        <v>FREE</v>
      </c>
      <c r="B252" s="511" t="s">
        <v>755</v>
      </c>
      <c r="C252" s="511"/>
      <c r="D252" s="511"/>
      <c r="E252" s="499" t="str">
        <f aca="false">IF(SUM($W252:$X252)&gt;0,SUM($W252:$X252),IF($H252&gt;0,0,IF($H252&gt;0,0,"-")))</f>
        <v>-</v>
      </c>
      <c r="F252" s="499" t="str">
        <f aca="false">IF(SUM($Y252:$Z252)&gt;0,SUM($Y252:$Z252),IF($H252&gt;0,0,"-"))</f>
        <v>-</v>
      </c>
      <c r="G252" s="499" t="str">
        <f aca="false">IF($H252&gt;0,minus(E252,F252),"-")</f>
        <v>-</v>
      </c>
      <c r="H252" s="500" t="n">
        <f aca="false">SUM(COUNTIF(MatchSource!$A:$A,$B252),COUNTIF(MatchSource!$H:$H,$B252))</f>
        <v>0</v>
      </c>
      <c r="I252" s="501" t="n">
        <f aca="false">SUM($AA252:$AB252)</f>
        <v>0</v>
      </c>
      <c r="J252" s="501" t="s">
        <v>702</v>
      </c>
      <c r="K252" s="512" t="str">
        <f aca="false" t="array" ref="K252:K252">IF(ISNA(INDEX(DraftRosters!$AA$3:$AA$199,MATCH($B252,DraftRosters!$AB$3:$AB$199,0))),"FA",IF(INDEX(DraftRosters!$AA$3:$AA$199,MATCH($B252,DraftRosters!$AB$3:$AB$199,0))="Franchise","Franch",INDEX(DraftRosters!$AA$3:$AA$199,MATCH($B252,DraftRosters!$AB$3:$AB$199,0))))</f>
        <v>FA</v>
      </c>
      <c r="L252" s="507" t="n">
        <v>65</v>
      </c>
      <c r="M252" s="507" t="n">
        <v>76</v>
      </c>
      <c r="N252" s="507" t="n">
        <v>84</v>
      </c>
      <c r="O252" s="507" t="n">
        <v>54</v>
      </c>
      <c r="P252" s="507" t="n">
        <v>96</v>
      </c>
      <c r="Q252" s="508" t="n">
        <v>105</v>
      </c>
      <c r="R252" s="499" t="s">
        <v>839</v>
      </c>
      <c r="S252" s="501"/>
      <c r="T252" s="504" t="s">
        <v>922</v>
      </c>
      <c r="U252" s="505" t="s">
        <v>947</v>
      </c>
      <c r="V252" s="506" t="s">
        <v>862</v>
      </c>
      <c r="W252" s="500" t="str">
        <f aca="false">IFERROR(__xludf.dummyfunction("if(isna(SUM(FILTER(MatchSource!$A:$D,MatchSource!$A:$A=$B252))),0,SUM(FILTER(MatchSource!$A:$D,MatchSource!$A:$A=$B252)))"),"0")</f>
        <v>0</v>
      </c>
      <c r="X252" s="499" t="str">
        <f aca="false">IFERROR(__xludf.dummyfunction("if(isna(SUM(FILTER(MatchSource!$H:$K,MatchSource!$H:$H=$B252))),0,SUM(FILTER(MatchSource!$H:$K,MatchSource!$H:$H=$B252)))"),"0")</f>
        <v>0</v>
      </c>
      <c r="Y252" s="499" t="str">
        <f aca="false">IFERROR(__xludf.dummyfunction("if(isna(ABS(MINUS(SUM(FILTER(MatchSource!$A:$E,MatchSource!$A:$A=$B252)),SUM($W252)))),0,ABS(MINUS(SUM(FILTER(MatchSource!$A:$E,MatchSource!$A:$A=$B252)),SUM($W252))))"),"0")</f>
        <v>0</v>
      </c>
      <c r="Z252" s="499" t="str">
        <f aca="false">IFERROR(__xludf.dummyfunction("if(isna(ABS(MINUS(SUM(FILTER(MatchSource!$H:$L,MatchSource!$H:$H=$B252)),SUM($X252)))),0,ABS(MINUS(SUM(FILTER(MatchSource!$H:$L,MatchSource!$H:$H=$B252)),SUM($X252))))"),"0")</f>
        <v>0</v>
      </c>
      <c r="AA252" s="499" t="str">
        <f aca="false">IFERROR(__xludf.dummyfunction("if(isna(ABS(MINUS(SUM(FILTER(MatchSource!$A:$F,MatchSource!$A:$A=$B252)),SUM($W252,$Y252)))),0,ABS(MINUS(SUM(FILTER(MatchSource!$A:$F,MatchSource!$A:$A=$B252)),SUM($W252, $Y252,))))"),"0")</f>
        <v>0</v>
      </c>
      <c r="AB252" s="501" t="str">
        <f aca="false">IFERROR(__xludf.dummyfunction("if(isna(ABS(MINUS(SUM(FILTER(MatchSource!$H:$M,MatchSource!$H:$H=$B252)),SUM($X252,$Z252)))),0,ABS(MINUS(SUM(FILTER(MatchSource!$H:$M,MatchSource!$H:$H=$B252)),SUM($X252,$Z252))))"),"0")</f>
        <v>0</v>
      </c>
      <c r="AC252" s="507" t="n">
        <f aca="false">SUM(IF(OR($R252="Grass",$R252="Psychic",$R252="Dark"),0-1,IF(OR($R252="Fighting",$R252="Flying",$R252="Fire",$R252="Ghost",$R252="Poison",$R252="Steel",$R252="Fairy"),1,0)),IF(OR($S252="Grass",$S252="Psychic",$S252="Dark"),0-1,IF(OR($S252="Fighting",$S252="Flying",$S252="Fire",$S252="Ghost",$S252="Poison",$S252="Steel",$S252="Fairy"),1,0)))</f>
        <v>0</v>
      </c>
      <c r="AD252" s="507" t="n">
        <f aca="false">SUM(IF(OR($R252="Ghost",$R252="Psychic"),0-1,IF(OR($R252="Fighting",$R252="Dark",$R252="Fairy"),1,0)),IF(OR($S252="Ghost",$S252="Psychic"),0-1,IF(OR($S252="Fighting",$S252="Dark",$S252="Fairy"),1,0)))</f>
        <v>0</v>
      </c>
      <c r="AE252" s="507" t="n">
        <f aca="false">IF(OR($R252="Fairy",$S252="Fairy"),4,SUM(IF($R252="Dragon",0-1,IF($R252="Steel",1,0)),IF($S252="Dragon",0-1,IF($S252="Steel",1,0))))</f>
        <v>0</v>
      </c>
      <c r="AF252" s="507" t="n">
        <f aca="false">IF(OR($R252="Ground",$S252="Ground"),4,SUM(IF(OR($R252="Flying",$R252="Water"),0-1,IF(OR($R252="Dragon",$R252="Electric",$R252="Grass"),1,0)),IF(OR($S252="Flying",$S252="Water"),0-1,IF(OR($S252="Dragon",$S252="Electric",$S252="Grass"),1,0))))</f>
        <v>0</v>
      </c>
      <c r="AG252" s="507" t="n">
        <f aca="false">SUM(IF(OR($R252="Dark",$R252="Dragon",$R252="Fighting"),0-1,IF(OR($R252="Steel",$R252="Poison",$R252="Fire"),1,0)),IF(OR($S252="Dark",$S252="Dragon",$S252="Fighting"),0-1,IF(OR($S252="Steel",$S252="Poison",$S252="Fire"),1,0)))</f>
        <v>0</v>
      </c>
      <c r="AH252" s="507" t="n">
        <f aca="false">IF(OR($R252="Ghost",$S252="Ghost"),4,SUM(IF(OR($R252="Dark",$R252="Ice",$R252="Normal",$R252="Rock",$R252="Steel"),0-1,IF(OR($R252="Bug",$R252="Fairy",$R252="Flying",$R252="Poison",$R252="Psychic"),1,0)),IF(OR($S252="Dark",$S252="Ice",$S252="Normal",$S252="Rock",$S252="Steel"),0-1,IF(OR($S252="Bug",$S252="Fairy",$S252="Flying",$S252="Poison",$S252="Psychic"),1,0))))</f>
        <v>-1</v>
      </c>
      <c r="AI252" s="507" t="n">
        <f aca="false">SUM(IF(OR($R252="Bug",$R252="Grass",$R252="Ice",$R252="Steel"),0-1,IF(OR($R252="Dragon",$R252="Fire",$R252="Rock",$R252="Water"),1,0)),IF(OR($S252="Bug",$S252="Grass",$S252="Ice",$S252="Steel"),0-1,IF(OR($S252="Dragon",$S252="Fire",$S252="Rock",$S252="Water"),1,0)))</f>
        <v>0</v>
      </c>
      <c r="AJ252" s="507" t="n">
        <f aca="false">SUM(IF(OR($R252="Bug",$R252="Grass",$R252="Fighting"),0-1,IF(OR($R252="Electric",$R252="Rock",$R252="Steel"),1,0)),IF(OR($S252="Bug",$S252="Grass",$S252="Fighting"),0-1,IF(OR($S252="Electric",$S252="Rock",$S252="Steel"),1,0)))</f>
        <v>0</v>
      </c>
      <c r="AK252" s="507" t="n">
        <f aca="false">IF(OR($R252="Normal",$S252="Normal"),4,SUM(IF(OR($R252="Ghost",$R252="Psychic"),0-1,IF($R252="Dark",1,0)),IF(OR($S252="Ghost",$S252="Psychic"),0-1,IF($S252="Dark",1,0))))</f>
        <v>4</v>
      </c>
      <c r="AL252" s="507" t="n">
        <f aca="false">SUM(IF(OR($R252="Ground",$R252="Rock",$R252="Water"),0-1,IF(OR($R252="Bug",$R252="Flying",$R252="Fire",$R252="Dragon",$R252="Poison",$R252="Steel",$R252="Grass"),1,0)),IF(OR($S252="Ground",$S252="Rock",$S252="Water"),0-1,IF(OR($S252="Bug",$S252="Flying",$S252="Fire",$S252="Dragon",$S252="Poison",$S252="Steel",$S252="Grass"),1,0)))</f>
        <v>0</v>
      </c>
      <c r="AM252" s="507" t="n">
        <f aca="false">IF(OR($R252="Flying",$S252="Flying"),4,SUM(IF(OR($R252="Electric",$R252="Fire",$R252="Rock",$R252="Steel",$R252="Poison"),0-1,IF(OR($R252="Bug",$R252="Grass"),1,0)),IF(OR($S252="Electric",$S252="Fire",$S252="Rock",$S252="Steel",$S252="Poison"),0-1,IF(OR($S252="Bug",$S252="Grass"),1,0))))</f>
        <v>0</v>
      </c>
      <c r="AN252" s="507" t="n">
        <f aca="false">SUM(IF(OR($R252="Flying",$R252="Dragon",$R252="Grass",$R252="Ground"),0-1,IF(OR($R252="Steel",$R252="Ice",$R252="Fire",$R252="Water"),1,0)),IF(OR($S252="Flying",$S252="Dragon",$S252="Grass",$S252="Ground"),0-1,IF(OR($S252="Steel",$S252="Ice",$S252="Fire",$S252="Water"),1,0)))</f>
        <v>0</v>
      </c>
      <c r="AO252" s="507" t="n">
        <f aca="false">IF(OR($R252="Ghost",$S252="Ghost"),4,SUM(IF(OR($R252="Steel",$R252="Rock"),1,0),IF(OR($S252="Steel",$S252="Rock"),1,0)))</f>
        <v>0</v>
      </c>
      <c r="AP252" s="507" t="n">
        <f aca="false">IF(OR($R252="Steel",$S252="Steel"),4,SUM(IF(OR($R252="Fairy",$R252="Grass"),0-1,IF(OR($R252="Ghost",$R252="Rock",$R252="Ground",$R252="Poison"),1,0)),IF(OR($S252="Fairy",$S252="Grass"),0-1,IF(OR($S252="Ghost",$S252="Rock",$S252="Ground",$S252="Poison"),1,0))))</f>
        <v>0</v>
      </c>
      <c r="AQ252" s="507" t="n">
        <f aca="false">IF(OR($R252="Dark",$S252="Dark"),4,SUM(IF(OR($R252="Fighting",$R252="Poison"),0-1,IF(OR($R252="Psychic",$R252="Steel"),1,0)),IF(OR($S252="Fighting",$S252="Poison"),0-1,IF(OR($S252="Psychic",$S252="Steel"),1,0))))</f>
        <v>0</v>
      </c>
      <c r="AR252" s="507" t="n">
        <f aca="false">SUM(IF(OR($R252="Bug",$R252="Fire",$R252="Flying",$R252="Ice"),0-1,IF(OR($R252="Steel",$R252="Fighting",$R252="Ground"),1,0)),IF(OR($S252="Bug",$S252="Fire",$S252="Flying",$S252="Ice"),0-1,IF(OR($S252="Steel",$S252="Fighting",$S252="Ground"),1,0)))</f>
        <v>0</v>
      </c>
      <c r="AS252" s="507" t="n">
        <f aca="false">SUM(IF(OR($R252="Fairy",$R252="Ice",$R252="Rock"),0-1,IF(OR($R252="Steel",$R252="Electric",$R252="Fire",$R252="Water"),1,0)),IF(OR($S252="Fairy",$S252="Ice",$S252="Rock"),0-1,IF(OR($S252="Steel",$S252="Electric",$S252="Fire",$S252="Water"),1,0)))</f>
        <v>0</v>
      </c>
      <c r="AT252" s="508" t="n">
        <f aca="false">SUM(IF(OR($R252="Fire",$R252="Ground",$R252="Rock"),0-1,IF(OR($R252="Dragon",$R252="Grass",$R252="Water"),1,0)),IF(OR($S252="Fire",$S252="Ground",$S252="Rock"),0-1,IF(OR($S252="Dragon",$S252="Grass",$S252="Water"),1,0)))</f>
        <v>0</v>
      </c>
      <c r="AU252" s="518"/>
    </row>
    <row r="253" customFormat="false" ht="15.75" hidden="false" customHeight="false" outlineLevel="0" collapsed="false">
      <c r="A253" s="510" t="str">
        <f aca="false" t="array" ref="A253:A253">IF(ISNA(INDEX(Source!$U$7:$U$95,MATCH(B253,Source!$V$7:$V$95,0))),"FREE",INDEX(Source!$U$7:$U$95,MATCH(B253,Source!$V$7:$V$95,0)))</f>
        <v>KKS</v>
      </c>
      <c r="B253" s="511" t="s">
        <v>23</v>
      </c>
      <c r="C253" s="511"/>
      <c r="D253" s="511"/>
      <c r="E253" s="499" t="n">
        <f aca="false">IF(SUM($W253:$X253)&gt;0,SUM($W253:$X253),IF($H253&gt;0,0,IF($H253&gt;0,0,"-")))</f>
        <v>0</v>
      </c>
      <c r="F253" s="499" t="n">
        <f aca="false">IF(SUM($Y253:$Z253)&gt;0,SUM($Y253:$Z253),IF($H253&gt;0,0,"-"))</f>
        <v>0</v>
      </c>
      <c r="G253" s="499" t="e">
        <f aca="false">IF($H253&gt;0,minus(E253,F253),"-")</f>
        <v>#NAME?</v>
      </c>
      <c r="H253" s="500" t="n">
        <f aca="false">SUM(COUNTIF(MatchSource!$A:$A,$B253),COUNTIF(MatchSource!$H:$H,$B253))</f>
        <v>7</v>
      </c>
      <c r="I253" s="501" t="n">
        <f aca="false">SUM($AA253:$AB253)</f>
        <v>0</v>
      </c>
      <c r="J253" s="501" t="s">
        <v>276</v>
      </c>
      <c r="K253" s="512" t="n">
        <f aca="false" t="array" ref="K253:K253">IF(ISNA(INDEX(DraftRosters!$AA$3:$AA$199,MATCH($B253,DraftRosters!$AB$3:$AB$199,0))),"FA",IF(INDEX(DraftRosters!$AA$3:$AA$199,MATCH($B253,DraftRosters!$AB$3:$AB$199,0))="Franchise","Franch",INDEX(DraftRosters!$AA$3:$AA$199,MATCH($B253,DraftRosters!$AB$3:$AB$199,0))))</f>
        <v>23</v>
      </c>
      <c r="L253" s="507" t="n">
        <v>65</v>
      </c>
      <c r="M253" s="507" t="n">
        <v>136</v>
      </c>
      <c r="N253" s="507" t="n">
        <v>94</v>
      </c>
      <c r="O253" s="507" t="n">
        <v>54</v>
      </c>
      <c r="P253" s="507" t="n">
        <v>96</v>
      </c>
      <c r="Q253" s="508" t="n">
        <v>135</v>
      </c>
      <c r="R253" s="499" t="s">
        <v>881</v>
      </c>
      <c r="S253" s="501" t="s">
        <v>839</v>
      </c>
      <c r="T253" s="504" t="s">
        <v>969</v>
      </c>
      <c r="U253" s="505"/>
      <c r="V253" s="506"/>
      <c r="W253" s="500" t="str">
        <f aca="false">IFERROR(__xludf.dummyfunction("if(isna(SUM(FILTER(MatchSource!$A:$D,MatchSource!$A:$A=$B253))),0,SUM(FILTER(MatchSource!$A:$D,MatchSource!$A:$A=$B253)))"),"5")</f>
        <v>5</v>
      </c>
      <c r="X253" s="499" t="str">
        <f aca="false">IFERROR(__xludf.dummyfunction("if(isna(SUM(FILTER(MatchSource!$H:$K,MatchSource!$H:$H=$B253))),0,SUM(FILTER(MatchSource!$H:$K,MatchSource!$H:$H=$B253)))"),"3")</f>
        <v>3</v>
      </c>
      <c r="Y253" s="499" t="str">
        <f aca="false">IFERROR(__xludf.dummyfunction("if(isna(ABS(MINUS(SUM(FILTER(MatchSource!$A:$E,MatchSource!$A:$A=$B253)),SUM($W253)))),0,ABS(MINUS(SUM(FILTER(MatchSource!$A:$E,MatchSource!$A:$A=$B253)),SUM($W253))))"),"3")</f>
        <v>3</v>
      </c>
      <c r="Z253" s="499" t="str">
        <f aca="false">IFERROR(__xludf.dummyfunction("if(isna(ABS(MINUS(SUM(FILTER(MatchSource!$H:$L,MatchSource!$H:$H=$B253)),SUM($X253)))),0,ABS(MINUS(SUM(FILTER(MatchSource!$H:$L,MatchSource!$H:$H=$B253)),SUM($X253))))"),"0")</f>
        <v>0</v>
      </c>
      <c r="AA253" s="499" t="str">
        <f aca="false">IFERROR(__xludf.dummyfunction("if(isna(ABS(MINUS(SUM(FILTER(MatchSource!$A:$F,MatchSource!$A:$A=$B253)),SUM($W253,$Y253)))),0,ABS(MINUS(SUM(FILTER(MatchSource!$A:$F,MatchSource!$A:$A=$B253)),SUM($W253, $Y253,))))"),"4")</f>
        <v>4</v>
      </c>
      <c r="AB253" s="501" t="str">
        <f aca="false">IFERROR(__xludf.dummyfunction("if(isna(ABS(MINUS(SUM(FILTER(MatchSource!$H:$M,MatchSource!$H:$H=$B253)),SUM($X253,$Z253)))),0,ABS(MINUS(SUM(FILTER(MatchSource!$H:$M,MatchSource!$H:$H=$B253)),SUM($X253,$Z253))))"),"1")</f>
        <v>1</v>
      </c>
      <c r="AC253" s="507" t="n">
        <f aca="false">SUM(IF(OR($R253="Grass",$R253="Psychic",$R253="Dark"),0-1,IF(OR($R253="Fighting",$R253="Flying",$R253="Fire",$R253="Ghost",$R253="Poison",$R253="Steel",$R253="Fairy"),1,0)),IF(OR($S253="Grass",$S253="Psychic",$S253="Dark"),0-1,IF(OR($S253="Fighting",$S253="Flying",$S253="Fire",$S253="Ghost",$S253="Poison",$S253="Steel",$S253="Fairy"),1,0)))</f>
        <v>1</v>
      </c>
      <c r="AD253" s="507" t="n">
        <f aca="false">SUM(IF(OR($R253="Ghost",$R253="Psychic"),0-1,IF(OR($R253="Fighting",$R253="Dark",$R253="Fairy"),1,0)),IF(OR($S253="Ghost",$S253="Psychic"),0-1,IF(OR($S253="Fighting",$S253="Dark",$S253="Fairy"),1,0)))</f>
        <v>1</v>
      </c>
      <c r="AE253" s="507" t="n">
        <f aca="false">IF(OR($R253="Fairy",$S253="Fairy"),4,SUM(IF($R253="Dragon",0-1,IF($R253="Steel",1,0)),IF($S253="Dragon",0-1,IF($S253="Steel",1,0))))</f>
        <v>0</v>
      </c>
      <c r="AF253" s="507" t="n">
        <f aca="false">IF(OR($R253="Ground",$S253="Ground"),4,SUM(IF(OR($R253="Flying",$R253="Water"),0-1,IF(OR($R253="Dragon",$R253="Electric",$R253="Grass"),1,0)),IF(OR($S253="Flying",$S253="Water"),0-1,IF(OR($S253="Dragon",$S253="Electric",$S253="Grass"),1,0))))</f>
        <v>0</v>
      </c>
      <c r="AG253" s="507" t="n">
        <f aca="false">SUM(IF(OR($R253="Dark",$R253="Dragon",$R253="Fighting"),0-1,IF(OR($R253="Steel",$R253="Poison",$R253="Fire"),1,0)),IF(OR($S253="Dark",$S253="Dragon",$S253="Fighting"),0-1,IF(OR($S253="Steel",$S253="Poison",$S253="Fire"),1,0)))</f>
        <v>-1</v>
      </c>
      <c r="AH253" s="507" t="n">
        <f aca="false">IF(OR($R253="Ghost",$S253="Ghost"),4,SUM(IF(OR($R253="Dark",$R253="Ice",$R253="Normal",$R253="Rock",$R253="Steel"),0-1,IF(OR($R253="Bug",$R253="Fairy",$R253="Flying",$R253="Poison",$R253="Psychic"),1,0)),IF(OR($S253="Dark",$S253="Ice",$S253="Normal",$S253="Rock",$S253="Steel"),0-1,IF(OR($S253="Bug",$S253="Fairy",$S253="Flying",$S253="Poison",$S253="Psychic"),1,0))))</f>
        <v>-1</v>
      </c>
      <c r="AI253" s="507" t="n">
        <f aca="false">SUM(IF(OR($R253="Bug",$R253="Grass",$R253="Ice",$R253="Steel"),0-1,IF(OR($R253="Dragon",$R253="Fire",$R253="Rock",$R253="Water"),1,0)),IF(OR($S253="Bug",$S253="Grass",$S253="Ice",$S253="Steel"),0-1,IF(OR($S253="Dragon",$S253="Fire",$S253="Rock",$S253="Water"),1,0)))</f>
        <v>0</v>
      </c>
      <c r="AJ253" s="507" t="n">
        <f aca="false">SUM(IF(OR($R253="Bug",$R253="Grass",$R253="Fighting"),0-1,IF(OR($R253="Electric",$R253="Rock",$R253="Steel"),1,0)),IF(OR($S253="Bug",$S253="Grass",$S253="Fighting"),0-1,IF(OR($S253="Electric",$S253="Rock",$S253="Steel"),1,0)))</f>
        <v>-1</v>
      </c>
      <c r="AK253" s="507" t="n">
        <f aca="false">IF(OR($R253="Normal",$S253="Normal"),4,SUM(IF(OR($R253="Ghost",$R253="Psychic"),0-1,IF($R253="Dark",1,0)),IF(OR($S253="Ghost",$S253="Psychic"),0-1,IF($S253="Dark",1,0))))</f>
        <v>4</v>
      </c>
      <c r="AL253" s="507" t="n">
        <f aca="false">SUM(IF(OR($R253="Ground",$R253="Rock",$R253="Water"),0-1,IF(OR($R253="Bug",$R253="Flying",$R253="Fire",$R253="Dragon",$R253="Poison",$R253="Steel",$R253="Grass"),1,0)),IF(OR($S253="Ground",$S253="Rock",$S253="Water"),0-1,IF(OR($S253="Bug",$S253="Flying",$S253="Fire",$S253="Dragon",$S253="Poison",$S253="Steel",$S253="Grass"),1,0)))</f>
        <v>0</v>
      </c>
      <c r="AM253" s="507" t="n">
        <f aca="false">IF(OR($R253="Flying",$S253="Flying"),4,SUM(IF(OR($R253="Electric",$R253="Fire",$R253="Rock",$R253="Steel",$R253="Poison"),0-1,IF(OR($R253="Bug",$R253="Grass"),1,0)),IF(OR($S253="Electric",$S253="Fire",$S253="Rock",$S253="Steel",$S253="Poison"),0-1,IF(OR($S253="Bug",$S253="Grass"),1,0))))</f>
        <v>0</v>
      </c>
      <c r="AN253" s="507" t="n">
        <f aca="false">SUM(IF(OR($R253="Flying",$R253="Dragon",$R253="Grass",$R253="Ground"),0-1,IF(OR($R253="Steel",$R253="Ice",$R253="Fire",$R253="Water"),1,0)),IF(OR($S253="Flying",$S253="Dragon",$S253="Grass",$S253="Ground"),0-1,IF(OR($S253="Steel",$S253="Ice",$S253="Fire",$S253="Water"),1,0)))</f>
        <v>0</v>
      </c>
      <c r="AO253" s="507" t="n">
        <f aca="false">IF(OR($R253="Ghost",$S253="Ghost"),4,SUM(IF(OR($R253="Steel",$R253="Rock"),1,0),IF(OR($S253="Steel",$S253="Rock"),1,0)))</f>
        <v>0</v>
      </c>
      <c r="AP253" s="507" t="n">
        <f aca="false">IF(OR($R253="Steel",$S253="Steel"),4,SUM(IF(OR($R253="Fairy",$R253="Grass"),0-1,IF(OR($R253="Ghost",$R253="Rock",$R253="Ground",$R253="Poison"),1,0)),IF(OR($S253="Fairy",$S253="Grass"),0-1,IF(OR($S253="Ghost",$S253="Rock",$S253="Ground",$S253="Poison"),1,0))))</f>
        <v>0</v>
      </c>
      <c r="AQ253" s="507" t="n">
        <f aca="false">IF(OR($R253="Dark",$S253="Dark"),4,SUM(IF(OR($R253="Fighting",$R253="Poison"),0-1,IF(OR($R253="Psychic",$R253="Steel"),1,0)),IF(OR($S253="Fighting",$S253="Poison"),0-1,IF(OR($S253="Psychic",$S253="Steel"),1,0))))</f>
        <v>-1</v>
      </c>
      <c r="AR253" s="507" t="n">
        <f aca="false">SUM(IF(OR($R253="Bug",$R253="Fire",$R253="Flying",$R253="Ice"),0-1,IF(OR($R253="Steel",$R253="Fighting",$R253="Ground"),1,0)),IF(OR($S253="Bug",$S253="Fire",$S253="Flying",$S253="Ice"),0-1,IF(OR($S253="Steel",$S253="Fighting",$S253="Ground"),1,0)))</f>
        <v>1</v>
      </c>
      <c r="AS253" s="507" t="n">
        <f aca="false">SUM(IF(OR($R253="Fairy",$R253="Ice",$R253="Rock"),0-1,IF(OR($R253="Steel",$R253="Electric",$R253="Fire",$R253="Water"),1,0)),IF(OR($S253="Fairy",$S253="Ice",$S253="Rock"),0-1,IF(OR($S253="Steel",$S253="Electric",$S253="Fire",$S253="Water"),1,0)))</f>
        <v>0</v>
      </c>
      <c r="AT253" s="508" t="n">
        <f aca="false">SUM(IF(OR($R253="Fire",$R253="Ground",$R253="Rock"),0-1,IF(OR($R253="Dragon",$R253="Grass",$R253="Water"),1,0)),IF(OR($S253="Fire",$S253="Ground",$S253="Rock"),0-1,IF(OR($S253="Dragon",$S253="Grass",$S253="Water"),1,0)))</f>
        <v>0</v>
      </c>
      <c r="AU253" s="518"/>
    </row>
    <row r="254" customFormat="false" ht="15.75" hidden="false" customHeight="false" outlineLevel="0" collapsed="false">
      <c r="A254" s="515" t="str">
        <f aca="false" t="array" ref="A254:A254">IF(ISNA(INDEX(Source!$U$7:$U$95,MATCH(B254,Source!$V$7:$V$95,0))),"FREE",INDEX(Source!$U$7:$U$95,MATCH(B254,Source!$V$7:$V$95,0)))</f>
        <v>FREE</v>
      </c>
      <c r="B254" s="511" t="s">
        <v>432</v>
      </c>
      <c r="C254" s="511"/>
      <c r="D254" s="511"/>
      <c r="E254" s="499" t="str">
        <f aca="false">IF(SUM($W254:$X254)&gt;0,SUM($W254:$X254),IF($H254&gt;0,0,IF($H254&gt;0,0,"-")))</f>
        <v>-</v>
      </c>
      <c r="F254" s="499" t="str">
        <f aca="false">IF(SUM($Y254:$Z254)&gt;0,SUM($Y254:$Z254),IF($H254&gt;0,0,"-"))</f>
        <v>-</v>
      </c>
      <c r="G254" s="499" t="str">
        <f aca="false">IF($H254&gt;0,minus(E254,F254),"-")</f>
        <v>-</v>
      </c>
      <c r="H254" s="500" t="n">
        <f aca="false">SUM(COUNTIF(MatchSource!$A:$A,$B254),COUNTIF(MatchSource!$H:$H,$B254))</f>
        <v>0</v>
      </c>
      <c r="I254" s="501" t="n">
        <f aca="false">SUM($AA254:$AB254)</f>
        <v>0</v>
      </c>
      <c r="J254" s="501" t="s">
        <v>699</v>
      </c>
      <c r="K254" s="512" t="str">
        <f aca="false" t="array" ref="K254:K254">IF(ISNA(INDEX(DraftRosters!$AA$3:$AA$199,MATCH($B254,DraftRosters!$AB$3:$AB$199,0))),"FA",IF(INDEX(DraftRosters!$AA$3:$AA$199,MATCH($B254,DraftRosters!$AB$3:$AB$199,0))="Franchise","Franch",INDEX(DraftRosters!$AA$3:$AA$199,MATCH($B254,DraftRosters!$AB$3:$AB$199,0))))</f>
        <v>FA</v>
      </c>
      <c r="L254" s="507" t="n">
        <v>70</v>
      </c>
      <c r="M254" s="507" t="n">
        <v>110</v>
      </c>
      <c r="N254" s="507" t="n">
        <v>70</v>
      </c>
      <c r="O254" s="507" t="n">
        <v>115</v>
      </c>
      <c r="P254" s="507" t="n">
        <v>70</v>
      </c>
      <c r="Q254" s="508" t="n">
        <v>90</v>
      </c>
      <c r="R254" s="499" t="s">
        <v>881</v>
      </c>
      <c r="S254" s="501" t="s">
        <v>810</v>
      </c>
      <c r="T254" s="520" t="s">
        <v>829</v>
      </c>
      <c r="U254" s="513" t="s">
        <v>976</v>
      </c>
      <c r="V254" s="514" t="s">
        <v>815</v>
      </c>
      <c r="W254" s="500" t="str">
        <f aca="false">IFERROR(__xludf.dummyfunction("if(isna(SUM(FILTER(MatchSource!$A:$D,MatchSource!$A:$A=$B254))),0,SUM(FILTER(MatchSource!$A:$D,MatchSource!$A:$A=$B254)))"),"0")</f>
        <v>0</v>
      </c>
      <c r="X254" s="499" t="str">
        <f aca="false">IFERROR(__xludf.dummyfunction("if(isna(SUM(FILTER(MatchSource!$H:$K,MatchSource!$H:$H=$B254))),0,SUM(FILTER(MatchSource!$H:$K,MatchSource!$H:$H=$B254)))"),"0")</f>
        <v>0</v>
      </c>
      <c r="Y254" s="499" t="str">
        <f aca="false">IFERROR(__xludf.dummyfunction("if(isna(ABS(MINUS(SUM(FILTER(MatchSource!$A:$E,MatchSource!$A:$A=$B254)),SUM($W254)))),0,ABS(MINUS(SUM(FILTER(MatchSource!$A:$E,MatchSource!$A:$A=$B254)),SUM($W254))))"),"0")</f>
        <v>0</v>
      </c>
      <c r="Z254" s="499" t="str">
        <f aca="false">IFERROR(__xludf.dummyfunction("if(isna(ABS(MINUS(SUM(FILTER(MatchSource!$H:$L,MatchSource!$H:$H=$B254)),SUM($X254)))),0,ABS(MINUS(SUM(FILTER(MatchSource!$H:$L,MatchSource!$H:$H=$B254)),SUM($X254))))"),"0")</f>
        <v>0</v>
      </c>
      <c r="AA254" s="499" t="str">
        <f aca="false">IFERROR(__xludf.dummyfunction("if(isna(ABS(MINUS(SUM(FILTER(MatchSource!$A:$F,MatchSource!$A:$A=$B254)),SUM($W254,$Y254)))),0,ABS(MINUS(SUM(FILTER(MatchSource!$A:$F,MatchSource!$A:$A=$B254)),SUM($W254, $Y254,))))"),"0")</f>
        <v>0</v>
      </c>
      <c r="AB254" s="501" t="str">
        <f aca="false">IFERROR(__xludf.dummyfunction("if(isna(ABS(MINUS(SUM(FILTER(MatchSource!$H:$M,MatchSource!$H:$H=$B254)),SUM($X254,$Z254)))),0,ABS(MINUS(SUM(FILTER(MatchSource!$H:$M,MatchSource!$H:$H=$B254)),SUM($X254,$Z254))))"),"0")</f>
        <v>0</v>
      </c>
      <c r="AC254" s="507" t="n">
        <f aca="false">SUM(IF(OR($R254="Grass",$R254="Psychic",$R254="Dark"),0-1,IF(OR($R254="Fighting",$R254="Flying",$R254="Fire",$R254="Ghost",$R254="Poison",$R254="Steel",$R254="Fairy"),1,0)),IF(OR($S254="Grass",$S254="Psychic",$S254="Dark"),0-1,IF(OR($S254="Fighting",$S254="Flying",$S254="Fire",$S254="Ghost",$S254="Poison",$S254="Steel",$S254="Fairy"),1,0)))</f>
        <v>2</v>
      </c>
      <c r="AD254" s="507" t="n">
        <f aca="false">SUM(IF(OR($R254="Ghost",$R254="Psychic"),0-1,IF(OR($R254="Fighting",$R254="Dark",$R254="Fairy"),1,0)),IF(OR($S254="Ghost",$S254="Psychic"),0-1,IF(OR($S254="Fighting",$S254="Dark",$S254="Fairy"),1,0)))</f>
        <v>1</v>
      </c>
      <c r="AE254" s="507" t="n">
        <f aca="false">IF(OR($R254="Fairy",$S254="Fairy"),4,SUM(IF($R254="Dragon",0-1,IF($R254="Steel",1,0)),IF($S254="Dragon",0-1,IF($S254="Steel",1,0))))</f>
        <v>1</v>
      </c>
      <c r="AF254" s="507" t="n">
        <f aca="false">IF(OR($R254="Ground",$S254="Ground"),4,SUM(IF(OR($R254="Flying",$R254="Water"),0-1,IF(OR($R254="Dragon",$R254="Electric",$R254="Grass"),1,0)),IF(OR($S254="Flying",$S254="Water"),0-1,IF(OR($S254="Dragon",$S254="Electric",$S254="Grass"),1,0))))</f>
        <v>0</v>
      </c>
      <c r="AG254" s="507" t="n">
        <f aca="false">SUM(IF(OR($R254="Dark",$R254="Dragon",$R254="Fighting"),0-1,IF(OR($R254="Steel",$R254="Poison",$R254="Fire"),1,0)),IF(OR($S254="Dark",$S254="Dragon",$S254="Fighting"),0-1,IF(OR($S254="Steel",$S254="Poison",$S254="Fire"),1,0)))</f>
        <v>0</v>
      </c>
      <c r="AH254" s="507" t="n">
        <f aca="false">IF(OR($R254="Ghost",$S254="Ghost"),4,SUM(IF(OR($R254="Dark",$R254="Ice",$R254="Normal",$R254="Rock",$R254="Steel"),0-1,IF(OR($R254="Bug",$R254="Fairy",$R254="Flying",$R254="Poison",$R254="Psychic"),1,0)),IF(OR($S254="Dark",$S254="Ice",$S254="Normal",$S254="Rock",$S254="Steel"),0-1,IF(OR($S254="Bug",$S254="Fairy",$S254="Flying",$S254="Poison",$S254="Psychic"),1,0))))</f>
        <v>-1</v>
      </c>
      <c r="AI254" s="507" t="n">
        <f aca="false">SUM(IF(OR($R254="Bug",$R254="Grass",$R254="Ice",$R254="Steel"),0-1,IF(OR($R254="Dragon",$R254="Fire",$R254="Rock",$R254="Water"),1,0)),IF(OR($S254="Bug",$S254="Grass",$S254="Ice",$S254="Steel"),0-1,IF(OR($S254="Dragon",$S254="Fire",$S254="Rock",$S254="Water"),1,0)))</f>
        <v>-1</v>
      </c>
      <c r="AJ254" s="507" t="n">
        <f aca="false">SUM(IF(OR($R254="Bug",$R254="Grass",$R254="Fighting"),0-1,IF(OR($R254="Electric",$R254="Rock",$R254="Steel"),1,0)),IF(OR($S254="Bug",$S254="Grass",$S254="Fighting"),0-1,IF(OR($S254="Electric",$S254="Rock",$S254="Steel"),1,0)))</f>
        <v>0</v>
      </c>
      <c r="AK254" s="507" t="n">
        <f aca="false">IF(OR($R254="Normal",$S254="Normal"),4,SUM(IF(OR($R254="Ghost",$R254="Psychic"),0-1,IF($R254="Dark",1,0)),IF(OR($S254="Ghost",$S254="Psychic"),0-1,IF($S254="Dark",1,0))))</f>
        <v>0</v>
      </c>
      <c r="AL254" s="507" t="n">
        <f aca="false">SUM(IF(OR($R254="Ground",$R254="Rock",$R254="Water"),0-1,IF(OR($R254="Bug",$R254="Flying",$R254="Fire",$R254="Dragon",$R254="Poison",$R254="Steel",$R254="Grass"),1,0)),IF(OR($S254="Ground",$S254="Rock",$S254="Water"),0-1,IF(OR($S254="Bug",$S254="Flying",$S254="Fire",$S254="Dragon",$S254="Poison",$S254="Steel",$S254="Grass"),1,0)))</f>
        <v>1</v>
      </c>
      <c r="AM254" s="507" t="n">
        <f aca="false">IF(OR($R254="Flying",$S254="Flying"),4,SUM(IF(OR($R254="Electric",$R254="Fire",$R254="Rock",$R254="Steel",$R254="Poison"),0-1,IF(OR($R254="Bug",$R254="Grass"),1,0)),IF(OR($S254="Electric",$S254="Fire",$S254="Rock",$S254="Steel",$S254="Poison"),0-1,IF(OR($S254="Bug",$S254="Grass"),1,0))))</f>
        <v>-1</v>
      </c>
      <c r="AN254" s="507" t="n">
        <f aca="false">SUM(IF(OR($R254="Flying",$R254="Dragon",$R254="Grass",$R254="Ground"),0-1,IF(OR($R254="Steel",$R254="Ice",$R254="Fire",$R254="Water"),1,0)),IF(OR($S254="Flying",$S254="Dragon",$S254="Grass",$S254="Ground"),0-1,IF(OR($S254="Steel",$S254="Ice",$S254="Fire",$S254="Water"),1,0)))</f>
        <v>1</v>
      </c>
      <c r="AO254" s="507" t="n">
        <f aca="false">IF(OR($R254="Ghost",$S254="Ghost"),4,SUM(IF(OR($R254="Steel",$R254="Rock"),1,0),IF(OR($S254="Steel",$S254="Rock"),1,0)))</f>
        <v>1</v>
      </c>
      <c r="AP254" s="507" t="n">
        <f aca="false">IF(OR($R254="Steel",$S254="Steel"),4,SUM(IF(OR($R254="Fairy",$R254="Grass"),0-1,IF(OR($R254="Ghost",$R254="Rock",$R254="Ground",$R254="Poison"),1,0)),IF(OR($S254="Fairy",$S254="Grass"),0-1,IF(OR($S254="Ghost",$S254="Rock",$S254="Ground",$S254="Poison"),1,0))))</f>
        <v>4</v>
      </c>
      <c r="AQ254" s="507" t="n">
        <f aca="false">IF(OR($R254="Dark",$S254="Dark"),4,SUM(IF(OR($R254="Fighting",$R254="Poison"),0-1,IF(OR($R254="Psychic",$R254="Steel"),1,0)),IF(OR($S254="Fighting",$S254="Poison"),0-1,IF(OR($S254="Psychic",$S254="Steel"),1,0))))</f>
        <v>0</v>
      </c>
      <c r="AR254" s="507" t="n">
        <f aca="false">SUM(IF(OR($R254="Bug",$R254="Fire",$R254="Flying",$R254="Ice"),0-1,IF(OR($R254="Steel",$R254="Fighting",$R254="Ground"),1,0)),IF(OR($S254="Bug",$S254="Fire",$S254="Flying",$S254="Ice"),0-1,IF(OR($S254="Steel",$S254="Fighting",$S254="Ground"),1,0)))</f>
        <v>2</v>
      </c>
      <c r="AS254" s="507" t="n">
        <f aca="false">SUM(IF(OR($R254="Fairy",$R254="Ice",$R254="Rock"),0-1,IF(OR($R254="Steel",$R254="Electric",$R254="Fire",$R254="Water"),1,0)),IF(OR($S254="Fairy",$S254="Ice",$S254="Rock"),0-1,IF(OR($S254="Steel",$S254="Electric",$S254="Fire",$S254="Water"),1,0)))</f>
        <v>1</v>
      </c>
      <c r="AT254" s="508" t="n">
        <f aca="false">SUM(IF(OR($R254="Fire",$R254="Ground",$R254="Rock"),0-1,IF(OR($R254="Dragon",$R254="Grass",$R254="Water"),1,0)),IF(OR($S254="Fire",$S254="Ground",$S254="Rock"),0-1,IF(OR($S254="Dragon",$S254="Grass",$S254="Water"),1,0)))</f>
        <v>0</v>
      </c>
      <c r="AU254" s="518"/>
    </row>
    <row r="255" customFormat="false" ht="15.75" hidden="false" customHeight="false" outlineLevel="0" collapsed="false">
      <c r="A255" s="510" t="str">
        <f aca="false" t="array" ref="A255:A255">IF(ISNA(INDEX(Source!$U$7:$U$95,MATCH(B255,Source!$V$7:$V$95,0))),"FREE",INDEX(Source!$U$7:$U$95,MATCH(B255,Source!$V$7:$V$95,0)))</f>
        <v>FREE</v>
      </c>
      <c r="B255" s="511" t="s">
        <v>548</v>
      </c>
      <c r="C255" s="511"/>
      <c r="D255" s="511"/>
      <c r="E255" s="499" t="str">
        <f aca="false">IF(SUM($W255:$X255)&gt;0,SUM($W255:$X255),IF($H255&gt;0,0,IF($H255&gt;0,0,"-")))</f>
        <v>-</v>
      </c>
      <c r="F255" s="499" t="str">
        <f aca="false">IF(SUM($Y255:$Z255)&gt;0,SUM($Y255:$Z255),IF($H255&gt;0,0,"-"))</f>
        <v>-</v>
      </c>
      <c r="G255" s="499" t="str">
        <f aca="false">IF($H255&gt;0,minus(E255,F255),"-")</f>
        <v>-</v>
      </c>
      <c r="H255" s="500" t="n">
        <f aca="false">SUM(COUNTIF(MatchSource!$A:$A,$B255),COUNTIF(MatchSource!$H:$H,$B255))</f>
        <v>0</v>
      </c>
      <c r="I255" s="501" t="n">
        <f aca="false">SUM($AA255:$AB255)</f>
        <v>0</v>
      </c>
      <c r="J255" s="501" t="s">
        <v>701</v>
      </c>
      <c r="K255" s="512" t="str">
        <f aca="false" t="array" ref="K255:K255">IF(ISNA(INDEX(DraftRosters!$AA$3:$AA$199,MATCH($B255,DraftRosters!$AB$3:$AB$199,0))),"FA",IF(INDEX(DraftRosters!$AA$3:$AA$199,MATCH($B255,DraftRosters!$AB$3:$AB$199,0))="Franchise","Franch",INDEX(DraftRosters!$AA$3:$AA$199,MATCH($B255,DraftRosters!$AB$3:$AB$199,0))))</f>
        <v>FA</v>
      </c>
      <c r="L255" s="499" t="n">
        <v>80</v>
      </c>
      <c r="M255" s="499" t="n">
        <v>70</v>
      </c>
      <c r="N255" s="499" t="n">
        <v>70</v>
      </c>
      <c r="O255" s="499" t="n">
        <v>90</v>
      </c>
      <c r="P255" s="499" t="n">
        <v>100</v>
      </c>
      <c r="Q255" s="501" t="n">
        <v>70</v>
      </c>
      <c r="R255" s="499" t="s">
        <v>803</v>
      </c>
      <c r="S255" s="501" t="s">
        <v>811</v>
      </c>
      <c r="T255" s="520" t="s">
        <v>865</v>
      </c>
      <c r="U255" s="513" t="s">
        <v>859</v>
      </c>
      <c r="V255" s="514" t="s">
        <v>891</v>
      </c>
      <c r="W255" s="500" t="str">
        <f aca="false">IFERROR(__xludf.dummyfunction("if(isna(SUM(FILTER(MatchSource!$A:$D,MatchSource!$A:$A=$B255))),0,SUM(FILTER(MatchSource!$A:$D,MatchSource!$A:$A=$B255)))"),"0")</f>
        <v>0</v>
      </c>
      <c r="X255" s="499" t="str">
        <f aca="false">IFERROR(__xludf.dummyfunction("if(isna(SUM(FILTER(MatchSource!$H:$K,MatchSource!$H:$H=$B255))),0,SUM(FILTER(MatchSource!$H:$K,MatchSource!$H:$H=$B255)))"),"0")</f>
        <v>0</v>
      </c>
      <c r="Y255" s="499" t="str">
        <f aca="false">IFERROR(__xludf.dummyfunction("if(isna(ABS(MINUS(SUM(FILTER(MatchSource!$A:$E,MatchSource!$A:$A=$B255)),SUM($W255)))),0,ABS(MINUS(SUM(FILTER(MatchSource!$A:$E,MatchSource!$A:$A=$B255)),SUM($W255))))"),"0")</f>
        <v>0</v>
      </c>
      <c r="Z255" s="499" t="str">
        <f aca="false">IFERROR(__xludf.dummyfunction("if(isna(ABS(MINUS(SUM(FILTER(MatchSource!$H:$L,MatchSource!$H:$H=$B255)),SUM($X255)))),0,ABS(MINUS(SUM(FILTER(MatchSource!$H:$L,MatchSource!$H:$H=$B255)),SUM($X255))))"),"0")</f>
        <v>0</v>
      </c>
      <c r="AA255" s="499" t="str">
        <f aca="false">IFERROR(__xludf.dummyfunction("if(isna(ABS(MINUS(SUM(FILTER(MatchSource!$A:$F,MatchSource!$A:$A=$B255)),SUM($W255,$Y255)))),0,ABS(MINUS(SUM(FILTER(MatchSource!$A:$F,MatchSource!$A:$A=$B255)),SUM($W255, $Y255,))))"),"0")</f>
        <v>0</v>
      </c>
      <c r="AB255" s="501" t="str">
        <f aca="false">IFERROR(__xludf.dummyfunction("if(isna(ABS(MINUS(SUM(FILTER(MatchSource!$H:$M,MatchSource!$H:$H=$B255)),SUM($X255,$Z255)))),0,ABS(MINUS(SUM(FILTER(MatchSource!$H:$M,MatchSource!$H:$H=$B255)),SUM($X255,$Z255))))"),"0")</f>
        <v>0</v>
      </c>
      <c r="AC255" s="507" t="n">
        <f aca="false">SUM(IF(OR($R255="Grass",$R255="Psychic",$R255="Dark"),0-1,IF(OR($R255="Fighting",$R255="Flying",$R255="Fire",$R255="Ghost",$R255="Poison",$R255="Steel",$R255="Fairy"),1,0)),IF(OR($S255="Grass",$S255="Psychic",$S255="Dark"),0-1,IF(OR($S255="Fighting",$S255="Flying",$S255="Fire",$S255="Ghost",$S255="Poison",$S255="Steel",$S255="Fairy"),1,0)))</f>
        <v>-1</v>
      </c>
      <c r="AD255" s="507" t="n">
        <f aca="false">SUM(IF(OR($R255="Ghost",$R255="Psychic"),0-1,IF(OR($R255="Fighting",$R255="Dark",$R255="Fairy"),1,0)),IF(OR($S255="Ghost",$S255="Psychic"),0-1,IF(OR($S255="Fighting",$S255="Dark",$S255="Fairy"),1,0)))</f>
        <v>0</v>
      </c>
      <c r="AE255" s="507" t="n">
        <f aca="false">IF(OR($R255="Fairy",$S255="Fairy"),4,SUM(IF($R255="Dragon",0-1,IF($R255="Steel",1,0)),IF($S255="Dragon",0-1,IF($S255="Steel",1,0))))</f>
        <v>0</v>
      </c>
      <c r="AF255" s="507" t="n">
        <f aca="false">IF(OR($R255="Ground",$S255="Ground"),4,SUM(IF(OR($R255="Flying",$R255="Water"),0-1,IF(OR($R255="Dragon",$R255="Electric",$R255="Grass"),1,0)),IF(OR($S255="Flying",$S255="Water"),0-1,IF(OR($S255="Dragon",$S255="Electric",$S255="Grass"),1,0))))</f>
        <v>0</v>
      </c>
      <c r="AG255" s="507" t="n">
        <f aca="false">SUM(IF(OR($R255="Dark",$R255="Dragon",$R255="Fighting"),0-1,IF(OR($R255="Steel",$R255="Poison",$R255="Fire"),1,0)),IF(OR($S255="Dark",$S255="Dragon",$S255="Fighting"),0-1,IF(OR($S255="Steel",$S255="Poison",$S255="Fire"),1,0)))</f>
        <v>0</v>
      </c>
      <c r="AH255" s="507" t="n">
        <f aca="false">IF(OR($R255="Ghost",$S255="Ghost"),4,SUM(IF(OR($R255="Dark",$R255="Ice",$R255="Normal",$R255="Rock",$R255="Steel"),0-1,IF(OR($R255="Bug",$R255="Fairy",$R255="Flying",$R255="Poison",$R255="Psychic"),1,0)),IF(OR($S255="Dark",$S255="Ice",$S255="Normal",$S255="Rock",$S255="Steel"),0-1,IF(OR($S255="Bug",$S255="Fairy",$S255="Flying",$S255="Poison",$S255="Psychic"),1,0))))</f>
        <v>0</v>
      </c>
      <c r="AI255" s="507" t="n">
        <f aca="false">SUM(IF(OR($R255="Bug",$R255="Grass",$R255="Ice",$R255="Steel"),0-1,IF(OR($R255="Dragon",$R255="Fire",$R255="Rock",$R255="Water"),1,0)),IF(OR($S255="Bug",$S255="Grass",$S255="Ice",$S255="Steel"),0-1,IF(OR($S255="Dragon",$S255="Fire",$S255="Rock",$S255="Water"),1,0)))</f>
        <v>0</v>
      </c>
      <c r="AJ255" s="507" t="n">
        <f aca="false">SUM(IF(OR($R255="Bug",$R255="Grass",$R255="Fighting"),0-1,IF(OR($R255="Electric",$R255="Rock",$R255="Steel"),1,0)),IF(OR($S255="Bug",$S255="Grass",$S255="Fighting"),0-1,IF(OR($S255="Electric",$S255="Rock",$S255="Steel"),1,0)))</f>
        <v>-1</v>
      </c>
      <c r="AK255" s="507" t="n">
        <f aca="false">IF(OR($R255="Normal",$S255="Normal"),4,SUM(IF(OR($R255="Ghost",$R255="Psychic"),0-1,IF($R255="Dark",1,0)),IF(OR($S255="Ghost",$S255="Psychic"),0-1,IF($S255="Dark",1,0))))</f>
        <v>0</v>
      </c>
      <c r="AL255" s="507" t="n">
        <f aca="false">SUM(IF(OR($R255="Ground",$R255="Rock",$R255="Water"),0-1,IF(OR($R255="Bug",$R255="Flying",$R255="Fire",$R255="Dragon",$R255="Poison",$R255="Steel",$R255="Grass"),1,0)),IF(OR($S255="Ground",$S255="Rock",$S255="Water"),0-1,IF(OR($S255="Bug",$S255="Flying",$S255="Fire",$S255="Dragon",$S255="Poison",$S255="Steel",$S255="Grass"),1,0)))</f>
        <v>0</v>
      </c>
      <c r="AM255" s="507" t="n">
        <f aca="false">IF(OR($R255="Flying",$S255="Flying"),4,SUM(IF(OR($R255="Electric",$R255="Fire",$R255="Rock",$R255="Steel",$R255="Poison"),0-1,IF(OR($R255="Bug",$R255="Grass"),1,0)),IF(OR($S255="Electric",$S255="Fire",$S255="Rock",$S255="Steel",$S255="Poison"),0-1,IF(OR($S255="Bug",$S255="Grass"),1,0))))</f>
        <v>1</v>
      </c>
      <c r="AN255" s="507" t="n">
        <f aca="false">SUM(IF(OR($R255="Flying",$R255="Dragon",$R255="Grass",$R255="Ground"),0-1,IF(OR($R255="Steel",$R255="Ice",$R255="Fire",$R255="Water"),1,0)),IF(OR($S255="Flying",$S255="Dragon",$S255="Grass",$S255="Ground"),0-1,IF(OR($S255="Steel",$S255="Ice",$S255="Fire",$S255="Water"),1,0)))</f>
        <v>0</v>
      </c>
      <c r="AO255" s="507" t="n">
        <f aca="false">IF(OR($R255="Ghost",$S255="Ghost"),4,SUM(IF(OR($R255="Steel",$R255="Rock"),1,0),IF(OR($S255="Steel",$S255="Rock"),1,0)))</f>
        <v>0</v>
      </c>
      <c r="AP255" s="507" t="n">
        <f aca="false">IF(OR($R255="Steel",$S255="Steel"),4,SUM(IF(OR($R255="Fairy",$R255="Grass"),0-1,IF(OR($R255="Ghost",$R255="Rock",$R255="Ground",$R255="Poison"),1,0)),IF(OR($S255="Fairy",$S255="Grass"),0-1,IF(OR($S255="Ghost",$S255="Rock",$S255="Ground",$S255="Poison"),1,0))))</f>
        <v>-1</v>
      </c>
      <c r="AQ255" s="507" t="n">
        <f aca="false">IF(OR($R255="Dark",$S255="Dark"),4,SUM(IF(OR($R255="Fighting",$R255="Poison"),0-1,IF(OR($R255="Psychic",$R255="Steel"),1,0)),IF(OR($S255="Fighting",$S255="Poison"),0-1,IF(OR($S255="Psychic",$S255="Steel"),1,0))))</f>
        <v>0</v>
      </c>
      <c r="AR255" s="507" t="n">
        <f aca="false">SUM(IF(OR($R255="Bug",$R255="Fire",$R255="Flying",$R255="Ice"),0-1,IF(OR($R255="Steel",$R255="Fighting",$R255="Ground"),1,0)),IF(OR($S255="Bug",$S255="Fire",$S255="Flying",$S255="Ice"),0-1,IF(OR($S255="Steel",$S255="Fighting",$S255="Ground"),1,0)))</f>
        <v>0</v>
      </c>
      <c r="AS255" s="507" t="n">
        <f aca="false">SUM(IF(OR($R255="Fairy",$R255="Ice",$R255="Rock"),0-1,IF(OR($R255="Steel",$R255="Electric",$R255="Fire",$R255="Water"),1,0)),IF(OR($S255="Fairy",$S255="Ice",$S255="Rock"),0-1,IF(OR($S255="Steel",$S255="Electric",$S255="Fire",$S255="Water"),1,0)))</f>
        <v>1</v>
      </c>
      <c r="AT255" s="508" t="n">
        <f aca="false">SUM(IF(OR($R255="Fire",$R255="Ground",$R255="Rock"),0-1,IF(OR($R255="Dragon",$R255="Grass",$R255="Water"),1,0)),IF(OR($S255="Fire",$S255="Ground",$S255="Rock"),0-1,IF(OR($S255="Dragon",$S255="Grass",$S255="Water"),1,0)))</f>
        <v>2</v>
      </c>
      <c r="AU255" s="518"/>
    </row>
    <row r="256" customFormat="false" ht="15.75" hidden="false" customHeight="false" outlineLevel="0" collapsed="false">
      <c r="A256" s="510" t="str">
        <f aca="false" t="array" ref="A256:A256">IF(ISNA(INDEX(Source!$U$7:$U$95,MATCH(B256,Source!$V$7:$V$95,0))),"FREE",INDEX(Source!$U$7:$U$95,MATCH(B256,Source!$V$7:$V$95,0)))</f>
        <v>FREE</v>
      </c>
      <c r="B256" s="511" t="s">
        <v>686</v>
      </c>
      <c r="C256" s="511"/>
      <c r="D256" s="511"/>
      <c r="E256" s="499" t="str">
        <f aca="false">IF(SUM($W256:$X256)&gt;0,SUM($W256:$X256),IF($H256&gt;0,0,IF($H256&gt;0,0,"-")))</f>
        <v>-</v>
      </c>
      <c r="F256" s="499" t="str">
        <f aca="false">IF(SUM($Y256:$Z256)&gt;0,SUM($Y256:$Z256),IF($H256&gt;0,0,"-"))</f>
        <v>-</v>
      </c>
      <c r="G256" s="499" t="str">
        <f aca="false">IF($H256&gt;0,minus(E256,F256),"-")</f>
        <v>-</v>
      </c>
      <c r="H256" s="500" t="n">
        <f aca="false">SUM(COUNTIF(MatchSource!$A:$A,$B256),COUNTIF(MatchSource!$H:$H,$B256))</f>
        <v>0</v>
      </c>
      <c r="I256" s="501" t="n">
        <f aca="false">SUM($AA256:$AB256)</f>
        <v>0</v>
      </c>
      <c r="J256" s="501" t="s">
        <v>702</v>
      </c>
      <c r="K256" s="512" t="str">
        <f aca="false" t="array" ref="K256:K256">IF(ISNA(INDEX(DraftRosters!$AA$3:$AA$199,MATCH($B256,DraftRosters!$AB$3:$AB$199,0))),"FA",IF(INDEX(DraftRosters!$AA$3:$AA$199,MATCH($B256,DraftRosters!$AB$3:$AB$199,0))="Franchise","Franch",INDEX(DraftRosters!$AA$3:$AA$199,MATCH($B256,DraftRosters!$AB$3:$AB$199,0))))</f>
        <v>FA</v>
      </c>
      <c r="L256" s="499" t="n">
        <v>69</v>
      </c>
      <c r="M256" s="499" t="n">
        <v>69</v>
      </c>
      <c r="N256" s="499" t="n">
        <v>76</v>
      </c>
      <c r="O256" s="499" t="n">
        <v>69</v>
      </c>
      <c r="P256" s="499" t="n">
        <v>86</v>
      </c>
      <c r="Q256" s="501" t="n">
        <v>91</v>
      </c>
      <c r="R256" s="499" t="s">
        <v>811</v>
      </c>
      <c r="S256" s="501"/>
      <c r="T256" s="520" t="s">
        <v>934</v>
      </c>
      <c r="U256" s="513" t="s">
        <v>973</v>
      </c>
      <c r="V256" s="514" t="s">
        <v>859</v>
      </c>
      <c r="W256" s="500" t="str">
        <f aca="false">IFERROR(__xludf.dummyfunction("if(isna(SUM(FILTER(MatchSource!$A:$D,MatchSource!$A:$A=$B256))),0,SUM(FILTER(MatchSource!$A:$D,MatchSource!$A:$A=$B256)))"),"0")</f>
        <v>0</v>
      </c>
      <c r="X256" s="499" t="str">
        <f aca="false">IFERROR(__xludf.dummyfunction("if(isna(SUM(FILTER(MatchSource!$H:$K,MatchSource!$H:$H=$B256))),0,SUM(FILTER(MatchSource!$H:$K,MatchSource!$H:$H=$B256)))"),"0")</f>
        <v>0</v>
      </c>
      <c r="Y256" s="499" t="str">
        <f aca="false">IFERROR(__xludf.dummyfunction("if(isna(ABS(MINUS(SUM(FILTER(MatchSource!$A:$E,MatchSource!$A:$A=$B256)),SUM($W256)))),0,ABS(MINUS(SUM(FILTER(MatchSource!$A:$E,MatchSource!$A:$A=$B256)),SUM($W256))))"),"0")</f>
        <v>0</v>
      </c>
      <c r="Z256" s="499" t="str">
        <f aca="false">IFERROR(__xludf.dummyfunction("if(isna(ABS(MINUS(SUM(FILTER(MatchSource!$H:$L,MatchSource!$H:$H=$B256)),SUM($X256)))),0,ABS(MINUS(SUM(FILTER(MatchSource!$H:$L,MatchSource!$H:$H=$B256)),SUM($X256))))"),"0")</f>
        <v>0</v>
      </c>
      <c r="AA256" s="499" t="str">
        <f aca="false">IFERROR(__xludf.dummyfunction("if(isna(ABS(MINUS(SUM(FILTER(MatchSource!$A:$F,MatchSource!$A:$A=$B256)),SUM($W256,$Y256)))),0,ABS(MINUS(SUM(FILTER(MatchSource!$A:$F,MatchSource!$A:$A=$B256)),SUM($W256, $Y256,))))"),"0")</f>
        <v>0</v>
      </c>
      <c r="AB256" s="501" t="str">
        <f aca="false">IFERROR(__xludf.dummyfunction("if(isna(ABS(MINUS(SUM(FILTER(MatchSource!$H:$M,MatchSource!$H:$H=$B256)),SUM($X256,$Z256)))),0,ABS(MINUS(SUM(FILTER(MatchSource!$H:$M,MatchSource!$H:$H=$B256)),SUM($X256,$Z256))))"),"0")</f>
        <v>0</v>
      </c>
      <c r="AC256" s="507" t="n">
        <f aca="false">SUM(IF(OR($R256="Grass",$R256="Psychic",$R256="Dark"),0-1,IF(OR($R256="Fighting",$R256="Flying",$R256="Fire",$R256="Ghost",$R256="Poison",$R256="Steel",$R256="Fairy"),1,0)),IF(OR($S256="Grass",$S256="Psychic",$S256="Dark"),0-1,IF(OR($S256="Fighting",$S256="Flying",$S256="Fire",$S256="Ghost",$S256="Poison",$S256="Steel",$S256="Fairy"),1,0)))</f>
        <v>0</v>
      </c>
      <c r="AD256" s="507" t="n">
        <f aca="false">SUM(IF(OR($R256="Ghost",$R256="Psychic"),0-1,IF(OR($R256="Fighting",$R256="Dark",$R256="Fairy"),1,0)),IF(OR($S256="Ghost",$S256="Psychic"),0-1,IF(OR($S256="Fighting",$S256="Dark",$S256="Fairy"),1,0)))</f>
        <v>0</v>
      </c>
      <c r="AE256" s="507" t="n">
        <f aca="false">IF(OR($R256="Fairy",$S256="Fairy"),4,SUM(IF($R256="Dragon",0-1,IF($R256="Steel",1,0)),IF($S256="Dragon",0-1,IF($S256="Steel",1,0))))</f>
        <v>0</v>
      </c>
      <c r="AF256" s="507" t="n">
        <f aca="false">IF(OR($R256="Ground",$S256="Ground"),4,SUM(IF(OR($R256="Flying",$R256="Water"),0-1,IF(OR($R256="Dragon",$R256="Electric",$R256="Grass"),1,0)),IF(OR($S256="Flying",$S256="Water"),0-1,IF(OR($S256="Dragon",$S256="Electric",$S256="Grass"),1,0))))</f>
        <v>-1</v>
      </c>
      <c r="AG256" s="507" t="n">
        <f aca="false">SUM(IF(OR($R256="Dark",$R256="Dragon",$R256="Fighting"),0-1,IF(OR($R256="Steel",$R256="Poison",$R256="Fire"),1,0)),IF(OR($S256="Dark",$S256="Dragon",$S256="Fighting"),0-1,IF(OR($S256="Steel",$S256="Poison",$S256="Fire"),1,0)))</f>
        <v>0</v>
      </c>
      <c r="AH256" s="507" t="n">
        <f aca="false">IF(OR($R256="Ghost",$S256="Ghost"),4,SUM(IF(OR($R256="Dark",$R256="Ice",$R256="Normal",$R256="Rock",$R256="Steel"),0-1,IF(OR($R256="Bug",$R256="Fairy",$R256="Flying",$R256="Poison",$R256="Psychic"),1,0)),IF(OR($S256="Dark",$S256="Ice",$S256="Normal",$S256="Rock",$S256="Steel"),0-1,IF(OR($S256="Bug",$S256="Fairy",$S256="Flying",$S256="Poison",$S256="Psychic"),1,0))))</f>
        <v>0</v>
      </c>
      <c r="AI256" s="507" t="n">
        <f aca="false">SUM(IF(OR($R256="Bug",$R256="Grass",$R256="Ice",$R256="Steel"),0-1,IF(OR($R256="Dragon",$R256="Fire",$R256="Rock",$R256="Water"),1,0)),IF(OR($S256="Bug",$S256="Grass",$S256="Ice",$S256="Steel"),0-1,IF(OR($S256="Dragon",$S256="Fire",$S256="Rock",$S256="Water"),1,0)))</f>
        <v>1</v>
      </c>
      <c r="AJ256" s="507" t="n">
        <f aca="false">SUM(IF(OR($R256="Bug",$R256="Grass",$R256="Fighting"),0-1,IF(OR($R256="Electric",$R256="Rock",$R256="Steel"),1,0)),IF(OR($S256="Bug",$S256="Grass",$S256="Fighting"),0-1,IF(OR($S256="Electric",$S256="Rock",$S256="Steel"),1,0)))</f>
        <v>0</v>
      </c>
      <c r="AK256" s="507" t="n">
        <f aca="false">IF(OR($R256="Normal",$S256="Normal"),4,SUM(IF(OR($R256="Ghost",$R256="Psychic"),0-1,IF($R256="Dark",1,0)),IF(OR($S256="Ghost",$S256="Psychic"),0-1,IF($S256="Dark",1,0))))</f>
        <v>0</v>
      </c>
      <c r="AL256" s="507" t="n">
        <f aca="false">SUM(IF(OR($R256="Ground",$R256="Rock",$R256="Water"),0-1,IF(OR($R256="Bug",$R256="Flying",$R256="Fire",$R256="Dragon",$R256="Poison",$R256="Steel",$R256="Grass"),1,0)),IF(OR($S256="Ground",$S256="Rock",$S256="Water"),0-1,IF(OR($S256="Bug",$S256="Flying",$S256="Fire",$S256="Dragon",$S256="Poison",$S256="Steel",$S256="Grass"),1,0)))</f>
        <v>-1</v>
      </c>
      <c r="AM256" s="507" t="n">
        <f aca="false">IF(OR($R256="Flying",$S256="Flying"),4,SUM(IF(OR($R256="Electric",$R256="Fire",$R256="Rock",$R256="Steel",$R256="Poison"),0-1,IF(OR($R256="Bug",$R256="Grass"),1,0)),IF(OR($S256="Electric",$S256="Fire",$S256="Rock",$S256="Steel",$S256="Poison"),0-1,IF(OR($S256="Bug",$S256="Grass"),1,0))))</f>
        <v>0</v>
      </c>
      <c r="AN256" s="507" t="n">
        <f aca="false">SUM(IF(OR($R256="Flying",$R256="Dragon",$R256="Grass",$R256="Ground"),0-1,IF(OR($R256="Steel",$R256="Ice",$R256="Fire",$R256="Water"),1,0)),IF(OR($S256="Flying",$S256="Dragon",$S256="Grass",$S256="Ground"),0-1,IF(OR($S256="Steel",$S256="Ice",$S256="Fire",$S256="Water"),1,0)))</f>
        <v>1</v>
      </c>
      <c r="AO256" s="507" t="n">
        <f aca="false">IF(OR($R256="Ghost",$S256="Ghost"),4,SUM(IF(OR($R256="Steel",$R256="Rock"),1,0),IF(OR($S256="Steel",$S256="Rock"),1,0)))</f>
        <v>0</v>
      </c>
      <c r="AP256" s="507" t="n">
        <f aca="false">IF(OR($R256="Steel",$S256="Steel"),4,SUM(IF(OR($R256="Fairy",$R256="Grass"),0-1,IF(OR($R256="Ghost",$R256="Rock",$R256="Ground",$R256="Poison"),1,0)),IF(OR($S256="Fairy",$S256="Grass"),0-1,IF(OR($S256="Ghost",$S256="Rock",$S256="Ground",$S256="Poison"),1,0))))</f>
        <v>0</v>
      </c>
      <c r="AQ256" s="507" t="n">
        <f aca="false">IF(OR($R256="Dark",$S256="Dark"),4,SUM(IF(OR($R256="Fighting",$R256="Poison"),0-1,IF(OR($R256="Psychic",$R256="Steel"),1,0)),IF(OR($S256="Fighting",$S256="Poison"),0-1,IF(OR($S256="Psychic",$S256="Steel"),1,0))))</f>
        <v>0</v>
      </c>
      <c r="AR256" s="507" t="n">
        <f aca="false">SUM(IF(OR($R256="Bug",$R256="Fire",$R256="Flying",$R256="Ice"),0-1,IF(OR($R256="Steel",$R256="Fighting",$R256="Ground"),1,0)),IF(OR($S256="Bug",$S256="Fire",$S256="Flying",$S256="Ice"),0-1,IF(OR($S256="Steel",$S256="Fighting",$S256="Ground"),1,0)))</f>
        <v>0</v>
      </c>
      <c r="AS256" s="507" t="n">
        <f aca="false">SUM(IF(OR($R256="Fairy",$R256="Ice",$R256="Rock"),0-1,IF(OR($R256="Steel",$R256="Electric",$R256="Fire",$R256="Water"),1,0)),IF(OR($S256="Fairy",$S256="Ice",$S256="Rock"),0-1,IF(OR($S256="Steel",$S256="Electric",$S256="Fire",$S256="Water"),1,0)))</f>
        <v>1</v>
      </c>
      <c r="AT256" s="508" t="n">
        <f aca="false">SUM(IF(OR($R256="Fire",$R256="Ground",$R256="Rock"),0-1,IF(OR($R256="Dragon",$R256="Grass",$R256="Water"),1,0)),IF(OR($S256="Fire",$S256="Ground",$S256="Rock"),0-1,IF(OR($S256="Dragon",$S256="Grass",$S256="Water"),1,0)))</f>
        <v>1</v>
      </c>
      <c r="AU256" s="518"/>
    </row>
    <row r="257" customFormat="false" ht="15.75" hidden="false" customHeight="false" outlineLevel="0" collapsed="false">
      <c r="A257" s="515" t="str">
        <f aca="false" t="array" ref="A257:A257">IF(ISNA(INDEX(Source!$U$7:$U$95,MATCH(B257,Source!$V$7:$V$95,0))),"FREE",INDEX(Source!$U$7:$U$95,MATCH(B257,Source!$V$7:$V$95,0)))</f>
        <v>FREE</v>
      </c>
      <c r="B257" s="511" t="s">
        <v>1017</v>
      </c>
      <c r="C257" s="511"/>
      <c r="D257" s="511"/>
      <c r="E257" s="499" t="str">
        <f aca="false">IF(SUM($W257:$X257)&gt;0,SUM($W257:$X257),IF($H257&gt;0,0,IF($H257&gt;0,0,"-")))</f>
        <v>-</v>
      </c>
      <c r="F257" s="499" t="str">
        <f aca="false">IF(SUM($Y257:$Z257)&gt;0,SUM($Y257:$Z257),IF($H257&gt;0,0,"-"))</f>
        <v>-</v>
      </c>
      <c r="G257" s="499" t="str">
        <f aca="false">IF($H257&gt;0,minus(E257,F257),"-")</f>
        <v>-</v>
      </c>
      <c r="H257" s="500" t="n">
        <f aca="false">SUM(COUNTIF(MatchSource!$A:$A,$B257),COUNTIF(MatchSource!$H:$H,$B257))</f>
        <v>0</v>
      </c>
      <c r="I257" s="501" t="n">
        <f aca="false">SUM($AA257:$AB257)</f>
        <v>0</v>
      </c>
      <c r="J257" s="501" t="s">
        <v>888</v>
      </c>
      <c r="K257" s="512" t="str">
        <f aca="false" t="array" ref="K257:K257">IF(ISNA(INDEX(DraftRosters!$AA$3:$AA$199,MATCH($B257,DraftRosters!$AB$3:$AB$199,0))),"FA",IF(INDEX(DraftRosters!$AA$3:$AA$199,MATCH($B257,DraftRosters!$AB$3:$AB$199,0))="Franchise","Franch",INDEX(DraftRosters!$AA$3:$AA$199,MATCH($B257,DraftRosters!$AB$3:$AB$199,0))))</f>
        <v>FA</v>
      </c>
      <c r="L257" s="499" t="n">
        <v>137</v>
      </c>
      <c r="M257" s="499" t="n">
        <v>113</v>
      </c>
      <c r="N257" s="499" t="n">
        <v>89</v>
      </c>
      <c r="O257" s="499" t="n">
        <v>137</v>
      </c>
      <c r="P257" s="499" t="n">
        <v>107</v>
      </c>
      <c r="Q257" s="501" t="n">
        <v>97</v>
      </c>
      <c r="R257" s="499" t="s">
        <v>802</v>
      </c>
      <c r="S257" s="501" t="s">
        <v>828</v>
      </c>
      <c r="T257" s="504" t="s">
        <v>1018</v>
      </c>
      <c r="U257" s="505"/>
      <c r="V257" s="506"/>
      <c r="W257" s="500" t="str">
        <f aca="false">IFERROR(__xludf.dummyfunction("if(isna(SUM(FILTER(MatchSource!$A:$D,MatchSource!$A:$A=$B257))),0,SUM(FILTER(MatchSource!$A:$D,MatchSource!$A:$A=$B257)))"),"0")</f>
        <v>0</v>
      </c>
      <c r="X257" s="499" t="str">
        <f aca="false">IFERROR(__xludf.dummyfunction("if(isna(SUM(FILTER(MatchSource!$H:$K,MatchSource!$H:$H=$B257))),0,SUM(FILTER(MatchSource!$H:$K,MatchSource!$H:$H=$B257)))"),"0")</f>
        <v>0</v>
      </c>
      <c r="Y257" s="499" t="str">
        <f aca="false">IFERROR(__xludf.dummyfunction("if(isna(ABS(MINUS(SUM(FILTER(MatchSource!$A:$E,MatchSource!$A:$A=$B257)),SUM($W257)))),0,ABS(MINUS(SUM(FILTER(MatchSource!$A:$E,MatchSource!$A:$A=$B257)),SUM($W257))))"),"0")</f>
        <v>0</v>
      </c>
      <c r="Z257" s="499" t="str">
        <f aca="false">IFERROR(__xludf.dummyfunction("if(isna(ABS(MINUS(SUM(FILTER(MatchSource!$H:$L,MatchSource!$H:$H=$B257)),SUM($X257)))),0,ABS(MINUS(SUM(FILTER(MatchSource!$H:$L,MatchSource!$H:$H=$B257)),SUM($X257))))"),"0")</f>
        <v>0</v>
      </c>
      <c r="AA257" s="499" t="str">
        <f aca="false">IFERROR(__xludf.dummyfunction("if(isna(ABS(MINUS(SUM(FILTER(MatchSource!$A:$F,MatchSource!$A:$A=$B257)),SUM($W257,$Y257)))),0,ABS(MINUS(SUM(FILTER(MatchSource!$A:$F,MatchSource!$A:$A=$B257)),SUM($W257, $Y257,))))"),"0")</f>
        <v>0</v>
      </c>
      <c r="AB257" s="501" t="str">
        <f aca="false">IFERROR(__xludf.dummyfunction("if(isna(ABS(MINUS(SUM(FILTER(MatchSource!$H:$M,MatchSource!$H:$H=$B257)),SUM($X257,$Z257)))),0,ABS(MINUS(SUM(FILTER(MatchSource!$H:$M,MatchSource!$H:$H=$B257)),SUM($X257,$Z257))))"),"0")</f>
        <v>0</v>
      </c>
      <c r="AC257" s="507" t="n">
        <f aca="false">SUM(IF(OR($R257="Grass",$R257="Psychic",$R257="Dark"),0-1,IF(OR($R257="Fighting",$R257="Flying",$R257="Fire",$R257="Ghost",$R257="Poison",$R257="Steel",$R257="Fairy"),1,0)),IF(OR($S257="Grass",$S257="Psychic",$S257="Dark"),0-1,IF(OR($S257="Fighting",$S257="Flying",$S257="Fire",$S257="Ghost",$S257="Poison",$S257="Steel",$S257="Fairy"),1,0)))</f>
        <v>0</v>
      </c>
      <c r="AD257" s="507" t="n">
        <f aca="false">SUM(IF(OR($R257="Ghost",$R257="Psychic"),0-1,IF(OR($R257="Fighting",$R257="Dark",$R257="Fairy"),1,0)),IF(OR($S257="Ghost",$S257="Psychic"),0-1,IF(OR($S257="Fighting",$S257="Dark",$S257="Fairy"),1,0)))</f>
        <v>-2</v>
      </c>
      <c r="AE257" s="507" t="n">
        <f aca="false">IF(OR($R257="Fairy",$S257="Fairy"),4,SUM(IF($R257="Dragon",0-1,IF($R257="Steel",1,0)),IF($S257="Dragon",0-1,IF($S257="Steel",1,0))))</f>
        <v>0</v>
      </c>
      <c r="AF257" s="507" t="n">
        <f aca="false">IF(OR($R257="Ground",$S257="Ground"),4,SUM(IF(OR($R257="Flying",$R257="Water"),0-1,IF(OR($R257="Dragon",$R257="Electric",$R257="Grass"),1,0)),IF(OR($S257="Flying",$S257="Water"),0-1,IF(OR($S257="Dragon",$S257="Electric",$S257="Grass"),1,0))))</f>
        <v>0</v>
      </c>
      <c r="AG257" s="507" t="n">
        <f aca="false">SUM(IF(OR($R257="Dark",$R257="Dragon",$R257="Fighting"),0-1,IF(OR($R257="Steel",$R257="Poison",$R257="Fire"),1,0)),IF(OR($S257="Dark",$S257="Dragon",$S257="Fighting"),0-1,IF(OR($S257="Steel",$S257="Poison",$S257="Fire"),1,0)))</f>
        <v>0</v>
      </c>
      <c r="AH257" s="507" t="n">
        <f aca="false">IF(OR($R257="Ghost",$S257="Ghost"),4,SUM(IF(OR($R257="Dark",$R257="Ice",$R257="Normal",$R257="Rock",$R257="Steel"),0-1,IF(OR($R257="Bug",$R257="Fairy",$R257="Flying",$R257="Poison",$R257="Psychic"),1,0)),IF(OR($S257="Dark",$S257="Ice",$S257="Normal",$S257="Rock",$S257="Steel"),0-1,IF(OR($S257="Bug",$S257="Fairy",$S257="Flying",$S257="Poison",$S257="Psychic"),1,0))))</f>
        <v>4</v>
      </c>
      <c r="AI257" s="507" t="n">
        <f aca="false">SUM(IF(OR($R257="Bug",$R257="Grass",$R257="Ice",$R257="Steel"),0-1,IF(OR($R257="Dragon",$R257="Fire",$R257="Rock",$R257="Water"),1,0)),IF(OR($S257="Bug",$S257="Grass",$S257="Ice",$S257="Steel"),0-1,IF(OR($S257="Dragon",$S257="Fire",$S257="Rock",$S257="Water"),1,0)))</f>
        <v>0</v>
      </c>
      <c r="AJ257" s="507" t="n">
        <f aca="false">SUM(IF(OR($R257="Bug",$R257="Grass",$R257="Fighting"),0-1,IF(OR($R257="Electric",$R257="Rock",$R257="Steel"),1,0)),IF(OR($S257="Bug",$S257="Grass",$S257="Fighting"),0-1,IF(OR($S257="Electric",$S257="Rock",$S257="Steel"),1,0)))</f>
        <v>0</v>
      </c>
      <c r="AK257" s="507" t="n">
        <f aca="false">IF(OR($R257="Normal",$S257="Normal"),4,SUM(IF(OR($R257="Ghost",$R257="Psychic"),0-1,IF($R257="Dark",1,0)),IF(OR($S257="Ghost",$S257="Psychic"),0-1,IF($S257="Dark",1,0))))</f>
        <v>-2</v>
      </c>
      <c r="AL257" s="507" t="n">
        <f aca="false">SUM(IF(OR($R257="Ground",$R257="Rock",$R257="Water"),0-1,IF(OR($R257="Bug",$R257="Flying",$R257="Fire",$R257="Dragon",$R257="Poison",$R257="Steel",$R257="Grass"),1,0)),IF(OR($S257="Ground",$S257="Rock",$S257="Water"),0-1,IF(OR($S257="Bug",$S257="Flying",$S257="Fire",$S257="Dragon",$S257="Poison",$S257="Steel",$S257="Grass"),1,0)))</f>
        <v>0</v>
      </c>
      <c r="AM257" s="507" t="n">
        <f aca="false">IF(OR($R257="Flying",$S257="Flying"),4,SUM(IF(OR($R257="Electric",$R257="Fire",$R257="Rock",$R257="Steel",$R257="Poison"),0-1,IF(OR($R257="Bug",$R257="Grass"),1,0)),IF(OR($S257="Electric",$S257="Fire",$S257="Rock",$S257="Steel",$S257="Poison"),0-1,IF(OR($S257="Bug",$S257="Grass"),1,0))))</f>
        <v>0</v>
      </c>
      <c r="AN257" s="507" t="n">
        <f aca="false">SUM(IF(OR($R257="Flying",$R257="Dragon",$R257="Grass",$R257="Ground"),0-1,IF(OR($R257="Steel",$R257="Ice",$R257="Fire",$R257="Water"),1,0)),IF(OR($S257="Flying",$S257="Dragon",$S257="Grass",$S257="Ground"),0-1,IF(OR($S257="Steel",$S257="Ice",$S257="Fire",$S257="Water"),1,0)))</f>
        <v>0</v>
      </c>
      <c r="AO257" s="507" t="n">
        <f aca="false">IF(OR($R257="Ghost",$S257="Ghost"),4,SUM(IF(OR($R257="Steel",$R257="Rock"),1,0),IF(OR($S257="Steel",$S257="Rock"),1,0)))</f>
        <v>4</v>
      </c>
      <c r="AP257" s="507" t="n">
        <f aca="false">IF(OR($R257="Steel",$S257="Steel"),4,SUM(IF(OR($R257="Fairy",$R257="Grass"),0-1,IF(OR($R257="Ghost",$R257="Rock",$R257="Ground",$R257="Poison"),1,0)),IF(OR($S257="Fairy",$S257="Grass"),0-1,IF(OR($S257="Ghost",$S257="Rock",$S257="Ground",$S257="Poison"),1,0))))</f>
        <v>1</v>
      </c>
      <c r="AQ257" s="507" t="n">
        <f aca="false">IF(OR($R257="Dark",$S257="Dark"),4,SUM(IF(OR($R257="Fighting",$R257="Poison"),0-1,IF(OR($R257="Psychic",$R257="Steel"),1,0)),IF(OR($S257="Fighting",$S257="Poison"),0-1,IF(OR($S257="Psychic",$S257="Steel"),1,0))))</f>
        <v>1</v>
      </c>
      <c r="AR257" s="507" t="n">
        <f aca="false">SUM(IF(OR($R257="Bug",$R257="Fire",$R257="Flying",$R257="Ice"),0-1,IF(OR($R257="Steel",$R257="Fighting",$R257="Ground"),1,0)),IF(OR($S257="Bug",$S257="Fire",$S257="Flying",$S257="Ice"),0-1,IF(OR($S257="Steel",$S257="Fighting",$S257="Ground"),1,0)))</f>
        <v>0</v>
      </c>
      <c r="AS257" s="507" t="n">
        <f aca="false">SUM(IF(OR($R257="Fairy",$R257="Ice",$R257="Rock"),0-1,IF(OR($R257="Steel",$R257="Electric",$R257="Fire",$R257="Water"),1,0)),IF(OR($S257="Fairy",$S257="Ice",$S257="Rock"),0-1,IF(OR($S257="Steel",$S257="Electric",$S257="Fire",$S257="Water"),1,0)))</f>
        <v>0</v>
      </c>
      <c r="AT257" s="508" t="n">
        <f aca="false">SUM(IF(OR($R257="Fire",$R257="Ground",$R257="Rock"),0-1,IF(OR($R257="Dragon",$R257="Grass",$R257="Water"),1,0)),IF(OR($S257="Fire",$S257="Ground",$S257="Rock"),0-1,IF(OR($S257="Dragon",$S257="Grass",$S257="Water"),1,0)))</f>
        <v>0</v>
      </c>
      <c r="AU257" s="518"/>
    </row>
    <row r="258" customFormat="false" ht="15.75" hidden="false" customHeight="false" outlineLevel="0" collapsed="false">
      <c r="A258" s="510" t="str">
        <f aca="false" t="array" ref="A258:A258">IF(ISNA(INDEX(Source!$U$7:$U$95,MATCH(B258,Source!$V$7:$V$95,0))),"FREE",INDEX(Source!$U$7:$U$95,MATCH(B258,Source!$V$7:$V$95,0)))</f>
        <v>FREE</v>
      </c>
      <c r="B258" s="511" t="s">
        <v>689</v>
      </c>
      <c r="C258" s="511"/>
      <c r="D258" s="511"/>
      <c r="E258" s="499" t="str">
        <f aca="false">IF(SUM($W258:$X258)&gt;0,SUM($W258:$X258),IF($H258&gt;0,0,IF($H258&gt;0,0,"-")))</f>
        <v>-</v>
      </c>
      <c r="F258" s="499" t="str">
        <f aca="false">IF(SUM($Y258:$Z258)&gt;0,SUM($Y258:$Z258),IF($H258&gt;0,0,"-"))</f>
        <v>-</v>
      </c>
      <c r="G258" s="499" t="str">
        <f aca="false">IF($H258&gt;0,minus(E258,F258),"-")</f>
        <v>-</v>
      </c>
      <c r="H258" s="500" t="n">
        <f aca="false">SUM(COUNTIF(MatchSource!$A:$A,$B258),COUNTIF(MatchSource!$H:$H,$B258))</f>
        <v>0</v>
      </c>
      <c r="I258" s="501" t="n">
        <f aca="false">SUM($AA258:$AB258)</f>
        <v>0</v>
      </c>
      <c r="J258" s="501" t="s">
        <v>702</v>
      </c>
      <c r="K258" s="512" t="str">
        <f aca="false" t="array" ref="K258:K258">IF(ISNA(INDEX(DraftRosters!$AA$3:$AA$199,MATCH($B258,DraftRosters!$AB$3:$AB$199,0))),"FA",IF(INDEX(DraftRosters!$AA$3:$AA$199,MATCH($B258,DraftRosters!$AB$3:$AB$199,0))="Franchise","Franch",INDEX(DraftRosters!$AA$3:$AA$199,MATCH($B258,DraftRosters!$AB$3:$AB$199,0))))</f>
        <v>FA</v>
      </c>
      <c r="L258" s="499" t="n">
        <v>90</v>
      </c>
      <c r="M258" s="499" t="n">
        <v>55</v>
      </c>
      <c r="N258" s="499" t="n">
        <v>65</v>
      </c>
      <c r="O258" s="499" t="n">
        <v>95</v>
      </c>
      <c r="P258" s="499" t="n">
        <v>85</v>
      </c>
      <c r="Q258" s="501" t="n">
        <v>70</v>
      </c>
      <c r="R258" s="499" t="s">
        <v>828</v>
      </c>
      <c r="S258" s="501" t="s">
        <v>809</v>
      </c>
      <c r="T258" s="520" t="s">
        <v>866</v>
      </c>
      <c r="U258" s="513"/>
      <c r="V258" s="514"/>
      <c r="W258" s="500" t="str">
        <f aca="false">IFERROR(__xludf.dummyfunction("if(isna(SUM(FILTER(MatchSource!$A:$D,MatchSource!$A:$A=$B258))),0,SUM(FILTER(MatchSource!$A:$D,MatchSource!$A:$A=$B258)))"),"0")</f>
        <v>0</v>
      </c>
      <c r="X258" s="499" t="str">
        <f aca="false">IFERROR(__xludf.dummyfunction("if(isna(SUM(FILTER(MatchSource!$H:$K,MatchSource!$H:$H=$B258))),0,SUM(FILTER(MatchSource!$H:$K,MatchSource!$H:$H=$B258)))"),"0")</f>
        <v>0</v>
      </c>
      <c r="Y258" s="499" t="str">
        <f aca="false">IFERROR(__xludf.dummyfunction("if(isna(ABS(MINUS(SUM(FILTER(MatchSource!$A:$E,MatchSource!$A:$A=$B258)),SUM($W258)))),0,ABS(MINUS(SUM(FILTER(MatchSource!$A:$E,MatchSource!$A:$A=$B258)),SUM($W258))))"),"0")</f>
        <v>0</v>
      </c>
      <c r="Z258" s="499" t="str">
        <f aca="false">IFERROR(__xludf.dummyfunction("if(isna(ABS(MINUS(SUM(FILTER(MatchSource!$H:$L,MatchSource!$H:$H=$B258)),SUM($X258)))),0,ABS(MINUS(SUM(FILTER(MatchSource!$H:$L,MatchSource!$H:$H=$B258)),SUM($X258))))"),"0")</f>
        <v>0</v>
      </c>
      <c r="AA258" s="499" t="str">
        <f aca="false">IFERROR(__xludf.dummyfunction("if(isna(ABS(MINUS(SUM(FILTER(MatchSource!$A:$F,MatchSource!$A:$A=$B258)),SUM($W258,$Y258)))),0,ABS(MINUS(SUM(FILTER(MatchSource!$A:$F,MatchSource!$A:$A=$B258)),SUM($W258, $Y258,))))"),"0")</f>
        <v>0</v>
      </c>
      <c r="AB258" s="501" t="str">
        <f aca="false">IFERROR(__xludf.dummyfunction("if(isna(ABS(MINUS(SUM(FILTER(MatchSource!$H:$M,MatchSource!$H:$H=$B258)),SUM($X258,$Z258)))),0,ABS(MINUS(SUM(FILTER(MatchSource!$H:$M,MatchSource!$H:$H=$B258)),SUM($X258,$Z258))))"),"0")</f>
        <v>0</v>
      </c>
      <c r="AC258" s="507" t="n">
        <f aca="false">SUM(IF(OR($R258="Grass",$R258="Psychic",$R258="Dark"),0-1,IF(OR($R258="Fighting",$R258="Flying",$R258="Fire",$R258="Ghost",$R258="Poison",$R258="Steel",$R258="Fairy"),1,0)),IF(OR($S258="Grass",$S258="Psychic",$S258="Dark"),0-1,IF(OR($S258="Fighting",$S258="Flying",$S258="Fire",$S258="Ghost",$S258="Poison",$S258="Steel",$S258="Fairy"),1,0)))</f>
        <v>-1</v>
      </c>
      <c r="AD258" s="507" t="n">
        <f aca="false">SUM(IF(OR($R258="Ghost",$R258="Psychic"),0-1,IF(OR($R258="Fighting",$R258="Dark",$R258="Fairy"),1,0)),IF(OR($S258="Ghost",$S258="Psychic"),0-1,IF(OR($S258="Fighting",$S258="Dark",$S258="Fairy"),1,0)))</f>
        <v>-1</v>
      </c>
      <c r="AE258" s="507" t="n">
        <f aca="false">IF(OR($R258="Fairy",$S258="Fairy"),4,SUM(IF($R258="Dragon",0-1,IF($R258="Steel",1,0)),IF($S258="Dragon",0-1,IF($S258="Steel",1,0))))</f>
        <v>0</v>
      </c>
      <c r="AF258" s="507" t="n">
        <f aca="false">IF(OR($R258="Ground",$S258="Ground"),4,SUM(IF(OR($R258="Flying",$R258="Water"),0-1,IF(OR($R258="Dragon",$R258="Electric",$R258="Grass"),1,0)),IF(OR($S258="Flying",$S258="Water"),0-1,IF(OR($S258="Dragon",$S258="Electric",$S258="Grass"),1,0))))</f>
        <v>0</v>
      </c>
      <c r="AG258" s="507" t="n">
        <f aca="false">SUM(IF(OR($R258="Dark",$R258="Dragon",$R258="Fighting"),0-1,IF(OR($R258="Steel",$R258="Poison",$R258="Fire"),1,0)),IF(OR($S258="Dark",$S258="Dragon",$S258="Fighting"),0-1,IF(OR($S258="Steel",$S258="Poison",$S258="Fire"),1,0)))</f>
        <v>0</v>
      </c>
      <c r="AH258" s="507" t="n">
        <f aca="false">IF(OR($R258="Ghost",$S258="Ghost"),4,SUM(IF(OR($R258="Dark",$R258="Ice",$R258="Normal",$R258="Rock",$R258="Steel"),0-1,IF(OR($R258="Bug",$R258="Fairy",$R258="Flying",$R258="Poison",$R258="Psychic"),1,0)),IF(OR($S258="Dark",$S258="Ice",$S258="Normal",$S258="Rock",$S258="Steel"),0-1,IF(OR($S258="Bug",$S258="Fairy",$S258="Flying",$S258="Poison",$S258="Psychic"),1,0))))</f>
        <v>0</v>
      </c>
      <c r="AI258" s="507" t="n">
        <f aca="false">SUM(IF(OR($R258="Bug",$R258="Grass",$R258="Ice",$R258="Steel"),0-1,IF(OR($R258="Dragon",$R258="Fire",$R258="Rock",$R258="Water"),1,0)),IF(OR($S258="Bug",$S258="Grass",$S258="Ice",$S258="Steel"),0-1,IF(OR($S258="Dragon",$S258="Fire",$S258="Rock",$S258="Water"),1,0)))</f>
        <v>1</v>
      </c>
      <c r="AJ258" s="507" t="n">
        <f aca="false">SUM(IF(OR($R258="Bug",$R258="Grass",$R258="Fighting"),0-1,IF(OR($R258="Electric",$R258="Rock",$R258="Steel"),1,0)),IF(OR($S258="Bug",$S258="Grass",$S258="Fighting"),0-1,IF(OR($S258="Electric",$S258="Rock",$S258="Steel"),1,0)))</f>
        <v>1</v>
      </c>
      <c r="AK258" s="507" t="n">
        <f aca="false">IF(OR($R258="Normal",$S258="Normal"),4,SUM(IF(OR($R258="Ghost",$R258="Psychic"),0-1,IF($R258="Dark",1,0)),IF(OR($S258="Ghost",$S258="Psychic"),0-1,IF($S258="Dark",1,0))))</f>
        <v>-1</v>
      </c>
      <c r="AL258" s="507" t="n">
        <f aca="false">SUM(IF(OR($R258="Ground",$R258="Rock",$R258="Water"),0-1,IF(OR($R258="Bug",$R258="Flying",$R258="Fire",$R258="Dragon",$R258="Poison",$R258="Steel",$R258="Grass"),1,0)),IF(OR($S258="Ground",$S258="Rock",$S258="Water"),0-1,IF(OR($S258="Bug",$S258="Flying",$S258="Fire",$S258="Dragon",$S258="Poison",$S258="Steel",$S258="Grass"),1,0)))</f>
        <v>-1</v>
      </c>
      <c r="AM258" s="507" t="n">
        <f aca="false">IF(OR($R258="Flying",$S258="Flying"),4,SUM(IF(OR($R258="Electric",$R258="Fire",$R258="Rock",$R258="Steel",$R258="Poison"),0-1,IF(OR($R258="Bug",$R258="Grass"),1,0)),IF(OR($S258="Electric",$S258="Fire",$S258="Rock",$S258="Steel",$S258="Poison"),0-1,IF(OR($S258="Bug",$S258="Grass"),1,0))))</f>
        <v>-1</v>
      </c>
      <c r="AN258" s="507" t="n">
        <f aca="false">SUM(IF(OR($R258="Flying",$R258="Dragon",$R258="Grass",$R258="Ground"),0-1,IF(OR($R258="Steel",$R258="Ice",$R258="Fire",$R258="Water"),1,0)),IF(OR($S258="Flying",$S258="Dragon",$S258="Grass",$S258="Ground"),0-1,IF(OR($S258="Steel",$S258="Ice",$S258="Fire",$S258="Water"),1,0)))</f>
        <v>0</v>
      </c>
      <c r="AO258" s="507" t="n">
        <f aca="false">IF(OR($R258="Ghost",$S258="Ghost"),4,SUM(IF(OR($R258="Steel",$R258="Rock"),1,0),IF(OR($S258="Steel",$S258="Rock"),1,0)))</f>
        <v>1</v>
      </c>
      <c r="AP258" s="507" t="n">
        <f aca="false">IF(OR($R258="Steel",$S258="Steel"),4,SUM(IF(OR($R258="Fairy",$R258="Grass"),0-1,IF(OR($R258="Ghost",$R258="Rock",$R258="Ground",$R258="Poison"),1,0)),IF(OR($S258="Fairy",$S258="Grass"),0-1,IF(OR($S258="Ghost",$S258="Rock",$S258="Ground",$S258="Poison"),1,0))))</f>
        <v>1</v>
      </c>
      <c r="AQ258" s="507" t="n">
        <f aca="false">IF(OR($R258="Dark",$S258="Dark"),4,SUM(IF(OR($R258="Fighting",$R258="Poison"),0-1,IF(OR($R258="Psychic",$R258="Steel"),1,0)),IF(OR($S258="Fighting",$S258="Poison"),0-1,IF(OR($S258="Psychic",$S258="Steel"),1,0))))</f>
        <v>1</v>
      </c>
      <c r="AR258" s="507" t="n">
        <f aca="false">SUM(IF(OR($R258="Bug",$R258="Fire",$R258="Flying",$R258="Ice"),0-1,IF(OR($R258="Steel",$R258="Fighting",$R258="Ground"),1,0)),IF(OR($S258="Bug",$S258="Fire",$S258="Flying",$S258="Ice"),0-1,IF(OR($S258="Steel",$S258="Fighting",$S258="Ground"),1,0)))</f>
        <v>0</v>
      </c>
      <c r="AS258" s="507" t="n">
        <f aca="false">SUM(IF(OR($R258="Fairy",$R258="Ice",$R258="Rock"),0-1,IF(OR($R258="Steel",$R258="Electric",$R258="Fire",$R258="Water"),1,0)),IF(OR($S258="Fairy",$S258="Ice",$S258="Rock"),0-1,IF(OR($S258="Steel",$S258="Electric",$S258="Fire",$S258="Water"),1,0)))</f>
        <v>-1</v>
      </c>
      <c r="AT258" s="508" t="n">
        <f aca="false">SUM(IF(OR($R258="Fire",$R258="Ground",$R258="Rock"),0-1,IF(OR($R258="Dragon",$R258="Grass",$R258="Water"),1,0)),IF(OR($S258="Fire",$S258="Ground",$S258="Rock"),0-1,IF(OR($S258="Dragon",$S258="Grass",$S258="Water"),1,0)))</f>
        <v>-1</v>
      </c>
      <c r="AU258" s="518"/>
    </row>
    <row r="259" customFormat="false" ht="15.75" hidden="false" customHeight="false" outlineLevel="0" collapsed="false">
      <c r="A259" s="515" t="str">
        <f aca="false" t="array" ref="A259:A259">IF(ISNA(INDEX(Source!$U$7:$U$95,MATCH(B259,Source!$V$7:$V$95,0))),"FREE",INDEX(Source!$U$7:$U$95,MATCH(B259,Source!$V$7:$V$95,0)))</f>
        <v>FREE</v>
      </c>
      <c r="B259" s="511" t="s">
        <v>552</v>
      </c>
      <c r="C259" s="511"/>
      <c r="D259" s="511"/>
      <c r="E259" s="499" t="str">
        <f aca="false">IF(SUM($W259:$X259)&gt;0,SUM($W259:$X259),IF($H259&gt;0,0,IF($H259&gt;0,0,"-")))</f>
        <v>-</v>
      </c>
      <c r="F259" s="499" t="str">
        <f aca="false">IF(SUM($Y259:$Z259)&gt;0,SUM($Y259:$Z259),IF($H259&gt;0,0,"-"))</f>
        <v>-</v>
      </c>
      <c r="G259" s="499" t="str">
        <f aca="false">IF($H259&gt;0,minus(E259,F259),"-")</f>
        <v>-</v>
      </c>
      <c r="H259" s="500" t="n">
        <f aca="false">SUM(COUNTIF(MatchSource!$A:$A,$B259),COUNTIF(MatchSource!$H:$H,$B259))</f>
        <v>0</v>
      </c>
      <c r="I259" s="501" t="n">
        <f aca="false">SUM($AA259:$AB259)</f>
        <v>0</v>
      </c>
      <c r="J259" s="501" t="s">
        <v>701</v>
      </c>
      <c r="K259" s="512" t="str">
        <f aca="false" t="array" ref="K259:K259">IF(ISNA(INDEX(DraftRosters!$AA$3:$AA$199,MATCH($B259,DraftRosters!$AB$3:$AB$199,0))),"FA",IF(INDEX(DraftRosters!$AA$3:$AA$199,MATCH($B259,DraftRosters!$AB$3:$AB$199,0))="Franchise","Franch",INDEX(DraftRosters!$AA$3:$AA$199,MATCH($B259,DraftRosters!$AB$3:$AB$199,0))))</f>
        <v>FA</v>
      </c>
      <c r="L259" s="507" t="n">
        <v>70</v>
      </c>
      <c r="M259" s="507" t="n">
        <v>105</v>
      </c>
      <c r="N259" s="507" t="n">
        <v>90</v>
      </c>
      <c r="O259" s="507" t="n">
        <v>80</v>
      </c>
      <c r="P259" s="507" t="n">
        <v>90</v>
      </c>
      <c r="Q259" s="508" t="n">
        <v>45</v>
      </c>
      <c r="R259" s="499" t="s">
        <v>803</v>
      </c>
      <c r="S259" s="501"/>
      <c r="T259" s="504" t="s">
        <v>1019</v>
      </c>
      <c r="U259" s="505" t="s">
        <v>1004</v>
      </c>
      <c r="V259" s="506"/>
      <c r="W259" s="500" t="str">
        <f aca="false">IFERROR(__xludf.dummyfunction("if(isna(SUM(FILTER(MatchSource!$A:$D,MatchSource!$A:$A=$B259))),0,SUM(FILTER(MatchSource!$A:$D,MatchSource!$A:$A=$B259)))"),"0")</f>
        <v>0</v>
      </c>
      <c r="X259" s="499" t="str">
        <f aca="false">IFERROR(__xludf.dummyfunction("if(isna(SUM(FILTER(MatchSource!$H:$K,MatchSource!$H:$H=$B259))),0,SUM(FILTER(MatchSource!$H:$K,MatchSource!$H:$H=$B259)))"),"0")</f>
        <v>0</v>
      </c>
      <c r="Y259" s="499" t="str">
        <f aca="false">IFERROR(__xludf.dummyfunction("if(isna(ABS(MINUS(SUM(FILTER(MatchSource!$A:$E,MatchSource!$A:$A=$B259)),SUM($W259)))),0,ABS(MINUS(SUM(FILTER(MatchSource!$A:$E,MatchSource!$A:$A=$B259)),SUM($W259))))"),"0")</f>
        <v>0</v>
      </c>
      <c r="Z259" s="499" t="str">
        <f aca="false">IFERROR(__xludf.dummyfunction("if(isna(ABS(MINUS(SUM(FILTER(MatchSource!$H:$L,MatchSource!$H:$H=$B259)),SUM($X259)))),0,ABS(MINUS(SUM(FILTER(MatchSource!$H:$L,MatchSource!$H:$H=$B259)),SUM($X259))))"),"0")</f>
        <v>0</v>
      </c>
      <c r="AA259" s="499" t="str">
        <f aca="false">IFERROR(__xludf.dummyfunction("if(isna(ABS(MINUS(SUM(FILTER(MatchSource!$A:$F,MatchSource!$A:$A=$B259)),SUM($W259,$Y259)))),0,ABS(MINUS(SUM(FILTER(MatchSource!$A:$F,MatchSource!$A:$A=$B259)),SUM($W259, $Y259,))))"),"0")</f>
        <v>0</v>
      </c>
      <c r="AB259" s="501" t="str">
        <f aca="false">IFERROR(__xludf.dummyfunction("if(isna(ABS(MINUS(SUM(FILTER(MatchSource!$H:$M,MatchSource!$H:$H=$B259)),SUM($X259,$Z259)))),0,ABS(MINUS(SUM(FILTER(MatchSource!$H:$M,MatchSource!$H:$H=$B259)),SUM($X259,$Z259))))"),"0")</f>
        <v>0</v>
      </c>
      <c r="AC259" s="507" t="n">
        <f aca="false">SUM(IF(OR($R259="Grass",$R259="Psychic",$R259="Dark"),0-1,IF(OR($R259="Fighting",$R259="Flying",$R259="Fire",$R259="Ghost",$R259="Poison",$R259="Steel",$R259="Fairy"),1,0)),IF(OR($S259="Grass",$S259="Psychic",$S259="Dark"),0-1,IF(OR($S259="Fighting",$S259="Flying",$S259="Fire",$S259="Ghost",$S259="Poison",$S259="Steel",$S259="Fairy"),1,0)))</f>
        <v>-1</v>
      </c>
      <c r="AD259" s="507" t="n">
        <f aca="false">SUM(IF(OR($R259="Ghost",$R259="Psychic"),0-1,IF(OR($R259="Fighting",$R259="Dark",$R259="Fairy"),1,0)),IF(OR($S259="Ghost",$S259="Psychic"),0-1,IF(OR($S259="Fighting",$S259="Dark",$S259="Fairy"),1,0)))</f>
        <v>0</v>
      </c>
      <c r="AE259" s="507" t="n">
        <f aca="false">IF(OR($R259="Fairy",$S259="Fairy"),4,SUM(IF($R259="Dragon",0-1,IF($R259="Steel",1,0)),IF($S259="Dragon",0-1,IF($S259="Steel",1,0))))</f>
        <v>0</v>
      </c>
      <c r="AF259" s="507" t="n">
        <f aca="false">IF(OR($R259="Ground",$S259="Ground"),4,SUM(IF(OR($R259="Flying",$R259="Water"),0-1,IF(OR($R259="Dragon",$R259="Electric",$R259="Grass"),1,0)),IF(OR($S259="Flying",$S259="Water"),0-1,IF(OR($S259="Dragon",$S259="Electric",$S259="Grass"),1,0))))</f>
        <v>1</v>
      </c>
      <c r="AG259" s="507" t="n">
        <f aca="false">SUM(IF(OR($R259="Dark",$R259="Dragon",$R259="Fighting"),0-1,IF(OR($R259="Steel",$R259="Poison",$R259="Fire"),1,0)),IF(OR($S259="Dark",$S259="Dragon",$S259="Fighting"),0-1,IF(OR($S259="Steel",$S259="Poison",$S259="Fire"),1,0)))</f>
        <v>0</v>
      </c>
      <c r="AH259" s="507" t="n">
        <f aca="false">IF(OR($R259="Ghost",$S259="Ghost"),4,SUM(IF(OR($R259="Dark",$R259="Ice",$R259="Normal",$R259="Rock",$R259="Steel"),0-1,IF(OR($R259="Bug",$R259="Fairy",$R259="Flying",$R259="Poison",$R259="Psychic"),1,0)),IF(OR($S259="Dark",$S259="Ice",$S259="Normal",$S259="Rock",$S259="Steel"),0-1,IF(OR($S259="Bug",$S259="Fairy",$S259="Flying",$S259="Poison",$S259="Psychic"),1,0))))</f>
        <v>0</v>
      </c>
      <c r="AI259" s="507" t="n">
        <f aca="false">SUM(IF(OR($R259="Bug",$R259="Grass",$R259="Ice",$R259="Steel"),0-1,IF(OR($R259="Dragon",$R259="Fire",$R259="Rock",$R259="Water"),1,0)),IF(OR($S259="Bug",$S259="Grass",$S259="Ice",$S259="Steel"),0-1,IF(OR($S259="Dragon",$S259="Fire",$S259="Rock",$S259="Water"),1,0)))</f>
        <v>-1</v>
      </c>
      <c r="AJ259" s="507" t="n">
        <f aca="false">SUM(IF(OR($R259="Bug",$R259="Grass",$R259="Fighting"),0-1,IF(OR($R259="Electric",$R259="Rock",$R259="Steel"),1,0)),IF(OR($S259="Bug",$S259="Grass",$S259="Fighting"),0-1,IF(OR($S259="Electric",$S259="Rock",$S259="Steel"),1,0)))</f>
        <v>-1</v>
      </c>
      <c r="AK259" s="507" t="n">
        <f aca="false">IF(OR($R259="Normal",$S259="Normal"),4,SUM(IF(OR($R259="Ghost",$R259="Psychic"),0-1,IF($R259="Dark",1,0)),IF(OR($S259="Ghost",$S259="Psychic"),0-1,IF($S259="Dark",1,0))))</f>
        <v>0</v>
      </c>
      <c r="AL259" s="507" t="n">
        <f aca="false">SUM(IF(OR($R259="Ground",$R259="Rock",$R259="Water"),0-1,IF(OR($R259="Bug",$R259="Flying",$R259="Fire",$R259="Dragon",$R259="Poison",$R259="Steel",$R259="Grass"),1,0)),IF(OR($S259="Ground",$S259="Rock",$S259="Water"),0-1,IF(OR($S259="Bug",$S259="Flying",$S259="Fire",$S259="Dragon",$S259="Poison",$S259="Steel",$S259="Grass"),1,0)))</f>
        <v>1</v>
      </c>
      <c r="AM259" s="507" t="n">
        <f aca="false">IF(OR($R259="Flying",$S259="Flying"),4,SUM(IF(OR($R259="Electric",$R259="Fire",$R259="Rock",$R259="Steel",$R259="Poison"),0-1,IF(OR($R259="Bug",$R259="Grass"),1,0)),IF(OR($S259="Electric",$S259="Fire",$S259="Rock",$S259="Steel",$S259="Poison"),0-1,IF(OR($S259="Bug",$S259="Grass"),1,0))))</f>
        <v>1</v>
      </c>
      <c r="AN259" s="507" t="n">
        <f aca="false">SUM(IF(OR($R259="Flying",$R259="Dragon",$R259="Grass",$R259="Ground"),0-1,IF(OR($R259="Steel",$R259="Ice",$R259="Fire",$R259="Water"),1,0)),IF(OR($S259="Flying",$S259="Dragon",$S259="Grass",$S259="Ground"),0-1,IF(OR($S259="Steel",$S259="Ice",$S259="Fire",$S259="Water"),1,0)))</f>
        <v>-1</v>
      </c>
      <c r="AO259" s="507" t="n">
        <f aca="false">IF(OR($R259="Ghost",$S259="Ghost"),4,SUM(IF(OR($R259="Steel",$R259="Rock"),1,0),IF(OR($S259="Steel",$S259="Rock"),1,0)))</f>
        <v>0</v>
      </c>
      <c r="AP259" s="507" t="n">
        <f aca="false">IF(OR($R259="Steel",$S259="Steel"),4,SUM(IF(OR($R259="Fairy",$R259="Grass"),0-1,IF(OR($R259="Ghost",$R259="Rock",$R259="Ground",$R259="Poison"),1,0)),IF(OR($S259="Fairy",$S259="Grass"),0-1,IF(OR($S259="Ghost",$S259="Rock",$S259="Ground",$S259="Poison"),1,0))))</f>
        <v>-1</v>
      </c>
      <c r="AQ259" s="507" t="n">
        <f aca="false">IF(OR($R259="Dark",$S259="Dark"),4,SUM(IF(OR($R259="Fighting",$R259="Poison"),0-1,IF(OR($R259="Psychic",$R259="Steel"),1,0)),IF(OR($S259="Fighting",$S259="Poison"),0-1,IF(OR($S259="Psychic",$S259="Steel"),1,0))))</f>
        <v>0</v>
      </c>
      <c r="AR259" s="507" t="n">
        <f aca="false">SUM(IF(OR($R259="Bug",$R259="Fire",$R259="Flying",$R259="Ice"),0-1,IF(OR($R259="Steel",$R259="Fighting",$R259="Ground"),1,0)),IF(OR($S259="Bug",$S259="Fire",$S259="Flying",$S259="Ice"),0-1,IF(OR($S259="Steel",$S259="Fighting",$S259="Ground"),1,0)))</f>
        <v>0</v>
      </c>
      <c r="AS259" s="507" t="n">
        <f aca="false">SUM(IF(OR($R259="Fairy",$R259="Ice",$R259="Rock"),0-1,IF(OR($R259="Steel",$R259="Electric",$R259="Fire",$R259="Water"),1,0)),IF(OR($S259="Fairy",$S259="Ice",$S259="Rock"),0-1,IF(OR($S259="Steel",$S259="Electric",$S259="Fire",$S259="Water"),1,0)))</f>
        <v>0</v>
      </c>
      <c r="AT259" s="508" t="n">
        <f aca="false">SUM(IF(OR($R259="Fire",$R259="Ground",$R259="Rock"),0-1,IF(OR($R259="Dragon",$R259="Grass",$R259="Water"),1,0)),IF(OR($S259="Fire",$S259="Ground",$S259="Rock"),0-1,IF(OR($S259="Dragon",$S259="Grass",$S259="Water"),1,0)))</f>
        <v>1</v>
      </c>
      <c r="AU259" s="518"/>
    </row>
    <row r="260" customFormat="false" ht="15.75" hidden="false" customHeight="false" outlineLevel="0" collapsed="false">
      <c r="A260" s="510" t="str">
        <f aca="false" t="array" ref="A260:A260">IF(ISNA(INDEX(Source!$U$7:$U$95,MATCH(B260,Source!$V$7:$V$95,0))),"FREE",INDEX(Source!$U$7:$U$95,MATCH(B260,Source!$V$7:$V$95,0)))</f>
        <v>FREE</v>
      </c>
      <c r="B260" s="511" t="s">
        <v>692</v>
      </c>
      <c r="C260" s="511"/>
      <c r="D260" s="511"/>
      <c r="E260" s="499" t="str">
        <f aca="false">IF(SUM($W260:$X260)&gt;0,SUM($W260:$X260),IF($H260&gt;0,0,IF($H260&gt;0,0,"-")))</f>
        <v>-</v>
      </c>
      <c r="F260" s="499" t="str">
        <f aca="false">IF(SUM($Y260:$Z260)&gt;0,SUM($Y260:$Z260),IF($H260&gt;0,0,"-"))</f>
        <v>-</v>
      </c>
      <c r="G260" s="499" t="str">
        <f aca="false">IF($H260&gt;0,minus(E260,F260),"-")</f>
        <v>-</v>
      </c>
      <c r="H260" s="500" t="n">
        <f aca="false">SUM(COUNTIF(MatchSource!$A:$A,$B260),COUNTIF(MatchSource!$H:$H,$B260))</f>
        <v>0</v>
      </c>
      <c r="I260" s="501" t="n">
        <f aca="false">SUM($AA260:$AB260)</f>
        <v>0</v>
      </c>
      <c r="J260" s="501" t="s">
        <v>702</v>
      </c>
      <c r="K260" s="512" t="str">
        <f aca="false" t="array" ref="K260:K260">IF(ISNA(INDEX(DraftRosters!$AA$3:$AA$199,MATCH($B260,DraftRosters!$AB$3:$AB$199,0))),"FA",IF(INDEX(DraftRosters!$AA$3:$AA$199,MATCH($B260,DraftRosters!$AB$3:$AB$199,0))="Franchise","Franch",INDEX(DraftRosters!$AA$3:$AA$199,MATCH($B260,DraftRosters!$AB$3:$AB$199,0))))</f>
        <v>FA</v>
      </c>
      <c r="L260" s="499" t="n">
        <v>43</v>
      </c>
      <c r="M260" s="499" t="n">
        <v>30</v>
      </c>
      <c r="N260" s="499" t="n">
        <v>55</v>
      </c>
      <c r="O260" s="499" t="n">
        <v>40</v>
      </c>
      <c r="P260" s="499" t="n">
        <v>65</v>
      </c>
      <c r="Q260" s="501" t="n">
        <v>97</v>
      </c>
      <c r="R260" s="499" t="s">
        <v>811</v>
      </c>
      <c r="S260" s="501"/>
      <c r="T260" s="520" t="s">
        <v>819</v>
      </c>
      <c r="U260" s="513" t="s">
        <v>859</v>
      </c>
      <c r="V260" s="514"/>
      <c r="W260" s="500" t="str">
        <f aca="false">IFERROR(__xludf.dummyfunction("if(isna(SUM(FILTER(MatchSource!$A:$D,MatchSource!$A:$A=$B260))),0,SUM(FILTER(MatchSource!$A:$D,MatchSource!$A:$A=$B260)))"),"0")</f>
        <v>0</v>
      </c>
      <c r="X260" s="499" t="str">
        <f aca="false">IFERROR(__xludf.dummyfunction("if(isna(SUM(FILTER(MatchSource!$H:$K,MatchSource!$H:$H=$B260))),0,SUM(FILTER(MatchSource!$H:$K,MatchSource!$H:$H=$B260)))"),"0")</f>
        <v>0</v>
      </c>
      <c r="Y260" s="499" t="str">
        <f aca="false">IFERROR(__xludf.dummyfunction("if(isna(ABS(MINUS(SUM(FILTER(MatchSource!$A:$E,MatchSource!$A:$A=$B260)),SUM($W260)))),0,ABS(MINUS(SUM(FILTER(MatchSource!$A:$E,MatchSource!$A:$A=$B260)),SUM($W260))))"),"0")</f>
        <v>0</v>
      </c>
      <c r="Z260" s="499" t="str">
        <f aca="false">IFERROR(__xludf.dummyfunction("if(isna(ABS(MINUS(SUM(FILTER(MatchSource!$H:$L,MatchSource!$H:$H=$B260)),SUM($X260)))),0,ABS(MINUS(SUM(FILTER(MatchSource!$H:$L,MatchSource!$H:$H=$B260)),SUM($X260))))"),"0")</f>
        <v>0</v>
      </c>
      <c r="AA260" s="499" t="str">
        <f aca="false">IFERROR(__xludf.dummyfunction("if(isna(ABS(MINUS(SUM(FILTER(MatchSource!$A:$F,MatchSource!$A:$A=$B260)),SUM($W260,$Y260)))),0,ABS(MINUS(SUM(FILTER(MatchSource!$A:$F,MatchSource!$A:$A=$B260)),SUM($W260, $Y260,))))"),"0")</f>
        <v>0</v>
      </c>
      <c r="AB260" s="501" t="str">
        <f aca="false">IFERROR(__xludf.dummyfunction("if(isna(ABS(MINUS(SUM(FILTER(MatchSource!$H:$M,MatchSource!$H:$H=$B260)),SUM($X260,$Z260)))),0,ABS(MINUS(SUM(FILTER(MatchSource!$H:$M,MatchSource!$H:$H=$B260)),SUM($X260,$Z260))))"),"0")</f>
        <v>0</v>
      </c>
      <c r="AC260" s="507" t="n">
        <f aca="false">SUM(IF(OR($R260="Grass",$R260="Psychic",$R260="Dark"),0-1,IF(OR($R260="Fighting",$R260="Flying",$R260="Fire",$R260="Ghost",$R260="Poison",$R260="Steel",$R260="Fairy"),1,0)),IF(OR($S260="Grass",$S260="Psychic",$S260="Dark"),0-1,IF(OR($S260="Fighting",$S260="Flying",$S260="Fire",$S260="Ghost",$S260="Poison",$S260="Steel",$S260="Fairy"),1,0)))</f>
        <v>0</v>
      </c>
      <c r="AD260" s="507" t="n">
        <f aca="false">SUM(IF(OR($R260="Ghost",$R260="Psychic"),0-1,IF(OR($R260="Fighting",$R260="Dark",$R260="Fairy"),1,0)),IF(OR($S260="Ghost",$S260="Psychic"),0-1,IF(OR($S260="Fighting",$S260="Dark",$S260="Fairy"),1,0)))</f>
        <v>0</v>
      </c>
      <c r="AE260" s="507" t="n">
        <f aca="false">IF(OR($R260="Fairy",$S260="Fairy"),4,SUM(IF($R260="Dragon",0-1,IF($R260="Steel",1,0)),IF($S260="Dragon",0-1,IF($S260="Steel",1,0))))</f>
        <v>0</v>
      </c>
      <c r="AF260" s="507" t="n">
        <f aca="false">IF(OR($R260="Ground",$S260="Ground"),4,SUM(IF(OR($R260="Flying",$R260="Water"),0-1,IF(OR($R260="Dragon",$R260="Electric",$R260="Grass"),1,0)),IF(OR($S260="Flying",$S260="Water"),0-1,IF(OR($S260="Dragon",$S260="Electric",$S260="Grass"),1,0))))</f>
        <v>-1</v>
      </c>
      <c r="AG260" s="507" t="n">
        <f aca="false">SUM(IF(OR($R260="Dark",$R260="Dragon",$R260="Fighting"),0-1,IF(OR($R260="Steel",$R260="Poison",$R260="Fire"),1,0)),IF(OR($S260="Dark",$S260="Dragon",$S260="Fighting"),0-1,IF(OR($S260="Steel",$S260="Poison",$S260="Fire"),1,0)))</f>
        <v>0</v>
      </c>
      <c r="AH260" s="507" t="n">
        <f aca="false">IF(OR($R260="Ghost",$S260="Ghost"),4,SUM(IF(OR($R260="Dark",$R260="Ice",$R260="Normal",$R260="Rock",$R260="Steel"),0-1,IF(OR($R260="Bug",$R260="Fairy",$R260="Flying",$R260="Poison",$R260="Psychic"),1,0)),IF(OR($S260="Dark",$S260="Ice",$S260="Normal",$S260="Rock",$S260="Steel"),0-1,IF(OR($S260="Bug",$S260="Fairy",$S260="Flying",$S260="Poison",$S260="Psychic"),1,0))))</f>
        <v>0</v>
      </c>
      <c r="AI260" s="507" t="n">
        <f aca="false">SUM(IF(OR($R260="Bug",$R260="Grass",$R260="Ice",$R260="Steel"),0-1,IF(OR($R260="Dragon",$R260="Fire",$R260="Rock",$R260="Water"),1,0)),IF(OR($S260="Bug",$S260="Grass",$S260="Ice",$S260="Steel"),0-1,IF(OR($S260="Dragon",$S260="Fire",$S260="Rock",$S260="Water"),1,0)))</f>
        <v>1</v>
      </c>
      <c r="AJ260" s="507" t="n">
        <f aca="false">SUM(IF(OR($R260="Bug",$R260="Grass",$R260="Fighting"),0-1,IF(OR($R260="Electric",$R260="Rock",$R260="Steel"),1,0)),IF(OR($S260="Bug",$S260="Grass",$S260="Fighting"),0-1,IF(OR($S260="Electric",$S260="Rock",$S260="Steel"),1,0)))</f>
        <v>0</v>
      </c>
      <c r="AK260" s="507" t="n">
        <f aca="false">IF(OR($R260="Normal",$S260="Normal"),4,SUM(IF(OR($R260="Ghost",$R260="Psychic"),0-1,IF($R260="Dark",1,0)),IF(OR($S260="Ghost",$S260="Psychic"),0-1,IF($S260="Dark",1,0))))</f>
        <v>0</v>
      </c>
      <c r="AL260" s="507" t="n">
        <f aca="false">SUM(IF(OR($R260="Ground",$R260="Rock",$R260="Water"),0-1,IF(OR($R260="Bug",$R260="Flying",$R260="Fire",$R260="Dragon",$R260="Poison",$R260="Steel",$R260="Grass"),1,0)),IF(OR($S260="Ground",$S260="Rock",$S260="Water"),0-1,IF(OR($S260="Bug",$S260="Flying",$S260="Fire",$S260="Dragon",$S260="Poison",$S260="Steel",$S260="Grass"),1,0)))</f>
        <v>-1</v>
      </c>
      <c r="AM260" s="507" t="n">
        <f aca="false">IF(OR($R260="Flying",$S260="Flying"),4,SUM(IF(OR($R260="Electric",$R260="Fire",$R260="Rock",$R260="Steel",$R260="Poison"),0-1,IF(OR($R260="Bug",$R260="Grass"),1,0)),IF(OR($S260="Electric",$S260="Fire",$S260="Rock",$S260="Steel",$S260="Poison"),0-1,IF(OR($S260="Bug",$S260="Grass"),1,0))))</f>
        <v>0</v>
      </c>
      <c r="AN260" s="507" t="n">
        <f aca="false">SUM(IF(OR($R260="Flying",$R260="Dragon",$R260="Grass",$R260="Ground"),0-1,IF(OR($R260="Steel",$R260="Ice",$R260="Fire",$R260="Water"),1,0)),IF(OR($S260="Flying",$S260="Dragon",$S260="Grass",$S260="Ground"),0-1,IF(OR($S260="Steel",$S260="Ice",$S260="Fire",$S260="Water"),1,0)))</f>
        <v>1</v>
      </c>
      <c r="AO260" s="507" t="n">
        <f aca="false">IF(OR($R260="Ghost",$S260="Ghost"),4,SUM(IF(OR($R260="Steel",$R260="Rock"),1,0),IF(OR($S260="Steel",$S260="Rock"),1,0)))</f>
        <v>0</v>
      </c>
      <c r="AP260" s="507" t="n">
        <f aca="false">IF(OR($R260="Steel",$S260="Steel"),4,SUM(IF(OR($R260="Fairy",$R260="Grass"),0-1,IF(OR($R260="Ghost",$R260="Rock",$R260="Ground",$R260="Poison"),1,0)),IF(OR($S260="Fairy",$S260="Grass"),0-1,IF(OR($S260="Ghost",$S260="Rock",$S260="Ground",$S260="Poison"),1,0))))</f>
        <v>0</v>
      </c>
      <c r="AQ260" s="507" t="n">
        <f aca="false">IF(OR($R260="Dark",$S260="Dark"),4,SUM(IF(OR($R260="Fighting",$R260="Poison"),0-1,IF(OR($R260="Psychic",$R260="Steel"),1,0)),IF(OR($S260="Fighting",$S260="Poison"),0-1,IF(OR($S260="Psychic",$S260="Steel"),1,0))))</f>
        <v>0</v>
      </c>
      <c r="AR260" s="507" t="n">
        <f aca="false">SUM(IF(OR($R260="Bug",$R260="Fire",$R260="Flying",$R260="Ice"),0-1,IF(OR($R260="Steel",$R260="Fighting",$R260="Ground"),1,0)),IF(OR($S260="Bug",$S260="Fire",$S260="Flying",$S260="Ice"),0-1,IF(OR($S260="Steel",$S260="Fighting",$S260="Ground"),1,0)))</f>
        <v>0</v>
      </c>
      <c r="AS260" s="507" t="n">
        <f aca="false">SUM(IF(OR($R260="Fairy",$R260="Ice",$R260="Rock"),0-1,IF(OR($R260="Steel",$R260="Electric",$R260="Fire",$R260="Water"),1,0)),IF(OR($S260="Fairy",$S260="Ice",$S260="Rock"),0-1,IF(OR($S260="Steel",$S260="Electric",$S260="Fire",$S260="Water"),1,0)))</f>
        <v>1</v>
      </c>
      <c r="AT260" s="508" t="n">
        <f aca="false">SUM(IF(OR($R260="Fire",$R260="Ground",$R260="Rock"),0-1,IF(OR($R260="Dragon",$R260="Grass",$R260="Water"),1,0)),IF(OR($S260="Fire",$S260="Ground",$S260="Rock"),0-1,IF(OR($S260="Dragon",$S260="Grass",$S260="Water"),1,0)))</f>
        <v>1</v>
      </c>
      <c r="AU260" s="518"/>
    </row>
    <row r="261" customFormat="false" ht="15.75" hidden="false" customHeight="false" outlineLevel="0" collapsed="false">
      <c r="A261" s="510" t="str">
        <f aca="false" t="array" ref="A261:A261">IF(ISNA(INDEX(Source!$U$7:$U$95,MATCH(B261,Source!$V$7:$V$95,0))),"FREE",INDEX(Source!$U$7:$U$95,MATCH(B261,Source!$V$7:$V$95,0)))</f>
        <v>BTB</v>
      </c>
      <c r="B261" s="511" t="s">
        <v>63</v>
      </c>
      <c r="C261" s="511"/>
      <c r="D261" s="511"/>
      <c r="E261" s="499" t="n">
        <f aca="false">IF(SUM($W261:$X261)&gt;0,SUM($W261:$X261),IF($H261&gt;0,0,IF($H261&gt;0,0,"-")))</f>
        <v>0</v>
      </c>
      <c r="F261" s="499" t="n">
        <f aca="false">IF(SUM($Y261:$Z261)&gt;0,SUM($Y261:$Z261),IF($H261&gt;0,0,"-"))</f>
        <v>0</v>
      </c>
      <c r="G261" s="499" t="e">
        <f aca="false">IF($H261&gt;0,minus(E261,F261),"-")</f>
        <v>#NAME?</v>
      </c>
      <c r="H261" s="500" t="n">
        <f aca="false">SUM(COUNTIF(MatchSource!$A:$A,$B261),COUNTIF(MatchSource!$H:$H,$B261))</f>
        <v>7</v>
      </c>
      <c r="I261" s="501" t="n">
        <f aca="false">SUM($AA261:$AB261)</f>
        <v>0</v>
      </c>
      <c r="J261" s="501" t="s">
        <v>702</v>
      </c>
      <c r="K261" s="512" t="n">
        <f aca="false" t="array" ref="K261:K261">IF(ISNA(INDEX(DraftRosters!$AA$3:$AA$199,MATCH($B261,DraftRosters!$AB$3:$AB$199,0))),"FA",IF(INDEX(DraftRosters!$AA$3:$AA$199,MATCH($B261,DraftRosters!$AB$3:$AB$199,0))="Franchise","Franch",INDEX(DraftRosters!$AA$3:$AA$199,MATCH($B261,DraftRosters!$AB$3:$AB$199,0))))</f>
        <v>60</v>
      </c>
      <c r="L261" s="499" t="n">
        <v>80</v>
      </c>
      <c r="M261" s="499" t="n">
        <v>120</v>
      </c>
      <c r="N261" s="499" t="n">
        <v>79</v>
      </c>
      <c r="O261" s="499" t="n">
        <v>95</v>
      </c>
      <c r="P261" s="499" t="n">
        <v>79</v>
      </c>
      <c r="Q261" s="501" t="n">
        <v>70</v>
      </c>
      <c r="R261" s="499" t="s">
        <v>845</v>
      </c>
      <c r="S261" s="501"/>
      <c r="T261" s="520" t="s">
        <v>930</v>
      </c>
      <c r="U261" s="513" t="s">
        <v>877</v>
      </c>
      <c r="V261" s="514" t="s">
        <v>851</v>
      </c>
      <c r="W261" s="500" t="str">
        <f aca="false">IFERROR(__xludf.dummyfunction("if(isna(SUM(FILTER(MatchSource!$A:$D,MatchSource!$A:$A=$B261))),0,SUM(FILTER(MatchSource!$A:$D,MatchSource!$A:$A=$B261)))"),"0")</f>
        <v>0</v>
      </c>
      <c r="X261" s="499" t="str">
        <f aca="false">IFERROR(__xludf.dummyfunction("if(isna(SUM(FILTER(MatchSource!$H:$K,MatchSource!$H:$H=$B261))),0,SUM(FILTER(MatchSource!$H:$K,MatchSource!$H:$H=$B261)))"),"4")</f>
        <v>4</v>
      </c>
      <c r="Y261" s="499" t="str">
        <f aca="false">IFERROR(__xludf.dummyfunction("if(isna(ABS(MINUS(SUM(FILTER(MatchSource!$A:$E,MatchSource!$A:$A=$B261)),SUM($W261)))),0,ABS(MINUS(SUM(FILTER(MatchSource!$A:$E,MatchSource!$A:$A=$B261)),SUM($W261))))"),"1")</f>
        <v>1</v>
      </c>
      <c r="Z261" s="499" t="str">
        <f aca="false">IFERROR(__xludf.dummyfunction("if(isna(ABS(MINUS(SUM(FILTER(MatchSource!$H:$L,MatchSource!$H:$H=$B261)),SUM($X261)))),0,ABS(MINUS(SUM(FILTER(MatchSource!$H:$L,MatchSource!$H:$H=$B261)),SUM($X261))))"),"3")</f>
        <v>3</v>
      </c>
      <c r="AA261" s="499" t="str">
        <f aca="false">IFERROR(__xludf.dummyfunction("if(isna(ABS(MINUS(SUM(FILTER(MatchSource!$A:$F,MatchSource!$A:$A=$B261)),SUM($W261,$Y261)))),0,ABS(MINUS(SUM(FILTER(MatchSource!$A:$F,MatchSource!$A:$A=$B261)),SUM($W261, $Y261,))))"),"2")</f>
        <v>2</v>
      </c>
      <c r="AB261" s="501" t="str">
        <f aca="false">IFERROR(__xludf.dummyfunction("if(isna(ABS(MINUS(SUM(FILTER(MatchSource!$H:$M,MatchSource!$H:$H=$B261)),SUM($X261,$Z261)))),0,ABS(MINUS(SUM(FILTER(MatchSource!$H:$M,MatchSource!$H:$H=$B261)),SUM($X261,$Z261))))"),"2")</f>
        <v>2</v>
      </c>
      <c r="AC261" s="507" t="n">
        <f aca="false">SUM(IF(OR($R261="Grass",$R261="Psychic",$R261="Dark"),0-1,IF(OR($R261="Fighting",$R261="Flying",$R261="Fire",$R261="Ghost",$R261="Poison",$R261="Steel",$R261="Fairy"),1,0)),IF(OR($S261="Grass",$S261="Psychic",$S261="Dark"),0-1,IF(OR($S261="Fighting",$S261="Flying",$S261="Fire",$S261="Ghost",$S261="Poison",$S261="Steel",$S261="Fairy"),1,0)))</f>
        <v>0</v>
      </c>
      <c r="AD261" s="507" t="n">
        <f aca="false">SUM(IF(OR($R261="Ghost",$R261="Psychic"),0-1,IF(OR($R261="Fighting",$R261="Dark",$R261="Fairy"),1,0)),IF(OR($S261="Ghost",$S261="Psychic"),0-1,IF(OR($S261="Fighting",$S261="Dark",$S261="Fairy"),1,0)))</f>
        <v>0</v>
      </c>
      <c r="AE261" s="507" t="n">
        <f aca="false">IF(OR($R261="Fairy",$S261="Fairy"),4,SUM(IF($R261="Dragon",0-1,IF($R261="Steel",1,0)),IF($S261="Dragon",0-1,IF($S261="Steel",1,0))))</f>
        <v>0</v>
      </c>
      <c r="AF261" s="507" t="n">
        <f aca="false">IF(OR($R261="Ground",$S261="Ground"),4,SUM(IF(OR($R261="Flying",$R261="Water"),0-1,IF(OR($R261="Dragon",$R261="Electric",$R261="Grass"),1,0)),IF(OR($S261="Flying",$S261="Water"),0-1,IF(OR($S261="Dragon",$S261="Electric",$S261="Grass"),1,0))))</f>
        <v>1</v>
      </c>
      <c r="AG261" s="507" t="n">
        <f aca="false">SUM(IF(OR($R261="Dark",$R261="Dragon",$R261="Fighting"),0-1,IF(OR($R261="Steel",$R261="Poison",$R261="Fire"),1,0)),IF(OR($S261="Dark",$S261="Dragon",$S261="Fighting"),0-1,IF(OR($S261="Steel",$S261="Poison",$S261="Fire"),1,0)))</f>
        <v>0</v>
      </c>
      <c r="AH261" s="507" t="n">
        <f aca="false">IF(OR($R261="Ghost",$S261="Ghost"),4,SUM(IF(OR($R261="Dark",$R261="Ice",$R261="Normal",$R261="Rock",$R261="Steel"),0-1,IF(OR($R261="Bug",$R261="Fairy",$R261="Flying",$R261="Poison",$R261="Psychic"),1,0)),IF(OR($S261="Dark",$S261="Ice",$S261="Normal",$S261="Rock",$S261="Steel"),0-1,IF(OR($S261="Bug",$S261="Fairy",$S261="Flying",$S261="Poison",$S261="Psychic"),1,0))))</f>
        <v>0</v>
      </c>
      <c r="AI261" s="507" t="n">
        <f aca="false">SUM(IF(OR($R261="Bug",$R261="Grass",$R261="Ice",$R261="Steel"),0-1,IF(OR($R261="Dragon",$R261="Fire",$R261="Rock",$R261="Water"),1,0)),IF(OR($S261="Bug",$S261="Grass",$S261="Ice",$S261="Steel"),0-1,IF(OR($S261="Dragon",$S261="Fire",$S261="Rock",$S261="Water"),1,0)))</f>
        <v>0</v>
      </c>
      <c r="AJ261" s="507" t="n">
        <f aca="false">SUM(IF(OR($R261="Bug",$R261="Grass",$R261="Fighting"),0-1,IF(OR($R261="Electric",$R261="Rock",$R261="Steel"),1,0)),IF(OR($S261="Bug",$S261="Grass",$S261="Fighting"),0-1,IF(OR($S261="Electric",$S261="Rock",$S261="Steel"),1,0)))</f>
        <v>1</v>
      </c>
      <c r="AK261" s="507" t="n">
        <f aca="false">IF(OR($R261="Normal",$S261="Normal"),4,SUM(IF(OR($R261="Ghost",$R261="Psychic"),0-1,IF($R261="Dark",1,0)),IF(OR($S261="Ghost",$S261="Psychic"),0-1,IF($S261="Dark",1,0))))</f>
        <v>0</v>
      </c>
      <c r="AL261" s="507" t="n">
        <f aca="false">SUM(IF(OR($R261="Ground",$R261="Rock",$R261="Water"),0-1,IF(OR($R261="Bug",$R261="Flying",$R261="Fire",$R261="Dragon",$R261="Poison",$R261="Steel",$R261="Grass"),1,0)),IF(OR($S261="Ground",$S261="Rock",$S261="Water"),0-1,IF(OR($S261="Bug",$S261="Flying",$S261="Fire",$S261="Dragon",$S261="Poison",$S261="Steel",$S261="Grass"),1,0)))</f>
        <v>0</v>
      </c>
      <c r="AM261" s="507" t="n">
        <f aca="false">IF(OR($R261="Flying",$S261="Flying"),4,SUM(IF(OR($R261="Electric",$R261="Fire",$R261="Rock",$R261="Steel",$R261="Poison"),0-1,IF(OR($R261="Bug",$R261="Grass"),1,0)),IF(OR($S261="Electric",$S261="Fire",$S261="Rock",$S261="Steel",$S261="Poison"),0-1,IF(OR($S261="Bug",$S261="Grass"),1,0))))</f>
        <v>-1</v>
      </c>
      <c r="AN261" s="507" t="n">
        <f aca="false">SUM(IF(OR($R261="Flying",$R261="Dragon",$R261="Grass",$R261="Ground"),0-1,IF(OR($R261="Steel",$R261="Ice",$R261="Fire",$R261="Water"),1,0)),IF(OR($S261="Flying",$S261="Dragon",$S261="Grass",$S261="Ground"),0-1,IF(OR($S261="Steel",$S261="Ice",$S261="Fire",$S261="Water"),1,0)))</f>
        <v>0</v>
      </c>
      <c r="AO261" s="507" t="n">
        <f aca="false">IF(OR($R261="Ghost",$S261="Ghost"),4,SUM(IF(OR($R261="Steel",$R261="Rock"),1,0),IF(OR($S261="Steel",$S261="Rock"),1,0)))</f>
        <v>0</v>
      </c>
      <c r="AP261" s="507" t="n">
        <f aca="false">IF(OR($R261="Steel",$S261="Steel"),4,SUM(IF(OR($R261="Fairy",$R261="Grass"),0-1,IF(OR($R261="Ghost",$R261="Rock",$R261="Ground",$R261="Poison"),1,0)),IF(OR($S261="Fairy",$S261="Grass"),0-1,IF(OR($S261="Ghost",$S261="Rock",$S261="Ground",$S261="Poison"),1,0))))</f>
        <v>0</v>
      </c>
      <c r="AQ261" s="507" t="n">
        <f aca="false">IF(OR($R261="Dark",$S261="Dark"),4,SUM(IF(OR($R261="Fighting",$R261="Poison"),0-1,IF(OR($R261="Psychic",$R261="Steel"),1,0)),IF(OR($S261="Fighting",$S261="Poison"),0-1,IF(OR($S261="Psychic",$S261="Steel"),1,0))))</f>
        <v>0</v>
      </c>
      <c r="AR261" s="507" t="n">
        <f aca="false">SUM(IF(OR($R261="Bug",$R261="Fire",$R261="Flying",$R261="Ice"),0-1,IF(OR($R261="Steel",$R261="Fighting",$R261="Ground"),1,0)),IF(OR($S261="Bug",$S261="Fire",$S261="Flying",$S261="Ice"),0-1,IF(OR($S261="Steel",$S261="Fighting",$S261="Ground"),1,0)))</f>
        <v>0</v>
      </c>
      <c r="AS261" s="507" t="n">
        <f aca="false">SUM(IF(OR($R261="Fairy",$R261="Ice",$R261="Rock"),0-1,IF(OR($R261="Steel",$R261="Electric",$R261="Fire",$R261="Water"),1,0)),IF(OR($S261="Fairy",$S261="Ice",$S261="Rock"),0-1,IF(OR($S261="Steel",$S261="Electric",$S261="Fire",$S261="Water"),1,0)))</f>
        <v>1</v>
      </c>
      <c r="AT261" s="508" t="n">
        <f aca="false">SUM(IF(OR($R261="Fire",$R261="Ground",$R261="Rock"),0-1,IF(OR($R261="Dragon",$R261="Grass",$R261="Water"),1,0)),IF(OR($S261="Fire",$S261="Ground",$S261="Rock"),0-1,IF(OR($S261="Dragon",$S261="Grass",$S261="Water"),1,0)))</f>
        <v>0</v>
      </c>
      <c r="AU261" s="518"/>
    </row>
    <row r="262" customFormat="false" ht="15.75" hidden="false" customHeight="false" outlineLevel="0" collapsed="false">
      <c r="A262" s="510" t="str">
        <f aca="false" t="array" ref="A262:A262">IF(ISNA(INDEX(Source!$U$7:$U$95,MATCH(B262,Source!$V$7:$V$95,0))),"FREE",INDEX(Source!$U$7:$U$95,MATCH(B262,Source!$V$7:$V$95,0)))</f>
        <v>FREE</v>
      </c>
      <c r="B262" s="511" t="s">
        <v>745</v>
      </c>
      <c r="C262" s="511"/>
      <c r="D262" s="511"/>
      <c r="E262" s="499" t="str">
        <f aca="false">IF(SUM($W262:$X262)&gt;0,SUM($W262:$X262),IF($H262&gt;0,0,IF($H262&gt;0,0,"-")))</f>
        <v>-</v>
      </c>
      <c r="F262" s="499" t="str">
        <f aca="false">IF(SUM($Y262:$Z262)&gt;0,SUM($Y262:$Z262),IF($H262&gt;0,0,"-"))</f>
        <v>-</v>
      </c>
      <c r="G262" s="499" t="str">
        <f aca="false">IF($H262&gt;0,minus(E262,F262),"-")</f>
        <v>-</v>
      </c>
      <c r="H262" s="500" t="n">
        <f aca="false">SUM(COUNTIF(MatchSource!$A:$A,$B262),COUNTIF(MatchSource!$H:$H,$B262))</f>
        <v>0</v>
      </c>
      <c r="I262" s="501" t="n">
        <f aca="false">SUM($AA262:$AB262)</f>
        <v>0</v>
      </c>
      <c r="J262" s="501" t="s">
        <v>700</v>
      </c>
      <c r="K262" s="512" t="str">
        <f aca="false" t="array" ref="K262:K262">IF(ISNA(INDEX(DraftRosters!$AA$3:$AA$199,MATCH($B262,DraftRosters!$AB$3:$AB$199,0))),"FA",IF(INDEX(DraftRosters!$AA$3:$AA$199,MATCH($B262,DraftRosters!$AB$3:$AB$199,0))="Franchise","Franch",INDEX(DraftRosters!$AA$3:$AA$199,MATCH($B262,DraftRosters!$AB$3:$AB$199,0))))</f>
        <v>FA</v>
      </c>
      <c r="L262" s="507" t="n">
        <v>75</v>
      </c>
      <c r="M262" s="507" t="n">
        <v>115</v>
      </c>
      <c r="N262" s="507" t="n">
        <v>65</v>
      </c>
      <c r="O262" s="507" t="n">
        <v>55</v>
      </c>
      <c r="P262" s="507" t="n">
        <v>65</v>
      </c>
      <c r="Q262" s="508" t="n">
        <v>112</v>
      </c>
      <c r="R262" s="499" t="s">
        <v>809</v>
      </c>
      <c r="S262" s="501"/>
      <c r="T262" s="504" t="s">
        <v>897</v>
      </c>
      <c r="U262" s="505" t="s">
        <v>967</v>
      </c>
      <c r="V262" s="506" t="s">
        <v>976</v>
      </c>
      <c r="W262" s="500" t="str">
        <f aca="false">IFERROR(__xludf.dummyfunction("if(isna(SUM(FILTER(MatchSource!$A:$D,MatchSource!$A:$A=$B262))),0,SUM(FILTER(MatchSource!$A:$D,MatchSource!$A:$A=$B262)))"),"0")</f>
        <v>0</v>
      </c>
      <c r="X262" s="499" t="str">
        <f aca="false">IFERROR(__xludf.dummyfunction("if(isna(SUM(FILTER(MatchSource!$H:$K,MatchSource!$H:$H=$B262))),0,SUM(FILTER(MatchSource!$H:$K,MatchSource!$H:$H=$B262)))"),"0")</f>
        <v>0</v>
      </c>
      <c r="Y262" s="499" t="str">
        <f aca="false">IFERROR(__xludf.dummyfunction("if(isna(ABS(MINUS(SUM(FILTER(MatchSource!$A:$E,MatchSource!$A:$A=$B262)),SUM($W262)))),0,ABS(MINUS(SUM(FILTER(MatchSource!$A:$E,MatchSource!$A:$A=$B262)),SUM($W262))))"),"0")</f>
        <v>0</v>
      </c>
      <c r="Z262" s="499" t="str">
        <f aca="false">IFERROR(__xludf.dummyfunction("if(isna(ABS(MINUS(SUM(FILTER(MatchSource!$H:$L,MatchSource!$H:$H=$B262)),SUM($X262)))),0,ABS(MINUS(SUM(FILTER(MatchSource!$H:$L,MatchSource!$H:$H=$B262)),SUM($X262))))"),"0")</f>
        <v>0</v>
      </c>
      <c r="AA262" s="499" t="str">
        <f aca="false">IFERROR(__xludf.dummyfunction("if(isna(ABS(MINUS(SUM(FILTER(MatchSource!$A:$F,MatchSource!$A:$A=$B262)),SUM($W262,$Y262)))),0,ABS(MINUS(SUM(FILTER(MatchSource!$A:$F,MatchSource!$A:$A=$B262)),SUM($W262, $Y262,))))"),"0")</f>
        <v>0</v>
      </c>
      <c r="AB262" s="501" t="str">
        <f aca="false">IFERROR(__xludf.dummyfunction("if(isna(ABS(MINUS(SUM(FILTER(MatchSource!$H:$M,MatchSource!$H:$H=$B262)),SUM($X262,$Z262)))),0,ABS(MINUS(SUM(FILTER(MatchSource!$H:$M,MatchSource!$H:$H=$B262)),SUM($X262,$Z262))))"),"0")</f>
        <v>0</v>
      </c>
      <c r="AC262" s="507" t="n">
        <f aca="false">SUM(IF(OR($R262="Grass",$R262="Psychic",$R262="Dark"),0-1,IF(OR($R262="Fighting",$R262="Flying",$R262="Fire",$R262="Ghost",$R262="Poison",$R262="Steel",$R262="Fairy"),1,0)),IF(OR($S262="Grass",$S262="Psychic",$S262="Dark"),0-1,IF(OR($S262="Fighting",$S262="Flying",$S262="Fire",$S262="Ghost",$S262="Poison",$S262="Steel",$S262="Fairy"),1,0)))</f>
        <v>0</v>
      </c>
      <c r="AD262" s="507" t="n">
        <f aca="false">SUM(IF(OR($R262="Ghost",$R262="Psychic"),0-1,IF(OR($R262="Fighting",$R262="Dark",$R262="Fairy"),1,0)),IF(OR($S262="Ghost",$S262="Psychic"),0-1,IF(OR($S262="Fighting",$S262="Dark",$S262="Fairy"),1,0)))</f>
        <v>0</v>
      </c>
      <c r="AE262" s="507" t="n">
        <f aca="false">IF(OR($R262="Fairy",$S262="Fairy"),4,SUM(IF($R262="Dragon",0-1,IF($R262="Steel",1,0)),IF($S262="Dragon",0-1,IF($S262="Steel",1,0))))</f>
        <v>0</v>
      </c>
      <c r="AF262" s="507" t="n">
        <f aca="false">IF(OR($R262="Ground",$S262="Ground"),4,SUM(IF(OR($R262="Flying",$R262="Water"),0-1,IF(OR($R262="Dragon",$R262="Electric",$R262="Grass"),1,0)),IF(OR($S262="Flying",$S262="Water"),0-1,IF(OR($S262="Dragon",$S262="Electric",$S262="Grass"),1,0))))</f>
        <v>0</v>
      </c>
      <c r="AG262" s="507" t="n">
        <f aca="false">SUM(IF(OR($R262="Dark",$R262="Dragon",$R262="Fighting"),0-1,IF(OR($R262="Steel",$R262="Poison",$R262="Fire"),1,0)),IF(OR($S262="Dark",$S262="Dragon",$S262="Fighting"),0-1,IF(OR($S262="Steel",$S262="Poison",$S262="Fire"),1,0)))</f>
        <v>0</v>
      </c>
      <c r="AH262" s="507" t="n">
        <f aca="false">IF(OR($R262="Ghost",$S262="Ghost"),4,SUM(IF(OR($R262="Dark",$R262="Ice",$R262="Normal",$R262="Rock",$R262="Steel"),0-1,IF(OR($R262="Bug",$R262="Fairy",$R262="Flying",$R262="Poison",$R262="Psychic"),1,0)),IF(OR($S262="Dark",$S262="Ice",$S262="Normal",$S262="Rock",$S262="Steel"),0-1,IF(OR($S262="Bug",$S262="Fairy",$S262="Flying",$S262="Poison",$S262="Psychic"),1,0))))</f>
        <v>-1</v>
      </c>
      <c r="AI262" s="507" t="n">
        <f aca="false">SUM(IF(OR($R262="Bug",$R262="Grass",$R262="Ice",$R262="Steel"),0-1,IF(OR($R262="Dragon",$R262="Fire",$R262="Rock",$R262="Water"),1,0)),IF(OR($S262="Bug",$S262="Grass",$S262="Ice",$S262="Steel"),0-1,IF(OR($S262="Dragon",$S262="Fire",$S262="Rock",$S262="Water"),1,0)))</f>
        <v>1</v>
      </c>
      <c r="AJ262" s="507" t="n">
        <f aca="false">SUM(IF(OR($R262="Bug",$R262="Grass",$R262="Fighting"),0-1,IF(OR($R262="Electric",$R262="Rock",$R262="Steel"),1,0)),IF(OR($S262="Bug",$S262="Grass",$S262="Fighting"),0-1,IF(OR($S262="Electric",$S262="Rock",$S262="Steel"),1,0)))</f>
        <v>1</v>
      </c>
      <c r="AK262" s="507" t="n">
        <f aca="false">IF(OR($R262="Normal",$S262="Normal"),4,SUM(IF(OR($R262="Ghost",$R262="Psychic"),0-1,IF($R262="Dark",1,0)),IF(OR($S262="Ghost",$S262="Psychic"),0-1,IF($S262="Dark",1,0))))</f>
        <v>0</v>
      </c>
      <c r="AL262" s="507" t="n">
        <f aca="false">SUM(IF(OR($R262="Ground",$R262="Rock",$R262="Water"),0-1,IF(OR($R262="Bug",$R262="Flying",$R262="Fire",$R262="Dragon",$R262="Poison",$R262="Steel",$R262="Grass"),1,0)),IF(OR($S262="Ground",$S262="Rock",$S262="Water"),0-1,IF(OR($S262="Bug",$S262="Flying",$S262="Fire",$S262="Dragon",$S262="Poison",$S262="Steel",$S262="Grass"),1,0)))</f>
        <v>-1</v>
      </c>
      <c r="AM262" s="507" t="n">
        <f aca="false">IF(OR($R262="Flying",$S262="Flying"),4,SUM(IF(OR($R262="Electric",$R262="Fire",$R262="Rock",$R262="Steel",$R262="Poison"),0-1,IF(OR($R262="Bug",$R262="Grass"),1,0)),IF(OR($S262="Electric",$S262="Fire",$S262="Rock",$S262="Steel",$S262="Poison"),0-1,IF(OR($S262="Bug",$S262="Grass"),1,0))))</f>
        <v>-1</v>
      </c>
      <c r="AN262" s="507" t="n">
        <f aca="false">SUM(IF(OR($R262="Flying",$R262="Dragon",$R262="Grass",$R262="Ground"),0-1,IF(OR($R262="Steel",$R262="Ice",$R262="Fire",$R262="Water"),1,0)),IF(OR($S262="Flying",$S262="Dragon",$S262="Grass",$S262="Ground"),0-1,IF(OR($S262="Steel",$S262="Ice",$S262="Fire",$S262="Water"),1,0)))</f>
        <v>0</v>
      </c>
      <c r="AO262" s="507" t="n">
        <f aca="false">IF(OR($R262="Ghost",$S262="Ghost"),4,SUM(IF(OR($R262="Steel",$R262="Rock"),1,0),IF(OR($S262="Steel",$S262="Rock"),1,0)))</f>
        <v>1</v>
      </c>
      <c r="AP262" s="507" t="n">
        <f aca="false">IF(OR($R262="Steel",$S262="Steel"),4,SUM(IF(OR($R262="Fairy",$R262="Grass"),0-1,IF(OR($R262="Ghost",$R262="Rock",$R262="Ground",$R262="Poison"),1,0)),IF(OR($S262="Fairy",$S262="Grass"),0-1,IF(OR($S262="Ghost",$S262="Rock",$S262="Ground",$S262="Poison"),1,0))))</f>
        <v>1</v>
      </c>
      <c r="AQ262" s="507" t="n">
        <f aca="false">IF(OR($R262="Dark",$S262="Dark"),4,SUM(IF(OR($R262="Fighting",$R262="Poison"),0-1,IF(OR($R262="Psychic",$R262="Steel"),1,0)),IF(OR($S262="Fighting",$S262="Poison"),0-1,IF(OR($S262="Psychic",$S262="Steel"),1,0))))</f>
        <v>0</v>
      </c>
      <c r="AR262" s="507" t="n">
        <f aca="false">SUM(IF(OR($R262="Bug",$R262="Fire",$R262="Flying",$R262="Ice"),0-1,IF(OR($R262="Steel",$R262="Fighting",$R262="Ground"),1,0)),IF(OR($S262="Bug",$S262="Fire",$S262="Flying",$S262="Ice"),0-1,IF(OR($S262="Steel",$S262="Fighting",$S262="Ground"),1,0)))</f>
        <v>0</v>
      </c>
      <c r="AS262" s="507" t="n">
        <f aca="false">SUM(IF(OR($R262="Fairy",$R262="Ice",$R262="Rock"),0-1,IF(OR($R262="Steel",$R262="Electric",$R262="Fire",$R262="Water"),1,0)),IF(OR($S262="Fairy",$S262="Ice",$S262="Rock"),0-1,IF(OR($S262="Steel",$S262="Electric",$S262="Fire",$S262="Water"),1,0)))</f>
        <v>-1</v>
      </c>
      <c r="AT262" s="508" t="n">
        <f aca="false">SUM(IF(OR($R262="Fire",$R262="Ground",$R262="Rock"),0-1,IF(OR($R262="Dragon",$R262="Grass",$R262="Water"),1,0)),IF(OR($S262="Fire",$S262="Ground",$S262="Rock"),0-1,IF(OR($S262="Dragon",$S262="Grass",$S262="Water"),1,0)))</f>
        <v>-1</v>
      </c>
      <c r="AU262" s="518"/>
    </row>
    <row r="263" customFormat="false" ht="15.75" hidden="false" customHeight="false" outlineLevel="0" collapsed="false">
      <c r="A263" s="510" t="str">
        <f aca="false" t="array" ref="A263:A263">IF(ISNA(INDEX(Source!$U$7:$U$95,MATCH(B263,Source!$V$7:$V$95,0))),"FREE",INDEX(Source!$U$7:$U$95,MATCH(B263,Source!$V$7:$V$95,0)))</f>
        <v>FREE</v>
      </c>
      <c r="B263" s="511" t="s">
        <v>1020</v>
      </c>
      <c r="C263" s="511"/>
      <c r="D263" s="511"/>
      <c r="E263" s="499" t="str">
        <f aca="false">IF(SUM($W263:$X263)&gt;0,SUM($W263:$X263),IF($H263&gt;0,0,IF($H263&gt;0,0,"-")))</f>
        <v>-</v>
      </c>
      <c r="F263" s="499" t="str">
        <f aca="false">IF(SUM($Y263:$Z263)&gt;0,SUM($Y263:$Z263),IF($H263&gt;0,0,"-"))</f>
        <v>-</v>
      </c>
      <c r="G263" s="499" t="str">
        <f aca="false">IF($H263&gt;0,minus(E263,F263),"-")</f>
        <v>-</v>
      </c>
      <c r="H263" s="500" t="n">
        <f aca="false">SUM(COUNTIF(MatchSource!$A:$A,$B263),COUNTIF(MatchSource!$H:$H,$B263))</f>
        <v>0</v>
      </c>
      <c r="I263" s="501" t="n">
        <f aca="false">SUM($AA263:$AB263)</f>
        <v>0</v>
      </c>
      <c r="J263" s="501" t="s">
        <v>888</v>
      </c>
      <c r="K263" s="512" t="str">
        <f aca="false" t="array" ref="K263:K263">IF(ISNA(INDEX(DraftRosters!$AA$3:$AA$199,MATCH($B263,DraftRosters!$AB$3:$AB$199,0))),"FA",IF(INDEX(DraftRosters!$AA$3:$AA$199,MATCH($B263,DraftRosters!$AB$3:$AB$199,0))="Franchise","Franch",INDEX(DraftRosters!$AA$3:$AA$199,MATCH($B263,DraftRosters!$AB$3:$AB$199,0))))</f>
        <v>FA</v>
      </c>
      <c r="L263" s="507" t="n">
        <v>75</v>
      </c>
      <c r="M263" s="507" t="n">
        <v>117</v>
      </c>
      <c r="N263" s="507" t="n">
        <v>65</v>
      </c>
      <c r="O263" s="507" t="n">
        <v>55</v>
      </c>
      <c r="P263" s="507" t="n">
        <v>65</v>
      </c>
      <c r="Q263" s="508" t="n">
        <v>110</v>
      </c>
      <c r="R263" s="499" t="s">
        <v>809</v>
      </c>
      <c r="S263" s="501"/>
      <c r="T263" s="504" t="s">
        <v>824</v>
      </c>
      <c r="U263" s="505"/>
      <c r="V263" s="506"/>
      <c r="W263" s="500" t="str">
        <f aca="false">IFERROR(__xludf.dummyfunction("if(isna(SUM(FILTER(MatchSource!$A:$D,MatchSource!$A:$A=$B263))),0,SUM(FILTER(MatchSource!$A:$D,MatchSource!$A:$A=$B263)))"),"0")</f>
        <v>0</v>
      </c>
      <c r="X263" s="499" t="str">
        <f aca="false">IFERROR(__xludf.dummyfunction("if(isna(SUM(FILTER(MatchSource!$H:$K,MatchSource!$H:$H=$B263))),0,SUM(FILTER(MatchSource!$H:$K,MatchSource!$H:$H=$B263)))"),"0")</f>
        <v>0</v>
      </c>
      <c r="Y263" s="499" t="str">
        <f aca="false">IFERROR(__xludf.dummyfunction("if(isna(ABS(MINUS(SUM(FILTER(MatchSource!$A:$E,MatchSource!$A:$A=$B263)),SUM($W263)))),0,ABS(MINUS(SUM(FILTER(MatchSource!$A:$E,MatchSource!$A:$A=$B263)),SUM($W263))))"),"0")</f>
        <v>0</v>
      </c>
      <c r="Z263" s="499" t="str">
        <f aca="false">IFERROR(__xludf.dummyfunction("if(isna(ABS(MINUS(SUM(FILTER(MatchSource!$H:$L,MatchSource!$H:$H=$B263)),SUM($X263)))),0,ABS(MINUS(SUM(FILTER(MatchSource!$H:$L,MatchSource!$H:$H=$B263)),SUM($X263))))"),"0")</f>
        <v>0</v>
      </c>
      <c r="AA263" s="499" t="str">
        <f aca="false">IFERROR(__xludf.dummyfunction("if(isna(ABS(MINUS(SUM(FILTER(MatchSource!$A:$F,MatchSource!$A:$A=$B263)),SUM($W263,$Y263)))),0,ABS(MINUS(SUM(FILTER(MatchSource!$A:$F,MatchSource!$A:$A=$B263)),SUM($W263, $Y263,))))"),"0")</f>
        <v>0</v>
      </c>
      <c r="AB263" s="501" t="str">
        <f aca="false">IFERROR(__xludf.dummyfunction("if(isna(ABS(MINUS(SUM(FILTER(MatchSource!$H:$M,MatchSource!$H:$H=$B263)),SUM($X263,$Z263)))),0,ABS(MINUS(SUM(FILTER(MatchSource!$H:$M,MatchSource!$H:$H=$B263)),SUM($X263,$Z263))))"),"0")</f>
        <v>0</v>
      </c>
      <c r="AC263" s="507" t="n">
        <f aca="false">SUM(IF(OR($R263="Grass",$R263="Psychic",$R263="Dark"),0-1,IF(OR($R263="Fighting",$R263="Flying",$R263="Fire",$R263="Ghost",$R263="Poison",$R263="Steel",$R263="Fairy"),1,0)),IF(OR($S263="Grass",$S263="Psychic",$S263="Dark"),0-1,IF(OR($S263="Fighting",$S263="Flying",$S263="Fire",$S263="Ghost",$S263="Poison",$S263="Steel",$S263="Fairy"),1,0)))</f>
        <v>0</v>
      </c>
      <c r="AD263" s="507" t="n">
        <f aca="false">SUM(IF(OR($R263="Ghost",$R263="Psychic"),0-1,IF(OR($R263="Fighting",$R263="Dark",$R263="Fairy"),1,0)),IF(OR($S263="Ghost",$S263="Psychic"),0-1,IF(OR($S263="Fighting",$S263="Dark",$S263="Fairy"),1,0)))</f>
        <v>0</v>
      </c>
      <c r="AE263" s="507" t="n">
        <f aca="false">IF(OR($R263="Fairy",$S263="Fairy"),4,SUM(IF($R263="Dragon",0-1,IF($R263="Steel",1,0)),IF($S263="Dragon",0-1,IF($S263="Steel",1,0))))</f>
        <v>0</v>
      </c>
      <c r="AF263" s="507" t="n">
        <f aca="false">IF(OR($R263="Ground",$S263="Ground"),4,SUM(IF(OR($R263="Flying",$R263="Water"),0-1,IF(OR($R263="Dragon",$R263="Electric",$R263="Grass"),1,0)),IF(OR($S263="Flying",$S263="Water"),0-1,IF(OR($S263="Dragon",$S263="Electric",$S263="Grass"),1,0))))</f>
        <v>0</v>
      </c>
      <c r="AG263" s="507" t="n">
        <f aca="false">SUM(IF(OR($R263="Dark",$R263="Dragon",$R263="Fighting"),0-1,IF(OR($R263="Steel",$R263="Poison",$R263="Fire"),1,0)),IF(OR($S263="Dark",$S263="Dragon",$S263="Fighting"),0-1,IF(OR($S263="Steel",$S263="Poison",$S263="Fire"),1,0)))</f>
        <v>0</v>
      </c>
      <c r="AH263" s="507" t="n">
        <f aca="false">IF(OR($R263="Ghost",$S263="Ghost"),4,SUM(IF(OR($R263="Dark",$R263="Ice",$R263="Normal",$R263="Rock",$R263="Steel"),0-1,IF(OR($R263="Bug",$R263="Fairy",$R263="Flying",$R263="Poison",$R263="Psychic"),1,0)),IF(OR($S263="Dark",$S263="Ice",$S263="Normal",$S263="Rock",$S263="Steel"),0-1,IF(OR($S263="Bug",$S263="Fairy",$S263="Flying",$S263="Poison",$S263="Psychic"),1,0))))</f>
        <v>-1</v>
      </c>
      <c r="AI263" s="507" t="n">
        <f aca="false">SUM(IF(OR($R263="Bug",$R263="Grass",$R263="Ice",$R263="Steel"),0-1,IF(OR($R263="Dragon",$R263="Fire",$R263="Rock",$R263="Water"),1,0)),IF(OR($S263="Bug",$S263="Grass",$S263="Ice",$S263="Steel"),0-1,IF(OR($S263="Dragon",$S263="Fire",$S263="Rock",$S263="Water"),1,0)))</f>
        <v>1</v>
      </c>
      <c r="AJ263" s="507" t="n">
        <f aca="false">SUM(IF(OR($R263="Bug",$R263="Grass",$R263="Fighting"),0-1,IF(OR($R263="Electric",$R263="Rock",$R263="Steel"),1,0)),IF(OR($S263="Bug",$S263="Grass",$S263="Fighting"),0-1,IF(OR($S263="Electric",$S263="Rock",$S263="Steel"),1,0)))</f>
        <v>1</v>
      </c>
      <c r="AK263" s="507" t="n">
        <f aca="false">IF(OR($R263="Normal",$S263="Normal"),4,SUM(IF(OR($R263="Ghost",$R263="Psychic"),0-1,IF($R263="Dark",1,0)),IF(OR($S263="Ghost",$S263="Psychic"),0-1,IF($S263="Dark",1,0))))</f>
        <v>0</v>
      </c>
      <c r="AL263" s="507" t="n">
        <f aca="false">SUM(IF(OR($R263="Ground",$R263="Rock",$R263="Water"),0-1,IF(OR($R263="Bug",$R263="Flying",$R263="Fire",$R263="Dragon",$R263="Poison",$R263="Steel",$R263="Grass"),1,0)),IF(OR($S263="Ground",$S263="Rock",$S263="Water"),0-1,IF(OR($S263="Bug",$S263="Flying",$S263="Fire",$S263="Dragon",$S263="Poison",$S263="Steel",$S263="Grass"),1,0)))</f>
        <v>-1</v>
      </c>
      <c r="AM263" s="507" t="n">
        <f aca="false">IF(OR($R263="Flying",$S263="Flying"),4,SUM(IF(OR($R263="Electric",$R263="Fire",$R263="Rock",$R263="Steel",$R263="Poison"),0-1,IF(OR($R263="Bug",$R263="Grass"),1,0)),IF(OR($S263="Electric",$S263="Fire",$S263="Rock",$S263="Steel",$S263="Poison"),0-1,IF(OR($S263="Bug",$S263="Grass"),1,0))))</f>
        <v>-1</v>
      </c>
      <c r="AN263" s="507" t="n">
        <f aca="false">SUM(IF(OR($R263="Flying",$R263="Dragon",$R263="Grass",$R263="Ground"),0-1,IF(OR($R263="Steel",$R263="Ice",$R263="Fire",$R263="Water"),1,0)),IF(OR($S263="Flying",$S263="Dragon",$S263="Grass",$S263="Ground"),0-1,IF(OR($S263="Steel",$S263="Ice",$S263="Fire",$S263="Water"),1,0)))</f>
        <v>0</v>
      </c>
      <c r="AO263" s="507" t="n">
        <f aca="false">IF(OR($R263="Ghost",$S263="Ghost"),4,SUM(IF(OR($R263="Steel",$R263="Rock"),1,0),IF(OR($S263="Steel",$S263="Rock"),1,0)))</f>
        <v>1</v>
      </c>
      <c r="AP263" s="507" t="n">
        <f aca="false">IF(OR($R263="Steel",$S263="Steel"),4,SUM(IF(OR($R263="Fairy",$R263="Grass"),0-1,IF(OR($R263="Ghost",$R263="Rock",$R263="Ground",$R263="Poison"),1,0)),IF(OR($S263="Fairy",$S263="Grass"),0-1,IF(OR($S263="Ghost",$S263="Rock",$S263="Ground",$S263="Poison"),1,0))))</f>
        <v>1</v>
      </c>
      <c r="AQ263" s="507" t="n">
        <f aca="false">IF(OR($R263="Dark",$S263="Dark"),4,SUM(IF(OR($R263="Fighting",$R263="Poison"),0-1,IF(OR($R263="Psychic",$R263="Steel"),1,0)),IF(OR($S263="Fighting",$S263="Poison"),0-1,IF(OR($S263="Psychic",$S263="Steel"),1,0))))</f>
        <v>0</v>
      </c>
      <c r="AR263" s="507" t="n">
        <f aca="false">SUM(IF(OR($R263="Bug",$R263="Fire",$R263="Flying",$R263="Ice"),0-1,IF(OR($R263="Steel",$R263="Fighting",$R263="Ground"),1,0)),IF(OR($S263="Bug",$S263="Fire",$S263="Flying",$S263="Ice"),0-1,IF(OR($S263="Steel",$S263="Fighting",$S263="Ground"),1,0)))</f>
        <v>0</v>
      </c>
      <c r="AS263" s="507" t="n">
        <f aca="false">SUM(IF(OR($R263="Fairy",$R263="Ice",$R263="Rock"),0-1,IF(OR($R263="Steel",$R263="Electric",$R263="Fire",$R263="Water"),1,0)),IF(OR($S263="Fairy",$S263="Ice",$S263="Rock"),0-1,IF(OR($S263="Steel",$S263="Electric",$S263="Fire",$S263="Water"),1,0)))</f>
        <v>-1</v>
      </c>
      <c r="AT263" s="508" t="n">
        <f aca="false">SUM(IF(OR($R263="Fire",$R263="Ground",$R263="Rock"),0-1,IF(OR($R263="Dragon",$R263="Grass",$R263="Water"),1,0)),IF(OR($S263="Fire",$S263="Ground",$S263="Rock"),0-1,IF(OR($S263="Dragon",$S263="Grass",$S263="Water"),1,0)))</f>
        <v>-1</v>
      </c>
      <c r="AU263" s="518"/>
    </row>
    <row r="264" customFormat="false" ht="15.75" hidden="false" customHeight="false" outlineLevel="0" collapsed="false">
      <c r="A264" s="510" t="str">
        <f aca="false" t="array" ref="A264:A264">IF(ISNA(INDEX(Source!$U$7:$U$95,MATCH(B264,Source!$V$7:$V$95,0))),"FREE",INDEX(Source!$U$7:$U$95,MATCH(B264,Source!$V$7:$V$95,0)))</f>
        <v>FREE</v>
      </c>
      <c r="B264" s="511" t="s">
        <v>748</v>
      </c>
      <c r="C264" s="511"/>
      <c r="D264" s="511"/>
      <c r="E264" s="499" t="str">
        <f aca="false">IF(SUM($W264:$X264)&gt;0,SUM($W264:$X264),IF($H264&gt;0,0,IF($H264&gt;0,0,"-")))</f>
        <v>-</v>
      </c>
      <c r="F264" s="499" t="str">
        <f aca="false">IF(SUM($Y264:$Z264)&gt;0,SUM($Y264:$Z264),IF($H264&gt;0,0,"-"))</f>
        <v>-</v>
      </c>
      <c r="G264" s="499" t="str">
        <f aca="false">IF($H264&gt;0,minus(E264,F264),"-")</f>
        <v>-</v>
      </c>
      <c r="H264" s="500" t="n">
        <f aca="false">SUM(COUNTIF(MatchSource!$A:$A,$B264),COUNTIF(MatchSource!$H:$H,$B264))</f>
        <v>0</v>
      </c>
      <c r="I264" s="501" t="n">
        <f aca="false">SUM($AA264:$AB264)</f>
        <v>0</v>
      </c>
      <c r="J264" s="501" t="s">
        <v>701</v>
      </c>
      <c r="K264" s="512" t="str">
        <f aca="false" t="array" ref="K264:K264">IF(ISNA(INDEX(DraftRosters!$AA$3:$AA$199,MATCH($B264,DraftRosters!$AB$3:$AB$199,0))),"FA",IF(INDEX(DraftRosters!$AA$3:$AA$199,MATCH($B264,DraftRosters!$AB$3:$AB$199,0))="Franchise","Franch",INDEX(DraftRosters!$AA$3:$AA$199,MATCH($B264,DraftRosters!$AB$3:$AB$199,0))))</f>
        <v>FA</v>
      </c>
      <c r="L264" s="499" t="n">
        <v>85</v>
      </c>
      <c r="M264" s="499" t="n">
        <v>115</v>
      </c>
      <c r="N264" s="499" t="n">
        <v>75</v>
      </c>
      <c r="O264" s="499" t="n">
        <v>55</v>
      </c>
      <c r="P264" s="499" t="n">
        <v>75</v>
      </c>
      <c r="Q264" s="501" t="n">
        <v>82</v>
      </c>
      <c r="R264" s="499" t="s">
        <v>809</v>
      </c>
      <c r="S264" s="501"/>
      <c r="T264" s="504" t="s">
        <v>897</v>
      </c>
      <c r="U264" s="505" t="s">
        <v>942</v>
      </c>
      <c r="V264" s="506" t="s">
        <v>950</v>
      </c>
      <c r="W264" s="500" t="str">
        <f aca="false">IFERROR(__xludf.dummyfunction("if(isna(SUM(FILTER(MatchSource!$A:$D,MatchSource!$A:$A=$B264))),0,SUM(FILTER(MatchSource!$A:$D,MatchSource!$A:$A=$B264)))"),"0")</f>
        <v>0</v>
      </c>
      <c r="X264" s="499" t="str">
        <f aca="false">IFERROR(__xludf.dummyfunction("if(isna(SUM(FILTER(MatchSource!$H:$K,MatchSource!$H:$H=$B264))),0,SUM(FILTER(MatchSource!$H:$K,MatchSource!$H:$H=$B264)))"),"0")</f>
        <v>0</v>
      </c>
      <c r="Y264" s="499" t="str">
        <f aca="false">IFERROR(__xludf.dummyfunction("if(isna(ABS(MINUS(SUM(FILTER(MatchSource!$A:$E,MatchSource!$A:$A=$B264)),SUM($W264)))),0,ABS(MINUS(SUM(FILTER(MatchSource!$A:$E,MatchSource!$A:$A=$B264)),SUM($W264))))"),"0")</f>
        <v>0</v>
      </c>
      <c r="Z264" s="499" t="str">
        <f aca="false">IFERROR(__xludf.dummyfunction("if(isna(ABS(MINUS(SUM(FILTER(MatchSource!$H:$L,MatchSource!$H:$H=$B264)),SUM($X264)))),0,ABS(MINUS(SUM(FILTER(MatchSource!$H:$L,MatchSource!$H:$H=$B264)),SUM($X264))))"),"0")</f>
        <v>0</v>
      </c>
      <c r="AA264" s="499" t="str">
        <f aca="false">IFERROR(__xludf.dummyfunction("if(isna(ABS(MINUS(SUM(FILTER(MatchSource!$A:$F,MatchSource!$A:$A=$B264)),SUM($W264,$Y264)))),0,ABS(MINUS(SUM(FILTER(MatchSource!$A:$F,MatchSource!$A:$A=$B264)),SUM($W264, $Y264,))))"),"0")</f>
        <v>0</v>
      </c>
      <c r="AB264" s="501" t="str">
        <f aca="false">IFERROR(__xludf.dummyfunction("if(isna(ABS(MINUS(SUM(FILTER(MatchSource!$H:$M,MatchSource!$H:$H=$B264)),SUM($X264,$Z264)))),0,ABS(MINUS(SUM(FILTER(MatchSource!$H:$M,MatchSource!$H:$H=$B264)),SUM($X264,$Z264))))"),"0")</f>
        <v>0</v>
      </c>
      <c r="AC264" s="507" t="n">
        <f aca="false">SUM(IF(OR($R264="Grass",$R264="Psychic",$R264="Dark"),0-1,IF(OR($R264="Fighting",$R264="Flying",$R264="Fire",$R264="Ghost",$R264="Poison",$R264="Steel",$R264="Fairy"),1,0)),IF(OR($S264="Grass",$S264="Psychic",$S264="Dark"),0-1,IF(OR($S264="Fighting",$S264="Flying",$S264="Fire",$S264="Ghost",$S264="Poison",$S264="Steel",$S264="Fairy"),1,0)))</f>
        <v>0</v>
      </c>
      <c r="AD264" s="507" t="n">
        <f aca="false">SUM(IF(OR($R264="Ghost",$R264="Psychic"),0-1,IF(OR($R264="Fighting",$R264="Dark",$R264="Fairy"),1,0)),IF(OR($S264="Ghost",$S264="Psychic"),0-1,IF(OR($S264="Fighting",$S264="Dark",$S264="Fairy"),1,0)))</f>
        <v>0</v>
      </c>
      <c r="AE264" s="507" t="n">
        <f aca="false">IF(OR($R264="Fairy",$S264="Fairy"),4,SUM(IF($R264="Dragon",0-1,IF($R264="Steel",1,0)),IF($S264="Dragon",0-1,IF($S264="Steel",1,0))))</f>
        <v>0</v>
      </c>
      <c r="AF264" s="507" t="n">
        <f aca="false">IF(OR($R264="Ground",$S264="Ground"),4,SUM(IF(OR($R264="Flying",$R264="Water"),0-1,IF(OR($R264="Dragon",$R264="Electric",$R264="Grass"),1,0)),IF(OR($S264="Flying",$S264="Water"),0-1,IF(OR($S264="Dragon",$S264="Electric",$S264="Grass"),1,0))))</f>
        <v>0</v>
      </c>
      <c r="AG264" s="507" t="n">
        <f aca="false">SUM(IF(OR($R264="Dark",$R264="Dragon",$R264="Fighting"),0-1,IF(OR($R264="Steel",$R264="Poison",$R264="Fire"),1,0)),IF(OR($S264="Dark",$S264="Dragon",$S264="Fighting"),0-1,IF(OR($S264="Steel",$S264="Poison",$S264="Fire"),1,0)))</f>
        <v>0</v>
      </c>
      <c r="AH264" s="507" t="n">
        <f aca="false">IF(OR($R264="Ghost",$S264="Ghost"),4,SUM(IF(OR($R264="Dark",$R264="Ice",$R264="Normal",$R264="Rock",$R264="Steel"),0-1,IF(OR($R264="Bug",$R264="Fairy",$R264="Flying",$R264="Poison",$R264="Psychic"),1,0)),IF(OR($S264="Dark",$S264="Ice",$S264="Normal",$S264="Rock",$S264="Steel"),0-1,IF(OR($S264="Bug",$S264="Fairy",$S264="Flying",$S264="Poison",$S264="Psychic"),1,0))))</f>
        <v>-1</v>
      </c>
      <c r="AI264" s="507" t="n">
        <f aca="false">SUM(IF(OR($R264="Bug",$R264="Grass",$R264="Ice",$R264="Steel"),0-1,IF(OR($R264="Dragon",$R264="Fire",$R264="Rock",$R264="Water"),1,0)),IF(OR($S264="Bug",$S264="Grass",$S264="Ice",$S264="Steel"),0-1,IF(OR($S264="Dragon",$S264="Fire",$S264="Rock",$S264="Water"),1,0)))</f>
        <v>1</v>
      </c>
      <c r="AJ264" s="507" t="n">
        <f aca="false">SUM(IF(OR($R264="Bug",$R264="Grass",$R264="Fighting"),0-1,IF(OR($R264="Electric",$R264="Rock",$R264="Steel"),1,0)),IF(OR($S264="Bug",$S264="Grass",$S264="Fighting"),0-1,IF(OR($S264="Electric",$S264="Rock",$S264="Steel"),1,0)))</f>
        <v>1</v>
      </c>
      <c r="AK264" s="507" t="n">
        <f aca="false">IF(OR($R264="Normal",$S264="Normal"),4,SUM(IF(OR($R264="Ghost",$R264="Psychic"),0-1,IF($R264="Dark",1,0)),IF(OR($S264="Ghost",$S264="Psychic"),0-1,IF($S264="Dark",1,0))))</f>
        <v>0</v>
      </c>
      <c r="AL264" s="507" t="n">
        <f aca="false">SUM(IF(OR($R264="Ground",$R264="Rock",$R264="Water"),0-1,IF(OR($R264="Bug",$R264="Flying",$R264="Fire",$R264="Dragon",$R264="Poison",$R264="Steel",$R264="Grass"),1,0)),IF(OR($S264="Ground",$S264="Rock",$S264="Water"),0-1,IF(OR($S264="Bug",$S264="Flying",$S264="Fire",$S264="Dragon",$S264="Poison",$S264="Steel",$S264="Grass"),1,0)))</f>
        <v>-1</v>
      </c>
      <c r="AM264" s="507" t="n">
        <f aca="false">IF(OR($R264="Flying",$S264="Flying"),4,SUM(IF(OR($R264="Electric",$R264="Fire",$R264="Rock",$R264="Steel",$R264="Poison"),0-1,IF(OR($R264="Bug",$R264="Grass"),1,0)),IF(OR($S264="Electric",$S264="Fire",$S264="Rock",$S264="Steel",$S264="Poison"),0-1,IF(OR($S264="Bug",$S264="Grass"),1,0))))</f>
        <v>-1</v>
      </c>
      <c r="AN264" s="507" t="n">
        <f aca="false">SUM(IF(OR($R264="Flying",$R264="Dragon",$R264="Grass",$R264="Ground"),0-1,IF(OR($R264="Steel",$R264="Ice",$R264="Fire",$R264="Water"),1,0)),IF(OR($S264="Flying",$S264="Dragon",$S264="Grass",$S264="Ground"),0-1,IF(OR($S264="Steel",$S264="Ice",$S264="Fire",$S264="Water"),1,0)))</f>
        <v>0</v>
      </c>
      <c r="AO264" s="507" t="n">
        <f aca="false">IF(OR($R264="Ghost",$S264="Ghost"),4,SUM(IF(OR($R264="Steel",$R264="Rock"),1,0),IF(OR($S264="Steel",$S264="Rock"),1,0)))</f>
        <v>1</v>
      </c>
      <c r="AP264" s="507" t="n">
        <f aca="false">IF(OR($R264="Steel",$S264="Steel"),4,SUM(IF(OR($R264="Fairy",$R264="Grass"),0-1,IF(OR($R264="Ghost",$R264="Rock",$R264="Ground",$R264="Poison"),1,0)),IF(OR($S264="Fairy",$S264="Grass"),0-1,IF(OR($S264="Ghost",$S264="Rock",$S264="Ground",$S264="Poison"),1,0))))</f>
        <v>1</v>
      </c>
      <c r="AQ264" s="507" t="n">
        <f aca="false">IF(OR($R264="Dark",$S264="Dark"),4,SUM(IF(OR($R264="Fighting",$R264="Poison"),0-1,IF(OR($R264="Psychic",$R264="Steel"),1,0)),IF(OR($S264="Fighting",$S264="Poison"),0-1,IF(OR($S264="Psychic",$S264="Steel"),1,0))))</f>
        <v>0</v>
      </c>
      <c r="AR264" s="507" t="n">
        <f aca="false">SUM(IF(OR($R264="Bug",$R264="Fire",$R264="Flying",$R264="Ice"),0-1,IF(OR($R264="Steel",$R264="Fighting",$R264="Ground"),1,0)),IF(OR($S264="Bug",$S264="Fire",$S264="Flying",$S264="Ice"),0-1,IF(OR($S264="Steel",$S264="Fighting",$S264="Ground"),1,0)))</f>
        <v>0</v>
      </c>
      <c r="AS264" s="507" t="n">
        <f aca="false">SUM(IF(OR($R264="Fairy",$R264="Ice",$R264="Rock"),0-1,IF(OR($R264="Steel",$R264="Electric",$R264="Fire",$R264="Water"),1,0)),IF(OR($S264="Fairy",$S264="Ice",$S264="Rock"),0-1,IF(OR($S264="Steel",$S264="Electric",$S264="Fire",$S264="Water"),1,0)))</f>
        <v>-1</v>
      </c>
      <c r="AT264" s="508" t="n">
        <f aca="false">SUM(IF(OR($R264="Fire",$R264="Ground",$R264="Rock"),0-1,IF(OR($R264="Dragon",$R264="Grass",$R264="Water"),1,0)),IF(OR($S264="Fire",$S264="Ground",$S264="Rock"),0-1,IF(OR($S264="Dragon",$S264="Grass",$S264="Water"),1,0)))</f>
        <v>-1</v>
      </c>
      <c r="AU264" s="518"/>
    </row>
    <row r="265" customFormat="false" ht="15.75" hidden="false" customHeight="false" outlineLevel="0" collapsed="false">
      <c r="A265" s="536" t="str">
        <f aca="false" t="array" ref="A265:A265">IF(ISNA(INDEX(Source!$U$7:$U$95,MATCH(B265,Source!$V$7:$V$95,0))),"FREE",INDEX(Source!$U$7:$U$95,MATCH(B265,Source!$V$7:$V$95,0)))</f>
        <v>FREE</v>
      </c>
      <c r="B265" s="511" t="s">
        <v>559</v>
      </c>
      <c r="C265" s="511"/>
      <c r="D265" s="511"/>
      <c r="E265" s="499" t="str">
        <f aca="false">IF(SUM($W265:$X265)&gt;0,SUM($W265:$X265),IF($H265&gt;0,0,IF($H265&gt;0,0,"-")))</f>
        <v>-</v>
      </c>
      <c r="F265" s="499" t="str">
        <f aca="false">IF(SUM($Y265:$Z265)&gt;0,SUM($Y265:$Z265),IF($H265&gt;0,0,"-"))</f>
        <v>-</v>
      </c>
      <c r="G265" s="499" t="str">
        <f aca="false">IF($H265&gt;0,minus(E265,F265),"-")</f>
        <v>-</v>
      </c>
      <c r="H265" s="500" t="n">
        <f aca="false">SUM(COUNTIF(MatchSource!$A:$A,$B265),COUNTIF(MatchSource!$H:$H,$B265))</f>
        <v>0</v>
      </c>
      <c r="I265" s="501" t="n">
        <f aca="false">SUM($AA265:$AB265)</f>
        <v>0</v>
      </c>
      <c r="J265" s="501" t="s">
        <v>701</v>
      </c>
      <c r="K265" s="512" t="str">
        <f aca="false" t="array" ref="K265:K265">IF(ISNA(INDEX(DraftRosters!$AA$3:$AA$199,MATCH($B265,DraftRosters!$AB$3:$AB$199,0))),"FA",IF(INDEX(DraftRosters!$AA$3:$AA$199,MATCH($B265,DraftRosters!$AB$3:$AB$199,0))="Franchise","Franch",INDEX(DraftRosters!$AA$3:$AA$199,MATCH($B265,DraftRosters!$AB$3:$AB$199,0))))</f>
        <v>FA</v>
      </c>
      <c r="L265" s="499" t="n">
        <v>90</v>
      </c>
      <c r="M265" s="499" t="n">
        <v>130</v>
      </c>
      <c r="N265" s="499" t="n">
        <v>80</v>
      </c>
      <c r="O265" s="499" t="n">
        <v>65</v>
      </c>
      <c r="P265" s="499" t="n">
        <v>85</v>
      </c>
      <c r="Q265" s="501" t="n">
        <v>55</v>
      </c>
      <c r="R265" s="499" t="s">
        <v>881</v>
      </c>
      <c r="S265" s="501"/>
      <c r="T265" s="504" t="s">
        <v>930</v>
      </c>
      <c r="U265" s="505" t="s">
        <v>976</v>
      </c>
      <c r="V265" s="506" t="s">
        <v>950</v>
      </c>
      <c r="W265" s="500" t="str">
        <f aca="false">IFERROR(__xludf.dummyfunction("if(isna(SUM(FILTER(MatchSource!$A:$D,MatchSource!$A:$A=$B265))),0,SUM(FILTER(MatchSource!$A:$D,MatchSource!$A:$A=$B265)))"),"0")</f>
        <v>0</v>
      </c>
      <c r="X265" s="499" t="str">
        <f aca="false">IFERROR(__xludf.dummyfunction("if(isna(SUM(FILTER(MatchSource!$H:$K,MatchSource!$H:$H=$B265))),0,SUM(FILTER(MatchSource!$H:$K,MatchSource!$H:$H=$B265)))"),"0")</f>
        <v>0</v>
      </c>
      <c r="Y265" s="499" t="str">
        <f aca="false">IFERROR(__xludf.dummyfunction("if(isna(ABS(MINUS(SUM(FILTER(MatchSource!$A:$E,MatchSource!$A:$A=$B265)),SUM($W265)))),0,ABS(MINUS(SUM(FILTER(MatchSource!$A:$E,MatchSource!$A:$A=$B265)),SUM($W265))))"),"0")</f>
        <v>0</v>
      </c>
      <c r="Z265" s="499" t="str">
        <f aca="false">IFERROR(__xludf.dummyfunction("if(isna(ABS(MINUS(SUM(FILTER(MatchSource!$H:$L,MatchSource!$H:$H=$B265)),SUM($X265)))),0,ABS(MINUS(SUM(FILTER(MatchSource!$H:$L,MatchSource!$H:$H=$B265)),SUM($X265))))"),"0")</f>
        <v>0</v>
      </c>
      <c r="AA265" s="499" t="str">
        <f aca="false">IFERROR(__xludf.dummyfunction("if(isna(ABS(MINUS(SUM(FILTER(MatchSource!$A:$F,MatchSource!$A:$A=$B265)),SUM($W265,$Y265)))),0,ABS(MINUS(SUM(FILTER(MatchSource!$A:$F,MatchSource!$A:$A=$B265)),SUM($W265, $Y265,))))"),"0")</f>
        <v>0</v>
      </c>
      <c r="AB265" s="501" t="str">
        <f aca="false">IFERROR(__xludf.dummyfunction("if(isna(ABS(MINUS(SUM(FILTER(MatchSource!$H:$M,MatchSource!$H:$H=$B265)),SUM($X265,$Z265)))),0,ABS(MINUS(SUM(FILTER(MatchSource!$H:$M,MatchSource!$H:$H=$B265)),SUM($X265,$Z265))))"),"0")</f>
        <v>0</v>
      </c>
      <c r="AC265" s="507" t="n">
        <f aca="false">SUM(IF(OR($R265="Grass",$R265="Psychic",$R265="Dark"),0-1,IF(OR($R265="Fighting",$R265="Flying",$R265="Fire",$R265="Ghost",$R265="Poison",$R265="Steel",$R265="Fairy"),1,0)),IF(OR($S265="Grass",$S265="Psychic",$S265="Dark"),0-1,IF(OR($S265="Fighting",$S265="Flying",$S265="Fire",$S265="Ghost",$S265="Poison",$S265="Steel",$S265="Fairy"),1,0)))</f>
        <v>1</v>
      </c>
      <c r="AD265" s="507" t="n">
        <f aca="false">SUM(IF(OR($R265="Ghost",$R265="Psychic"),0-1,IF(OR($R265="Fighting",$R265="Dark",$R265="Fairy"),1,0)),IF(OR($S265="Ghost",$S265="Psychic"),0-1,IF(OR($S265="Fighting",$S265="Dark",$S265="Fairy"),1,0)))</f>
        <v>1</v>
      </c>
      <c r="AE265" s="507" t="n">
        <f aca="false">IF(OR($R265="Fairy",$S265="Fairy"),4,SUM(IF($R265="Dragon",0-1,IF($R265="Steel",1,0)),IF($S265="Dragon",0-1,IF($S265="Steel",1,0))))</f>
        <v>0</v>
      </c>
      <c r="AF265" s="507" t="n">
        <f aca="false">IF(OR($R265="Ground",$S265="Ground"),4,SUM(IF(OR($R265="Flying",$R265="Water"),0-1,IF(OR($R265="Dragon",$R265="Electric",$R265="Grass"),1,0)),IF(OR($S265="Flying",$S265="Water"),0-1,IF(OR($S265="Dragon",$S265="Electric",$S265="Grass"),1,0))))</f>
        <v>0</v>
      </c>
      <c r="AG265" s="507" t="n">
        <f aca="false">SUM(IF(OR($R265="Dark",$R265="Dragon",$R265="Fighting"),0-1,IF(OR($R265="Steel",$R265="Poison",$R265="Fire"),1,0)),IF(OR($S265="Dark",$S265="Dragon",$S265="Fighting"),0-1,IF(OR($S265="Steel",$S265="Poison",$S265="Fire"),1,0)))</f>
        <v>-1</v>
      </c>
      <c r="AH265" s="507" t="n">
        <f aca="false">IF(OR($R265="Ghost",$S265="Ghost"),4,SUM(IF(OR($R265="Dark",$R265="Ice",$R265="Normal",$R265="Rock",$R265="Steel"),0-1,IF(OR($R265="Bug",$R265="Fairy",$R265="Flying",$R265="Poison",$R265="Psychic"),1,0)),IF(OR($S265="Dark",$S265="Ice",$S265="Normal",$S265="Rock",$S265="Steel"),0-1,IF(OR($S265="Bug",$S265="Fairy",$S265="Flying",$S265="Poison",$S265="Psychic"),1,0))))</f>
        <v>0</v>
      </c>
      <c r="AI265" s="507" t="n">
        <f aca="false">SUM(IF(OR($R265="Bug",$R265="Grass",$R265="Ice",$R265="Steel"),0-1,IF(OR($R265="Dragon",$R265="Fire",$R265="Rock",$R265="Water"),1,0)),IF(OR($S265="Bug",$S265="Grass",$S265="Ice",$S265="Steel"),0-1,IF(OR($S265="Dragon",$S265="Fire",$S265="Rock",$S265="Water"),1,0)))</f>
        <v>0</v>
      </c>
      <c r="AJ265" s="507" t="n">
        <f aca="false">SUM(IF(OR($R265="Bug",$R265="Grass",$R265="Fighting"),0-1,IF(OR($R265="Electric",$R265="Rock",$R265="Steel"),1,0)),IF(OR($S265="Bug",$S265="Grass",$S265="Fighting"),0-1,IF(OR($S265="Electric",$S265="Rock",$S265="Steel"),1,0)))</f>
        <v>-1</v>
      </c>
      <c r="AK265" s="507" t="n">
        <f aca="false">IF(OR($R265="Normal",$S265="Normal"),4,SUM(IF(OR($R265="Ghost",$R265="Psychic"),0-1,IF($R265="Dark",1,0)),IF(OR($S265="Ghost",$S265="Psychic"),0-1,IF($S265="Dark",1,0))))</f>
        <v>0</v>
      </c>
      <c r="AL265" s="507" t="n">
        <f aca="false">SUM(IF(OR($R265="Ground",$R265="Rock",$R265="Water"),0-1,IF(OR($R265="Bug",$R265="Flying",$R265="Fire",$R265="Dragon",$R265="Poison",$R265="Steel",$R265="Grass"),1,0)),IF(OR($S265="Ground",$S265="Rock",$S265="Water"),0-1,IF(OR($S265="Bug",$S265="Flying",$S265="Fire",$S265="Dragon",$S265="Poison",$S265="Steel",$S265="Grass"),1,0)))</f>
        <v>0</v>
      </c>
      <c r="AM265" s="507" t="n">
        <f aca="false">IF(OR($R265="Flying",$S265="Flying"),4,SUM(IF(OR($R265="Electric",$R265="Fire",$R265="Rock",$R265="Steel",$R265="Poison"),0-1,IF(OR($R265="Bug",$R265="Grass"),1,0)),IF(OR($S265="Electric",$S265="Fire",$S265="Rock",$S265="Steel",$S265="Poison"),0-1,IF(OR($S265="Bug",$S265="Grass"),1,0))))</f>
        <v>0</v>
      </c>
      <c r="AN265" s="507" t="n">
        <f aca="false">SUM(IF(OR($R265="Flying",$R265="Dragon",$R265="Grass",$R265="Ground"),0-1,IF(OR($R265="Steel",$R265="Ice",$R265="Fire",$R265="Water"),1,0)),IF(OR($S265="Flying",$S265="Dragon",$S265="Grass",$S265="Ground"),0-1,IF(OR($S265="Steel",$S265="Ice",$S265="Fire",$S265="Water"),1,0)))</f>
        <v>0</v>
      </c>
      <c r="AO265" s="507" t="n">
        <f aca="false">IF(OR($R265="Ghost",$S265="Ghost"),4,SUM(IF(OR($R265="Steel",$R265="Rock"),1,0),IF(OR($S265="Steel",$S265="Rock"),1,0)))</f>
        <v>0</v>
      </c>
      <c r="AP265" s="507" t="n">
        <f aca="false">IF(OR($R265="Steel",$S265="Steel"),4,SUM(IF(OR($R265="Fairy",$R265="Grass"),0-1,IF(OR($R265="Ghost",$R265="Rock",$R265="Ground",$R265="Poison"),1,0)),IF(OR($S265="Fairy",$S265="Grass"),0-1,IF(OR($S265="Ghost",$S265="Rock",$S265="Ground",$S265="Poison"),1,0))))</f>
        <v>0</v>
      </c>
      <c r="AQ265" s="507" t="n">
        <f aca="false">IF(OR($R265="Dark",$S265="Dark"),4,SUM(IF(OR($R265="Fighting",$R265="Poison"),0-1,IF(OR($R265="Psychic",$R265="Steel"),1,0)),IF(OR($S265="Fighting",$S265="Poison"),0-1,IF(OR($S265="Psychic",$S265="Steel"),1,0))))</f>
        <v>-1</v>
      </c>
      <c r="AR265" s="507" t="n">
        <f aca="false">SUM(IF(OR($R265="Bug",$R265="Fire",$R265="Flying",$R265="Ice"),0-1,IF(OR($R265="Steel",$R265="Fighting",$R265="Ground"),1,0)),IF(OR($S265="Bug",$S265="Fire",$S265="Flying",$S265="Ice"),0-1,IF(OR($S265="Steel",$S265="Fighting",$S265="Ground"),1,0)))</f>
        <v>1</v>
      </c>
      <c r="AS265" s="507" t="n">
        <f aca="false">SUM(IF(OR($R265="Fairy",$R265="Ice",$R265="Rock"),0-1,IF(OR($R265="Steel",$R265="Electric",$R265="Fire",$R265="Water"),1,0)),IF(OR($S265="Fairy",$S265="Ice",$S265="Rock"),0-1,IF(OR($S265="Steel",$S265="Electric",$S265="Fire",$S265="Water"),1,0)))</f>
        <v>0</v>
      </c>
      <c r="AT265" s="508" t="n">
        <f aca="false">SUM(IF(OR($R265="Fire",$R265="Ground",$R265="Rock"),0-1,IF(OR($R265="Dragon",$R265="Grass",$R265="Water"),1,0)),IF(OR($S265="Fire",$S265="Ground",$S265="Rock"),0-1,IF(OR($S265="Dragon",$S265="Grass",$S265="Water"),1,0)))</f>
        <v>0</v>
      </c>
      <c r="AU265" s="518"/>
    </row>
    <row r="266" customFormat="false" ht="15.75" hidden="false" customHeight="false" outlineLevel="0" collapsed="false">
      <c r="A266" s="510" t="str">
        <f aca="false" t="array" ref="A266:A266">IF(ISNA(INDEX(Source!$U$7:$U$95,MATCH(B266,Source!$V$7:$V$95,0))),"FREE",INDEX(Source!$U$7:$U$95,MATCH(B266,Source!$V$7:$V$95,0)))</f>
        <v>FREE</v>
      </c>
      <c r="B266" s="511" t="s">
        <v>695</v>
      </c>
      <c r="C266" s="511"/>
      <c r="D266" s="511"/>
      <c r="E266" s="499" t="str">
        <f aca="false">IF(SUM($W266:$X266)&gt;0,SUM($W266:$X266),IF($H266&gt;0,0,IF($H266&gt;0,0,"-")))</f>
        <v>-</v>
      </c>
      <c r="F266" s="499" t="str">
        <f aca="false">IF(SUM($Y266:$Z266)&gt;0,SUM($Y266:$Z266),IF($H266&gt;0,0,"-"))</f>
        <v>-</v>
      </c>
      <c r="G266" s="499" t="str">
        <f aca="false">IF($H266&gt;0,minus(E266,F266),"-")</f>
        <v>-</v>
      </c>
      <c r="H266" s="500" t="n">
        <f aca="false">SUM(COUNTIF(MatchSource!$A:$A,$B266),COUNTIF(MatchSource!$H:$H,$B266))</f>
        <v>0</v>
      </c>
      <c r="I266" s="501" t="n">
        <f aca="false">SUM($AA266:$AB266)</f>
        <v>0</v>
      </c>
      <c r="J266" s="501" t="s">
        <v>702</v>
      </c>
      <c r="K266" s="512" t="str">
        <f aca="false" t="array" ref="K266:K266">IF(ISNA(INDEX(DraftRosters!$AA$3:$AA$199,MATCH($B266,DraftRosters!$AB$3:$AB$199,0))),"FA",IF(INDEX(DraftRosters!$AA$3:$AA$199,MATCH($B266,DraftRosters!$AB$3:$AB$199,0))="Franchise","Franch",INDEX(DraftRosters!$AA$3:$AA$199,MATCH($B266,DraftRosters!$AB$3:$AB$199,0))))</f>
        <v>FA</v>
      </c>
      <c r="L266" s="499" t="n">
        <v>80</v>
      </c>
      <c r="M266" s="499" t="n">
        <v>100</v>
      </c>
      <c r="N266" s="499" t="n">
        <v>70</v>
      </c>
      <c r="O266" s="499" t="n">
        <v>50</v>
      </c>
      <c r="P266" s="499" t="n">
        <v>60</v>
      </c>
      <c r="Q266" s="501" t="n">
        <v>45</v>
      </c>
      <c r="R266" s="499" t="s">
        <v>881</v>
      </c>
      <c r="S266" s="501"/>
      <c r="T266" s="504" t="s">
        <v>930</v>
      </c>
      <c r="U266" s="505" t="s">
        <v>976</v>
      </c>
      <c r="V266" s="506" t="s">
        <v>950</v>
      </c>
      <c r="W266" s="500" t="str">
        <f aca="false">IFERROR(__xludf.dummyfunction("if(isna(SUM(FILTER(MatchSource!$A:$D,MatchSource!$A:$A=$B266))),0,SUM(FILTER(MatchSource!$A:$D,MatchSource!$A:$A=$B266)))"),"0")</f>
        <v>0</v>
      </c>
      <c r="X266" s="499" t="str">
        <f aca="false">IFERROR(__xludf.dummyfunction("if(isna(SUM(FILTER(MatchSource!$H:$K,MatchSource!$H:$H=$B266))),0,SUM(FILTER(MatchSource!$H:$K,MatchSource!$H:$H=$B266)))"),"0")</f>
        <v>0</v>
      </c>
      <c r="Y266" s="499" t="str">
        <f aca="false">IFERROR(__xludf.dummyfunction("if(isna(ABS(MINUS(SUM(FILTER(MatchSource!$A:$E,MatchSource!$A:$A=$B266)),SUM($W266)))),0,ABS(MINUS(SUM(FILTER(MatchSource!$A:$E,MatchSource!$A:$A=$B266)),SUM($W266))))"),"0")</f>
        <v>0</v>
      </c>
      <c r="Z266" s="499" t="str">
        <f aca="false">IFERROR(__xludf.dummyfunction("if(isna(ABS(MINUS(SUM(FILTER(MatchSource!$H:$L,MatchSource!$H:$H=$B266)),SUM($X266)))),0,ABS(MINUS(SUM(FILTER(MatchSource!$H:$L,MatchSource!$H:$H=$B266)),SUM($X266))))"),"0")</f>
        <v>0</v>
      </c>
      <c r="AA266" s="499" t="str">
        <f aca="false">IFERROR(__xludf.dummyfunction("if(isna(ABS(MINUS(SUM(FILTER(MatchSource!$A:$F,MatchSource!$A:$A=$B266)),SUM($W266,$Y266)))),0,ABS(MINUS(SUM(FILTER(MatchSource!$A:$F,MatchSource!$A:$A=$B266)),SUM($W266, $Y266,))))"),"0")</f>
        <v>0</v>
      </c>
      <c r="AB266" s="501" t="str">
        <f aca="false">IFERROR(__xludf.dummyfunction("if(isna(ABS(MINUS(SUM(FILTER(MatchSource!$H:$M,MatchSource!$H:$H=$B266)),SUM($X266,$Z266)))),0,ABS(MINUS(SUM(FILTER(MatchSource!$H:$M,MatchSource!$H:$H=$B266)),SUM($X266,$Z266))))"),"0")</f>
        <v>0</v>
      </c>
      <c r="AC266" s="507" t="n">
        <f aca="false">SUM(IF(OR($R266="Grass",$R266="Psychic",$R266="Dark"),0-1,IF(OR($R266="Fighting",$R266="Flying",$R266="Fire",$R266="Ghost",$R266="Poison",$R266="Steel",$R266="Fairy"),1,0)),IF(OR($S266="Grass",$S266="Psychic",$S266="Dark"),0-1,IF(OR($S266="Fighting",$S266="Flying",$S266="Fire",$S266="Ghost",$S266="Poison",$S266="Steel",$S266="Fairy"),1,0)))</f>
        <v>1</v>
      </c>
      <c r="AD266" s="507" t="n">
        <f aca="false">SUM(IF(OR($R266="Ghost",$R266="Psychic"),0-1,IF(OR($R266="Fighting",$R266="Dark",$R266="Fairy"),1,0)),IF(OR($S266="Ghost",$S266="Psychic"),0-1,IF(OR($S266="Fighting",$S266="Dark",$S266="Fairy"),1,0)))</f>
        <v>1</v>
      </c>
      <c r="AE266" s="507" t="n">
        <f aca="false">IF(OR($R266="Fairy",$S266="Fairy"),4,SUM(IF($R266="Dragon",0-1,IF($R266="Steel",1,0)),IF($S266="Dragon",0-1,IF($S266="Steel",1,0))))</f>
        <v>0</v>
      </c>
      <c r="AF266" s="507" t="n">
        <f aca="false">IF(OR($R266="Ground",$S266="Ground"),4,SUM(IF(OR($R266="Flying",$R266="Water"),0-1,IF(OR($R266="Dragon",$R266="Electric",$R266="Grass"),1,0)),IF(OR($S266="Flying",$S266="Water"),0-1,IF(OR($S266="Dragon",$S266="Electric",$S266="Grass"),1,0))))</f>
        <v>0</v>
      </c>
      <c r="AG266" s="507" t="n">
        <f aca="false">SUM(IF(OR($R266="Dark",$R266="Dragon",$R266="Fighting"),0-1,IF(OR($R266="Steel",$R266="Poison",$R266="Fire"),1,0)),IF(OR($S266="Dark",$S266="Dragon",$S266="Fighting"),0-1,IF(OR($S266="Steel",$S266="Poison",$S266="Fire"),1,0)))</f>
        <v>-1</v>
      </c>
      <c r="AH266" s="507" t="n">
        <f aca="false">IF(OR($R266="Ghost",$S266="Ghost"),4,SUM(IF(OR($R266="Dark",$R266="Ice",$R266="Normal",$R266="Rock",$R266="Steel"),0-1,IF(OR($R266="Bug",$R266="Fairy",$R266="Flying",$R266="Poison",$R266="Psychic"),1,0)),IF(OR($S266="Dark",$S266="Ice",$S266="Normal",$S266="Rock",$S266="Steel"),0-1,IF(OR($S266="Bug",$S266="Fairy",$S266="Flying",$S266="Poison",$S266="Psychic"),1,0))))</f>
        <v>0</v>
      </c>
      <c r="AI266" s="507" t="n">
        <f aca="false">SUM(IF(OR($R266="Bug",$R266="Grass",$R266="Ice",$R266="Steel"),0-1,IF(OR($R266="Dragon",$R266="Fire",$R266="Rock",$R266="Water"),1,0)),IF(OR($S266="Bug",$S266="Grass",$S266="Ice",$S266="Steel"),0-1,IF(OR($S266="Dragon",$S266="Fire",$S266="Rock",$S266="Water"),1,0)))</f>
        <v>0</v>
      </c>
      <c r="AJ266" s="507" t="n">
        <f aca="false">SUM(IF(OR($R266="Bug",$R266="Grass",$R266="Fighting"),0-1,IF(OR($R266="Electric",$R266="Rock",$R266="Steel"),1,0)),IF(OR($S266="Bug",$S266="Grass",$S266="Fighting"),0-1,IF(OR($S266="Electric",$S266="Rock",$S266="Steel"),1,0)))</f>
        <v>-1</v>
      </c>
      <c r="AK266" s="507" t="n">
        <f aca="false">IF(OR($R266="Normal",$S266="Normal"),4,SUM(IF(OR($R266="Ghost",$R266="Psychic"),0-1,IF($R266="Dark",1,0)),IF(OR($S266="Ghost",$S266="Psychic"),0-1,IF($S266="Dark",1,0))))</f>
        <v>0</v>
      </c>
      <c r="AL266" s="507" t="n">
        <f aca="false">SUM(IF(OR($R266="Ground",$R266="Rock",$R266="Water"),0-1,IF(OR($R266="Bug",$R266="Flying",$R266="Fire",$R266="Dragon",$R266="Poison",$R266="Steel",$R266="Grass"),1,0)),IF(OR($S266="Ground",$S266="Rock",$S266="Water"),0-1,IF(OR($S266="Bug",$S266="Flying",$S266="Fire",$S266="Dragon",$S266="Poison",$S266="Steel",$S266="Grass"),1,0)))</f>
        <v>0</v>
      </c>
      <c r="AM266" s="507" t="n">
        <f aca="false">IF(OR($R266="Flying",$S266="Flying"),4,SUM(IF(OR($R266="Electric",$R266="Fire",$R266="Rock",$R266="Steel",$R266="Poison"),0-1,IF(OR($R266="Bug",$R266="Grass"),1,0)),IF(OR($S266="Electric",$S266="Fire",$S266="Rock",$S266="Steel",$S266="Poison"),0-1,IF(OR($S266="Bug",$S266="Grass"),1,0))))</f>
        <v>0</v>
      </c>
      <c r="AN266" s="507" t="n">
        <f aca="false">SUM(IF(OR($R266="Flying",$R266="Dragon",$R266="Grass",$R266="Ground"),0-1,IF(OR($R266="Steel",$R266="Ice",$R266="Fire",$R266="Water"),1,0)),IF(OR($S266="Flying",$S266="Dragon",$S266="Grass",$S266="Ground"),0-1,IF(OR($S266="Steel",$S266="Ice",$S266="Fire",$S266="Water"),1,0)))</f>
        <v>0</v>
      </c>
      <c r="AO266" s="507" t="n">
        <f aca="false">IF(OR($R266="Ghost",$S266="Ghost"),4,SUM(IF(OR($R266="Steel",$R266="Rock"),1,0),IF(OR($S266="Steel",$S266="Rock"),1,0)))</f>
        <v>0</v>
      </c>
      <c r="AP266" s="507" t="n">
        <f aca="false">IF(OR($R266="Steel",$S266="Steel"),4,SUM(IF(OR($R266="Fairy",$R266="Grass"),0-1,IF(OR($R266="Ghost",$R266="Rock",$R266="Ground",$R266="Poison"),1,0)),IF(OR($S266="Fairy",$S266="Grass"),0-1,IF(OR($S266="Ghost",$S266="Rock",$S266="Ground",$S266="Poison"),1,0))))</f>
        <v>0</v>
      </c>
      <c r="AQ266" s="507" t="n">
        <f aca="false">IF(OR($R266="Dark",$S266="Dark"),4,SUM(IF(OR($R266="Fighting",$R266="Poison"),0-1,IF(OR($R266="Psychic",$R266="Steel"),1,0)),IF(OR($S266="Fighting",$S266="Poison"),0-1,IF(OR($S266="Psychic",$S266="Steel"),1,0))))</f>
        <v>-1</v>
      </c>
      <c r="AR266" s="507" t="n">
        <f aca="false">SUM(IF(OR($R266="Bug",$R266="Fire",$R266="Flying",$R266="Ice"),0-1,IF(OR($R266="Steel",$R266="Fighting",$R266="Ground"),1,0)),IF(OR($S266="Bug",$S266="Fire",$S266="Flying",$S266="Ice"),0-1,IF(OR($S266="Steel",$S266="Fighting",$S266="Ground"),1,0)))</f>
        <v>1</v>
      </c>
      <c r="AS266" s="507" t="n">
        <f aca="false">SUM(IF(OR($R266="Fairy",$R266="Ice",$R266="Rock"),0-1,IF(OR($R266="Steel",$R266="Electric",$R266="Fire",$R266="Water"),1,0)),IF(OR($S266="Fairy",$S266="Ice",$S266="Rock"),0-1,IF(OR($S266="Steel",$S266="Electric",$S266="Fire",$S266="Water"),1,0)))</f>
        <v>0</v>
      </c>
      <c r="AT266" s="508" t="n">
        <f aca="false">SUM(IF(OR($R266="Fire",$R266="Ground",$R266="Rock"),0-1,IF(OR($R266="Dragon",$R266="Grass",$R266="Water"),1,0)),IF(OR($S266="Fire",$S266="Ground",$S266="Rock"),0-1,IF(OR($S266="Dragon",$S266="Grass",$S266="Water"),1,0)))</f>
        <v>0</v>
      </c>
      <c r="AU266" s="518"/>
    </row>
    <row r="267" customFormat="false" ht="15.75" hidden="false" customHeight="false" outlineLevel="0" collapsed="false">
      <c r="A267" s="510" t="str">
        <f aca="false" t="array" ref="A267:A267">IF(ISNA(INDEX(Source!$U$7:$U$95,MATCH(B267,Source!$V$7:$V$95,0))),"FREE",INDEX(Source!$U$7:$U$95,MATCH(B267,Source!$V$7:$V$95,0)))</f>
        <v>FREE</v>
      </c>
      <c r="B267" s="511" t="s">
        <v>285</v>
      </c>
      <c r="C267" s="511"/>
      <c r="D267" s="511"/>
      <c r="E267" s="499" t="str">
        <f aca="false">IF(SUM($W267:$X267)&gt;0,SUM($W267:$X267),IF($H267&gt;0,0,IF($H267&gt;0,0,"-")))</f>
        <v>-</v>
      </c>
      <c r="F267" s="499" t="str">
        <f aca="false">IF(SUM($Y267:$Z267)&gt;0,SUM($Y267:$Z267),IF($H267&gt;0,0,"-"))</f>
        <v>-</v>
      </c>
      <c r="G267" s="499" t="str">
        <f aca="false">IF($H267&gt;0,minus(E267,F267),"-")</f>
        <v>-</v>
      </c>
      <c r="H267" s="500" t="n">
        <f aca="false">SUM(COUNTIF(MatchSource!$A:$A,$B267),COUNTIF(MatchSource!$H:$H,$B267))</f>
        <v>0</v>
      </c>
      <c r="I267" s="501" t="n">
        <f aca="false">SUM($AA267:$AB267)</f>
        <v>0</v>
      </c>
      <c r="J267" s="501" t="s">
        <v>702</v>
      </c>
      <c r="K267" s="512" t="str">
        <f aca="false" t="array" ref="K267:K267">IF(ISNA(INDEX(DraftRosters!$AA$3:$AA$199,MATCH($B267,DraftRosters!$AB$3:$AB$199,0))),"FA",IF(INDEX(DraftRosters!$AA$3:$AA$199,MATCH($B267,DraftRosters!$AB$3:$AB$199,0))="Franchise","Franch",INDEX(DraftRosters!$AA$3:$AA$199,MATCH($B267,DraftRosters!$AB$3:$AB$199,0))))</f>
        <v>FA</v>
      </c>
      <c r="L267" s="499" t="n">
        <v>50</v>
      </c>
      <c r="M267" s="499" t="n">
        <v>50</v>
      </c>
      <c r="N267" s="499" t="n">
        <v>120</v>
      </c>
      <c r="O267" s="499" t="n">
        <v>90</v>
      </c>
      <c r="P267" s="499" t="n">
        <v>80</v>
      </c>
      <c r="Q267" s="501" t="n">
        <v>30</v>
      </c>
      <c r="R267" s="499" t="s">
        <v>800</v>
      </c>
      <c r="S267" s="501" t="s">
        <v>809</v>
      </c>
      <c r="T267" s="504" t="s">
        <v>913</v>
      </c>
      <c r="U267" s="505" t="s">
        <v>937</v>
      </c>
      <c r="V267" s="506" t="s">
        <v>910</v>
      </c>
      <c r="W267" s="500" t="str">
        <f aca="false">IFERROR(__xludf.dummyfunction("if(isna(SUM(FILTER(MatchSource!$A:$D,MatchSource!$A:$A=$B267))),0,SUM(FILTER(MatchSource!$A:$D,MatchSource!$A:$A=$B267)))"),"0")</f>
        <v>0</v>
      </c>
      <c r="X267" s="499" t="str">
        <f aca="false">IFERROR(__xludf.dummyfunction("if(isna(SUM(FILTER(MatchSource!$H:$K,MatchSource!$H:$H=$B267))),0,SUM(FILTER(MatchSource!$H:$K,MatchSource!$H:$H=$B267)))"),"0")</f>
        <v>0</v>
      </c>
      <c r="Y267" s="499" t="str">
        <f aca="false">IFERROR(__xludf.dummyfunction("if(isna(ABS(MINUS(SUM(FILTER(MatchSource!$A:$E,MatchSource!$A:$A=$B267)),SUM($W267)))),0,ABS(MINUS(SUM(FILTER(MatchSource!$A:$E,MatchSource!$A:$A=$B267)),SUM($W267))))"),"0")</f>
        <v>0</v>
      </c>
      <c r="Z267" s="499" t="str">
        <f aca="false">IFERROR(__xludf.dummyfunction("if(isna(ABS(MINUS(SUM(FILTER(MatchSource!$H:$L,MatchSource!$H:$H=$B267)),SUM($X267)))),0,ABS(MINUS(SUM(FILTER(MatchSource!$H:$L,MatchSource!$H:$H=$B267)),SUM($X267))))"),"0")</f>
        <v>0</v>
      </c>
      <c r="AA267" s="499" t="str">
        <f aca="false">IFERROR(__xludf.dummyfunction("if(isna(ABS(MINUS(SUM(FILTER(MatchSource!$A:$F,MatchSource!$A:$A=$B267)),SUM($W267,$Y267)))),0,ABS(MINUS(SUM(FILTER(MatchSource!$A:$F,MatchSource!$A:$A=$B267)),SUM($W267, $Y267,))))"),"0")</f>
        <v>0</v>
      </c>
      <c r="AB267" s="501" t="str">
        <f aca="false">IFERROR(__xludf.dummyfunction("if(isna(ABS(MINUS(SUM(FILTER(MatchSource!$H:$M,MatchSource!$H:$H=$B267)),SUM($X267,$Z267)))),0,ABS(MINUS(SUM(FILTER(MatchSource!$H:$M,MatchSource!$H:$H=$B267)),SUM($X267,$Z267))))"),"0")</f>
        <v>0</v>
      </c>
      <c r="AC267" s="507" t="n">
        <f aca="false">SUM(IF(OR($R267="Grass",$R267="Psychic",$R267="Dark"),0-1,IF(OR($R267="Fighting",$R267="Flying",$R267="Fire",$R267="Ghost",$R267="Poison",$R267="Steel",$R267="Fairy"),1,0)),IF(OR($S267="Grass",$S267="Psychic",$S267="Dark"),0-1,IF(OR($S267="Fighting",$S267="Flying",$S267="Fire",$S267="Ghost",$S267="Poison",$S267="Steel",$S267="Fairy"),1,0)))</f>
        <v>1</v>
      </c>
      <c r="AD267" s="507" t="n">
        <f aca="false">SUM(IF(OR($R267="Ghost",$R267="Psychic"),0-1,IF(OR($R267="Fighting",$R267="Dark",$R267="Fairy"),1,0)),IF(OR($S267="Ghost",$S267="Psychic"),0-1,IF(OR($S267="Fighting",$S267="Dark",$S267="Fairy"),1,0)))</f>
        <v>0</v>
      </c>
      <c r="AE267" s="507" t="n">
        <f aca="false">IF(OR($R267="Fairy",$S267="Fairy"),4,SUM(IF($R267="Dragon",0-1,IF($R267="Steel",1,0)),IF($S267="Dragon",0-1,IF($S267="Steel",1,0))))</f>
        <v>0</v>
      </c>
      <c r="AF267" s="507" t="n">
        <f aca="false">IF(OR($R267="Ground",$S267="Ground"),4,SUM(IF(OR($R267="Flying",$R267="Water"),0-1,IF(OR($R267="Dragon",$R267="Electric",$R267="Grass"),1,0)),IF(OR($S267="Flying",$S267="Water"),0-1,IF(OR($S267="Dragon",$S267="Electric",$S267="Grass"),1,0))))</f>
        <v>0</v>
      </c>
      <c r="AG267" s="507" t="n">
        <f aca="false">SUM(IF(OR($R267="Dark",$R267="Dragon",$R267="Fighting"),0-1,IF(OR($R267="Steel",$R267="Poison",$R267="Fire"),1,0)),IF(OR($S267="Dark",$S267="Dragon",$S267="Fighting"),0-1,IF(OR($S267="Steel",$S267="Poison",$S267="Fire"),1,0)))</f>
        <v>1</v>
      </c>
      <c r="AH267" s="507" t="n">
        <f aca="false">IF(OR($R267="Ghost",$S267="Ghost"),4,SUM(IF(OR($R267="Dark",$R267="Ice",$R267="Normal",$R267="Rock",$R267="Steel"),0-1,IF(OR($R267="Bug",$R267="Fairy",$R267="Flying",$R267="Poison",$R267="Psychic"),1,0)),IF(OR($S267="Dark",$S267="Ice",$S267="Normal",$S267="Rock",$S267="Steel"),0-1,IF(OR($S267="Bug",$S267="Fairy",$S267="Flying",$S267="Poison",$S267="Psychic"),1,0))))</f>
        <v>-1</v>
      </c>
      <c r="AI267" s="507" t="n">
        <f aca="false">SUM(IF(OR($R267="Bug",$R267="Grass",$R267="Ice",$R267="Steel"),0-1,IF(OR($R267="Dragon",$R267="Fire",$R267="Rock",$R267="Water"),1,0)),IF(OR($S267="Bug",$S267="Grass",$S267="Ice",$S267="Steel"),0-1,IF(OR($S267="Dragon",$S267="Fire",$S267="Rock",$S267="Water"),1,0)))</f>
        <v>2</v>
      </c>
      <c r="AJ267" s="507" t="n">
        <f aca="false">SUM(IF(OR($R267="Bug",$R267="Grass",$R267="Fighting"),0-1,IF(OR($R267="Electric",$R267="Rock",$R267="Steel"),1,0)),IF(OR($S267="Bug",$S267="Grass",$S267="Fighting"),0-1,IF(OR($S267="Electric",$S267="Rock",$S267="Steel"),1,0)))</f>
        <v>1</v>
      </c>
      <c r="AK267" s="507" t="n">
        <f aca="false">IF(OR($R267="Normal",$S267="Normal"),4,SUM(IF(OR($R267="Ghost",$R267="Psychic"),0-1,IF($R267="Dark",1,0)),IF(OR($S267="Ghost",$S267="Psychic"),0-1,IF($S267="Dark",1,0))))</f>
        <v>0</v>
      </c>
      <c r="AL267" s="507" t="n">
        <f aca="false">SUM(IF(OR($R267="Ground",$R267="Rock",$R267="Water"),0-1,IF(OR($R267="Bug",$R267="Flying",$R267="Fire",$R267="Dragon",$R267="Poison",$R267="Steel",$R267="Grass"),1,0)),IF(OR($S267="Ground",$S267="Rock",$S267="Water"),0-1,IF(OR($S267="Bug",$S267="Flying",$S267="Fire",$S267="Dragon",$S267="Poison",$S267="Steel",$S267="Grass"),1,0)))</f>
        <v>0</v>
      </c>
      <c r="AM267" s="507" t="n">
        <f aca="false">IF(OR($R267="Flying",$S267="Flying"),4,SUM(IF(OR($R267="Electric",$R267="Fire",$R267="Rock",$R267="Steel",$R267="Poison"),0-1,IF(OR($R267="Bug",$R267="Grass"),1,0)),IF(OR($S267="Electric",$S267="Fire",$S267="Rock",$S267="Steel",$S267="Poison"),0-1,IF(OR($S267="Bug",$S267="Grass"),1,0))))</f>
        <v>-2</v>
      </c>
      <c r="AN267" s="507" t="n">
        <f aca="false">SUM(IF(OR($R267="Flying",$R267="Dragon",$R267="Grass",$R267="Ground"),0-1,IF(OR($R267="Steel",$R267="Ice",$R267="Fire",$R267="Water"),1,0)),IF(OR($S267="Flying",$S267="Dragon",$S267="Grass",$S267="Ground"),0-1,IF(OR($S267="Steel",$S267="Ice",$S267="Fire",$S267="Water"),1,0)))</f>
        <v>1</v>
      </c>
      <c r="AO267" s="507" t="n">
        <f aca="false">IF(OR($R267="Ghost",$S267="Ghost"),4,SUM(IF(OR($R267="Steel",$R267="Rock"),1,0),IF(OR($S267="Steel",$S267="Rock"),1,0)))</f>
        <v>1</v>
      </c>
      <c r="AP267" s="507" t="n">
        <f aca="false">IF(OR($R267="Steel",$S267="Steel"),4,SUM(IF(OR($R267="Fairy",$R267="Grass"),0-1,IF(OR($R267="Ghost",$R267="Rock",$R267="Ground",$R267="Poison"),1,0)),IF(OR($S267="Fairy",$S267="Grass"),0-1,IF(OR($S267="Ghost",$S267="Rock",$S267="Ground",$S267="Poison"),1,0))))</f>
        <v>1</v>
      </c>
      <c r="AQ267" s="507" t="n">
        <f aca="false">IF(OR($R267="Dark",$S267="Dark"),4,SUM(IF(OR($R267="Fighting",$R267="Poison"),0-1,IF(OR($R267="Psychic",$R267="Steel"),1,0)),IF(OR($S267="Fighting",$S267="Poison"),0-1,IF(OR($S267="Psychic",$S267="Steel"),1,0))))</f>
        <v>0</v>
      </c>
      <c r="AR267" s="507" t="n">
        <f aca="false">SUM(IF(OR($R267="Bug",$R267="Fire",$R267="Flying",$R267="Ice"),0-1,IF(OR($R267="Steel",$R267="Fighting",$R267="Ground"),1,0)),IF(OR($S267="Bug",$S267="Fire",$S267="Flying",$S267="Ice"),0-1,IF(OR($S267="Steel",$S267="Fighting",$S267="Ground"),1,0)))</f>
        <v>-1</v>
      </c>
      <c r="AS267" s="507" t="n">
        <f aca="false">SUM(IF(OR($R267="Fairy",$R267="Ice",$R267="Rock"),0-1,IF(OR($R267="Steel",$R267="Electric",$R267="Fire",$R267="Water"),1,0)),IF(OR($S267="Fairy",$S267="Ice",$S267="Rock"),0-1,IF(OR($S267="Steel",$S267="Electric",$S267="Fire",$S267="Water"),1,0)))</f>
        <v>0</v>
      </c>
      <c r="AT267" s="508" t="n">
        <f aca="false">SUM(IF(OR($R267="Fire",$R267="Ground",$R267="Rock"),0-1,IF(OR($R267="Dragon",$R267="Grass",$R267="Water"),1,0)),IF(OR($S267="Fire",$S267="Ground",$S267="Rock"),0-1,IF(OR($S267="Dragon",$S267="Grass",$S267="Water"),1,0)))</f>
        <v>-2</v>
      </c>
      <c r="AU267" s="518"/>
    </row>
    <row r="268" customFormat="false" ht="15.75" hidden="false" customHeight="false" outlineLevel="0" collapsed="false">
      <c r="A268" s="510" t="str">
        <f aca="false" t="array" ref="A268:A268">IF(ISNA(INDEX(Source!$U$7:$U$95,MATCH(B268,Source!$V$7:$V$95,0))),"FREE",INDEX(Source!$U$7:$U$95,MATCH(B268,Source!$V$7:$V$95,0)))</f>
        <v>FREE</v>
      </c>
      <c r="B268" s="511" t="s">
        <v>1021</v>
      </c>
      <c r="C268" s="511"/>
      <c r="D268" s="511"/>
      <c r="E268" s="499" t="str">
        <f aca="false">IF(SUM($W268:$X268)&gt;0,SUM($W268:$X268),IF($H268&gt;0,0,IF($H268&gt;0,0,"-")))</f>
        <v>-</v>
      </c>
      <c r="F268" s="499" t="str">
        <f aca="false">IF(SUM($Y268:$Z268)&gt;0,SUM($Y268:$Z268),IF($H268&gt;0,0,"-"))</f>
        <v>-</v>
      </c>
      <c r="G268" s="499" t="str">
        <f aca="false">IF($H268&gt;0,minus(E268,F268),"-")</f>
        <v>-</v>
      </c>
      <c r="H268" s="500" t="n">
        <f aca="false">SUM(COUNTIF(MatchSource!$A:$A,$B268),COUNTIF(MatchSource!$H:$H,$B268))</f>
        <v>0</v>
      </c>
      <c r="I268" s="501" t="n">
        <f aca="false">SUM($AA268:$AB268)</f>
        <v>0</v>
      </c>
      <c r="J268" s="501" t="s">
        <v>888</v>
      </c>
      <c r="K268" s="512" t="str">
        <f aca="false" t="array" ref="K268:K268">IF(ISNA(INDEX(DraftRosters!$AA$3:$AA$199,MATCH($B268,DraftRosters!$AB$3:$AB$199,0))),"FA",IF(INDEX(DraftRosters!$AA$3:$AA$199,MATCH($B268,DraftRosters!$AB$3:$AB$199,0))="Franchise","Franch",INDEX(DraftRosters!$AA$3:$AA$199,MATCH($B268,DraftRosters!$AB$3:$AB$199,0))))</f>
        <v>FA</v>
      </c>
      <c r="L268" s="499" t="n">
        <v>80</v>
      </c>
      <c r="M268" s="499" t="n">
        <v>95</v>
      </c>
      <c r="N268" s="499" t="n">
        <v>115</v>
      </c>
      <c r="O268" s="499" t="n">
        <v>130</v>
      </c>
      <c r="P268" s="499" t="n">
        <v>115</v>
      </c>
      <c r="Q268" s="501" t="n">
        <v>65</v>
      </c>
      <c r="R268" s="499" t="s">
        <v>798</v>
      </c>
      <c r="S268" s="501" t="s">
        <v>810</v>
      </c>
      <c r="T268" s="504" t="s">
        <v>1022</v>
      </c>
      <c r="U268" s="505"/>
      <c r="V268" s="506"/>
      <c r="W268" s="500" t="str">
        <f aca="false">IFERROR(__xludf.dummyfunction("if(isna(SUM(FILTER(MatchSource!$A:$D,MatchSource!$A:$A=$B268))),0,SUM(FILTER(MatchSource!$A:$D,MatchSource!$A:$A=$B268)))"),"0")</f>
        <v>0</v>
      </c>
      <c r="X268" s="499" t="str">
        <f aca="false">IFERROR(__xludf.dummyfunction("if(isna(SUM(FILTER(MatchSource!$H:$K,MatchSource!$H:$H=$B268))),0,SUM(FILTER(MatchSource!$H:$K,MatchSource!$H:$H=$B268)))"),"0")</f>
        <v>0</v>
      </c>
      <c r="Y268" s="499" t="str">
        <f aca="false">IFERROR(__xludf.dummyfunction("if(isna(ABS(MINUS(SUM(FILTER(MatchSource!$A:$E,MatchSource!$A:$A=$B268)),SUM($W268)))),0,ABS(MINUS(SUM(FILTER(MatchSource!$A:$E,MatchSource!$A:$A=$B268)),SUM($W268))))"),"0")</f>
        <v>0</v>
      </c>
      <c r="Z268" s="499" t="str">
        <f aca="false">IFERROR(__xludf.dummyfunction("if(isna(ABS(MINUS(SUM(FILTER(MatchSource!$H:$L,MatchSource!$H:$H=$B268)),SUM($X268)))),0,ABS(MINUS(SUM(FILTER(MatchSource!$H:$L,MatchSource!$H:$H=$B268)),SUM($X268))))"),"0")</f>
        <v>0</v>
      </c>
      <c r="AA268" s="499" t="str">
        <f aca="false">IFERROR(__xludf.dummyfunction("if(isna(ABS(MINUS(SUM(FILTER(MatchSource!$A:$F,MatchSource!$A:$A=$B268)),SUM($W268,$Y268)))),0,ABS(MINUS(SUM(FILTER(MatchSource!$A:$F,MatchSource!$A:$A=$B268)),SUM($W268, $Y268,))))"),"0")</f>
        <v>0</v>
      </c>
      <c r="AB268" s="501" t="str">
        <f aca="false">IFERROR(__xludf.dummyfunction("if(isna(ABS(MINUS(SUM(FILTER(MatchSource!$H:$M,MatchSource!$H:$H=$B268)),SUM($X268,$Z268)))),0,ABS(MINUS(SUM(FILTER(MatchSource!$H:$M,MatchSource!$H:$H=$B268)),SUM($X268,$Z268))))"),"0")</f>
        <v>0</v>
      </c>
      <c r="AC268" s="507" t="n">
        <f aca="false">SUM(IF(OR($R268="Grass",$R268="Psychic",$R268="Dark"),0-1,IF(OR($R268="Fighting",$R268="Flying",$R268="Fire",$R268="Ghost",$R268="Poison",$R268="Steel",$R268="Fairy"),1,0)),IF(OR($S268="Grass",$S268="Psychic",$S268="Dark"),0-1,IF(OR($S268="Fighting",$S268="Flying",$S268="Fire",$S268="Ghost",$S268="Poison",$S268="Steel",$S268="Fairy"),1,0)))</f>
        <v>2</v>
      </c>
      <c r="AD268" s="507" t="n">
        <f aca="false">SUM(IF(OR($R268="Ghost",$R268="Psychic"),0-1,IF(OR($R268="Fighting",$R268="Dark",$R268="Fairy"),1,0)),IF(OR($S268="Ghost",$S268="Psychic"),0-1,IF(OR($S268="Fighting",$S268="Dark",$S268="Fairy"),1,0)))</f>
        <v>1</v>
      </c>
      <c r="AE268" s="507" t="n">
        <f aca="false">IF(OR($R268="Fairy",$S268="Fairy"),4,SUM(IF($R268="Dragon",0-1,IF($R268="Steel",1,0)),IF($S268="Dragon",0-1,IF($S268="Steel",1,0))))</f>
        <v>4</v>
      </c>
      <c r="AF268" s="507" t="n">
        <f aca="false">IF(OR($R268="Ground",$S268="Ground"),4,SUM(IF(OR($R268="Flying",$R268="Water"),0-1,IF(OR($R268="Dragon",$R268="Electric",$R268="Grass"),1,0)),IF(OR($S268="Flying",$S268="Water"),0-1,IF(OR($S268="Dragon",$S268="Electric",$S268="Grass"),1,0))))</f>
        <v>0</v>
      </c>
      <c r="AG268" s="507" t="n">
        <f aca="false">SUM(IF(OR($R268="Dark",$R268="Dragon",$R268="Fighting"),0-1,IF(OR($R268="Steel",$R268="Poison",$R268="Fire"),1,0)),IF(OR($S268="Dark",$S268="Dragon",$S268="Fighting"),0-1,IF(OR($S268="Steel",$S268="Poison",$S268="Fire"),1,0)))</f>
        <v>1</v>
      </c>
      <c r="AH268" s="507" t="n">
        <f aca="false">IF(OR($R268="Ghost",$S268="Ghost"),4,SUM(IF(OR($R268="Dark",$R268="Ice",$R268="Normal",$R268="Rock",$R268="Steel"),0-1,IF(OR($R268="Bug",$R268="Fairy",$R268="Flying",$R268="Poison",$R268="Psychic"),1,0)),IF(OR($S268="Dark",$S268="Ice",$S268="Normal",$S268="Rock",$S268="Steel"),0-1,IF(OR($S268="Bug",$S268="Fairy",$S268="Flying",$S268="Poison",$S268="Psychic"),1,0))))</f>
        <v>0</v>
      </c>
      <c r="AI268" s="507" t="n">
        <f aca="false">SUM(IF(OR($R268="Bug",$R268="Grass",$R268="Ice",$R268="Steel"),0-1,IF(OR($R268="Dragon",$R268="Fire",$R268="Rock",$R268="Water"),1,0)),IF(OR($S268="Bug",$S268="Grass",$S268="Ice",$S268="Steel"),0-1,IF(OR($S268="Dragon",$S268="Fire",$S268="Rock",$S268="Water"),1,0)))</f>
        <v>-1</v>
      </c>
      <c r="AJ268" s="507" t="n">
        <f aca="false">SUM(IF(OR($R268="Bug",$R268="Grass",$R268="Fighting"),0-1,IF(OR($R268="Electric",$R268="Rock",$R268="Steel"),1,0)),IF(OR($S268="Bug",$S268="Grass",$S268="Fighting"),0-1,IF(OR($S268="Electric",$S268="Rock",$S268="Steel"),1,0)))</f>
        <v>1</v>
      </c>
      <c r="AK268" s="507" t="n">
        <f aca="false">IF(OR($R268="Normal",$S268="Normal"),4,SUM(IF(OR($R268="Ghost",$R268="Psychic"),0-1,IF($R268="Dark",1,0)),IF(OR($S268="Ghost",$S268="Psychic"),0-1,IF($S268="Dark",1,0))))</f>
        <v>0</v>
      </c>
      <c r="AL268" s="507" t="n">
        <f aca="false">SUM(IF(OR($R268="Ground",$R268="Rock",$R268="Water"),0-1,IF(OR($R268="Bug",$R268="Flying",$R268="Fire",$R268="Dragon",$R268="Poison",$R268="Steel",$R268="Grass"),1,0)),IF(OR($S268="Ground",$S268="Rock",$S268="Water"),0-1,IF(OR($S268="Bug",$S268="Flying",$S268="Fire",$S268="Dragon",$S268="Poison",$S268="Steel",$S268="Grass"),1,0)))</f>
        <v>1</v>
      </c>
      <c r="AM268" s="507" t="n">
        <f aca="false">IF(OR($R268="Flying",$S268="Flying"),4,SUM(IF(OR($R268="Electric",$R268="Fire",$R268="Rock",$R268="Steel",$R268="Poison"),0-1,IF(OR($R268="Bug",$R268="Grass"),1,0)),IF(OR($S268="Electric",$S268="Fire",$S268="Rock",$S268="Steel",$S268="Poison"),0-1,IF(OR($S268="Bug",$S268="Grass"),1,0))))</f>
        <v>-1</v>
      </c>
      <c r="AN268" s="507" t="n">
        <f aca="false">SUM(IF(OR($R268="Flying",$R268="Dragon",$R268="Grass",$R268="Ground"),0-1,IF(OR($R268="Steel",$R268="Ice",$R268="Fire",$R268="Water"),1,0)),IF(OR($S268="Flying",$S268="Dragon",$S268="Grass",$S268="Ground"),0-1,IF(OR($S268="Steel",$S268="Ice",$S268="Fire",$S268="Water"),1,0)))</f>
        <v>1</v>
      </c>
      <c r="AO268" s="507" t="n">
        <f aca="false">IF(OR($R268="Ghost",$S268="Ghost"),4,SUM(IF(OR($R268="Steel",$R268="Rock"),1,0),IF(OR($S268="Steel",$S268="Rock"),1,0)))</f>
        <v>1</v>
      </c>
      <c r="AP268" s="507" t="n">
        <f aca="false">IF(OR($R268="Steel",$S268="Steel"),4,SUM(IF(OR($R268="Fairy",$R268="Grass"),0-1,IF(OR($R268="Ghost",$R268="Rock",$R268="Ground",$R268="Poison"),1,0)),IF(OR($S268="Fairy",$S268="Grass"),0-1,IF(OR($S268="Ghost",$S268="Rock",$S268="Ground",$S268="Poison"),1,0))))</f>
        <v>4</v>
      </c>
      <c r="AQ268" s="507" t="n">
        <f aca="false">IF(OR($R268="Dark",$S268="Dark"),4,SUM(IF(OR($R268="Fighting",$R268="Poison"),0-1,IF(OR($R268="Psychic",$R268="Steel"),1,0)),IF(OR($S268="Fighting",$S268="Poison"),0-1,IF(OR($S268="Psychic",$S268="Steel"),1,0))))</f>
        <v>1</v>
      </c>
      <c r="AR268" s="507" t="n">
        <f aca="false">SUM(IF(OR($R268="Bug",$R268="Fire",$R268="Flying",$R268="Ice"),0-1,IF(OR($R268="Steel",$R268="Fighting",$R268="Ground"),1,0)),IF(OR($S268="Bug",$S268="Fire",$S268="Flying",$S268="Ice"),0-1,IF(OR($S268="Steel",$S268="Fighting",$S268="Ground"),1,0)))</f>
        <v>1</v>
      </c>
      <c r="AS268" s="507" t="n">
        <f aca="false">SUM(IF(OR($R268="Fairy",$R268="Ice",$R268="Rock"),0-1,IF(OR($R268="Steel",$R268="Electric",$R268="Fire",$R268="Water"),1,0)),IF(OR($S268="Fairy",$S268="Ice",$S268="Rock"),0-1,IF(OR($S268="Steel",$S268="Electric",$S268="Fire",$S268="Water"),1,0)))</f>
        <v>0</v>
      </c>
      <c r="AT268" s="508" t="n">
        <f aca="false">SUM(IF(OR($R268="Fire",$R268="Ground",$R268="Rock"),0-1,IF(OR($R268="Dragon",$R268="Grass",$R268="Water"),1,0)),IF(OR($S268="Fire",$S268="Ground",$S268="Rock"),0-1,IF(OR($S268="Dragon",$S268="Grass",$S268="Water"),1,0)))</f>
        <v>0</v>
      </c>
      <c r="AU268" s="518"/>
    </row>
    <row r="269" customFormat="false" ht="15.75" hidden="false" customHeight="false" outlineLevel="0" collapsed="false">
      <c r="A269" s="510" t="str">
        <f aca="false" t="array" ref="A269:A269">IF(ISNA(INDEX(Source!$U$7:$U$95,MATCH(B269,Source!$V$7:$V$95,0))),"FREE",INDEX(Source!$U$7:$U$95,MATCH(B269,Source!$V$7:$V$95,0)))</f>
        <v>FREE</v>
      </c>
      <c r="B269" s="511" t="s">
        <v>292</v>
      </c>
      <c r="C269" s="511"/>
      <c r="D269" s="511"/>
      <c r="E269" s="499" t="str">
        <f aca="false">IF(SUM($W269:$X269)&gt;0,SUM($W269:$X269),IF($H269&gt;0,0,IF($H269&gt;0,0,"-")))</f>
        <v>-</v>
      </c>
      <c r="F269" s="499" t="str">
        <f aca="false">IF(SUM($Y269:$Z269)&gt;0,SUM($Y269:$Z269),IF($H269&gt;0,0,"-"))</f>
        <v>-</v>
      </c>
      <c r="G269" s="499" t="str">
        <f aca="false">IF($H269&gt;0,minus(E269,F269),"-")</f>
        <v>-</v>
      </c>
      <c r="H269" s="500" t="n">
        <f aca="false">SUM(COUNTIF(MatchSource!$A:$A,$B269),COUNTIF(MatchSource!$H:$H,$B269))</f>
        <v>0</v>
      </c>
      <c r="I269" s="501" t="n">
        <f aca="false">SUM($AA269:$AB269)</f>
        <v>0</v>
      </c>
      <c r="J269" s="501" t="s">
        <v>702</v>
      </c>
      <c r="K269" s="512" t="str">
        <f aca="false" t="array" ref="K269:K269">IF(ISNA(INDEX(DraftRosters!$AA$3:$AA$199,MATCH($B269,DraftRosters!$AB$3:$AB$199,0))),"FA",IF(INDEX(DraftRosters!$AA$3:$AA$199,MATCH($B269,DraftRosters!$AB$3:$AB$199,0))="Franchise","Franch",INDEX(DraftRosters!$AA$3:$AA$199,MATCH($B269,DraftRosters!$AB$3:$AB$199,0))))</f>
        <v>FA</v>
      </c>
      <c r="L269" s="499" t="n">
        <v>65</v>
      </c>
      <c r="M269" s="499" t="n">
        <v>95</v>
      </c>
      <c r="N269" s="499" t="n">
        <v>57</v>
      </c>
      <c r="O269" s="499" t="n">
        <v>100</v>
      </c>
      <c r="P269" s="499" t="n">
        <v>85</v>
      </c>
      <c r="Q269" s="501" t="n">
        <v>93</v>
      </c>
      <c r="R269" s="499" t="s">
        <v>800</v>
      </c>
      <c r="S269" s="501"/>
      <c r="T269" s="504" t="s">
        <v>913</v>
      </c>
      <c r="U269" s="505" t="s">
        <v>942</v>
      </c>
      <c r="V269" s="506"/>
      <c r="W269" s="500" t="str">
        <f aca="false">IFERROR(__xludf.dummyfunction("if(isna(SUM(FILTER(MatchSource!$A:$D,MatchSource!$A:$A=$B269))),0,SUM(FILTER(MatchSource!$A:$D,MatchSource!$A:$A=$B269)))"),"0")</f>
        <v>0</v>
      </c>
      <c r="X269" s="499" t="str">
        <f aca="false">IFERROR(__xludf.dummyfunction("if(isna(SUM(FILTER(MatchSource!$H:$K,MatchSource!$H:$H=$B269))),0,SUM(FILTER(MatchSource!$H:$K,MatchSource!$H:$H=$B269)))"),"0")</f>
        <v>0</v>
      </c>
      <c r="Y269" s="499" t="str">
        <f aca="false">IFERROR(__xludf.dummyfunction("if(isna(ABS(MINUS(SUM(FILTER(MatchSource!$A:$E,MatchSource!$A:$A=$B269)),SUM($W269)))),0,ABS(MINUS(SUM(FILTER(MatchSource!$A:$E,MatchSource!$A:$A=$B269)),SUM($W269))))"),"0")</f>
        <v>0</v>
      </c>
      <c r="Z269" s="499" t="str">
        <f aca="false">IFERROR(__xludf.dummyfunction("if(isna(ABS(MINUS(SUM(FILTER(MatchSource!$H:$L,MatchSource!$H:$H=$B269)),SUM($X269)))),0,ABS(MINUS(SUM(FILTER(MatchSource!$H:$L,MatchSource!$H:$H=$B269)),SUM($X269))))"),"0")</f>
        <v>0</v>
      </c>
      <c r="AA269" s="499" t="str">
        <f aca="false">IFERROR(__xludf.dummyfunction("if(isna(ABS(MINUS(SUM(FILTER(MatchSource!$A:$F,MatchSource!$A:$A=$B269)),SUM($W269,$Y269)))),0,ABS(MINUS(SUM(FILTER(MatchSource!$A:$F,MatchSource!$A:$A=$B269)),SUM($W269, $Y269,))))"),"0")</f>
        <v>0</v>
      </c>
      <c r="AB269" s="501" t="str">
        <f aca="false">IFERROR(__xludf.dummyfunction("if(isna(ABS(MINUS(SUM(FILTER(MatchSource!$H:$M,MatchSource!$H:$H=$B269)),SUM($X269,$Z269)))),0,ABS(MINUS(SUM(FILTER(MatchSource!$H:$M,MatchSource!$H:$H=$B269)),SUM($X269,$Z269))))"),"0")</f>
        <v>0</v>
      </c>
      <c r="AC269" s="507" t="n">
        <f aca="false">SUM(IF(OR($R269="Grass",$R269="Psychic",$R269="Dark"),0-1,IF(OR($R269="Fighting",$R269="Flying",$R269="Fire",$R269="Ghost",$R269="Poison",$R269="Steel",$R269="Fairy"),1,0)),IF(OR($S269="Grass",$S269="Psychic",$S269="Dark"),0-1,IF(OR($S269="Fighting",$S269="Flying",$S269="Fire",$S269="Ghost",$S269="Poison",$S269="Steel",$S269="Fairy"),1,0)))</f>
        <v>1</v>
      </c>
      <c r="AD269" s="507" t="n">
        <f aca="false">SUM(IF(OR($R269="Ghost",$R269="Psychic"),0-1,IF(OR($R269="Fighting",$R269="Dark",$R269="Fairy"),1,0)),IF(OR($S269="Ghost",$S269="Psychic"),0-1,IF(OR($S269="Fighting",$S269="Dark",$S269="Fairy"),1,0)))</f>
        <v>0</v>
      </c>
      <c r="AE269" s="507" t="n">
        <f aca="false">IF(OR($R269="Fairy",$S269="Fairy"),4,SUM(IF($R269="Dragon",0-1,IF($R269="Steel",1,0)),IF($S269="Dragon",0-1,IF($S269="Steel",1,0))))</f>
        <v>0</v>
      </c>
      <c r="AF269" s="507" t="n">
        <f aca="false">IF(OR($R269="Ground",$S269="Ground"),4,SUM(IF(OR($R269="Flying",$R269="Water"),0-1,IF(OR($R269="Dragon",$R269="Electric",$R269="Grass"),1,0)),IF(OR($S269="Flying",$S269="Water"),0-1,IF(OR($S269="Dragon",$S269="Electric",$S269="Grass"),1,0))))</f>
        <v>0</v>
      </c>
      <c r="AG269" s="507" t="n">
        <f aca="false">SUM(IF(OR($R269="Dark",$R269="Dragon",$R269="Fighting"),0-1,IF(OR($R269="Steel",$R269="Poison",$R269="Fire"),1,0)),IF(OR($S269="Dark",$S269="Dragon",$S269="Fighting"),0-1,IF(OR($S269="Steel",$S269="Poison",$S269="Fire"),1,0)))</f>
        <v>1</v>
      </c>
      <c r="AH269" s="507" t="n">
        <f aca="false">IF(OR($R269="Ghost",$S269="Ghost"),4,SUM(IF(OR($R269="Dark",$R269="Ice",$R269="Normal",$R269="Rock",$R269="Steel"),0-1,IF(OR($R269="Bug",$R269="Fairy",$R269="Flying",$R269="Poison",$R269="Psychic"),1,0)),IF(OR($S269="Dark",$S269="Ice",$S269="Normal",$S269="Rock",$S269="Steel"),0-1,IF(OR($S269="Bug",$S269="Fairy",$S269="Flying",$S269="Poison",$S269="Psychic"),1,0))))</f>
        <v>0</v>
      </c>
      <c r="AI269" s="507" t="n">
        <f aca="false">SUM(IF(OR($R269="Bug",$R269="Grass",$R269="Ice",$R269="Steel"),0-1,IF(OR($R269="Dragon",$R269="Fire",$R269="Rock",$R269="Water"),1,0)),IF(OR($S269="Bug",$S269="Grass",$S269="Ice",$S269="Steel"),0-1,IF(OR($S269="Dragon",$S269="Fire",$S269="Rock",$S269="Water"),1,0)))</f>
        <v>1</v>
      </c>
      <c r="AJ269" s="507" t="n">
        <f aca="false">SUM(IF(OR($R269="Bug",$R269="Grass",$R269="Fighting"),0-1,IF(OR($R269="Electric",$R269="Rock",$R269="Steel"),1,0)),IF(OR($S269="Bug",$S269="Grass",$S269="Fighting"),0-1,IF(OR($S269="Electric",$S269="Rock",$S269="Steel"),1,0)))</f>
        <v>0</v>
      </c>
      <c r="AK269" s="507" t="n">
        <f aca="false">IF(OR($R269="Normal",$S269="Normal"),4,SUM(IF(OR($R269="Ghost",$R269="Psychic"),0-1,IF($R269="Dark",1,0)),IF(OR($S269="Ghost",$S269="Psychic"),0-1,IF($S269="Dark",1,0))))</f>
        <v>0</v>
      </c>
      <c r="AL269" s="507" t="n">
        <f aca="false">SUM(IF(OR($R269="Ground",$R269="Rock",$R269="Water"),0-1,IF(OR($R269="Bug",$R269="Flying",$R269="Fire",$R269="Dragon",$R269="Poison",$R269="Steel",$R269="Grass"),1,0)),IF(OR($S269="Ground",$S269="Rock",$S269="Water"),0-1,IF(OR($S269="Bug",$S269="Flying",$S269="Fire",$S269="Dragon",$S269="Poison",$S269="Steel",$S269="Grass"),1,0)))</f>
        <v>1</v>
      </c>
      <c r="AM269" s="507" t="n">
        <f aca="false">IF(OR($R269="Flying",$S269="Flying"),4,SUM(IF(OR($R269="Electric",$R269="Fire",$R269="Rock",$R269="Steel",$R269="Poison"),0-1,IF(OR($R269="Bug",$R269="Grass"),1,0)),IF(OR($S269="Electric",$S269="Fire",$S269="Rock",$S269="Steel",$S269="Poison"),0-1,IF(OR($S269="Bug",$S269="Grass"),1,0))))</f>
        <v>-1</v>
      </c>
      <c r="AN269" s="507" t="n">
        <f aca="false">SUM(IF(OR($R269="Flying",$R269="Dragon",$R269="Grass",$R269="Ground"),0-1,IF(OR($R269="Steel",$R269="Ice",$R269="Fire",$R269="Water"),1,0)),IF(OR($S269="Flying",$S269="Dragon",$S269="Grass",$S269="Ground"),0-1,IF(OR($S269="Steel",$S269="Ice",$S269="Fire",$S269="Water"),1,0)))</f>
        <v>1</v>
      </c>
      <c r="AO269" s="507" t="n">
        <f aca="false">IF(OR($R269="Ghost",$S269="Ghost"),4,SUM(IF(OR($R269="Steel",$R269="Rock"),1,0),IF(OR($S269="Steel",$S269="Rock"),1,0)))</f>
        <v>0</v>
      </c>
      <c r="AP269" s="507" t="n">
        <f aca="false">IF(OR($R269="Steel",$S269="Steel"),4,SUM(IF(OR($R269="Fairy",$R269="Grass"),0-1,IF(OR($R269="Ghost",$R269="Rock",$R269="Ground",$R269="Poison"),1,0)),IF(OR($S269="Fairy",$S269="Grass"),0-1,IF(OR($S269="Ghost",$S269="Rock",$S269="Ground",$S269="Poison"),1,0))))</f>
        <v>0</v>
      </c>
      <c r="AQ269" s="507" t="n">
        <f aca="false">IF(OR($R269="Dark",$S269="Dark"),4,SUM(IF(OR($R269="Fighting",$R269="Poison"),0-1,IF(OR($R269="Psychic",$R269="Steel"),1,0)),IF(OR($S269="Fighting",$S269="Poison"),0-1,IF(OR($S269="Psychic",$S269="Steel"),1,0))))</f>
        <v>0</v>
      </c>
      <c r="AR269" s="507" t="n">
        <f aca="false">SUM(IF(OR($R269="Bug",$R269="Fire",$R269="Flying",$R269="Ice"),0-1,IF(OR($R269="Steel",$R269="Fighting",$R269="Ground"),1,0)),IF(OR($S269="Bug",$S269="Fire",$S269="Flying",$S269="Ice"),0-1,IF(OR($S269="Steel",$S269="Fighting",$S269="Ground"),1,0)))</f>
        <v>-1</v>
      </c>
      <c r="AS269" s="507" t="n">
        <f aca="false">SUM(IF(OR($R269="Fairy",$R269="Ice",$R269="Rock"),0-1,IF(OR($R269="Steel",$R269="Electric",$R269="Fire",$R269="Water"),1,0)),IF(OR($S269="Fairy",$S269="Ice",$S269="Rock"),0-1,IF(OR($S269="Steel",$S269="Electric",$S269="Fire",$S269="Water"),1,0)))</f>
        <v>1</v>
      </c>
      <c r="AT269" s="508" t="n">
        <f aca="false">SUM(IF(OR($R269="Fire",$R269="Ground",$R269="Rock"),0-1,IF(OR($R269="Dragon",$R269="Grass",$R269="Water"),1,0)),IF(OR($S269="Fire",$S269="Ground",$S269="Rock"),0-1,IF(OR($S269="Dragon",$S269="Grass",$S269="Water"),1,0)))</f>
        <v>-1</v>
      </c>
      <c r="AU269" s="518"/>
    </row>
    <row r="270" customFormat="false" ht="15.75" hidden="false" customHeight="false" outlineLevel="0" collapsed="false">
      <c r="A270" s="510" t="str">
        <f aca="false" t="array" ref="A270:A270">IF(ISNA(INDEX(Source!$U$7:$U$95,MATCH(B270,Source!$V$7:$V$95,0))),"FREE",INDEX(Source!$U$7:$U$95,MATCH(B270,Source!$V$7:$V$95,0)))</f>
        <v>FREE</v>
      </c>
      <c r="B270" s="511" t="s">
        <v>563</v>
      </c>
      <c r="C270" s="511"/>
      <c r="D270" s="511"/>
      <c r="E270" s="499" t="str">
        <f aca="false">IF(SUM($W270:$X270)&gt;0,SUM($W270:$X270),IF($H270&gt;0,0,IF($H270&gt;0,0,"-")))</f>
        <v>-</v>
      </c>
      <c r="F270" s="499" t="str">
        <f aca="false">IF(SUM($Y270:$Z270)&gt;0,SUM($Y270:$Z270),IF($H270&gt;0,0,"-"))</f>
        <v>-</v>
      </c>
      <c r="G270" s="499" t="str">
        <f aca="false">IF($H270&gt;0,minus(E270,F270),"-")</f>
        <v>-</v>
      </c>
      <c r="H270" s="500" t="n">
        <f aca="false">SUM(COUNTIF(MatchSource!$A:$A,$B270),COUNTIF(MatchSource!$H:$H,$B270))</f>
        <v>0</v>
      </c>
      <c r="I270" s="501" t="n">
        <f aca="false">SUM($AA270:$AB270)</f>
        <v>0</v>
      </c>
      <c r="J270" s="501" t="s">
        <v>701</v>
      </c>
      <c r="K270" s="512" t="str">
        <f aca="false" t="array" ref="K270:K270">IF(ISNA(INDEX(DraftRosters!$AA$3:$AA$199,MATCH($B270,DraftRosters!$AB$3:$AB$199,0))),"FA",IF(INDEX(DraftRosters!$AA$3:$AA$199,MATCH($B270,DraftRosters!$AB$3:$AB$199,0))="Franchise","Franch",INDEX(DraftRosters!$AA$3:$AA$199,MATCH($B270,DraftRosters!$AB$3:$AB$199,0))))</f>
        <v>FA</v>
      </c>
      <c r="L270" s="499" t="n">
        <v>75</v>
      </c>
      <c r="M270" s="499" t="n">
        <v>95</v>
      </c>
      <c r="N270" s="499" t="n">
        <v>67</v>
      </c>
      <c r="O270" s="499" t="n">
        <v>125</v>
      </c>
      <c r="P270" s="499" t="n">
        <v>95</v>
      </c>
      <c r="Q270" s="501" t="n">
        <v>83</v>
      </c>
      <c r="R270" s="499" t="s">
        <v>800</v>
      </c>
      <c r="S270" s="501"/>
      <c r="T270" s="504" t="s">
        <v>913</v>
      </c>
      <c r="U270" s="505" t="s">
        <v>942</v>
      </c>
      <c r="V270" s="506"/>
      <c r="W270" s="500" t="str">
        <f aca="false">IFERROR(__xludf.dummyfunction("if(isna(SUM(FILTER(MatchSource!$A:$D,MatchSource!$A:$A=$B270))),0,SUM(FILTER(MatchSource!$A:$D,MatchSource!$A:$A=$B270)))"),"0")</f>
        <v>0</v>
      </c>
      <c r="X270" s="499" t="str">
        <f aca="false">IFERROR(__xludf.dummyfunction("if(isna(SUM(FILTER(MatchSource!$H:$K,MatchSource!$H:$H=$B270))),0,SUM(FILTER(MatchSource!$H:$K,MatchSource!$H:$H=$B270)))"),"0")</f>
        <v>0</v>
      </c>
      <c r="Y270" s="499" t="str">
        <f aca="false">IFERROR(__xludf.dummyfunction("if(isna(ABS(MINUS(SUM(FILTER(MatchSource!$A:$E,MatchSource!$A:$A=$B270)),SUM($W270)))),0,ABS(MINUS(SUM(FILTER(MatchSource!$A:$E,MatchSource!$A:$A=$B270)),SUM($W270))))"),"0")</f>
        <v>0</v>
      </c>
      <c r="Z270" s="499" t="str">
        <f aca="false">IFERROR(__xludf.dummyfunction("if(isna(ABS(MINUS(SUM(FILTER(MatchSource!$H:$L,MatchSource!$H:$H=$B270)),SUM($X270)))),0,ABS(MINUS(SUM(FILTER(MatchSource!$H:$L,MatchSource!$H:$H=$B270)),SUM($X270))))"),"0")</f>
        <v>0</v>
      </c>
      <c r="AA270" s="499" t="str">
        <f aca="false">IFERROR(__xludf.dummyfunction("if(isna(ABS(MINUS(SUM(FILTER(MatchSource!$A:$F,MatchSource!$A:$A=$B270)),SUM($W270,$Y270)))),0,ABS(MINUS(SUM(FILTER(MatchSource!$A:$F,MatchSource!$A:$A=$B270)),SUM($W270, $Y270,))))"),"0")</f>
        <v>0</v>
      </c>
      <c r="AB270" s="501" t="str">
        <f aca="false">IFERROR(__xludf.dummyfunction("if(isna(ABS(MINUS(SUM(FILTER(MatchSource!$H:$M,MatchSource!$H:$H=$B270)),SUM($X270,$Z270)))),0,ABS(MINUS(SUM(FILTER(MatchSource!$H:$M,MatchSource!$H:$H=$B270)),SUM($X270,$Z270))))"),"0")</f>
        <v>0</v>
      </c>
      <c r="AC270" s="507" t="n">
        <f aca="false">SUM(IF(OR($R270="Grass",$R270="Psychic",$R270="Dark"),0-1,IF(OR($R270="Fighting",$R270="Flying",$R270="Fire",$R270="Ghost",$R270="Poison",$R270="Steel",$R270="Fairy"),1,0)),IF(OR($S270="Grass",$S270="Psychic",$S270="Dark"),0-1,IF(OR($S270="Fighting",$S270="Flying",$S270="Fire",$S270="Ghost",$S270="Poison",$S270="Steel",$S270="Fairy"),1,0)))</f>
        <v>1</v>
      </c>
      <c r="AD270" s="507" t="n">
        <f aca="false">SUM(IF(OR($R270="Ghost",$R270="Psychic"),0-1,IF(OR($R270="Fighting",$R270="Dark",$R270="Fairy"),1,0)),IF(OR($S270="Ghost",$S270="Psychic"),0-1,IF(OR($S270="Fighting",$S270="Dark",$S270="Fairy"),1,0)))</f>
        <v>0</v>
      </c>
      <c r="AE270" s="507" t="n">
        <f aca="false">IF(OR($R270="Fairy",$S270="Fairy"),4,SUM(IF($R270="Dragon",0-1,IF($R270="Steel",1,0)),IF($S270="Dragon",0-1,IF($S270="Steel",1,0))))</f>
        <v>0</v>
      </c>
      <c r="AF270" s="507" t="n">
        <f aca="false">IF(OR($R270="Ground",$S270="Ground"),4,SUM(IF(OR($R270="Flying",$R270="Water"),0-1,IF(OR($R270="Dragon",$R270="Electric",$R270="Grass"),1,0)),IF(OR($S270="Flying",$S270="Water"),0-1,IF(OR($S270="Dragon",$S270="Electric",$S270="Grass"),1,0))))</f>
        <v>0</v>
      </c>
      <c r="AG270" s="507" t="n">
        <f aca="false">SUM(IF(OR($R270="Dark",$R270="Dragon",$R270="Fighting"),0-1,IF(OR($R270="Steel",$R270="Poison",$R270="Fire"),1,0)),IF(OR($S270="Dark",$S270="Dragon",$S270="Fighting"),0-1,IF(OR($S270="Steel",$S270="Poison",$S270="Fire"),1,0)))</f>
        <v>1</v>
      </c>
      <c r="AH270" s="507" t="n">
        <f aca="false">IF(OR($R270="Ghost",$S270="Ghost"),4,SUM(IF(OR($R270="Dark",$R270="Ice",$R270="Normal",$R270="Rock",$R270="Steel"),0-1,IF(OR($R270="Bug",$R270="Fairy",$R270="Flying",$R270="Poison",$R270="Psychic"),1,0)),IF(OR($S270="Dark",$S270="Ice",$S270="Normal",$S270="Rock",$S270="Steel"),0-1,IF(OR($S270="Bug",$S270="Fairy",$S270="Flying",$S270="Poison",$S270="Psychic"),1,0))))</f>
        <v>0</v>
      </c>
      <c r="AI270" s="507" t="n">
        <f aca="false">SUM(IF(OR($R270="Bug",$R270="Grass",$R270="Ice",$R270="Steel"),0-1,IF(OR($R270="Dragon",$R270="Fire",$R270="Rock",$R270="Water"),1,0)),IF(OR($S270="Bug",$S270="Grass",$S270="Ice",$S270="Steel"),0-1,IF(OR($S270="Dragon",$S270="Fire",$S270="Rock",$S270="Water"),1,0)))</f>
        <v>1</v>
      </c>
      <c r="AJ270" s="507" t="n">
        <f aca="false">SUM(IF(OR($R270="Bug",$R270="Grass",$R270="Fighting"),0-1,IF(OR($R270="Electric",$R270="Rock",$R270="Steel"),1,0)),IF(OR($S270="Bug",$S270="Grass",$S270="Fighting"),0-1,IF(OR($S270="Electric",$S270="Rock",$S270="Steel"),1,0)))</f>
        <v>0</v>
      </c>
      <c r="AK270" s="507" t="n">
        <f aca="false">IF(OR($R270="Normal",$S270="Normal"),4,SUM(IF(OR($R270="Ghost",$R270="Psychic"),0-1,IF($R270="Dark",1,0)),IF(OR($S270="Ghost",$S270="Psychic"),0-1,IF($S270="Dark",1,0))))</f>
        <v>0</v>
      </c>
      <c r="AL270" s="507" t="n">
        <f aca="false">SUM(IF(OR($R270="Ground",$R270="Rock",$R270="Water"),0-1,IF(OR($R270="Bug",$R270="Flying",$R270="Fire",$R270="Dragon",$R270="Poison",$R270="Steel",$R270="Grass"),1,0)),IF(OR($S270="Ground",$S270="Rock",$S270="Water"),0-1,IF(OR($S270="Bug",$S270="Flying",$S270="Fire",$S270="Dragon",$S270="Poison",$S270="Steel",$S270="Grass"),1,0)))</f>
        <v>1</v>
      </c>
      <c r="AM270" s="507" t="n">
        <f aca="false">IF(OR($R270="Flying",$S270="Flying"),4,SUM(IF(OR($R270="Electric",$R270="Fire",$R270="Rock",$R270="Steel",$R270="Poison"),0-1,IF(OR($R270="Bug",$R270="Grass"),1,0)),IF(OR($S270="Electric",$S270="Fire",$S270="Rock",$S270="Steel",$S270="Poison"),0-1,IF(OR($S270="Bug",$S270="Grass"),1,0))))</f>
        <v>-1</v>
      </c>
      <c r="AN270" s="507" t="n">
        <f aca="false">SUM(IF(OR($R270="Flying",$R270="Dragon",$R270="Grass",$R270="Ground"),0-1,IF(OR($R270="Steel",$R270="Ice",$R270="Fire",$R270="Water"),1,0)),IF(OR($S270="Flying",$S270="Dragon",$S270="Grass",$S270="Ground"),0-1,IF(OR($S270="Steel",$S270="Ice",$S270="Fire",$S270="Water"),1,0)))</f>
        <v>1</v>
      </c>
      <c r="AO270" s="507" t="n">
        <f aca="false">IF(OR($R270="Ghost",$S270="Ghost"),4,SUM(IF(OR($R270="Steel",$R270="Rock"),1,0),IF(OR($S270="Steel",$S270="Rock"),1,0)))</f>
        <v>0</v>
      </c>
      <c r="AP270" s="507" t="n">
        <f aca="false">IF(OR($R270="Steel",$S270="Steel"),4,SUM(IF(OR($R270="Fairy",$R270="Grass"),0-1,IF(OR($R270="Ghost",$R270="Rock",$R270="Ground",$R270="Poison"),1,0)),IF(OR($S270="Fairy",$S270="Grass"),0-1,IF(OR($S270="Ghost",$S270="Rock",$S270="Ground",$S270="Poison"),1,0))))</f>
        <v>0</v>
      </c>
      <c r="AQ270" s="507" t="n">
        <f aca="false">IF(OR($R270="Dark",$S270="Dark"),4,SUM(IF(OR($R270="Fighting",$R270="Poison"),0-1,IF(OR($R270="Psychic",$R270="Steel"),1,0)),IF(OR($S270="Fighting",$S270="Poison"),0-1,IF(OR($S270="Psychic",$S270="Steel"),1,0))))</f>
        <v>0</v>
      </c>
      <c r="AR270" s="507" t="n">
        <f aca="false">SUM(IF(OR($R270="Bug",$R270="Fire",$R270="Flying",$R270="Ice"),0-1,IF(OR($R270="Steel",$R270="Fighting",$R270="Ground"),1,0)),IF(OR($S270="Bug",$S270="Fire",$S270="Flying",$S270="Ice"),0-1,IF(OR($S270="Steel",$S270="Fighting",$S270="Ground"),1,0)))</f>
        <v>-1</v>
      </c>
      <c r="AS270" s="507" t="n">
        <f aca="false">SUM(IF(OR($R270="Fairy",$R270="Ice",$R270="Rock"),0-1,IF(OR($R270="Steel",$R270="Electric",$R270="Fire",$R270="Water"),1,0)),IF(OR($S270="Fairy",$S270="Ice",$S270="Rock"),0-1,IF(OR($S270="Steel",$S270="Electric",$S270="Fire",$S270="Water"),1,0)))</f>
        <v>1</v>
      </c>
      <c r="AT270" s="508" t="n">
        <f aca="false">SUM(IF(OR($R270="Fire",$R270="Ground",$R270="Rock"),0-1,IF(OR($R270="Dragon",$R270="Grass",$R270="Water"),1,0)),IF(OR($S270="Fire",$S270="Ground",$S270="Rock"),0-1,IF(OR($S270="Dragon",$S270="Grass",$S270="Water"),1,0)))</f>
        <v>-1</v>
      </c>
      <c r="AU270" s="518"/>
    </row>
    <row r="271" customFormat="false" ht="15.75" hidden="false" customHeight="false" outlineLevel="0" collapsed="false">
      <c r="A271" s="510" t="str">
        <f aca="false" t="array" ref="A271:A271">IF(ISNA(INDEX(Source!$U$7:$U$95,MATCH(B271,Source!$V$7:$V$95,0))),"FREE",INDEX(Source!$U$7:$U$95,MATCH(B271,Source!$V$7:$V$95,0)))</f>
        <v>FREE</v>
      </c>
      <c r="B271" s="511" t="s">
        <v>567</v>
      </c>
      <c r="C271" s="511"/>
      <c r="D271" s="511"/>
      <c r="E271" s="499" t="str">
        <f aca="false">IF(SUM($W271:$X271)&gt;0,SUM($W271:$X271),IF($H271&gt;0,0,IF($H271&gt;0,0,"-")))</f>
        <v>-</v>
      </c>
      <c r="F271" s="499" t="str">
        <f aca="false">IF(SUM($Y271:$Z271)&gt;0,SUM($Y271:$Z271),IF($H271&gt;0,0,"-"))</f>
        <v>-</v>
      </c>
      <c r="G271" s="499" t="str">
        <f aca="false">IF($H271&gt;0,minus(E271,F271),"-")</f>
        <v>-</v>
      </c>
      <c r="H271" s="500" t="n">
        <f aca="false">SUM(COUNTIF(MatchSource!$A:$A,$B271),COUNTIF(MatchSource!$H:$H,$B271))</f>
        <v>0</v>
      </c>
      <c r="I271" s="501" t="n">
        <f aca="false">SUM($AA271:$AB271)</f>
        <v>0</v>
      </c>
      <c r="J271" s="501" t="s">
        <v>701</v>
      </c>
      <c r="K271" s="512" t="str">
        <f aca="false" t="array" ref="K271:K271">IF(ISNA(INDEX(DraftRosters!$AA$3:$AA$199,MATCH($B271,DraftRosters!$AB$3:$AB$199,0))),"FA",IF(INDEX(DraftRosters!$AA$3:$AA$199,MATCH($B271,DraftRosters!$AB$3:$AB$199,0))="Franchise","Franch",INDEX(DraftRosters!$AA$3:$AA$199,MATCH($B271,DraftRosters!$AB$3:$AB$199,0))))</f>
        <v>FA</v>
      </c>
      <c r="L271" s="499" t="n">
        <v>50</v>
      </c>
      <c r="M271" s="499" t="n">
        <v>60</v>
      </c>
      <c r="N271" s="499" t="n">
        <v>95</v>
      </c>
      <c r="O271" s="499" t="n">
        <v>120</v>
      </c>
      <c r="P271" s="499" t="n">
        <v>70</v>
      </c>
      <c r="Q271" s="501" t="n">
        <v>70</v>
      </c>
      <c r="R271" s="499" t="s">
        <v>845</v>
      </c>
      <c r="S271" s="501" t="s">
        <v>810</v>
      </c>
      <c r="T271" s="504" t="s">
        <v>878</v>
      </c>
      <c r="U271" s="505" t="s">
        <v>826</v>
      </c>
      <c r="V271" s="506" t="s">
        <v>985</v>
      </c>
      <c r="W271" s="500" t="str">
        <f aca="false">IFERROR(__xludf.dummyfunction("if(isna(SUM(FILTER(MatchSource!$A:$D,MatchSource!$A:$A=$B271))),0,SUM(FILTER(MatchSource!$A:$D,MatchSource!$A:$A=$B271)))"),"0")</f>
        <v>0</v>
      </c>
      <c r="X271" s="499" t="str">
        <f aca="false">IFERROR(__xludf.dummyfunction("if(isna(SUM(FILTER(MatchSource!$H:$K,MatchSource!$H:$H=$B271))),0,SUM(FILTER(MatchSource!$H:$K,MatchSource!$H:$H=$B271)))"),"0")</f>
        <v>0</v>
      </c>
      <c r="Y271" s="499" t="str">
        <f aca="false">IFERROR(__xludf.dummyfunction("if(isna(ABS(MINUS(SUM(FILTER(MatchSource!$A:$E,MatchSource!$A:$A=$B271)),SUM($W271)))),0,ABS(MINUS(SUM(FILTER(MatchSource!$A:$E,MatchSource!$A:$A=$B271)),SUM($W271))))"),"0")</f>
        <v>0</v>
      </c>
      <c r="Z271" s="499" t="str">
        <f aca="false">IFERROR(__xludf.dummyfunction("if(isna(ABS(MINUS(SUM(FILTER(MatchSource!$H:$L,MatchSource!$H:$H=$B271)),SUM($X271)))),0,ABS(MINUS(SUM(FILTER(MatchSource!$H:$L,MatchSource!$H:$H=$B271)),SUM($X271))))"),"0")</f>
        <v>0</v>
      </c>
      <c r="AA271" s="499" t="str">
        <f aca="false">IFERROR(__xludf.dummyfunction("if(isna(ABS(MINUS(SUM(FILTER(MatchSource!$A:$F,MatchSource!$A:$A=$B271)),SUM($W271,$Y271)))),0,ABS(MINUS(SUM(FILTER(MatchSource!$A:$F,MatchSource!$A:$A=$B271)),SUM($W271, $Y271,))))"),"0")</f>
        <v>0</v>
      </c>
      <c r="AB271" s="501" t="str">
        <f aca="false">IFERROR(__xludf.dummyfunction("if(isna(ABS(MINUS(SUM(FILTER(MatchSource!$H:$M,MatchSource!$H:$H=$B271)),SUM($X271,$Z271)))),0,ABS(MINUS(SUM(FILTER(MatchSource!$H:$M,MatchSource!$H:$H=$B271)),SUM($X271,$Z271))))"),"0")</f>
        <v>0</v>
      </c>
      <c r="AC271" s="507" t="n">
        <f aca="false">SUM(IF(OR($R271="Grass",$R271="Psychic",$R271="Dark"),0-1,IF(OR($R271="Fighting",$R271="Flying",$R271="Fire",$R271="Ghost",$R271="Poison",$R271="Steel",$R271="Fairy"),1,0)),IF(OR($S271="Grass",$S271="Psychic",$S271="Dark"),0-1,IF(OR($S271="Fighting",$S271="Flying",$S271="Fire",$S271="Ghost",$S271="Poison",$S271="Steel",$S271="Fairy"),1,0)))</f>
        <v>1</v>
      </c>
      <c r="AD271" s="507" t="n">
        <f aca="false">SUM(IF(OR($R271="Ghost",$R271="Psychic"),0-1,IF(OR($R271="Fighting",$R271="Dark",$R271="Fairy"),1,0)),IF(OR($S271="Ghost",$S271="Psychic"),0-1,IF(OR($S271="Fighting",$S271="Dark",$S271="Fairy"),1,0)))</f>
        <v>0</v>
      </c>
      <c r="AE271" s="507" t="n">
        <f aca="false">IF(OR($R271="Fairy",$S271="Fairy"),4,SUM(IF($R271="Dragon",0-1,IF($R271="Steel",1,0)),IF($S271="Dragon",0-1,IF($S271="Steel",1,0))))</f>
        <v>1</v>
      </c>
      <c r="AF271" s="507" t="n">
        <f aca="false">IF(OR($R271="Ground",$S271="Ground"),4,SUM(IF(OR($R271="Flying",$R271="Water"),0-1,IF(OR($R271="Dragon",$R271="Electric",$R271="Grass"),1,0)),IF(OR($S271="Flying",$S271="Water"),0-1,IF(OR($S271="Dragon",$S271="Electric",$S271="Grass"),1,0))))</f>
        <v>1</v>
      </c>
      <c r="AG271" s="507" t="n">
        <f aca="false">SUM(IF(OR($R271="Dark",$R271="Dragon",$R271="Fighting"),0-1,IF(OR($R271="Steel",$R271="Poison",$R271="Fire"),1,0)),IF(OR($S271="Dark",$S271="Dragon",$S271="Fighting"),0-1,IF(OR($S271="Steel",$S271="Poison",$S271="Fire"),1,0)))</f>
        <v>1</v>
      </c>
      <c r="AH271" s="507" t="n">
        <f aca="false">IF(OR($R271="Ghost",$S271="Ghost"),4,SUM(IF(OR($R271="Dark",$R271="Ice",$R271="Normal",$R271="Rock",$R271="Steel"),0-1,IF(OR($R271="Bug",$R271="Fairy",$R271="Flying",$R271="Poison",$R271="Psychic"),1,0)),IF(OR($S271="Dark",$S271="Ice",$S271="Normal",$S271="Rock",$S271="Steel"),0-1,IF(OR($S271="Bug",$S271="Fairy",$S271="Flying",$S271="Poison",$S271="Psychic"),1,0))))</f>
        <v>-1</v>
      </c>
      <c r="AI271" s="507" t="n">
        <f aca="false">SUM(IF(OR($R271="Bug",$R271="Grass",$R271="Ice",$R271="Steel"),0-1,IF(OR($R271="Dragon",$R271="Fire",$R271="Rock",$R271="Water"),1,0)),IF(OR($S271="Bug",$S271="Grass",$S271="Ice",$S271="Steel"),0-1,IF(OR($S271="Dragon",$S271="Fire",$S271="Rock",$S271="Water"),1,0)))</f>
        <v>-1</v>
      </c>
      <c r="AJ271" s="507" t="n">
        <f aca="false">SUM(IF(OR($R271="Bug",$R271="Grass",$R271="Fighting"),0-1,IF(OR($R271="Electric",$R271="Rock",$R271="Steel"),1,0)),IF(OR($S271="Bug",$S271="Grass",$S271="Fighting"),0-1,IF(OR($S271="Electric",$S271="Rock",$S271="Steel"),1,0)))</f>
        <v>2</v>
      </c>
      <c r="AK271" s="507" t="n">
        <f aca="false">IF(OR($R271="Normal",$S271="Normal"),4,SUM(IF(OR($R271="Ghost",$R271="Psychic"),0-1,IF($R271="Dark",1,0)),IF(OR($S271="Ghost",$S271="Psychic"),0-1,IF($S271="Dark",1,0))))</f>
        <v>0</v>
      </c>
      <c r="AL271" s="507" t="n">
        <f aca="false">SUM(IF(OR($R271="Ground",$R271="Rock",$R271="Water"),0-1,IF(OR($R271="Bug",$R271="Flying",$R271="Fire",$R271="Dragon",$R271="Poison",$R271="Steel",$R271="Grass"),1,0)),IF(OR($S271="Ground",$S271="Rock",$S271="Water"),0-1,IF(OR($S271="Bug",$S271="Flying",$S271="Fire",$S271="Dragon",$S271="Poison",$S271="Steel",$S271="Grass"),1,0)))</f>
        <v>1</v>
      </c>
      <c r="AM271" s="507" t="n">
        <f aca="false">IF(OR($R271="Flying",$S271="Flying"),4,SUM(IF(OR($R271="Electric",$R271="Fire",$R271="Rock",$R271="Steel",$R271="Poison"),0-1,IF(OR($R271="Bug",$R271="Grass"),1,0)),IF(OR($S271="Electric",$S271="Fire",$S271="Rock",$S271="Steel",$S271="Poison"),0-1,IF(OR($S271="Bug",$S271="Grass"),1,0))))</f>
        <v>-2</v>
      </c>
      <c r="AN271" s="507" t="n">
        <f aca="false">SUM(IF(OR($R271="Flying",$R271="Dragon",$R271="Grass",$R271="Ground"),0-1,IF(OR($R271="Steel",$R271="Ice",$R271="Fire",$R271="Water"),1,0)),IF(OR($S271="Flying",$S271="Dragon",$S271="Grass",$S271="Ground"),0-1,IF(OR($S271="Steel",$S271="Ice",$S271="Fire",$S271="Water"),1,0)))</f>
        <v>1</v>
      </c>
      <c r="AO271" s="507" t="n">
        <f aca="false">IF(OR($R271="Ghost",$S271="Ghost"),4,SUM(IF(OR($R271="Steel",$R271="Rock"),1,0),IF(OR($S271="Steel",$S271="Rock"),1,0)))</f>
        <v>1</v>
      </c>
      <c r="AP271" s="507" t="n">
        <f aca="false">IF(OR($R271="Steel",$S271="Steel"),4,SUM(IF(OR($R271="Fairy",$R271="Grass"),0-1,IF(OR($R271="Ghost",$R271="Rock",$R271="Ground",$R271="Poison"),1,0)),IF(OR($S271="Fairy",$S271="Grass"),0-1,IF(OR($S271="Ghost",$S271="Rock",$S271="Ground",$S271="Poison"),1,0))))</f>
        <v>4</v>
      </c>
      <c r="AQ271" s="507" t="n">
        <f aca="false">IF(OR($R271="Dark",$S271="Dark"),4,SUM(IF(OR($R271="Fighting",$R271="Poison"),0-1,IF(OR($R271="Psychic",$R271="Steel"),1,0)),IF(OR($S271="Fighting",$S271="Poison"),0-1,IF(OR($S271="Psychic",$S271="Steel"),1,0))))</f>
        <v>1</v>
      </c>
      <c r="AR271" s="507" t="n">
        <f aca="false">SUM(IF(OR($R271="Bug",$R271="Fire",$R271="Flying",$R271="Ice"),0-1,IF(OR($R271="Steel",$R271="Fighting",$R271="Ground"),1,0)),IF(OR($S271="Bug",$S271="Fire",$S271="Flying",$S271="Ice"),0-1,IF(OR($S271="Steel",$S271="Fighting",$S271="Ground"),1,0)))</f>
        <v>1</v>
      </c>
      <c r="AS271" s="507" t="n">
        <f aca="false">SUM(IF(OR($R271="Fairy",$R271="Ice",$R271="Rock"),0-1,IF(OR($R271="Steel",$R271="Electric",$R271="Fire",$R271="Water"),1,0)),IF(OR($S271="Fairy",$S271="Ice",$S271="Rock"),0-1,IF(OR($S271="Steel",$S271="Electric",$S271="Fire",$S271="Water"),1,0)))</f>
        <v>2</v>
      </c>
      <c r="AT271" s="508" t="n">
        <f aca="false">SUM(IF(OR($R271="Fire",$R271="Ground",$R271="Rock"),0-1,IF(OR($R271="Dragon",$R271="Grass",$R271="Water"),1,0)),IF(OR($S271="Fire",$S271="Ground",$S271="Rock"),0-1,IF(OR($S271="Dragon",$S271="Grass",$S271="Water"),1,0)))</f>
        <v>0</v>
      </c>
      <c r="AU271" s="518"/>
    </row>
    <row r="272" customFormat="false" ht="15.75" hidden="false" customHeight="false" outlineLevel="0" collapsed="false">
      <c r="A272" s="510" t="str">
        <f aca="false" t="array" ref="A272:A272">IF(ISNA(INDEX(Source!$U$7:$U$95,MATCH(B272,Source!$V$7:$V$95,0))),"FREE",INDEX(Source!$U$7:$U$95,MATCH(B272,Source!$V$7:$V$95,0)))</f>
        <v>FREE</v>
      </c>
      <c r="B272" s="511" t="s">
        <v>116</v>
      </c>
      <c r="C272" s="511"/>
      <c r="D272" s="511"/>
      <c r="E272" s="499" t="n">
        <f aca="false">IF(SUM($W272:$X272)&gt;0,SUM($W272:$X272),IF($H272&gt;0,0,IF($H272&gt;0,0,"-")))</f>
        <v>0</v>
      </c>
      <c r="F272" s="499" t="n">
        <f aca="false">IF(SUM($Y272:$Z272)&gt;0,SUM($Y272:$Z272),IF($H272&gt;0,0,"-"))</f>
        <v>0</v>
      </c>
      <c r="G272" s="499" t="e">
        <f aca="false">IF($H272&gt;0,minus(E272,F272),"-")</f>
        <v>#NAME?</v>
      </c>
      <c r="H272" s="500" t="n">
        <f aca="false">SUM(COUNTIF(MatchSource!$A:$A,$B272),COUNTIF(MatchSource!$H:$H,$B272))</f>
        <v>2</v>
      </c>
      <c r="I272" s="501" t="n">
        <f aca="false">SUM($AA272:$AB272)</f>
        <v>0</v>
      </c>
      <c r="J272" s="501" t="s">
        <v>699</v>
      </c>
      <c r="K272" s="512" t="n">
        <f aca="false" t="array" ref="K272:K272">IF(ISNA(INDEX(DraftRosters!$AA$3:$AA$199,MATCH($B272,DraftRosters!$AB$3:$AB$199,0))),"FA",IF(INDEX(DraftRosters!$AA$3:$AA$199,MATCH($B272,DraftRosters!$AB$3:$AB$199,0))="Franchise","Franch",INDEX(DraftRosters!$AA$3:$AA$199,MATCH($B272,DraftRosters!$AB$3:$AB$199,0))))</f>
        <v>22</v>
      </c>
      <c r="L272" s="499" t="n">
        <v>70</v>
      </c>
      <c r="M272" s="499" t="n">
        <v>70</v>
      </c>
      <c r="N272" s="499" t="n">
        <v>115</v>
      </c>
      <c r="O272" s="499" t="n">
        <v>130</v>
      </c>
      <c r="P272" s="499" t="n">
        <v>90</v>
      </c>
      <c r="Q272" s="501" t="n">
        <v>60</v>
      </c>
      <c r="R272" s="499" t="s">
        <v>845</v>
      </c>
      <c r="S272" s="501" t="s">
        <v>810</v>
      </c>
      <c r="T272" s="504" t="s">
        <v>878</v>
      </c>
      <c r="U272" s="505" t="s">
        <v>826</v>
      </c>
      <c r="V272" s="506" t="s">
        <v>985</v>
      </c>
      <c r="W272" s="500" t="str">
        <f aca="false">IFERROR(__xludf.dummyfunction("if(isna(SUM(FILTER(MatchSource!$A:$D,MatchSource!$A:$A=$B272))),0,SUM(FILTER(MatchSource!$A:$D,MatchSource!$A:$A=$B272)))"),"1")</f>
        <v>1</v>
      </c>
      <c r="X272" s="499" t="str">
        <f aca="false">IFERROR(__xludf.dummyfunction("if(isna(SUM(FILTER(MatchSource!$H:$K,MatchSource!$H:$H=$B272))),0,SUM(FILTER(MatchSource!$H:$K,MatchSource!$H:$H=$B272)))"),"0")</f>
        <v>0</v>
      </c>
      <c r="Y272" s="499" t="str">
        <f aca="false">IFERROR(__xludf.dummyfunction("if(isna(ABS(MINUS(SUM(FILTER(MatchSource!$A:$E,MatchSource!$A:$A=$B272)),SUM($W272)))),0,ABS(MINUS(SUM(FILTER(MatchSource!$A:$E,MatchSource!$A:$A=$B272)),SUM($W272))))"),"1")</f>
        <v>1</v>
      </c>
      <c r="Z272" s="499" t="str">
        <f aca="false">IFERROR(__xludf.dummyfunction("if(isna(ABS(MINUS(SUM(FILTER(MatchSource!$H:$L,MatchSource!$H:$H=$B272)),SUM($X272)))),0,ABS(MINUS(SUM(FILTER(MatchSource!$H:$L,MatchSource!$H:$H=$B272)),SUM($X272))))"),"0")</f>
        <v>0</v>
      </c>
      <c r="AA272" s="499" t="str">
        <f aca="false">IFERROR(__xludf.dummyfunction("if(isna(ABS(MINUS(SUM(FILTER(MatchSource!$A:$F,MatchSource!$A:$A=$B272)),SUM($W272,$Y272)))),0,ABS(MINUS(SUM(FILTER(MatchSource!$A:$F,MatchSource!$A:$A=$B272)),SUM($W272, $Y272,))))"),"1")</f>
        <v>1</v>
      </c>
      <c r="AB272" s="501" t="str">
        <f aca="false">IFERROR(__xludf.dummyfunction("if(isna(ABS(MINUS(SUM(FILTER(MatchSource!$H:$M,MatchSource!$H:$H=$B272)),SUM($X272,$Z272)))),0,ABS(MINUS(SUM(FILTER(MatchSource!$H:$M,MatchSource!$H:$H=$B272)),SUM($X272,$Z272))))"),"1")</f>
        <v>1</v>
      </c>
      <c r="AC272" s="507" t="n">
        <f aca="false">SUM(IF(OR($R272="Grass",$R272="Psychic",$R272="Dark"),0-1,IF(OR($R272="Fighting",$R272="Flying",$R272="Fire",$R272="Ghost",$R272="Poison",$R272="Steel",$R272="Fairy"),1,0)),IF(OR($S272="Grass",$S272="Psychic",$S272="Dark"),0-1,IF(OR($S272="Fighting",$S272="Flying",$S272="Fire",$S272="Ghost",$S272="Poison",$S272="Steel",$S272="Fairy"),1,0)))</f>
        <v>1</v>
      </c>
      <c r="AD272" s="507" t="n">
        <f aca="false">SUM(IF(OR($R272="Ghost",$R272="Psychic"),0-1,IF(OR($R272="Fighting",$R272="Dark",$R272="Fairy"),1,0)),IF(OR($S272="Ghost",$S272="Psychic"),0-1,IF(OR($S272="Fighting",$S272="Dark",$S272="Fairy"),1,0)))</f>
        <v>0</v>
      </c>
      <c r="AE272" s="507" t="n">
        <f aca="false">IF(OR($R272="Fairy",$S272="Fairy"),4,SUM(IF($R272="Dragon",0-1,IF($R272="Steel",1,0)),IF($S272="Dragon",0-1,IF($S272="Steel",1,0))))</f>
        <v>1</v>
      </c>
      <c r="AF272" s="507" t="n">
        <f aca="false">IF(OR($R272="Ground",$S272="Ground"),4,SUM(IF(OR($R272="Flying",$R272="Water"),0-1,IF(OR($R272="Dragon",$R272="Electric",$R272="Grass"),1,0)),IF(OR($S272="Flying",$S272="Water"),0-1,IF(OR($S272="Dragon",$S272="Electric",$S272="Grass"),1,0))))</f>
        <v>1</v>
      </c>
      <c r="AG272" s="507" t="n">
        <f aca="false">SUM(IF(OR($R272="Dark",$R272="Dragon",$R272="Fighting"),0-1,IF(OR($R272="Steel",$R272="Poison",$R272="Fire"),1,0)),IF(OR($S272="Dark",$S272="Dragon",$S272="Fighting"),0-1,IF(OR($S272="Steel",$S272="Poison",$S272="Fire"),1,0)))</f>
        <v>1</v>
      </c>
      <c r="AH272" s="507" t="n">
        <f aca="false">IF(OR($R272="Ghost",$S272="Ghost"),4,SUM(IF(OR($R272="Dark",$R272="Ice",$R272="Normal",$R272="Rock",$R272="Steel"),0-1,IF(OR($R272="Bug",$R272="Fairy",$R272="Flying",$R272="Poison",$R272="Psychic"),1,0)),IF(OR($S272="Dark",$S272="Ice",$S272="Normal",$S272="Rock",$S272="Steel"),0-1,IF(OR($S272="Bug",$S272="Fairy",$S272="Flying",$S272="Poison",$S272="Psychic"),1,0))))</f>
        <v>-1</v>
      </c>
      <c r="AI272" s="507" t="n">
        <f aca="false">SUM(IF(OR($R272="Bug",$R272="Grass",$R272="Ice",$R272="Steel"),0-1,IF(OR($R272="Dragon",$R272="Fire",$R272="Rock",$R272="Water"),1,0)),IF(OR($S272="Bug",$S272="Grass",$S272="Ice",$S272="Steel"),0-1,IF(OR($S272="Dragon",$S272="Fire",$S272="Rock",$S272="Water"),1,0)))</f>
        <v>-1</v>
      </c>
      <c r="AJ272" s="507" t="n">
        <f aca="false">SUM(IF(OR($R272="Bug",$R272="Grass",$R272="Fighting"),0-1,IF(OR($R272="Electric",$R272="Rock",$R272="Steel"),1,0)),IF(OR($S272="Bug",$S272="Grass",$S272="Fighting"),0-1,IF(OR($S272="Electric",$S272="Rock",$S272="Steel"),1,0)))</f>
        <v>2</v>
      </c>
      <c r="AK272" s="507" t="n">
        <f aca="false">IF(OR($R272="Normal",$S272="Normal"),4,SUM(IF(OR($R272="Ghost",$R272="Psychic"),0-1,IF($R272="Dark",1,0)),IF(OR($S272="Ghost",$S272="Psychic"),0-1,IF($S272="Dark",1,0))))</f>
        <v>0</v>
      </c>
      <c r="AL272" s="507" t="n">
        <f aca="false">SUM(IF(OR($R272="Ground",$R272="Rock",$R272="Water"),0-1,IF(OR($R272="Bug",$R272="Flying",$R272="Fire",$R272="Dragon",$R272="Poison",$R272="Steel",$R272="Grass"),1,0)),IF(OR($S272="Ground",$S272="Rock",$S272="Water"),0-1,IF(OR($S272="Bug",$S272="Flying",$S272="Fire",$S272="Dragon",$S272="Poison",$S272="Steel",$S272="Grass"),1,0)))</f>
        <v>1</v>
      </c>
      <c r="AM272" s="507" t="n">
        <f aca="false">IF(OR($R272="Flying",$S272="Flying"),4,SUM(IF(OR($R272="Electric",$R272="Fire",$R272="Rock",$R272="Steel",$R272="Poison"),0-1,IF(OR($R272="Bug",$R272="Grass"),1,0)),IF(OR($S272="Electric",$S272="Fire",$S272="Rock",$S272="Steel",$S272="Poison"),0-1,IF(OR($S272="Bug",$S272="Grass"),1,0))))</f>
        <v>-2</v>
      </c>
      <c r="AN272" s="507" t="n">
        <f aca="false">SUM(IF(OR($R272="Flying",$R272="Dragon",$R272="Grass",$R272="Ground"),0-1,IF(OR($R272="Steel",$R272="Ice",$R272="Fire",$R272="Water"),1,0)),IF(OR($S272="Flying",$S272="Dragon",$S272="Grass",$S272="Ground"),0-1,IF(OR($S272="Steel",$S272="Ice",$S272="Fire",$S272="Water"),1,0)))</f>
        <v>1</v>
      </c>
      <c r="AO272" s="507" t="n">
        <f aca="false">IF(OR($R272="Ghost",$S272="Ghost"),4,SUM(IF(OR($R272="Steel",$R272="Rock"),1,0),IF(OR($S272="Steel",$S272="Rock"),1,0)))</f>
        <v>1</v>
      </c>
      <c r="AP272" s="507" t="n">
        <f aca="false">IF(OR($R272="Steel",$S272="Steel"),4,SUM(IF(OR($R272="Fairy",$R272="Grass"),0-1,IF(OR($R272="Ghost",$R272="Rock",$R272="Ground",$R272="Poison"),1,0)),IF(OR($S272="Fairy",$S272="Grass"),0-1,IF(OR($S272="Ghost",$S272="Rock",$S272="Ground",$S272="Poison"),1,0))))</f>
        <v>4</v>
      </c>
      <c r="AQ272" s="507" t="n">
        <f aca="false">IF(OR($R272="Dark",$S272="Dark"),4,SUM(IF(OR($R272="Fighting",$R272="Poison"),0-1,IF(OR($R272="Psychic",$R272="Steel"),1,0)),IF(OR($S272="Fighting",$S272="Poison"),0-1,IF(OR($S272="Psychic",$S272="Steel"),1,0))))</f>
        <v>1</v>
      </c>
      <c r="AR272" s="507" t="n">
        <f aca="false">SUM(IF(OR($R272="Bug",$R272="Fire",$R272="Flying",$R272="Ice"),0-1,IF(OR($R272="Steel",$R272="Fighting",$R272="Ground"),1,0)),IF(OR($S272="Bug",$S272="Fire",$S272="Flying",$S272="Ice"),0-1,IF(OR($S272="Steel",$S272="Fighting",$S272="Ground"),1,0)))</f>
        <v>1</v>
      </c>
      <c r="AS272" s="507" t="n">
        <f aca="false">SUM(IF(OR($R272="Fairy",$R272="Ice",$R272="Rock"),0-1,IF(OR($R272="Steel",$R272="Electric",$R272="Fire",$R272="Water"),1,0)),IF(OR($S272="Fairy",$S272="Ice",$S272="Rock"),0-1,IF(OR($S272="Steel",$S272="Electric",$S272="Fire",$S272="Water"),1,0)))</f>
        <v>2</v>
      </c>
      <c r="AT272" s="508" t="n">
        <f aca="false">SUM(IF(OR($R272="Fire",$R272="Ground",$R272="Rock"),0-1,IF(OR($R272="Dragon",$R272="Grass",$R272="Water"),1,0)),IF(OR($S272="Fire",$S272="Ground",$S272="Rock"),0-1,IF(OR($S272="Dragon",$S272="Grass",$S272="Water"),1,0)))</f>
        <v>0</v>
      </c>
      <c r="AU272" s="518"/>
    </row>
    <row r="273" customFormat="false" ht="15.75" hidden="false" customHeight="false" outlineLevel="0" collapsed="false">
      <c r="A273" s="515" t="str">
        <f aca="false" t="array" ref="A273:A273">IF(ISNA(INDEX(Source!$U$7:$U$95,MATCH(B273,Source!$V$7:$V$95,0))),"FREE",INDEX(Source!$U$7:$U$95,MATCH(B273,Source!$V$7:$V$95,0)))</f>
        <v>FREE</v>
      </c>
      <c r="B273" s="511" t="s">
        <v>308</v>
      </c>
      <c r="C273" s="511"/>
      <c r="D273" s="511"/>
      <c r="E273" s="499" t="str">
        <f aca="false">IF(SUM($W273:$X273)&gt;0,SUM($W273:$X273),IF($H273&gt;0,0,IF($H273&gt;0,0,"-")))</f>
        <v>-</v>
      </c>
      <c r="F273" s="499" t="str">
        <f aca="false">IF(SUM($Y273:$Z273)&gt;0,SUM($Y273:$Z273),IF($H273&gt;0,0,"-"))</f>
        <v>-</v>
      </c>
      <c r="G273" s="499" t="str">
        <f aca="false">IF($H273&gt;0,minus(E273,F273),"-")</f>
        <v>-</v>
      </c>
      <c r="H273" s="500" t="n">
        <f aca="false">SUM(COUNTIF(MatchSource!$A:$A,$B273),COUNTIF(MatchSource!$H:$H,$B273))</f>
        <v>0</v>
      </c>
      <c r="I273" s="501" t="n">
        <f aca="false">SUM($AA273:$AB273)</f>
        <v>0</v>
      </c>
      <c r="J273" s="501" t="s">
        <v>702</v>
      </c>
      <c r="K273" s="512" t="str">
        <f aca="false" t="array" ref="K273:K273">IF(ISNA(INDEX(DraftRosters!$AA$3:$AA$199,MATCH($B273,DraftRosters!$AB$3:$AB$199,0))),"FA",IF(INDEX(DraftRosters!$AA$3:$AA$199,MATCH($B273,DraftRosters!$AB$3:$AB$199,0))="Franchise","Franch",INDEX(DraftRosters!$AA$3:$AA$199,MATCH($B273,DraftRosters!$AB$3:$AB$199,0))))</f>
        <v>FA</v>
      </c>
      <c r="L273" s="499" t="n">
        <v>86</v>
      </c>
      <c r="M273" s="499" t="n">
        <v>92</v>
      </c>
      <c r="N273" s="499" t="n">
        <v>88</v>
      </c>
      <c r="O273" s="499" t="n">
        <v>68</v>
      </c>
      <c r="P273" s="499" t="n">
        <v>75</v>
      </c>
      <c r="Q273" s="501" t="n">
        <v>73</v>
      </c>
      <c r="R273" s="499" t="s">
        <v>795</v>
      </c>
      <c r="S273" s="501" t="s">
        <v>828</v>
      </c>
      <c r="T273" s="504" t="s">
        <v>1019</v>
      </c>
      <c r="U273" s="505" t="s">
        <v>935</v>
      </c>
      <c r="V273" s="506" t="s">
        <v>914</v>
      </c>
      <c r="W273" s="500" t="str">
        <f aca="false">IFERROR(__xludf.dummyfunction("if(isna(SUM(FILTER(MatchSource!$A:$D,MatchSource!$A:$A=$B273))),0,SUM(FILTER(MatchSource!$A:$D,MatchSource!$A:$A=$B273)))"),"0")</f>
        <v>0</v>
      </c>
      <c r="X273" s="499" t="str">
        <f aca="false">IFERROR(__xludf.dummyfunction("if(isna(SUM(FILTER(MatchSource!$H:$K,MatchSource!$H:$H=$B273))),0,SUM(FILTER(MatchSource!$H:$K,MatchSource!$H:$H=$B273)))"),"0")</f>
        <v>0</v>
      </c>
      <c r="Y273" s="499" t="str">
        <f aca="false">IFERROR(__xludf.dummyfunction("if(isna(ABS(MINUS(SUM(FILTER(MatchSource!$A:$E,MatchSource!$A:$A=$B273)),SUM($W273)))),0,ABS(MINUS(SUM(FILTER(MatchSource!$A:$E,MatchSource!$A:$A=$B273)),SUM($W273))))"),"0")</f>
        <v>0</v>
      </c>
      <c r="Z273" s="499" t="str">
        <f aca="false">IFERROR(__xludf.dummyfunction("if(isna(ABS(MINUS(SUM(FILTER(MatchSource!$H:$L,MatchSource!$H:$H=$B273)),SUM($X273)))),0,ABS(MINUS(SUM(FILTER(MatchSource!$H:$L,MatchSource!$H:$H=$B273)),SUM($X273))))"),"0")</f>
        <v>0</v>
      </c>
      <c r="AA273" s="499" t="str">
        <f aca="false">IFERROR(__xludf.dummyfunction("if(isna(ABS(MINUS(SUM(FILTER(MatchSource!$A:$F,MatchSource!$A:$A=$B273)),SUM($W273,$Y273)))),0,ABS(MINUS(SUM(FILTER(MatchSource!$A:$F,MatchSource!$A:$A=$B273)),SUM($W273, $Y273,))))"),"0")</f>
        <v>0</v>
      </c>
      <c r="AB273" s="501" t="str">
        <f aca="false">IFERROR(__xludf.dummyfunction("if(isna(ABS(MINUS(SUM(FILTER(MatchSource!$H:$M,MatchSource!$H:$H=$B273)),SUM($X273,$Z273)))),0,ABS(MINUS(SUM(FILTER(MatchSource!$H:$M,MatchSource!$H:$H=$B273)),SUM($X273,$Z273))))"),"0")</f>
        <v>0</v>
      </c>
      <c r="AC273" s="507" t="n">
        <f aca="false">SUM(IF(OR($R273="Grass",$R273="Psychic",$R273="Dark"),0-1,IF(OR($R273="Fighting",$R273="Flying",$R273="Fire",$R273="Ghost",$R273="Poison",$R273="Steel",$R273="Fairy"),1,0)),IF(OR($S273="Grass",$S273="Psychic",$S273="Dark"),0-1,IF(OR($S273="Fighting",$S273="Flying",$S273="Fire",$S273="Ghost",$S273="Poison",$S273="Steel",$S273="Fairy"),1,0)))</f>
        <v>-2</v>
      </c>
      <c r="AD273" s="507" t="n">
        <f aca="false">SUM(IF(OR($R273="Ghost",$R273="Psychic"),0-1,IF(OR($R273="Fighting",$R273="Dark",$R273="Fairy"),1,0)),IF(OR($S273="Ghost",$S273="Psychic"),0-1,IF(OR($S273="Fighting",$S273="Dark",$S273="Fairy"),1,0)))</f>
        <v>0</v>
      </c>
      <c r="AE273" s="507" t="n">
        <f aca="false">IF(OR($R273="Fairy",$S273="Fairy"),4,SUM(IF($R273="Dragon",0-1,IF($R273="Steel",1,0)),IF($S273="Dragon",0-1,IF($S273="Steel",1,0))))</f>
        <v>0</v>
      </c>
      <c r="AF273" s="507" t="n">
        <f aca="false">IF(OR($R273="Ground",$S273="Ground"),4,SUM(IF(OR($R273="Flying",$R273="Water"),0-1,IF(OR($R273="Dragon",$R273="Electric",$R273="Grass"),1,0)),IF(OR($S273="Flying",$S273="Water"),0-1,IF(OR($S273="Dragon",$S273="Electric",$S273="Grass"),1,0))))</f>
        <v>0</v>
      </c>
      <c r="AG273" s="507" t="n">
        <f aca="false">SUM(IF(OR($R273="Dark",$R273="Dragon",$R273="Fighting"),0-1,IF(OR($R273="Steel",$R273="Poison",$R273="Fire"),1,0)),IF(OR($S273="Dark",$S273="Dragon",$S273="Fighting"),0-1,IF(OR($S273="Steel",$S273="Poison",$S273="Fire"),1,0)))</f>
        <v>-1</v>
      </c>
      <c r="AH273" s="507" t="n">
        <f aca="false">IF(OR($R273="Ghost",$S273="Ghost"),4,SUM(IF(OR($R273="Dark",$R273="Ice",$R273="Normal",$R273="Rock",$R273="Steel"),0-1,IF(OR($R273="Bug",$R273="Fairy",$R273="Flying",$R273="Poison",$R273="Psychic"),1,0)),IF(OR($S273="Dark",$S273="Ice",$S273="Normal",$S273="Rock",$S273="Steel"),0-1,IF(OR($S273="Bug",$S273="Fairy",$S273="Flying",$S273="Poison",$S273="Psychic"),1,0))))</f>
        <v>0</v>
      </c>
      <c r="AI273" s="507" t="n">
        <f aca="false">SUM(IF(OR($R273="Bug",$R273="Grass",$R273="Ice",$R273="Steel"),0-1,IF(OR($R273="Dragon",$R273="Fire",$R273="Rock",$R273="Water"),1,0)),IF(OR($S273="Bug",$S273="Grass",$S273="Ice",$S273="Steel"),0-1,IF(OR($S273="Dragon",$S273="Fire",$S273="Rock",$S273="Water"),1,0)))</f>
        <v>0</v>
      </c>
      <c r="AJ273" s="507" t="n">
        <f aca="false">SUM(IF(OR($R273="Bug",$R273="Grass",$R273="Fighting"),0-1,IF(OR($R273="Electric",$R273="Rock",$R273="Steel"),1,0)),IF(OR($S273="Bug",$S273="Grass",$S273="Fighting"),0-1,IF(OR($S273="Electric",$S273="Rock",$S273="Steel"),1,0)))</f>
        <v>0</v>
      </c>
      <c r="AK273" s="507" t="n">
        <f aca="false">IF(OR($R273="Normal",$S273="Normal"),4,SUM(IF(OR($R273="Ghost",$R273="Psychic"),0-1,IF($R273="Dark",1,0)),IF(OR($S273="Ghost",$S273="Psychic"),0-1,IF($S273="Dark",1,0))))</f>
        <v>0</v>
      </c>
      <c r="AL273" s="507" t="n">
        <f aca="false">SUM(IF(OR($R273="Ground",$R273="Rock",$R273="Water"),0-1,IF(OR($R273="Bug",$R273="Flying",$R273="Fire",$R273="Dragon",$R273="Poison",$R273="Steel",$R273="Grass"),1,0)),IF(OR($S273="Ground",$S273="Rock",$S273="Water"),0-1,IF(OR($S273="Bug",$S273="Flying",$S273="Fire",$S273="Dragon",$S273="Poison",$S273="Steel",$S273="Grass"),1,0)))</f>
        <v>0</v>
      </c>
      <c r="AM273" s="507" t="n">
        <f aca="false">IF(OR($R273="Flying",$S273="Flying"),4,SUM(IF(OR($R273="Electric",$R273="Fire",$R273="Rock",$R273="Steel",$R273="Poison"),0-1,IF(OR($R273="Bug",$R273="Grass"),1,0)),IF(OR($S273="Electric",$S273="Fire",$S273="Rock",$S273="Steel",$S273="Poison"),0-1,IF(OR($S273="Bug",$S273="Grass"),1,0))))</f>
        <v>0</v>
      </c>
      <c r="AN273" s="507" t="n">
        <f aca="false">SUM(IF(OR($R273="Flying",$R273="Dragon",$R273="Grass",$R273="Ground"),0-1,IF(OR($R273="Steel",$R273="Ice",$R273="Fire",$R273="Water"),1,0)),IF(OR($S273="Flying",$S273="Dragon",$S273="Grass",$S273="Ground"),0-1,IF(OR($S273="Steel",$S273="Ice",$S273="Fire",$S273="Water"),1,0)))</f>
        <v>0</v>
      </c>
      <c r="AO273" s="507" t="n">
        <f aca="false">IF(OR($R273="Ghost",$S273="Ghost"),4,SUM(IF(OR($R273="Steel",$R273="Rock"),1,0),IF(OR($S273="Steel",$S273="Rock"),1,0)))</f>
        <v>0</v>
      </c>
      <c r="AP273" s="507" t="n">
        <f aca="false">IF(OR($R273="Steel",$S273="Steel"),4,SUM(IF(OR($R273="Fairy",$R273="Grass"),0-1,IF(OR($R273="Ghost",$R273="Rock",$R273="Ground",$R273="Poison"),1,0)),IF(OR($S273="Fairy",$S273="Grass"),0-1,IF(OR($S273="Ghost",$S273="Rock",$S273="Ground",$S273="Poison"),1,0))))</f>
        <v>0</v>
      </c>
      <c r="AQ273" s="507" t="n">
        <f aca="false">IF(OR($R273="Dark",$S273="Dark"),4,SUM(IF(OR($R273="Fighting",$R273="Poison"),0-1,IF(OR($R273="Psychic",$R273="Steel"),1,0)),IF(OR($S273="Fighting",$S273="Poison"),0-1,IF(OR($S273="Psychic",$S273="Steel"),1,0))))</f>
        <v>4</v>
      </c>
      <c r="AR273" s="507" t="n">
        <f aca="false">SUM(IF(OR($R273="Bug",$R273="Fire",$R273="Flying",$R273="Ice"),0-1,IF(OR($R273="Steel",$R273="Fighting",$R273="Ground"),1,0)),IF(OR($S273="Bug",$S273="Fire",$S273="Flying",$S273="Ice"),0-1,IF(OR($S273="Steel",$S273="Fighting",$S273="Ground"),1,0)))</f>
        <v>0</v>
      </c>
      <c r="AS273" s="507" t="n">
        <f aca="false">SUM(IF(OR($R273="Fairy",$R273="Ice",$R273="Rock"),0-1,IF(OR($R273="Steel",$R273="Electric",$R273="Fire",$R273="Water"),1,0)),IF(OR($S273="Fairy",$S273="Ice",$S273="Rock"),0-1,IF(OR($S273="Steel",$S273="Electric",$S273="Fire",$S273="Water"),1,0)))</f>
        <v>0</v>
      </c>
      <c r="AT273" s="508" t="n">
        <f aca="false">SUM(IF(OR($R273="Fire",$R273="Ground",$R273="Rock"),0-1,IF(OR($R273="Dragon",$R273="Grass",$R273="Water"),1,0)),IF(OR($S273="Fire",$S273="Ground",$S273="Rock"),0-1,IF(OR($S273="Dragon",$S273="Grass",$S273="Water"),1,0)))</f>
        <v>0</v>
      </c>
      <c r="AU273" s="518"/>
    </row>
    <row r="274" customFormat="false" ht="15.75" hidden="false" customHeight="false" outlineLevel="0" collapsed="false">
      <c r="A274" s="515" t="str">
        <f aca="false" t="array" ref="A274:A274">IF(ISNA(INDEX(Source!$U$7:$U$95,MATCH(B274,Source!$V$7:$V$95,0))),"FREE",INDEX(Source!$U$7:$U$95,MATCH(B274,Source!$V$7:$V$95,0)))</f>
        <v>SGP</v>
      </c>
      <c r="B274" s="511" t="s">
        <v>16</v>
      </c>
      <c r="C274" s="511"/>
      <c r="D274" s="511"/>
      <c r="E274" s="499" t="n">
        <f aca="false">IF(SUM($W274:$X274)&gt;0,SUM($W274:$X274),IF($H274&gt;0,0,IF($H274&gt;0,0,"-")))</f>
        <v>0</v>
      </c>
      <c r="F274" s="499" t="n">
        <f aca="false">IF(SUM($Y274:$Z274)&gt;0,SUM($Y274:$Z274),IF($H274&gt;0,0,"-"))</f>
        <v>0</v>
      </c>
      <c r="G274" s="499" t="e">
        <f aca="false">IF($H274&gt;0,minus(E274,F274),"-")</f>
        <v>#NAME?</v>
      </c>
      <c r="H274" s="500" t="n">
        <f aca="false">SUM(COUNTIF(MatchSource!$A:$A,$B274),COUNTIF(MatchSource!$H:$H,$B274))</f>
        <v>5</v>
      </c>
      <c r="I274" s="501" t="n">
        <f aca="false">SUM($AA274:$AB274)</f>
        <v>0</v>
      </c>
      <c r="J274" s="501" t="s">
        <v>699</v>
      </c>
      <c r="K274" s="512" t="n">
        <f aca="false" t="array" ref="K274:K274">IF(ISNA(INDEX(DraftRosters!$AA$3:$AA$199,MATCH($B274,DraftRosters!$AB$3:$AB$199,0))),"FA",IF(INDEX(DraftRosters!$AA$3:$AA$199,MATCH($B274,DraftRosters!$AB$3:$AB$199,0))="Franchise","Franch",INDEX(DraftRosters!$AA$3:$AA$199,MATCH($B274,DraftRosters!$AB$3:$AB$199,0))))</f>
        <v>20</v>
      </c>
      <c r="L274" s="507" t="n">
        <v>110</v>
      </c>
      <c r="M274" s="507" t="n">
        <v>130</v>
      </c>
      <c r="N274" s="507" t="n">
        <v>80</v>
      </c>
      <c r="O274" s="507" t="n">
        <v>70</v>
      </c>
      <c r="P274" s="507" t="n">
        <v>60</v>
      </c>
      <c r="Q274" s="508" t="n">
        <v>80</v>
      </c>
      <c r="R274" s="499" t="s">
        <v>907</v>
      </c>
      <c r="S274" s="501" t="s">
        <v>805</v>
      </c>
      <c r="T274" s="505" t="s">
        <v>1002</v>
      </c>
      <c r="U274" s="505" t="s">
        <v>868</v>
      </c>
      <c r="V274" s="506" t="s">
        <v>861</v>
      </c>
      <c r="W274" s="500" t="str">
        <f aca="false">IFERROR(__xludf.dummyfunction("if(isna(SUM(FILTER(MatchSource!$A:$D,MatchSource!$A:$A=$B274))),0,SUM(FILTER(MatchSource!$A:$D,MatchSource!$A:$A=$B274)))"),"3")</f>
        <v>3</v>
      </c>
      <c r="X274" s="499" t="str">
        <f aca="false">IFERROR(__xludf.dummyfunction("if(isna(SUM(FILTER(MatchSource!$H:$K,MatchSource!$H:$H=$B274))),0,SUM(FILTER(MatchSource!$H:$K,MatchSource!$H:$H=$B274)))"),"1")</f>
        <v>1</v>
      </c>
      <c r="Y274" s="499" t="str">
        <f aca="false">IFERROR(__xludf.dummyfunction("if(isna(ABS(MINUS(SUM(FILTER(MatchSource!$A:$E,MatchSource!$A:$A=$B274)),SUM($W274)))),0,ABS(MINUS(SUM(FILTER(MatchSource!$A:$E,MatchSource!$A:$A=$B274)),SUM($W274))))"),"3")</f>
        <v>3</v>
      </c>
      <c r="Z274" s="499" t="str">
        <f aca="false">IFERROR(__xludf.dummyfunction("if(isna(ABS(MINUS(SUM(FILTER(MatchSource!$H:$L,MatchSource!$H:$H=$B274)),SUM($X274)))),0,ABS(MINUS(SUM(FILTER(MatchSource!$H:$L,MatchSource!$H:$H=$B274)),SUM($X274))))"),"0")</f>
        <v>0</v>
      </c>
      <c r="AA274" s="499" t="str">
        <f aca="false">IFERROR(__xludf.dummyfunction("if(isna(ABS(MINUS(SUM(FILTER(MatchSource!$A:$F,MatchSource!$A:$A=$B274)),SUM($W274,$Y274)))),0,ABS(MINUS(SUM(FILTER(MatchSource!$A:$F,MatchSource!$A:$A=$B274)),SUM($W274, $Y274,))))"),"2")</f>
        <v>2</v>
      </c>
      <c r="AB274" s="501" t="str">
        <f aca="false">IFERROR(__xludf.dummyfunction("if(isna(ABS(MINUS(SUM(FILTER(MatchSource!$H:$M,MatchSource!$H:$H=$B274)),SUM($X274,$Z274)))),0,ABS(MINUS(SUM(FILTER(MatchSource!$H:$M,MatchSource!$H:$H=$B274)),SUM($X274,$Z274))))"),"1")</f>
        <v>1</v>
      </c>
      <c r="AC274" s="507" t="n">
        <f aca="false">SUM(IF(OR($R274="Grass",$R274="Psychic",$R274="Dark"),0-1,IF(OR($R274="Fighting",$R274="Flying",$R274="Fire",$R274="Ghost",$R274="Poison",$R274="Steel",$R274="Fairy"),1,0)),IF(OR($S274="Grass",$S274="Psychic",$S274="Dark"),0-1,IF(OR($S274="Fighting",$S274="Flying",$S274="Fire",$S274="Ghost",$S274="Poison",$S274="Steel",$S274="Fairy"),1,0)))</f>
        <v>0</v>
      </c>
      <c r="AD274" s="507" t="n">
        <f aca="false">SUM(IF(OR($R274="Ghost",$R274="Psychic"),0-1,IF(OR($R274="Fighting",$R274="Dark",$R274="Fairy"),1,0)),IF(OR($S274="Ghost",$S274="Psychic"),0-1,IF(OR($S274="Fighting",$S274="Dark",$S274="Fairy"),1,0)))</f>
        <v>0</v>
      </c>
      <c r="AE274" s="507" t="n">
        <f aca="false">IF(OR($R274="Fairy",$S274="Fairy"),4,SUM(IF($R274="Dragon",0-1,IF($R274="Steel",1,0)),IF($S274="Dragon",0-1,IF($S274="Steel",1,0))))</f>
        <v>0</v>
      </c>
      <c r="AF274" s="507" t="n">
        <f aca="false">IF(OR($R274="Ground",$S274="Ground"),4,SUM(IF(OR($R274="Flying",$R274="Water"),0-1,IF(OR($R274="Dragon",$R274="Electric",$R274="Grass"),1,0)),IF(OR($S274="Flying",$S274="Water"),0-1,IF(OR($S274="Dragon",$S274="Electric",$S274="Grass"),1,0))))</f>
        <v>4</v>
      </c>
      <c r="AG274" s="507" t="n">
        <f aca="false">SUM(IF(OR($R274="Dark",$R274="Dragon",$R274="Fighting"),0-1,IF(OR($R274="Steel",$R274="Poison",$R274="Fire"),1,0)),IF(OR($S274="Dark",$S274="Dragon",$S274="Fighting"),0-1,IF(OR($S274="Steel",$S274="Poison",$S274="Fire"),1,0)))</f>
        <v>0</v>
      </c>
      <c r="AH274" s="507" t="n">
        <f aca="false">IF(OR($R274="Ghost",$S274="Ghost"),4,SUM(IF(OR($R274="Dark",$R274="Ice",$R274="Normal",$R274="Rock",$R274="Steel"),0-1,IF(OR($R274="Bug",$R274="Fairy",$R274="Flying",$R274="Poison",$R274="Psychic"),1,0)),IF(OR($S274="Dark",$S274="Ice",$S274="Normal",$S274="Rock",$S274="Steel"),0-1,IF(OR($S274="Bug",$S274="Fairy",$S274="Flying",$S274="Poison",$S274="Psychic"),1,0))))</f>
        <v>-1</v>
      </c>
      <c r="AI274" s="507" t="n">
        <f aca="false">SUM(IF(OR($R274="Bug",$R274="Grass",$R274="Ice",$R274="Steel"),0-1,IF(OR($R274="Dragon",$R274="Fire",$R274="Rock",$R274="Water"),1,0)),IF(OR($S274="Bug",$S274="Grass",$S274="Ice",$S274="Steel"),0-1,IF(OR($S274="Dragon",$S274="Fire",$S274="Rock",$S274="Water"),1,0)))</f>
        <v>-1</v>
      </c>
      <c r="AJ274" s="507" t="n">
        <f aca="false">SUM(IF(OR($R274="Bug",$R274="Grass",$R274="Fighting"),0-1,IF(OR($R274="Electric",$R274="Rock",$R274="Steel"),1,0)),IF(OR($S274="Bug",$S274="Grass",$S274="Fighting"),0-1,IF(OR($S274="Electric",$S274="Rock",$S274="Steel"),1,0)))</f>
        <v>0</v>
      </c>
      <c r="AK274" s="507" t="n">
        <f aca="false">IF(OR($R274="Normal",$S274="Normal"),4,SUM(IF(OR($R274="Ghost",$R274="Psychic"),0-1,IF($R274="Dark",1,0)),IF(OR($S274="Ghost",$S274="Psychic"),0-1,IF($S274="Dark",1,0))))</f>
        <v>0</v>
      </c>
      <c r="AL274" s="507" t="n">
        <f aca="false">SUM(IF(OR($R274="Ground",$R274="Rock",$R274="Water"),0-1,IF(OR($R274="Bug",$R274="Flying",$R274="Fire",$R274="Dragon",$R274="Poison",$R274="Steel",$R274="Grass"),1,0)),IF(OR($S274="Ground",$S274="Rock",$S274="Water"),0-1,IF(OR($S274="Bug",$S274="Flying",$S274="Fire",$S274="Dragon",$S274="Poison",$S274="Steel",$S274="Grass"),1,0)))</f>
        <v>-1</v>
      </c>
      <c r="AM274" s="507" t="n">
        <f aca="false">IF(OR($R274="Flying",$S274="Flying"),4,SUM(IF(OR($R274="Electric",$R274="Fire",$R274="Rock",$R274="Steel",$R274="Poison"),0-1,IF(OR($R274="Bug",$R274="Grass"),1,0)),IF(OR($S274="Electric",$S274="Fire",$S274="Rock",$S274="Steel",$S274="Poison"),0-1,IF(OR($S274="Bug",$S274="Grass"),1,0))))</f>
        <v>0</v>
      </c>
      <c r="AN274" s="507" t="n">
        <f aca="false">SUM(IF(OR($R274="Flying",$R274="Dragon",$R274="Grass",$R274="Ground"),0-1,IF(OR($R274="Steel",$R274="Ice",$R274="Fire",$R274="Water"),1,0)),IF(OR($S274="Flying",$S274="Dragon",$S274="Grass",$S274="Ground"),0-1,IF(OR($S274="Steel",$S274="Ice",$S274="Fire",$S274="Water"),1,0)))</f>
        <v>0</v>
      </c>
      <c r="AO274" s="507" t="n">
        <f aca="false">IF(OR($R274="Ghost",$S274="Ghost"),4,SUM(IF(OR($R274="Steel",$R274="Rock"),1,0),IF(OR($S274="Steel",$S274="Rock"),1,0)))</f>
        <v>0</v>
      </c>
      <c r="AP274" s="507" t="n">
        <f aca="false">IF(OR($R274="Steel",$S274="Steel"),4,SUM(IF(OR($R274="Fairy",$R274="Grass"),0-1,IF(OR($R274="Ghost",$R274="Rock",$R274="Ground",$R274="Poison"),1,0)),IF(OR($S274="Fairy",$S274="Grass"),0-1,IF(OR($S274="Ghost",$S274="Rock",$S274="Ground",$S274="Poison"),1,0))))</f>
        <v>1</v>
      </c>
      <c r="AQ274" s="507" t="n">
        <f aca="false">IF(OR($R274="Dark",$S274="Dark"),4,SUM(IF(OR($R274="Fighting",$R274="Poison"),0-1,IF(OR($R274="Psychic",$R274="Steel"),1,0)),IF(OR($S274="Fighting",$S274="Poison"),0-1,IF(OR($S274="Psychic",$S274="Steel"),1,0))))</f>
        <v>0</v>
      </c>
      <c r="AR274" s="507" t="n">
        <f aca="false">SUM(IF(OR($R274="Bug",$R274="Fire",$R274="Flying",$R274="Ice"),0-1,IF(OR($R274="Steel",$R274="Fighting",$R274="Ground"),1,0)),IF(OR($S274="Bug",$S274="Fire",$S274="Flying",$S274="Ice"),0-1,IF(OR($S274="Steel",$S274="Fighting",$S274="Ground"),1,0)))</f>
        <v>0</v>
      </c>
      <c r="AS274" s="507" t="n">
        <f aca="false">SUM(IF(OR($R274="Fairy",$R274="Ice",$R274="Rock"),0-1,IF(OR($R274="Steel",$R274="Electric",$R274="Fire",$R274="Water"),1,0)),IF(OR($S274="Fairy",$S274="Ice",$S274="Rock"),0-1,IF(OR($S274="Steel",$S274="Electric",$S274="Fire",$S274="Water"),1,0)))</f>
        <v>-1</v>
      </c>
      <c r="AT274" s="508" t="n">
        <f aca="false">SUM(IF(OR($R274="Fire",$R274="Ground",$R274="Rock"),0-1,IF(OR($R274="Dragon",$R274="Grass",$R274="Water"),1,0)),IF(OR($S274="Fire",$S274="Ground",$S274="Rock"),0-1,IF(OR($S274="Dragon",$S274="Grass",$S274="Water"),1,0)))</f>
        <v>-1</v>
      </c>
      <c r="AU274" s="518"/>
    </row>
    <row r="275" customFormat="false" ht="15.75" hidden="false" customHeight="false" outlineLevel="0" collapsed="false">
      <c r="A275" s="515" t="str">
        <f aca="false" t="array" ref="A275:A275">IF(ISNA(INDEX(Source!$U$7:$U$95,MATCH(B275,Source!$V$7:$V$95,0))),"FREE",INDEX(Source!$U$7:$U$95,MATCH(B275,Source!$V$7:$V$95,0)))</f>
        <v>FTT</v>
      </c>
      <c r="B275" s="511" t="s">
        <v>72</v>
      </c>
      <c r="C275" s="511"/>
      <c r="D275" s="511"/>
      <c r="E275" s="499" t="n">
        <f aca="false">IF(SUM($W275:$X275)&gt;0,SUM($W275:$X275),IF($H275&gt;0,0,IF($H275&gt;0,0,"-")))</f>
        <v>0</v>
      </c>
      <c r="F275" s="499" t="n">
        <f aca="false">IF(SUM($Y275:$Z275)&gt;0,SUM($Y275:$Z275),IF($H275&gt;0,0,"-"))</f>
        <v>0</v>
      </c>
      <c r="G275" s="499" t="e">
        <f aca="false">IF($H275&gt;0,minus(E275,F275),"-")</f>
        <v>#NAME?</v>
      </c>
      <c r="H275" s="500" t="n">
        <f aca="false">SUM(COUNTIF(MatchSource!$A:$A,$B275),COUNTIF(MatchSource!$H:$H,$B275))</f>
        <v>2</v>
      </c>
      <c r="I275" s="501" t="n">
        <f aca="false">SUM($AA275:$AB275)</f>
        <v>0</v>
      </c>
      <c r="J275" s="501" t="s">
        <v>698</v>
      </c>
      <c r="K275" s="512" t="n">
        <f aca="false" t="array" ref="K275:K275">IF(ISNA(INDEX(DraftRosters!$AA$3:$AA$199,MATCH($B275,DraftRosters!$AB$3:$AB$199,0))),"FA",IF(INDEX(DraftRosters!$AA$3:$AA$199,MATCH($B275,DraftRosters!$AB$3:$AB$199,0))="Franchise","Franch",INDEX(DraftRosters!$AA$3:$AA$199,MATCH($B275,DraftRosters!$AB$3:$AB$199,0))))</f>
        <v>78</v>
      </c>
      <c r="L275" s="499" t="n">
        <v>100</v>
      </c>
      <c r="M275" s="499" t="n">
        <v>100</v>
      </c>
      <c r="N275" s="499" t="n">
        <v>100</v>
      </c>
      <c r="O275" s="499" t="n">
        <v>100</v>
      </c>
      <c r="P275" s="499" t="n">
        <v>100</v>
      </c>
      <c r="Q275" s="501" t="n">
        <v>100</v>
      </c>
      <c r="R275" s="499" t="s">
        <v>811</v>
      </c>
      <c r="S275" s="501"/>
      <c r="T275" s="505" t="s">
        <v>819</v>
      </c>
      <c r="U275" s="505"/>
      <c r="V275" s="506"/>
      <c r="W275" s="500" t="str">
        <f aca="false">IFERROR(__xludf.dummyfunction("if(isna(SUM(FILTER(MatchSource!$A:$D,MatchSource!$A:$A=$B275))),0,SUM(FILTER(MatchSource!$A:$D,MatchSource!$A:$A=$B275)))"),"0")</f>
        <v>0</v>
      </c>
      <c r="X275" s="499" t="str">
        <f aca="false">IFERROR(__xludf.dummyfunction("if(isna(SUM(FILTER(MatchSource!$H:$K,MatchSource!$H:$H=$B275))),0,SUM(FILTER(MatchSource!$H:$K,MatchSource!$H:$H=$B275)))"),"0")</f>
        <v>0</v>
      </c>
      <c r="Y275" s="499" t="str">
        <f aca="false">IFERROR(__xludf.dummyfunction("if(isna(ABS(MINUS(SUM(FILTER(MatchSource!$A:$E,MatchSource!$A:$A=$B275)),SUM($W275)))),0,ABS(MINUS(SUM(FILTER(MatchSource!$A:$E,MatchSource!$A:$A=$B275)),SUM($W275))))"),"1")</f>
        <v>1</v>
      </c>
      <c r="Z275" s="499" t="str">
        <f aca="false">IFERROR(__xludf.dummyfunction("if(isna(ABS(MINUS(SUM(FILTER(MatchSource!$H:$L,MatchSource!$H:$H=$B275)),SUM($X275)))),0,ABS(MINUS(SUM(FILTER(MatchSource!$H:$L,MatchSource!$H:$H=$B275)),SUM($X275))))"),"0")</f>
        <v>0</v>
      </c>
      <c r="AA275" s="499" t="str">
        <f aca="false">IFERROR(__xludf.dummyfunction("if(isna(ABS(MINUS(SUM(FILTER(MatchSource!$A:$F,MatchSource!$A:$A=$B275)),SUM($W275,$Y275)))),0,ABS(MINUS(SUM(FILTER(MatchSource!$A:$F,MatchSource!$A:$A=$B275)),SUM($W275, $Y275,))))"),"0")</f>
        <v>0</v>
      </c>
      <c r="AB275" s="501" t="str">
        <f aca="false">IFERROR(__xludf.dummyfunction("if(isna(ABS(MINUS(SUM(FILTER(MatchSource!$H:$M,MatchSource!$H:$H=$B275)),SUM($X275,$Z275)))),0,ABS(MINUS(SUM(FILTER(MatchSource!$H:$M,MatchSource!$H:$H=$B275)),SUM($X275,$Z275))))"),"1")</f>
        <v>1</v>
      </c>
      <c r="AC275" s="507" t="n">
        <f aca="false">SUM(IF(OR($R275="Grass",$R275="Psychic",$R275="Dark"),0-1,IF(OR($R275="Fighting",$R275="Flying",$R275="Fire",$R275="Ghost",$R275="Poison",$R275="Steel",$R275="Fairy"),1,0)),IF(OR($S275="Grass",$S275="Psychic",$S275="Dark"),0-1,IF(OR($S275="Fighting",$S275="Flying",$S275="Fire",$S275="Ghost",$S275="Poison",$S275="Steel",$S275="Fairy"),1,0)))</f>
        <v>0</v>
      </c>
      <c r="AD275" s="507" t="n">
        <f aca="false">SUM(IF(OR($R275="Ghost",$R275="Psychic"),0-1,IF(OR($R275="Fighting",$R275="Dark",$R275="Fairy"),1,0)),IF(OR($S275="Ghost",$S275="Psychic"),0-1,IF(OR($S275="Fighting",$S275="Dark",$S275="Fairy"),1,0)))</f>
        <v>0</v>
      </c>
      <c r="AE275" s="507" t="n">
        <f aca="false">IF(OR($R275="Fairy",$S275="Fairy"),4,SUM(IF($R275="Dragon",0-1,IF($R275="Steel",1,0)),IF($S275="Dragon",0-1,IF($S275="Steel",1,0))))</f>
        <v>0</v>
      </c>
      <c r="AF275" s="507" t="n">
        <f aca="false">IF(OR($R275="Ground",$S275="Ground"),4,SUM(IF(OR($R275="Flying",$R275="Water"),0-1,IF(OR($R275="Dragon",$R275="Electric",$R275="Grass"),1,0)),IF(OR($S275="Flying",$S275="Water"),0-1,IF(OR($S275="Dragon",$S275="Electric",$S275="Grass"),1,0))))</f>
        <v>-1</v>
      </c>
      <c r="AG275" s="507" t="n">
        <f aca="false">SUM(IF(OR($R275="Dark",$R275="Dragon",$R275="Fighting"),0-1,IF(OR($R275="Steel",$R275="Poison",$R275="Fire"),1,0)),IF(OR($S275="Dark",$S275="Dragon",$S275="Fighting"),0-1,IF(OR($S275="Steel",$S275="Poison",$S275="Fire"),1,0)))</f>
        <v>0</v>
      </c>
      <c r="AH275" s="507" t="n">
        <f aca="false">IF(OR($R275="Ghost",$S275="Ghost"),4,SUM(IF(OR($R275="Dark",$R275="Ice",$R275="Normal",$R275="Rock",$R275="Steel"),0-1,IF(OR($R275="Bug",$R275="Fairy",$R275="Flying",$R275="Poison",$R275="Psychic"),1,0)),IF(OR($S275="Dark",$S275="Ice",$S275="Normal",$S275="Rock",$S275="Steel"),0-1,IF(OR($S275="Bug",$S275="Fairy",$S275="Flying",$S275="Poison",$S275="Psychic"),1,0))))</f>
        <v>0</v>
      </c>
      <c r="AI275" s="507" t="n">
        <f aca="false">SUM(IF(OR($R275="Bug",$R275="Grass",$R275="Ice",$R275="Steel"),0-1,IF(OR($R275="Dragon",$R275="Fire",$R275="Rock",$R275="Water"),1,0)),IF(OR($S275="Bug",$S275="Grass",$S275="Ice",$S275="Steel"),0-1,IF(OR($S275="Dragon",$S275="Fire",$S275="Rock",$S275="Water"),1,0)))</f>
        <v>1</v>
      </c>
      <c r="AJ275" s="507" t="n">
        <f aca="false">SUM(IF(OR($R275="Bug",$R275="Grass",$R275="Fighting"),0-1,IF(OR($R275="Electric",$R275="Rock",$R275="Steel"),1,0)),IF(OR($S275="Bug",$S275="Grass",$S275="Fighting"),0-1,IF(OR($S275="Electric",$S275="Rock",$S275="Steel"),1,0)))</f>
        <v>0</v>
      </c>
      <c r="AK275" s="507" t="n">
        <f aca="false">IF(OR($R275="Normal",$S275="Normal"),4,SUM(IF(OR($R275="Ghost",$R275="Psychic"),0-1,IF($R275="Dark",1,0)),IF(OR($S275="Ghost",$S275="Psychic"),0-1,IF($S275="Dark",1,0))))</f>
        <v>0</v>
      </c>
      <c r="AL275" s="507" t="n">
        <f aca="false">SUM(IF(OR($R275="Ground",$R275="Rock",$R275="Water"),0-1,IF(OR($R275="Bug",$R275="Flying",$R275="Fire",$R275="Dragon",$R275="Poison",$R275="Steel",$R275="Grass"),1,0)),IF(OR($S275="Ground",$S275="Rock",$S275="Water"),0-1,IF(OR($S275="Bug",$S275="Flying",$S275="Fire",$S275="Dragon",$S275="Poison",$S275="Steel",$S275="Grass"),1,0)))</f>
        <v>-1</v>
      </c>
      <c r="AM275" s="507" t="n">
        <f aca="false">IF(OR($R275="Flying",$S275="Flying"),4,SUM(IF(OR($R275="Electric",$R275="Fire",$R275="Rock",$R275="Steel",$R275="Poison"),0-1,IF(OR($R275="Bug",$R275="Grass"),1,0)),IF(OR($S275="Electric",$S275="Fire",$S275="Rock",$S275="Steel",$S275="Poison"),0-1,IF(OR($S275="Bug",$S275="Grass"),1,0))))</f>
        <v>0</v>
      </c>
      <c r="AN275" s="507" t="n">
        <f aca="false">SUM(IF(OR($R275="Flying",$R275="Dragon",$R275="Grass",$R275="Ground"),0-1,IF(OR($R275="Steel",$R275="Ice",$R275="Fire",$R275="Water"),1,0)),IF(OR($S275="Flying",$S275="Dragon",$S275="Grass",$S275="Ground"),0-1,IF(OR($S275="Steel",$S275="Ice",$S275="Fire",$S275="Water"),1,0)))</f>
        <v>1</v>
      </c>
      <c r="AO275" s="507" t="n">
        <f aca="false">IF(OR($R275="Ghost",$S275="Ghost"),4,SUM(IF(OR($R275="Steel",$R275="Rock"),1,0),IF(OR($S275="Steel",$S275="Rock"),1,0)))</f>
        <v>0</v>
      </c>
      <c r="AP275" s="507" t="n">
        <f aca="false">IF(OR($R275="Steel",$S275="Steel"),4,SUM(IF(OR($R275="Fairy",$R275="Grass"),0-1,IF(OR($R275="Ghost",$R275="Rock",$R275="Ground",$R275="Poison"),1,0)),IF(OR($S275="Fairy",$S275="Grass"),0-1,IF(OR($S275="Ghost",$S275="Rock",$S275="Ground",$S275="Poison"),1,0))))</f>
        <v>0</v>
      </c>
      <c r="AQ275" s="507" t="n">
        <f aca="false">IF(OR($R275="Dark",$S275="Dark"),4,SUM(IF(OR($R275="Fighting",$R275="Poison"),0-1,IF(OR($R275="Psychic",$R275="Steel"),1,0)),IF(OR($S275="Fighting",$S275="Poison"),0-1,IF(OR($S275="Psychic",$S275="Steel"),1,0))))</f>
        <v>0</v>
      </c>
      <c r="AR275" s="507" t="n">
        <f aca="false">SUM(IF(OR($R275="Bug",$R275="Fire",$R275="Flying",$R275="Ice"),0-1,IF(OR($R275="Steel",$R275="Fighting",$R275="Ground"),1,0)),IF(OR($S275="Bug",$S275="Fire",$S275="Flying",$S275="Ice"),0-1,IF(OR($S275="Steel",$S275="Fighting",$S275="Ground"),1,0)))</f>
        <v>0</v>
      </c>
      <c r="AS275" s="507" t="n">
        <f aca="false">SUM(IF(OR($R275="Fairy",$R275="Ice",$R275="Rock"),0-1,IF(OR($R275="Steel",$R275="Electric",$R275="Fire",$R275="Water"),1,0)),IF(OR($S275="Fairy",$S275="Ice",$S275="Rock"),0-1,IF(OR($S275="Steel",$S275="Electric",$S275="Fire",$S275="Water"),1,0)))</f>
        <v>1</v>
      </c>
      <c r="AT275" s="508" t="n">
        <f aca="false">SUM(IF(OR($R275="Fire",$R275="Ground",$R275="Rock"),0-1,IF(OR($R275="Dragon",$R275="Grass",$R275="Water"),1,0)),IF(OR($S275="Fire",$S275="Ground",$S275="Rock"),0-1,IF(OR($S275="Dragon",$S275="Grass",$S275="Water"),1,0)))</f>
        <v>1</v>
      </c>
      <c r="AU275" s="518"/>
    </row>
    <row r="276" customFormat="false" ht="15.75" hidden="false" customHeight="false" outlineLevel="0" collapsed="false">
      <c r="A276" s="510" t="str">
        <f aca="false" t="array" ref="A276:A276">IF(ISNA(INDEX(Source!$U$7:$U$95,MATCH(B276,Source!$V$7:$V$95,0))),"FREE",INDEX(Source!$U$7:$U$95,MATCH(B276,Source!$V$7:$V$95,0)))</f>
        <v>FREE</v>
      </c>
      <c r="B276" s="511" t="s">
        <v>447</v>
      </c>
      <c r="C276" s="511"/>
      <c r="D276" s="511"/>
      <c r="E276" s="499" t="str">
        <f aca="false">IF(SUM($W276:$X276)&gt;0,SUM($W276:$X276),IF($H276&gt;0,0,IF($H276&gt;0,0,"-")))</f>
        <v>-</v>
      </c>
      <c r="F276" s="499" t="str">
        <f aca="false">IF(SUM($Y276:$Z276)&gt;0,SUM($Y276:$Z276),IF($H276&gt;0,0,"-"))</f>
        <v>-</v>
      </c>
      <c r="G276" s="499" t="str">
        <f aca="false">IF($H276&gt;0,minus(E276,F276),"-")</f>
        <v>-</v>
      </c>
      <c r="H276" s="500" t="n">
        <f aca="false">SUM(COUNTIF(MatchSource!$A:$A,$B276),COUNTIF(MatchSource!$H:$H,$B276))</f>
        <v>0</v>
      </c>
      <c r="I276" s="501" t="n">
        <f aca="false">SUM($AA276:$AB276)</f>
        <v>0</v>
      </c>
      <c r="J276" s="501" t="s">
        <v>699</v>
      </c>
      <c r="K276" s="512" t="str">
        <f aca="false" t="array" ref="K276:K276">IF(ISNA(INDEX(DraftRosters!$AA$3:$AA$199,MATCH($B276,DraftRosters!$AB$3:$AB$199,0))),"FA",IF(INDEX(DraftRosters!$AA$3:$AA$199,MATCH($B276,DraftRosters!$AB$3:$AB$199,0))="Franchise","Franch",INDEX(DraftRosters!$AA$3:$AA$199,MATCH($B276,DraftRosters!$AB$3:$AB$199,0))))</f>
        <v>FA</v>
      </c>
      <c r="L276" s="499" t="n">
        <v>110</v>
      </c>
      <c r="M276" s="499" t="n">
        <v>65</v>
      </c>
      <c r="N276" s="499" t="n">
        <v>105</v>
      </c>
      <c r="O276" s="499" t="n">
        <v>55</v>
      </c>
      <c r="P276" s="499" t="n">
        <v>95</v>
      </c>
      <c r="Q276" s="501" t="n">
        <v>80</v>
      </c>
      <c r="R276" s="499" t="s">
        <v>795</v>
      </c>
      <c r="S276" s="501" t="s">
        <v>801</v>
      </c>
      <c r="T276" s="505" t="s">
        <v>917</v>
      </c>
      <c r="U276" s="505" t="s">
        <v>937</v>
      </c>
      <c r="V276" s="506" t="s">
        <v>924</v>
      </c>
      <c r="W276" s="500" t="str">
        <f aca="false">IFERROR(__xludf.dummyfunction("if(isna(SUM(FILTER(MatchSource!$A:$D,MatchSource!$A:$A=$B276))),0,SUM(FILTER(MatchSource!$A:$D,MatchSource!$A:$A=$B276)))"),"0")</f>
        <v>0</v>
      </c>
      <c r="X276" s="499" t="str">
        <f aca="false">IFERROR(__xludf.dummyfunction("if(isna(SUM(FILTER(MatchSource!$H:$K,MatchSource!$H:$H=$B276))),0,SUM(FILTER(MatchSource!$H:$K,MatchSource!$H:$H=$B276)))"),"0")</f>
        <v>0</v>
      </c>
      <c r="Y276" s="499" t="str">
        <f aca="false">IFERROR(__xludf.dummyfunction("if(isna(ABS(MINUS(SUM(FILTER(MatchSource!$A:$E,MatchSource!$A:$A=$B276)),SUM($W276)))),0,ABS(MINUS(SUM(FILTER(MatchSource!$A:$E,MatchSource!$A:$A=$B276)),SUM($W276))))"),"0")</f>
        <v>0</v>
      </c>
      <c r="Z276" s="499" t="str">
        <f aca="false">IFERROR(__xludf.dummyfunction("if(isna(ABS(MINUS(SUM(FILTER(MatchSource!$H:$L,MatchSource!$H:$H=$B276)),SUM($X276)))),0,ABS(MINUS(SUM(FILTER(MatchSource!$H:$L,MatchSource!$H:$H=$B276)),SUM($X276))))"),"0")</f>
        <v>0</v>
      </c>
      <c r="AA276" s="499" t="str">
        <f aca="false">IFERROR(__xludf.dummyfunction("if(isna(ABS(MINUS(SUM(FILTER(MatchSource!$A:$F,MatchSource!$A:$A=$B276)),SUM($W276,$Y276)))),0,ABS(MINUS(SUM(FILTER(MatchSource!$A:$F,MatchSource!$A:$A=$B276)),SUM($W276, $Y276,))))"),"0")</f>
        <v>0</v>
      </c>
      <c r="AB276" s="501" t="str">
        <f aca="false">IFERROR(__xludf.dummyfunction("if(isna(ABS(MINUS(SUM(FILTER(MatchSource!$H:$M,MatchSource!$H:$H=$B276)),SUM($X276,$Z276)))),0,ABS(MINUS(SUM(FILTER(MatchSource!$H:$M,MatchSource!$H:$H=$B276)),SUM($X276,$Z276))))"),"0")</f>
        <v>0</v>
      </c>
      <c r="AC276" s="507" t="n">
        <f aca="false">SUM(IF(OR($R276="Grass",$R276="Psychic",$R276="Dark"),0-1,IF(OR($R276="Fighting",$R276="Flying",$R276="Fire",$R276="Ghost",$R276="Poison",$R276="Steel",$R276="Fairy"),1,0)),IF(OR($S276="Grass",$S276="Psychic",$S276="Dark"),0-1,IF(OR($S276="Fighting",$S276="Flying",$S276="Fire",$S276="Ghost",$S276="Poison",$S276="Steel",$S276="Fairy"),1,0)))</f>
        <v>0</v>
      </c>
      <c r="AD276" s="507" t="n">
        <f aca="false">SUM(IF(OR($R276="Ghost",$R276="Psychic"),0-1,IF(OR($R276="Fighting",$R276="Dark",$R276="Fairy"),1,0)),IF(OR($S276="Ghost",$S276="Psychic"),0-1,IF(OR($S276="Fighting",$S276="Dark",$S276="Fairy"),1,0)))</f>
        <v>1</v>
      </c>
      <c r="AE276" s="507" t="n">
        <f aca="false">IF(OR($R276="Fairy",$S276="Fairy"),4,SUM(IF($R276="Dragon",0-1,IF($R276="Steel",1,0)),IF($S276="Dragon",0-1,IF($S276="Steel",1,0))))</f>
        <v>0</v>
      </c>
      <c r="AF276" s="507" t="n">
        <f aca="false">IF(OR($R276="Ground",$S276="Ground"),4,SUM(IF(OR($R276="Flying",$R276="Water"),0-1,IF(OR($R276="Dragon",$R276="Electric",$R276="Grass"),1,0)),IF(OR($S276="Flying",$S276="Water"),0-1,IF(OR($S276="Dragon",$S276="Electric",$S276="Grass"),1,0))))</f>
        <v>-1</v>
      </c>
      <c r="AG276" s="507" t="n">
        <f aca="false">SUM(IF(OR($R276="Dark",$R276="Dragon",$R276="Fighting"),0-1,IF(OR($R276="Steel",$R276="Poison",$R276="Fire"),1,0)),IF(OR($S276="Dark",$S276="Dragon",$S276="Fighting"),0-1,IF(OR($S276="Steel",$S276="Poison",$S276="Fire"),1,0)))</f>
        <v>-1</v>
      </c>
      <c r="AH276" s="507" t="n">
        <f aca="false">IF(OR($R276="Ghost",$S276="Ghost"),4,SUM(IF(OR($R276="Dark",$R276="Ice",$R276="Normal",$R276="Rock",$R276="Steel"),0-1,IF(OR($R276="Bug",$R276="Fairy",$R276="Flying",$R276="Poison",$R276="Psychic"),1,0)),IF(OR($S276="Dark",$S276="Ice",$S276="Normal",$S276="Rock",$S276="Steel"),0-1,IF(OR($S276="Bug",$S276="Fairy",$S276="Flying",$S276="Poison",$S276="Psychic"),1,0))))</f>
        <v>0</v>
      </c>
      <c r="AI276" s="507" t="n">
        <f aca="false">SUM(IF(OR($R276="Bug",$R276="Grass",$R276="Ice",$R276="Steel"),0-1,IF(OR($R276="Dragon",$R276="Fire",$R276="Rock",$R276="Water"),1,0)),IF(OR($S276="Bug",$S276="Grass",$S276="Ice",$S276="Steel"),0-1,IF(OR($S276="Dragon",$S276="Fire",$S276="Rock",$S276="Water"),1,0)))</f>
        <v>0</v>
      </c>
      <c r="AJ276" s="507" t="n">
        <f aca="false">SUM(IF(OR($R276="Bug",$R276="Grass",$R276="Fighting"),0-1,IF(OR($R276="Electric",$R276="Rock",$R276="Steel"),1,0)),IF(OR($S276="Bug",$S276="Grass",$S276="Fighting"),0-1,IF(OR($S276="Electric",$S276="Rock",$S276="Steel"),1,0)))</f>
        <v>0</v>
      </c>
      <c r="AK276" s="507" t="n">
        <f aca="false">IF(OR($R276="Normal",$S276="Normal"),4,SUM(IF(OR($R276="Ghost",$R276="Psychic"),0-1,IF($R276="Dark",1,0)),IF(OR($S276="Ghost",$S276="Psychic"),0-1,IF($S276="Dark",1,0))))</f>
        <v>1</v>
      </c>
      <c r="AL276" s="507" t="n">
        <f aca="false">SUM(IF(OR($R276="Ground",$R276="Rock",$R276="Water"),0-1,IF(OR($R276="Bug",$R276="Flying",$R276="Fire",$R276="Dragon",$R276="Poison",$R276="Steel",$R276="Grass"),1,0)),IF(OR($S276="Ground",$S276="Rock",$S276="Water"),0-1,IF(OR($S276="Bug",$S276="Flying",$S276="Fire",$S276="Dragon",$S276="Poison",$S276="Steel",$S276="Grass"),1,0)))</f>
        <v>1</v>
      </c>
      <c r="AM276" s="507" t="n">
        <f aca="false">IF(OR($R276="Flying",$S276="Flying"),4,SUM(IF(OR($R276="Electric",$R276="Fire",$R276="Rock",$R276="Steel",$R276="Poison"),0-1,IF(OR($R276="Bug",$R276="Grass"),1,0)),IF(OR($S276="Electric",$S276="Fire",$S276="Rock",$S276="Steel",$S276="Poison"),0-1,IF(OR($S276="Bug",$S276="Grass"),1,0))))</f>
        <v>4</v>
      </c>
      <c r="AN276" s="507" t="n">
        <f aca="false">SUM(IF(OR($R276="Flying",$R276="Dragon",$R276="Grass",$R276="Ground"),0-1,IF(OR($R276="Steel",$R276="Ice",$R276="Fire",$R276="Water"),1,0)),IF(OR($S276="Flying",$S276="Dragon",$S276="Grass",$S276="Ground"),0-1,IF(OR($S276="Steel",$S276="Ice",$S276="Fire",$S276="Water"),1,0)))</f>
        <v>-1</v>
      </c>
      <c r="AO276" s="507" t="n">
        <f aca="false">IF(OR($R276="Ghost",$S276="Ghost"),4,SUM(IF(OR($R276="Steel",$R276="Rock"),1,0),IF(OR($S276="Steel",$S276="Rock"),1,0)))</f>
        <v>0</v>
      </c>
      <c r="AP276" s="507" t="n">
        <f aca="false">IF(OR($R276="Steel",$S276="Steel"),4,SUM(IF(OR($R276="Fairy",$R276="Grass"),0-1,IF(OR($R276="Ghost",$R276="Rock",$R276="Ground",$R276="Poison"),1,0)),IF(OR($S276="Fairy",$S276="Grass"),0-1,IF(OR($S276="Ghost",$S276="Rock",$S276="Ground",$S276="Poison"),1,0))))</f>
        <v>0</v>
      </c>
      <c r="AQ276" s="507" t="n">
        <f aca="false">IF(OR($R276="Dark",$S276="Dark"),4,SUM(IF(OR($R276="Fighting",$R276="Poison"),0-1,IF(OR($R276="Psychic",$R276="Steel"),1,0)),IF(OR($S276="Fighting",$S276="Poison"),0-1,IF(OR($S276="Psychic",$S276="Steel"),1,0))))</f>
        <v>4</v>
      </c>
      <c r="AR276" s="507" t="n">
        <f aca="false">SUM(IF(OR($R276="Bug",$R276="Fire",$R276="Flying",$R276="Ice"),0-1,IF(OR($R276="Steel",$R276="Fighting",$R276="Ground"),1,0)),IF(OR($S276="Bug",$S276="Fire",$S276="Flying",$S276="Ice"),0-1,IF(OR($S276="Steel",$S276="Fighting",$S276="Ground"),1,0)))</f>
        <v>-1</v>
      </c>
      <c r="AS276" s="507" t="n">
        <f aca="false">SUM(IF(OR($R276="Fairy",$R276="Ice",$R276="Rock"),0-1,IF(OR($R276="Steel",$R276="Electric",$R276="Fire",$R276="Water"),1,0)),IF(OR($S276="Fairy",$S276="Ice",$S276="Rock"),0-1,IF(OR($S276="Steel",$S276="Electric",$S276="Fire",$S276="Water"),1,0)))</f>
        <v>0</v>
      </c>
      <c r="AT276" s="508" t="n">
        <f aca="false">SUM(IF(OR($R276="Fire",$R276="Ground",$R276="Rock"),0-1,IF(OR($R276="Dragon",$R276="Grass",$R276="Water"),1,0)),IF(OR($S276="Fire",$S276="Ground",$S276="Rock"),0-1,IF(OR($S276="Dragon",$S276="Grass",$S276="Water"),1,0)))</f>
        <v>0</v>
      </c>
      <c r="AU276" s="518"/>
    </row>
    <row r="277" customFormat="false" ht="15.75" hidden="false" customHeight="false" outlineLevel="0" collapsed="false">
      <c r="A277" s="510" t="str">
        <f aca="false" t="array" ref="A277:A277">IF(ISNA(INDEX(Source!$U$7:$U$95,MATCH(B277,Source!$V$7:$V$95,0))),"FREE",INDEX(Source!$U$7:$U$95,MATCH(B277,Source!$V$7:$V$95,0)))</f>
        <v>FREE</v>
      </c>
      <c r="B277" s="511" t="s">
        <v>571</v>
      </c>
      <c r="C277" s="511"/>
      <c r="D277" s="511"/>
      <c r="E277" s="499" t="str">
        <f aca="false">IF(SUM($W277:$X277)&gt;0,SUM($W277:$X277),IF($H277&gt;0,0,IF($H277&gt;0,0,"-")))</f>
        <v>-</v>
      </c>
      <c r="F277" s="499" t="str">
        <f aca="false">IF(SUM($Y277:$Z277)&gt;0,SUM($Y277:$Z277),IF($H277&gt;0,0,"-"))</f>
        <v>-</v>
      </c>
      <c r="G277" s="499" t="str">
        <f aca="false">IF($H277&gt;0,minus(E277,F277),"-")</f>
        <v>-</v>
      </c>
      <c r="H277" s="500" t="n">
        <f aca="false">SUM(COUNTIF(MatchSource!$A:$A,$B277),COUNTIF(MatchSource!$H:$H,$B277))</f>
        <v>0</v>
      </c>
      <c r="I277" s="501" t="n">
        <f aca="false">SUM($AA277:$AB277)</f>
        <v>0</v>
      </c>
      <c r="J277" s="501" t="s">
        <v>701</v>
      </c>
      <c r="K277" s="512" t="str">
        <f aca="false" t="array" ref="K277:K277">IF(ISNA(INDEX(DraftRosters!$AA$3:$AA$199,MATCH($B277,DraftRosters!$AB$3:$AB$199,0))),"FA",IF(INDEX(DraftRosters!$AA$3:$AA$199,MATCH($B277,DraftRosters!$AB$3:$AB$199,0))="Franchise","Franch",INDEX(DraftRosters!$AA$3:$AA$199,MATCH($B277,DraftRosters!$AB$3:$AB$199,0))))</f>
        <v>FA</v>
      </c>
      <c r="L277" s="499" t="n">
        <v>70</v>
      </c>
      <c r="M277" s="499" t="n">
        <v>75</v>
      </c>
      <c r="N277" s="499" t="n">
        <v>60</v>
      </c>
      <c r="O277" s="499" t="n">
        <v>105</v>
      </c>
      <c r="P277" s="499" t="n">
        <v>60</v>
      </c>
      <c r="Q277" s="501" t="n">
        <v>105</v>
      </c>
      <c r="R277" s="499" t="s">
        <v>845</v>
      </c>
      <c r="S277" s="501"/>
      <c r="T277" s="504" t="s">
        <v>1023</v>
      </c>
      <c r="U277" s="505" t="s">
        <v>1007</v>
      </c>
      <c r="V277" s="506" t="s">
        <v>847</v>
      </c>
      <c r="W277" s="500" t="str">
        <f aca="false">IFERROR(__xludf.dummyfunction("if(isna(SUM(FILTER(MatchSource!$A:$D,MatchSource!$A:$A=$B277))),0,SUM(FILTER(MatchSource!$A:$D,MatchSource!$A:$A=$B277)))"),"0")</f>
        <v>0</v>
      </c>
      <c r="X277" s="499" t="str">
        <f aca="false">IFERROR(__xludf.dummyfunction("if(isna(SUM(FILTER(MatchSource!$H:$K,MatchSource!$H:$H=$B277))),0,SUM(FILTER(MatchSource!$H:$K,MatchSource!$H:$H=$B277)))"),"0")</f>
        <v>0</v>
      </c>
      <c r="Y277" s="499" t="str">
        <f aca="false">IFERROR(__xludf.dummyfunction("if(isna(ABS(MINUS(SUM(FILTER(MatchSource!$A:$E,MatchSource!$A:$A=$B277)),SUM($W277)))),0,ABS(MINUS(SUM(FILTER(MatchSource!$A:$E,MatchSource!$A:$A=$B277)),SUM($W277))))"),"0")</f>
        <v>0</v>
      </c>
      <c r="Z277" s="499" t="str">
        <f aca="false">IFERROR(__xludf.dummyfunction("if(isna(ABS(MINUS(SUM(FILTER(MatchSource!$H:$L,MatchSource!$H:$H=$B277)),SUM($X277)))),0,ABS(MINUS(SUM(FILTER(MatchSource!$H:$L,MatchSource!$H:$H=$B277)),SUM($X277))))"),"0")</f>
        <v>0</v>
      </c>
      <c r="AA277" s="499" t="str">
        <f aca="false">IFERROR(__xludf.dummyfunction("if(isna(ABS(MINUS(SUM(FILTER(MatchSource!$A:$F,MatchSource!$A:$A=$B277)),SUM($W277,$Y277)))),0,ABS(MINUS(SUM(FILTER(MatchSource!$A:$F,MatchSource!$A:$A=$B277)),SUM($W277, $Y277,))))"),"0")</f>
        <v>0</v>
      </c>
      <c r="AB277" s="501" t="str">
        <f aca="false">IFERROR(__xludf.dummyfunction("if(isna(ABS(MINUS(SUM(FILTER(MatchSource!$H:$M,MatchSource!$H:$H=$B277)),SUM($X277,$Z277)))),0,ABS(MINUS(SUM(FILTER(MatchSource!$H:$M,MatchSource!$H:$H=$B277)),SUM($X277,$Z277))))"),"0")</f>
        <v>0</v>
      </c>
      <c r="AC277" s="507" t="n">
        <f aca="false">SUM(IF(OR($R277="Grass",$R277="Psychic",$R277="Dark"),0-1,IF(OR($R277="Fighting",$R277="Flying",$R277="Fire",$R277="Ghost",$R277="Poison",$R277="Steel",$R277="Fairy"),1,0)),IF(OR($S277="Grass",$S277="Psychic",$S277="Dark"),0-1,IF(OR($S277="Fighting",$S277="Flying",$S277="Fire",$S277="Ghost",$S277="Poison",$S277="Steel",$S277="Fairy"),1,0)))</f>
        <v>0</v>
      </c>
      <c r="AD277" s="507" t="n">
        <f aca="false">SUM(IF(OR($R277="Ghost",$R277="Psychic"),0-1,IF(OR($R277="Fighting",$R277="Dark",$R277="Fairy"),1,0)),IF(OR($S277="Ghost",$S277="Psychic"),0-1,IF(OR($S277="Fighting",$S277="Dark",$S277="Fairy"),1,0)))</f>
        <v>0</v>
      </c>
      <c r="AE277" s="507" t="n">
        <f aca="false">IF(OR($R277="Fairy",$S277="Fairy"),4,SUM(IF($R277="Dragon",0-1,IF($R277="Steel",1,0)),IF($S277="Dragon",0-1,IF($S277="Steel",1,0))))</f>
        <v>0</v>
      </c>
      <c r="AF277" s="507" t="n">
        <f aca="false">IF(OR($R277="Ground",$S277="Ground"),4,SUM(IF(OR($R277="Flying",$R277="Water"),0-1,IF(OR($R277="Dragon",$R277="Electric",$R277="Grass"),1,0)),IF(OR($S277="Flying",$S277="Water"),0-1,IF(OR($S277="Dragon",$S277="Electric",$S277="Grass"),1,0))))</f>
        <v>1</v>
      </c>
      <c r="AG277" s="507" t="n">
        <f aca="false">SUM(IF(OR($R277="Dark",$R277="Dragon",$R277="Fighting"),0-1,IF(OR($R277="Steel",$R277="Poison",$R277="Fire"),1,0)),IF(OR($S277="Dark",$S277="Dragon",$S277="Fighting"),0-1,IF(OR($S277="Steel",$S277="Poison",$S277="Fire"),1,0)))</f>
        <v>0</v>
      </c>
      <c r="AH277" s="507" t="n">
        <f aca="false">IF(OR($R277="Ghost",$S277="Ghost"),4,SUM(IF(OR($R277="Dark",$R277="Ice",$R277="Normal",$R277="Rock",$R277="Steel"),0-1,IF(OR($R277="Bug",$R277="Fairy",$R277="Flying",$R277="Poison",$R277="Psychic"),1,0)),IF(OR($S277="Dark",$S277="Ice",$S277="Normal",$S277="Rock",$S277="Steel"),0-1,IF(OR($S277="Bug",$S277="Fairy",$S277="Flying",$S277="Poison",$S277="Psychic"),1,0))))</f>
        <v>0</v>
      </c>
      <c r="AI277" s="507" t="n">
        <f aca="false">SUM(IF(OR($R277="Bug",$R277="Grass",$R277="Ice",$R277="Steel"),0-1,IF(OR($R277="Dragon",$R277="Fire",$R277="Rock",$R277="Water"),1,0)),IF(OR($S277="Bug",$S277="Grass",$S277="Ice",$S277="Steel"),0-1,IF(OR($S277="Dragon",$S277="Fire",$S277="Rock",$S277="Water"),1,0)))</f>
        <v>0</v>
      </c>
      <c r="AJ277" s="507" t="n">
        <f aca="false">SUM(IF(OR($R277="Bug",$R277="Grass",$R277="Fighting"),0-1,IF(OR($R277="Electric",$R277="Rock",$R277="Steel"),1,0)),IF(OR($S277="Bug",$S277="Grass",$S277="Fighting"),0-1,IF(OR($S277="Electric",$S277="Rock",$S277="Steel"),1,0)))</f>
        <v>1</v>
      </c>
      <c r="AK277" s="507" t="n">
        <f aca="false">IF(OR($R277="Normal",$S277="Normal"),4,SUM(IF(OR($R277="Ghost",$R277="Psychic"),0-1,IF($R277="Dark",1,0)),IF(OR($S277="Ghost",$S277="Psychic"),0-1,IF($S277="Dark",1,0))))</f>
        <v>0</v>
      </c>
      <c r="AL277" s="507" t="n">
        <f aca="false">SUM(IF(OR($R277="Ground",$R277="Rock",$R277="Water"),0-1,IF(OR($R277="Bug",$R277="Flying",$R277="Fire",$R277="Dragon",$R277="Poison",$R277="Steel",$R277="Grass"),1,0)),IF(OR($S277="Ground",$S277="Rock",$S277="Water"),0-1,IF(OR($S277="Bug",$S277="Flying",$S277="Fire",$S277="Dragon",$S277="Poison",$S277="Steel",$S277="Grass"),1,0)))</f>
        <v>0</v>
      </c>
      <c r="AM277" s="507" t="n">
        <f aca="false">IF(OR($R277="Flying",$S277="Flying"),4,SUM(IF(OR($R277="Electric",$R277="Fire",$R277="Rock",$R277="Steel",$R277="Poison"),0-1,IF(OR($R277="Bug",$R277="Grass"),1,0)),IF(OR($S277="Electric",$S277="Fire",$S277="Rock",$S277="Steel",$S277="Poison"),0-1,IF(OR($S277="Bug",$S277="Grass"),1,0))))</f>
        <v>-1</v>
      </c>
      <c r="AN277" s="507" t="n">
        <f aca="false">SUM(IF(OR($R277="Flying",$R277="Dragon",$R277="Grass",$R277="Ground"),0-1,IF(OR($R277="Steel",$R277="Ice",$R277="Fire",$R277="Water"),1,0)),IF(OR($S277="Flying",$S277="Dragon",$S277="Grass",$S277="Ground"),0-1,IF(OR($S277="Steel",$S277="Ice",$S277="Fire",$S277="Water"),1,0)))</f>
        <v>0</v>
      </c>
      <c r="AO277" s="507" t="n">
        <f aca="false">IF(OR($R277="Ghost",$S277="Ghost"),4,SUM(IF(OR($R277="Steel",$R277="Rock"),1,0),IF(OR($S277="Steel",$S277="Rock"),1,0)))</f>
        <v>0</v>
      </c>
      <c r="AP277" s="507" t="n">
        <f aca="false">IF(OR($R277="Steel",$S277="Steel"),4,SUM(IF(OR($R277="Fairy",$R277="Grass"),0-1,IF(OR($R277="Ghost",$R277="Rock",$R277="Ground",$R277="Poison"),1,0)),IF(OR($S277="Fairy",$S277="Grass"),0-1,IF(OR($S277="Ghost",$S277="Rock",$S277="Ground",$S277="Poison"),1,0))))</f>
        <v>0</v>
      </c>
      <c r="AQ277" s="507" t="n">
        <f aca="false">IF(OR($R277="Dark",$S277="Dark"),4,SUM(IF(OR($R277="Fighting",$R277="Poison"),0-1,IF(OR($R277="Psychic",$R277="Steel"),1,0)),IF(OR($S277="Fighting",$S277="Poison"),0-1,IF(OR($S277="Psychic",$S277="Steel"),1,0))))</f>
        <v>0</v>
      </c>
      <c r="AR277" s="507" t="n">
        <f aca="false">SUM(IF(OR($R277="Bug",$R277="Fire",$R277="Flying",$R277="Ice"),0-1,IF(OR($R277="Steel",$R277="Fighting",$R277="Ground"),1,0)),IF(OR($S277="Bug",$S277="Fire",$S277="Flying",$S277="Ice"),0-1,IF(OR($S277="Steel",$S277="Fighting",$S277="Ground"),1,0)))</f>
        <v>0</v>
      </c>
      <c r="AS277" s="507" t="n">
        <f aca="false">SUM(IF(OR($R277="Fairy",$R277="Ice",$R277="Rock"),0-1,IF(OR($R277="Steel",$R277="Electric",$R277="Fire",$R277="Water"),1,0)),IF(OR($S277="Fairy",$S277="Ice",$S277="Rock"),0-1,IF(OR($S277="Steel",$S277="Electric",$S277="Fire",$S277="Water"),1,0)))</f>
        <v>1</v>
      </c>
      <c r="AT277" s="508" t="n">
        <f aca="false">SUM(IF(OR($R277="Fire",$R277="Ground",$R277="Rock"),0-1,IF(OR($R277="Dragon",$R277="Grass",$R277="Water"),1,0)),IF(OR($S277="Fire",$S277="Ground",$S277="Rock"),0-1,IF(OR($S277="Dragon",$S277="Grass",$S277="Water"),1,0)))</f>
        <v>0</v>
      </c>
      <c r="AU277" s="518"/>
    </row>
    <row r="278" customFormat="false" ht="15.75" hidden="false" customHeight="false" outlineLevel="0" collapsed="false">
      <c r="A278" s="510" t="str">
        <f aca="false" t="array" ref="A278:A278">IF(ISNA(INDEX(Source!$U$7:$U$95,MATCH(B278,Source!$V$7:$V$95,0))),"FREE",INDEX(Source!$U$7:$U$95,MATCH(B278,Source!$V$7:$V$95,0)))</f>
        <v>FREE</v>
      </c>
      <c r="B278" s="511" t="s">
        <v>728</v>
      </c>
      <c r="C278" s="511"/>
      <c r="D278" s="511"/>
      <c r="E278" s="499" t="str">
        <f aca="false">IF(SUM($W278:$X278)&gt;0,SUM($W278:$X278),IF($H278&gt;0,0,IF($H278&gt;0,0,"-")))</f>
        <v>-</v>
      </c>
      <c r="F278" s="499" t="str">
        <f aca="false">IF(SUM($Y278:$Z278)&gt;0,SUM($Y278:$Z278),IF($H278&gt;0,0,"-"))</f>
        <v>-</v>
      </c>
      <c r="G278" s="499" t="str">
        <f aca="false">IF($H278&gt;0,minus(E278,F278),"-")</f>
        <v>-</v>
      </c>
      <c r="H278" s="500" t="n">
        <f aca="false">SUM(COUNTIF(MatchSource!$A:$A,$B278),COUNTIF(MatchSource!$H:$H,$B278))</f>
        <v>0</v>
      </c>
      <c r="I278" s="501" t="n">
        <f aca="false">SUM($AA278:$AB278)</f>
        <v>0</v>
      </c>
      <c r="J278" s="501" t="s">
        <v>276</v>
      </c>
      <c r="K278" s="512" t="str">
        <f aca="false" t="array" ref="K278:K278">IF(ISNA(INDEX(DraftRosters!$AA$3:$AA$199,MATCH($B278,DraftRosters!$AB$3:$AB$199,0))),"FA",IF(INDEX(DraftRosters!$AA$3:$AA$199,MATCH($B278,DraftRosters!$AB$3:$AB$199,0))="Franchise","Franch",INDEX(DraftRosters!$AA$3:$AA$199,MATCH($B278,DraftRosters!$AB$3:$AB$199,0))))</f>
        <v>FA</v>
      </c>
      <c r="L278" s="499" t="n">
        <v>70</v>
      </c>
      <c r="M278" s="499" t="n">
        <v>75</v>
      </c>
      <c r="N278" s="499" t="n">
        <v>80</v>
      </c>
      <c r="O278" s="499" t="n">
        <v>135</v>
      </c>
      <c r="P278" s="499" t="n">
        <v>80</v>
      </c>
      <c r="Q278" s="501" t="n">
        <v>135</v>
      </c>
      <c r="R278" s="499" t="s">
        <v>845</v>
      </c>
      <c r="S278" s="501"/>
      <c r="T278" s="504" t="s">
        <v>851</v>
      </c>
      <c r="U278" s="505"/>
      <c r="V278" s="506"/>
      <c r="W278" s="500" t="str">
        <f aca="false">IFERROR(__xludf.dummyfunction("if(isna(SUM(FILTER(MatchSource!$A:$D,MatchSource!$A:$A=$B278))),0,SUM(FILTER(MatchSource!$A:$D,MatchSource!$A:$A=$B278)))"),"0")</f>
        <v>0</v>
      </c>
      <c r="X278" s="499" t="str">
        <f aca="false">IFERROR(__xludf.dummyfunction("if(isna(SUM(FILTER(MatchSource!$H:$K,MatchSource!$H:$H=$B278))),0,SUM(FILTER(MatchSource!$H:$K,MatchSource!$H:$H=$B278)))"),"0")</f>
        <v>0</v>
      </c>
      <c r="Y278" s="499" t="str">
        <f aca="false">IFERROR(__xludf.dummyfunction("if(isna(ABS(MINUS(SUM(FILTER(MatchSource!$A:$E,MatchSource!$A:$A=$B278)),SUM($W278)))),0,ABS(MINUS(SUM(FILTER(MatchSource!$A:$E,MatchSource!$A:$A=$B278)),SUM($W278))))"),"0")</f>
        <v>0</v>
      </c>
      <c r="Z278" s="499" t="str">
        <f aca="false">IFERROR(__xludf.dummyfunction("if(isna(ABS(MINUS(SUM(FILTER(MatchSource!$H:$L,MatchSource!$H:$H=$B278)),SUM($X278)))),0,ABS(MINUS(SUM(FILTER(MatchSource!$H:$L,MatchSource!$H:$H=$B278)),SUM($X278))))"),"0")</f>
        <v>0</v>
      </c>
      <c r="AA278" s="499" t="str">
        <f aca="false">IFERROR(__xludf.dummyfunction("if(isna(ABS(MINUS(SUM(FILTER(MatchSource!$A:$F,MatchSource!$A:$A=$B278)),SUM($W278,$Y278)))),0,ABS(MINUS(SUM(FILTER(MatchSource!$A:$F,MatchSource!$A:$A=$B278)),SUM($W278, $Y278,))))"),"0")</f>
        <v>0</v>
      </c>
      <c r="AB278" s="501" t="str">
        <f aca="false">IFERROR(__xludf.dummyfunction("if(isna(ABS(MINUS(SUM(FILTER(MatchSource!$H:$M,MatchSource!$H:$H=$B278)),SUM($X278,$Z278)))),0,ABS(MINUS(SUM(FILTER(MatchSource!$H:$M,MatchSource!$H:$H=$B278)),SUM($X278,$Z278))))"),"0")</f>
        <v>0</v>
      </c>
      <c r="AC278" s="507" t="n">
        <f aca="false">SUM(IF(OR($R278="Grass",$R278="Psychic",$R278="Dark"),0-1,IF(OR($R278="Fighting",$R278="Flying",$R278="Fire",$R278="Ghost",$R278="Poison",$R278="Steel",$R278="Fairy"),1,0)),IF(OR($S278="Grass",$S278="Psychic",$S278="Dark"),0-1,IF(OR($S278="Fighting",$S278="Flying",$S278="Fire",$S278="Ghost",$S278="Poison",$S278="Steel",$S278="Fairy"),1,0)))</f>
        <v>0</v>
      </c>
      <c r="AD278" s="507" t="n">
        <f aca="false">SUM(IF(OR($R278="Ghost",$R278="Psychic"),0-1,IF(OR($R278="Fighting",$R278="Dark",$R278="Fairy"),1,0)),IF(OR($S278="Ghost",$S278="Psychic"),0-1,IF(OR($S278="Fighting",$S278="Dark",$S278="Fairy"),1,0)))</f>
        <v>0</v>
      </c>
      <c r="AE278" s="507" t="n">
        <f aca="false">IF(OR($R278="Fairy",$S278="Fairy"),4,SUM(IF($R278="Dragon",0-1,IF($R278="Steel",1,0)),IF($S278="Dragon",0-1,IF($S278="Steel",1,0))))</f>
        <v>0</v>
      </c>
      <c r="AF278" s="507" t="n">
        <f aca="false">IF(OR($R278="Ground",$S278="Ground"),4,SUM(IF(OR($R278="Flying",$R278="Water"),0-1,IF(OR($R278="Dragon",$R278="Electric",$R278="Grass"),1,0)),IF(OR($S278="Flying",$S278="Water"),0-1,IF(OR($S278="Dragon",$S278="Electric",$S278="Grass"),1,0))))</f>
        <v>1</v>
      </c>
      <c r="AG278" s="507" t="n">
        <f aca="false">SUM(IF(OR($R278="Dark",$R278="Dragon",$R278="Fighting"),0-1,IF(OR($R278="Steel",$R278="Poison",$R278="Fire"),1,0)),IF(OR($S278="Dark",$S278="Dragon",$S278="Fighting"),0-1,IF(OR($S278="Steel",$S278="Poison",$S278="Fire"),1,0)))</f>
        <v>0</v>
      </c>
      <c r="AH278" s="507" t="n">
        <f aca="false">IF(OR($R278="Ghost",$S278="Ghost"),4,SUM(IF(OR($R278="Dark",$R278="Ice",$R278="Normal",$R278="Rock",$R278="Steel"),0-1,IF(OR($R278="Bug",$R278="Fairy",$R278="Flying",$R278="Poison",$R278="Psychic"),1,0)),IF(OR($S278="Dark",$S278="Ice",$S278="Normal",$S278="Rock",$S278="Steel"),0-1,IF(OR($S278="Bug",$S278="Fairy",$S278="Flying",$S278="Poison",$S278="Psychic"),1,0))))</f>
        <v>0</v>
      </c>
      <c r="AI278" s="507" t="n">
        <f aca="false">SUM(IF(OR($R278="Bug",$R278="Grass",$R278="Ice",$R278="Steel"),0-1,IF(OR($R278="Dragon",$R278="Fire",$R278="Rock",$R278="Water"),1,0)),IF(OR($S278="Bug",$S278="Grass",$S278="Ice",$S278="Steel"),0-1,IF(OR($S278="Dragon",$S278="Fire",$S278="Rock",$S278="Water"),1,0)))</f>
        <v>0</v>
      </c>
      <c r="AJ278" s="507" t="n">
        <f aca="false">SUM(IF(OR($R278="Bug",$R278="Grass",$R278="Fighting"),0-1,IF(OR($R278="Electric",$R278="Rock",$R278="Steel"),1,0)),IF(OR($S278="Bug",$S278="Grass",$S278="Fighting"),0-1,IF(OR($S278="Electric",$S278="Rock",$S278="Steel"),1,0)))</f>
        <v>1</v>
      </c>
      <c r="AK278" s="507" t="n">
        <f aca="false">IF(OR($R278="Normal",$S278="Normal"),4,SUM(IF(OR($R278="Ghost",$R278="Psychic"),0-1,IF($R278="Dark",1,0)),IF(OR($S278="Ghost",$S278="Psychic"),0-1,IF($S278="Dark",1,0))))</f>
        <v>0</v>
      </c>
      <c r="AL278" s="507" t="n">
        <f aca="false">SUM(IF(OR($R278="Ground",$R278="Rock",$R278="Water"),0-1,IF(OR($R278="Bug",$R278="Flying",$R278="Fire",$R278="Dragon",$R278="Poison",$R278="Steel",$R278="Grass"),1,0)),IF(OR($S278="Ground",$S278="Rock",$S278="Water"),0-1,IF(OR($S278="Bug",$S278="Flying",$S278="Fire",$S278="Dragon",$S278="Poison",$S278="Steel",$S278="Grass"),1,0)))</f>
        <v>0</v>
      </c>
      <c r="AM278" s="507" t="n">
        <f aca="false">IF(OR($R278="Flying",$S278="Flying"),4,SUM(IF(OR($R278="Electric",$R278="Fire",$R278="Rock",$R278="Steel",$R278="Poison"),0-1,IF(OR($R278="Bug",$R278="Grass"),1,0)),IF(OR($S278="Electric",$S278="Fire",$S278="Rock",$S278="Steel",$S278="Poison"),0-1,IF(OR($S278="Bug",$S278="Grass"),1,0))))</f>
        <v>-1</v>
      </c>
      <c r="AN278" s="507" t="n">
        <f aca="false">SUM(IF(OR($R278="Flying",$R278="Dragon",$R278="Grass",$R278="Ground"),0-1,IF(OR($R278="Steel",$R278="Ice",$R278="Fire",$R278="Water"),1,0)),IF(OR($S278="Flying",$S278="Dragon",$S278="Grass",$S278="Ground"),0-1,IF(OR($S278="Steel",$S278="Ice",$S278="Fire",$S278="Water"),1,0)))</f>
        <v>0</v>
      </c>
      <c r="AO278" s="507" t="n">
        <f aca="false">IF(OR($R278="Ghost",$S278="Ghost"),4,SUM(IF(OR($R278="Steel",$R278="Rock"),1,0),IF(OR($S278="Steel",$S278="Rock"),1,0)))</f>
        <v>0</v>
      </c>
      <c r="AP278" s="507" t="n">
        <f aca="false">IF(OR($R278="Steel",$S278="Steel"),4,SUM(IF(OR($R278="Fairy",$R278="Grass"),0-1,IF(OR($R278="Ghost",$R278="Rock",$R278="Ground",$R278="Poison"),1,0)),IF(OR($S278="Fairy",$S278="Grass"),0-1,IF(OR($S278="Ghost",$S278="Rock",$S278="Ground",$S278="Poison"),1,0))))</f>
        <v>0</v>
      </c>
      <c r="AQ278" s="507" t="n">
        <f aca="false">IF(OR($R278="Dark",$S278="Dark"),4,SUM(IF(OR($R278="Fighting",$R278="Poison"),0-1,IF(OR($R278="Psychic",$R278="Steel"),1,0)),IF(OR($S278="Fighting",$S278="Poison"),0-1,IF(OR($S278="Psychic",$S278="Steel"),1,0))))</f>
        <v>0</v>
      </c>
      <c r="AR278" s="507" t="n">
        <f aca="false">SUM(IF(OR($R278="Bug",$R278="Fire",$R278="Flying",$R278="Ice"),0-1,IF(OR($R278="Steel",$R278="Fighting",$R278="Ground"),1,0)),IF(OR($S278="Bug",$S278="Fire",$S278="Flying",$S278="Ice"),0-1,IF(OR($S278="Steel",$S278="Fighting",$S278="Ground"),1,0)))</f>
        <v>0</v>
      </c>
      <c r="AS278" s="507" t="n">
        <f aca="false">SUM(IF(OR($R278="Fairy",$R278="Ice",$R278="Rock"),0-1,IF(OR($R278="Steel",$R278="Electric",$R278="Fire",$R278="Water"),1,0)),IF(OR($S278="Fairy",$S278="Ice",$S278="Rock"),0-1,IF(OR($S278="Steel",$S278="Electric",$S278="Fire",$S278="Water"),1,0)))</f>
        <v>1</v>
      </c>
      <c r="AT278" s="508" t="n">
        <f aca="false">SUM(IF(OR($R278="Fire",$R278="Ground",$R278="Rock"),0-1,IF(OR($R278="Dragon",$R278="Grass",$R278="Water"),1,0)),IF(OR($S278="Fire",$S278="Ground",$S278="Rock"),0-1,IF(OR($S278="Dragon",$S278="Grass",$S278="Water"),1,0)))</f>
        <v>0</v>
      </c>
      <c r="AU278" s="518"/>
    </row>
    <row r="279" customFormat="false" ht="15.75" hidden="false" customHeight="false" outlineLevel="0" collapsed="false">
      <c r="A279" s="510" t="str">
        <f aca="false" t="array" ref="A279:A279">IF(ISNA(INDEX(Source!$U$7:$U$95,MATCH(B279,Source!$V$7:$V$95,0))),"FREE",INDEX(Source!$U$7:$U$95,MATCH(B279,Source!$V$7:$V$95,0)))</f>
        <v>FREE</v>
      </c>
      <c r="B279" s="511" t="s">
        <v>484</v>
      </c>
      <c r="C279" s="511"/>
      <c r="D279" s="511"/>
      <c r="E279" s="499" t="str">
        <f aca="false">IF(SUM($W279:$X279)&gt;0,SUM($W279:$X279),IF($H279&gt;0,0,IF($H279&gt;0,0,"-")))</f>
        <v>-</v>
      </c>
      <c r="F279" s="499" t="str">
        <f aca="false">IF(SUM($Y279:$Z279)&gt;0,SUM($Y279:$Z279),IF($H279&gt;0,0,"-"))</f>
        <v>-</v>
      </c>
      <c r="G279" s="499" t="str">
        <f aca="false">IF($H279&gt;0,minus(E279,F279),"-")</f>
        <v>-</v>
      </c>
      <c r="H279" s="500" t="n">
        <f aca="false">SUM(COUNTIF(MatchSource!$A:$A,$B279),COUNTIF(MatchSource!$H:$H,$B279))</f>
        <v>0</v>
      </c>
      <c r="I279" s="501" t="n">
        <f aca="false">SUM($AA279:$AB279)</f>
        <v>0</v>
      </c>
      <c r="J279" s="501" t="s">
        <v>700</v>
      </c>
      <c r="K279" s="512" t="str">
        <f aca="false" t="array" ref="K279:K279">IF(ISNA(INDEX(DraftRosters!$AA$3:$AA$199,MATCH($B279,DraftRosters!$AB$3:$AB$199,0))),"FA",IF(INDEX(DraftRosters!$AA$3:$AA$199,MATCH($B279,DraftRosters!$AB$3:$AB$199,0))="Franchise","Franch",INDEX(DraftRosters!$AA$3:$AA$199,MATCH($B279,DraftRosters!$AB$3:$AB$199,0))))</f>
        <v>FA</v>
      </c>
      <c r="L279" s="499" t="n">
        <v>84</v>
      </c>
      <c r="M279" s="499" t="n">
        <v>40</v>
      </c>
      <c r="N279" s="499" t="n">
        <v>70</v>
      </c>
      <c r="O279" s="499" t="n">
        <v>80</v>
      </c>
      <c r="P279" s="499" t="n">
        <v>140</v>
      </c>
      <c r="Q279" s="501" t="n">
        <v>70</v>
      </c>
      <c r="R279" s="499" t="s">
        <v>801</v>
      </c>
      <c r="S279" s="501" t="s">
        <v>811</v>
      </c>
      <c r="T279" s="504" t="s">
        <v>859</v>
      </c>
      <c r="U279" s="505" t="s">
        <v>973</v>
      </c>
      <c r="V279" s="506" t="s">
        <v>849</v>
      </c>
      <c r="W279" s="500" t="str">
        <f aca="false">IFERROR(__xludf.dummyfunction("if(isna(SUM(FILTER(MatchSource!$A:$D,MatchSource!$A:$A=$B279))),0,SUM(FILTER(MatchSource!$A:$D,MatchSource!$A:$A=$B279)))"),"0")</f>
        <v>0</v>
      </c>
      <c r="X279" s="499" t="str">
        <f aca="false">IFERROR(__xludf.dummyfunction("if(isna(SUM(FILTER(MatchSource!$H:$K,MatchSource!$H:$H=$B279))),0,SUM(FILTER(MatchSource!$H:$K,MatchSource!$H:$H=$B279)))"),"0")</f>
        <v>0</v>
      </c>
      <c r="Y279" s="499" t="str">
        <f aca="false">IFERROR(__xludf.dummyfunction("if(isna(ABS(MINUS(SUM(FILTER(MatchSource!$A:$E,MatchSource!$A:$A=$B279)),SUM($W279)))),0,ABS(MINUS(SUM(FILTER(MatchSource!$A:$E,MatchSource!$A:$A=$B279)),SUM($W279))))"),"0")</f>
        <v>0</v>
      </c>
      <c r="Z279" s="499" t="str">
        <f aca="false">IFERROR(__xludf.dummyfunction("if(isna(ABS(MINUS(SUM(FILTER(MatchSource!$H:$L,MatchSource!$H:$H=$B279)),SUM($X279)))),0,ABS(MINUS(SUM(FILTER(MatchSource!$H:$L,MatchSource!$H:$H=$B279)),SUM($X279))))"),"0")</f>
        <v>0</v>
      </c>
      <c r="AA279" s="499" t="str">
        <f aca="false">IFERROR(__xludf.dummyfunction("if(isna(ABS(MINUS(SUM(FILTER(MatchSource!$A:$F,MatchSource!$A:$A=$B279)),SUM($W279,$Y279)))),0,ABS(MINUS(SUM(FILTER(MatchSource!$A:$F,MatchSource!$A:$A=$B279)),SUM($W279, $Y279,))))"),"0")</f>
        <v>0</v>
      </c>
      <c r="AB279" s="501" t="str">
        <f aca="false">IFERROR(__xludf.dummyfunction("if(isna(ABS(MINUS(SUM(FILTER(MatchSource!$H:$M,MatchSource!$H:$H=$B279)),SUM($X279,$Z279)))),0,ABS(MINUS(SUM(FILTER(MatchSource!$H:$M,MatchSource!$H:$H=$B279)),SUM($X279,$Z279))))"),"0")</f>
        <v>0</v>
      </c>
      <c r="AC279" s="507" t="n">
        <f aca="false">SUM(IF(OR($R279="Grass",$R279="Psychic",$R279="Dark"),0-1,IF(OR($R279="Fighting",$R279="Flying",$R279="Fire",$R279="Ghost",$R279="Poison",$R279="Steel",$R279="Fairy"),1,0)),IF(OR($S279="Grass",$S279="Psychic",$S279="Dark"),0-1,IF(OR($S279="Fighting",$S279="Flying",$S279="Fire",$S279="Ghost",$S279="Poison",$S279="Steel",$S279="Fairy"),1,0)))</f>
        <v>1</v>
      </c>
      <c r="AD279" s="507" t="n">
        <f aca="false">SUM(IF(OR($R279="Ghost",$R279="Psychic"),0-1,IF(OR($R279="Fighting",$R279="Dark",$R279="Fairy"),1,0)),IF(OR($S279="Ghost",$S279="Psychic"),0-1,IF(OR($S279="Fighting",$S279="Dark",$S279="Fairy"),1,0)))</f>
        <v>0</v>
      </c>
      <c r="AE279" s="507" t="n">
        <f aca="false">IF(OR($R279="Fairy",$S279="Fairy"),4,SUM(IF($R279="Dragon",0-1,IF($R279="Steel",1,0)),IF($S279="Dragon",0-1,IF($S279="Steel",1,0))))</f>
        <v>0</v>
      </c>
      <c r="AF279" s="507" t="n">
        <f aca="false">IF(OR($R279="Ground",$S279="Ground"),4,SUM(IF(OR($R279="Flying",$R279="Water"),0-1,IF(OR($R279="Dragon",$R279="Electric",$R279="Grass"),1,0)),IF(OR($S279="Flying",$S279="Water"),0-1,IF(OR($S279="Dragon",$S279="Electric",$S279="Grass"),1,0))))</f>
        <v>-2</v>
      </c>
      <c r="AG279" s="507" t="n">
        <f aca="false">SUM(IF(OR($R279="Dark",$R279="Dragon",$R279="Fighting"),0-1,IF(OR($R279="Steel",$R279="Poison",$R279="Fire"),1,0)),IF(OR($S279="Dark",$S279="Dragon",$S279="Fighting"),0-1,IF(OR($S279="Steel",$S279="Poison",$S279="Fire"),1,0)))</f>
        <v>0</v>
      </c>
      <c r="AH279" s="507" t="n">
        <f aca="false">IF(OR($R279="Ghost",$S279="Ghost"),4,SUM(IF(OR($R279="Dark",$R279="Ice",$R279="Normal",$R279="Rock",$R279="Steel"),0-1,IF(OR($R279="Bug",$R279="Fairy",$R279="Flying",$R279="Poison",$R279="Psychic"),1,0)),IF(OR($S279="Dark",$S279="Ice",$S279="Normal",$S279="Rock",$S279="Steel"),0-1,IF(OR($S279="Bug",$S279="Fairy",$S279="Flying",$S279="Poison",$S279="Psychic"),1,0))))</f>
        <v>1</v>
      </c>
      <c r="AI279" s="507" t="n">
        <f aca="false">SUM(IF(OR($R279="Bug",$R279="Grass",$R279="Ice",$R279="Steel"),0-1,IF(OR($R279="Dragon",$R279="Fire",$R279="Rock",$R279="Water"),1,0)),IF(OR($S279="Bug",$S279="Grass",$S279="Ice",$S279="Steel"),0-1,IF(OR($S279="Dragon",$S279="Fire",$S279="Rock",$S279="Water"),1,0)))</f>
        <v>1</v>
      </c>
      <c r="AJ279" s="507" t="n">
        <f aca="false">SUM(IF(OR($R279="Bug",$R279="Grass",$R279="Fighting"),0-1,IF(OR($R279="Electric",$R279="Rock",$R279="Steel"),1,0)),IF(OR($S279="Bug",$S279="Grass",$S279="Fighting"),0-1,IF(OR($S279="Electric",$S279="Rock",$S279="Steel"),1,0)))</f>
        <v>0</v>
      </c>
      <c r="AK279" s="507" t="n">
        <f aca="false">IF(OR($R279="Normal",$S279="Normal"),4,SUM(IF(OR($R279="Ghost",$R279="Psychic"),0-1,IF($R279="Dark",1,0)),IF(OR($S279="Ghost",$S279="Psychic"),0-1,IF($S279="Dark",1,0))))</f>
        <v>0</v>
      </c>
      <c r="AL279" s="507" t="n">
        <f aca="false">SUM(IF(OR($R279="Ground",$R279="Rock",$R279="Water"),0-1,IF(OR($R279="Bug",$R279="Flying",$R279="Fire",$R279="Dragon",$R279="Poison",$R279="Steel",$R279="Grass"),1,0)),IF(OR($S279="Ground",$S279="Rock",$S279="Water"),0-1,IF(OR($S279="Bug",$S279="Flying",$S279="Fire",$S279="Dragon",$S279="Poison",$S279="Steel",$S279="Grass"),1,0)))</f>
        <v>0</v>
      </c>
      <c r="AM279" s="507" t="n">
        <f aca="false">IF(OR($R279="Flying",$S279="Flying"),4,SUM(IF(OR($R279="Electric",$R279="Fire",$R279="Rock",$R279="Steel",$R279="Poison"),0-1,IF(OR($R279="Bug",$R279="Grass"),1,0)),IF(OR($S279="Electric",$S279="Fire",$S279="Rock",$S279="Steel",$S279="Poison"),0-1,IF(OR($S279="Bug",$S279="Grass"),1,0))))</f>
        <v>4</v>
      </c>
      <c r="AN279" s="507" t="n">
        <f aca="false">SUM(IF(OR($R279="Flying",$R279="Dragon",$R279="Grass",$R279="Ground"),0-1,IF(OR($R279="Steel",$R279="Ice",$R279="Fire",$R279="Water"),1,0)),IF(OR($S279="Flying",$S279="Dragon",$S279="Grass",$S279="Ground"),0-1,IF(OR($S279="Steel",$S279="Ice",$S279="Fire",$S279="Water"),1,0)))</f>
        <v>0</v>
      </c>
      <c r="AO279" s="507" t="n">
        <f aca="false">IF(OR($R279="Ghost",$S279="Ghost"),4,SUM(IF(OR($R279="Steel",$R279="Rock"),1,0),IF(OR($S279="Steel",$S279="Rock"),1,0)))</f>
        <v>0</v>
      </c>
      <c r="AP279" s="507" t="n">
        <f aca="false">IF(OR($R279="Steel",$S279="Steel"),4,SUM(IF(OR($R279="Fairy",$R279="Grass"),0-1,IF(OR($R279="Ghost",$R279="Rock",$R279="Ground",$R279="Poison"),1,0)),IF(OR($S279="Fairy",$S279="Grass"),0-1,IF(OR($S279="Ghost",$S279="Rock",$S279="Ground",$S279="Poison"),1,0))))</f>
        <v>0</v>
      </c>
      <c r="AQ279" s="507" t="n">
        <f aca="false">IF(OR($R279="Dark",$S279="Dark"),4,SUM(IF(OR($R279="Fighting",$R279="Poison"),0-1,IF(OR($R279="Psychic",$R279="Steel"),1,0)),IF(OR($S279="Fighting",$S279="Poison"),0-1,IF(OR($S279="Psychic",$S279="Steel"),1,0))))</f>
        <v>0</v>
      </c>
      <c r="AR279" s="507" t="n">
        <f aca="false">SUM(IF(OR($R279="Bug",$R279="Fire",$R279="Flying",$R279="Ice"),0-1,IF(OR($R279="Steel",$R279="Fighting",$R279="Ground"),1,0)),IF(OR($S279="Bug",$S279="Fire",$S279="Flying",$S279="Ice"),0-1,IF(OR($S279="Steel",$S279="Fighting",$S279="Ground"),1,0)))</f>
        <v>-1</v>
      </c>
      <c r="AS279" s="507" t="n">
        <f aca="false">SUM(IF(OR($R279="Fairy",$R279="Ice",$R279="Rock"),0-1,IF(OR($R279="Steel",$R279="Electric",$R279="Fire",$R279="Water"),1,0)),IF(OR($S279="Fairy",$S279="Ice",$S279="Rock"),0-1,IF(OR($S279="Steel",$S279="Electric",$S279="Fire",$S279="Water"),1,0)))</f>
        <v>1</v>
      </c>
      <c r="AT279" s="508" t="n">
        <f aca="false">SUM(IF(OR($R279="Fire",$R279="Ground",$R279="Rock"),0-1,IF(OR($R279="Dragon",$R279="Grass",$R279="Water"),1,0)),IF(OR($S279="Fire",$S279="Ground",$S279="Rock"),0-1,IF(OR($S279="Dragon",$S279="Grass",$S279="Water"),1,0)))</f>
        <v>1</v>
      </c>
      <c r="AU279" s="518"/>
    </row>
    <row r="280" customFormat="false" ht="15.75" hidden="false" customHeight="false" outlineLevel="0" collapsed="false">
      <c r="A280" s="510" t="str">
        <f aca="false" t="array" ref="A280:A280">IF(ISNA(INDEX(Source!$U$7:$U$95,MATCH(B280,Source!$V$7:$V$95,0))),"FREE",INDEX(Source!$U$7:$U$95,MATCH(B280,Source!$V$7:$V$95,0)))</f>
        <v>KKS</v>
      </c>
      <c r="B280" s="511" t="s">
        <v>122</v>
      </c>
      <c r="C280" s="511"/>
      <c r="D280" s="511"/>
      <c r="E280" s="499" t="n">
        <f aca="false">IF(SUM($W280:$X280)&gt;0,SUM($W280:$X280),IF($H280&gt;0,0,IF($H280&gt;0,0,"-")))</f>
        <v>0</v>
      </c>
      <c r="F280" s="499" t="n">
        <f aca="false">IF(SUM($Y280:$Z280)&gt;0,SUM($Y280:$Z280),IF($H280&gt;0,0,"-"))</f>
        <v>0</v>
      </c>
      <c r="G280" s="499" t="e">
        <f aca="false">IF($H280&gt;0,minus(E280,F280),"-")</f>
        <v>#NAME?</v>
      </c>
      <c r="H280" s="500" t="n">
        <f aca="false">SUM(COUNTIF(MatchSource!$A:$A,$B280),COUNTIF(MatchSource!$H:$H,$B280))</f>
        <v>1</v>
      </c>
      <c r="I280" s="501" t="n">
        <f aca="false">SUM($AA280:$AB280)</f>
        <v>0</v>
      </c>
      <c r="J280" s="501" t="s">
        <v>702</v>
      </c>
      <c r="K280" s="512" t="str">
        <f aca="false" t="array" ref="K280:K280">IF(ISNA(INDEX(DraftRosters!$AA$3:$AA$199,MATCH($B280,DraftRosters!$AB$3:$AB$199,0))),"FA",IF(INDEX(DraftRosters!$AA$3:$AA$199,MATCH($B280,DraftRosters!$AB$3:$AB$199,0))="Franchise","Franch",INDEX(DraftRosters!$AA$3:$AA$199,MATCH($B280,DraftRosters!$AB$3:$AB$199,0))))</f>
        <v>FA</v>
      </c>
      <c r="L280" s="499" t="n">
        <v>45</v>
      </c>
      <c r="M280" s="499" t="n">
        <v>20</v>
      </c>
      <c r="N280" s="499" t="n">
        <v>50</v>
      </c>
      <c r="O280" s="499" t="n">
        <v>60</v>
      </c>
      <c r="P280" s="499" t="n">
        <v>120</v>
      </c>
      <c r="Q280" s="501" t="n">
        <v>50</v>
      </c>
      <c r="R280" s="499" t="s">
        <v>801</v>
      </c>
      <c r="S280" s="501" t="s">
        <v>811</v>
      </c>
      <c r="T280" s="504" t="s">
        <v>859</v>
      </c>
      <c r="U280" s="505" t="s">
        <v>973</v>
      </c>
      <c r="V280" s="506" t="s">
        <v>849</v>
      </c>
      <c r="W280" s="500" t="str">
        <f aca="false">IFERROR(__xludf.dummyfunction("if(isna(SUM(FILTER(MatchSource!$A:$D,MatchSource!$A:$A=$B280))),0,SUM(FILTER(MatchSource!$A:$D,MatchSource!$A:$A=$B280)))"),"1")</f>
        <v>1</v>
      </c>
      <c r="X280" s="499" t="str">
        <f aca="false">IFERROR(__xludf.dummyfunction("if(isna(SUM(FILTER(MatchSource!$H:$K,MatchSource!$H:$H=$B280))),0,SUM(FILTER(MatchSource!$H:$K,MatchSource!$H:$H=$B280)))"),"0")</f>
        <v>0</v>
      </c>
      <c r="Y280" s="499" t="str">
        <f aca="false">IFERROR(__xludf.dummyfunction("if(isna(ABS(MINUS(SUM(FILTER(MatchSource!$A:$E,MatchSource!$A:$A=$B280)),SUM($W280)))),0,ABS(MINUS(SUM(FILTER(MatchSource!$A:$E,MatchSource!$A:$A=$B280)),SUM($W280))))"),"1")</f>
        <v>1</v>
      </c>
      <c r="Z280" s="499" t="str">
        <f aca="false">IFERROR(__xludf.dummyfunction("if(isna(ABS(MINUS(SUM(FILTER(MatchSource!$H:$L,MatchSource!$H:$H=$B280)),SUM($X280)))),0,ABS(MINUS(SUM(FILTER(MatchSource!$H:$L,MatchSource!$H:$H=$B280)),SUM($X280))))"),"0")</f>
        <v>0</v>
      </c>
      <c r="AA280" s="499" t="str">
        <f aca="false">IFERROR(__xludf.dummyfunction("if(isna(ABS(MINUS(SUM(FILTER(MatchSource!$A:$F,MatchSource!$A:$A=$B280)),SUM($W280,$Y280)))),0,ABS(MINUS(SUM(FILTER(MatchSource!$A:$F,MatchSource!$A:$A=$B280)),SUM($W280, $Y280,))))"),"1")</f>
        <v>1</v>
      </c>
      <c r="AB280" s="501" t="str">
        <f aca="false">IFERROR(__xludf.dummyfunction("if(isna(ABS(MINUS(SUM(FILTER(MatchSource!$H:$M,MatchSource!$H:$H=$B280)),SUM($X280,$Z280)))),0,ABS(MINUS(SUM(FILTER(MatchSource!$H:$M,MatchSource!$H:$H=$B280)),SUM($X280,$Z280))))"),"0")</f>
        <v>0</v>
      </c>
      <c r="AC280" s="507" t="n">
        <f aca="false">SUM(IF(OR($R280="Grass",$R280="Psychic",$R280="Dark"),0-1,IF(OR($R280="Fighting",$R280="Flying",$R280="Fire",$R280="Ghost",$R280="Poison",$R280="Steel",$R280="Fairy"),1,0)),IF(OR($S280="Grass",$S280="Psychic",$S280="Dark"),0-1,IF(OR($S280="Fighting",$S280="Flying",$S280="Fire",$S280="Ghost",$S280="Poison",$S280="Steel",$S280="Fairy"),1,0)))</f>
        <v>1</v>
      </c>
      <c r="AD280" s="507" t="n">
        <f aca="false">SUM(IF(OR($R280="Ghost",$R280="Psychic"),0-1,IF(OR($R280="Fighting",$R280="Dark",$R280="Fairy"),1,0)),IF(OR($S280="Ghost",$S280="Psychic"),0-1,IF(OR($S280="Fighting",$S280="Dark",$S280="Fairy"),1,0)))</f>
        <v>0</v>
      </c>
      <c r="AE280" s="507" t="n">
        <f aca="false">IF(OR($R280="Fairy",$S280="Fairy"),4,SUM(IF($R280="Dragon",0-1,IF($R280="Steel",1,0)),IF($S280="Dragon",0-1,IF($S280="Steel",1,0))))</f>
        <v>0</v>
      </c>
      <c r="AF280" s="507" t="n">
        <f aca="false">IF(OR($R280="Ground",$S280="Ground"),4,SUM(IF(OR($R280="Flying",$R280="Water"),0-1,IF(OR($R280="Dragon",$R280="Electric",$R280="Grass"),1,0)),IF(OR($S280="Flying",$S280="Water"),0-1,IF(OR($S280="Dragon",$S280="Electric",$S280="Grass"),1,0))))</f>
        <v>-2</v>
      </c>
      <c r="AG280" s="507" t="n">
        <f aca="false">SUM(IF(OR($R280="Dark",$R280="Dragon",$R280="Fighting"),0-1,IF(OR($R280="Steel",$R280="Poison",$R280="Fire"),1,0)),IF(OR($S280="Dark",$S280="Dragon",$S280="Fighting"),0-1,IF(OR($S280="Steel",$S280="Poison",$S280="Fire"),1,0)))</f>
        <v>0</v>
      </c>
      <c r="AH280" s="507" t="n">
        <f aca="false">IF(OR($R280="Ghost",$S280="Ghost"),4,SUM(IF(OR($R280="Dark",$R280="Ice",$R280="Normal",$R280="Rock",$R280="Steel"),0-1,IF(OR($R280="Bug",$R280="Fairy",$R280="Flying",$R280="Poison",$R280="Psychic"),1,0)),IF(OR($S280="Dark",$S280="Ice",$S280="Normal",$S280="Rock",$S280="Steel"),0-1,IF(OR($S280="Bug",$S280="Fairy",$S280="Flying",$S280="Poison",$S280="Psychic"),1,0))))</f>
        <v>1</v>
      </c>
      <c r="AI280" s="507" t="n">
        <f aca="false">SUM(IF(OR($R280="Bug",$R280="Grass",$R280="Ice",$R280="Steel"),0-1,IF(OR($R280="Dragon",$R280="Fire",$R280="Rock",$R280="Water"),1,0)),IF(OR($S280="Bug",$S280="Grass",$S280="Ice",$S280="Steel"),0-1,IF(OR($S280="Dragon",$S280="Fire",$S280="Rock",$S280="Water"),1,0)))</f>
        <v>1</v>
      </c>
      <c r="AJ280" s="507" t="n">
        <f aca="false">SUM(IF(OR($R280="Bug",$R280="Grass",$R280="Fighting"),0-1,IF(OR($R280="Electric",$R280="Rock",$R280="Steel"),1,0)),IF(OR($S280="Bug",$S280="Grass",$S280="Fighting"),0-1,IF(OR($S280="Electric",$S280="Rock",$S280="Steel"),1,0)))</f>
        <v>0</v>
      </c>
      <c r="AK280" s="507" t="n">
        <f aca="false">IF(OR($R280="Normal",$S280="Normal"),4,SUM(IF(OR($R280="Ghost",$R280="Psychic"),0-1,IF($R280="Dark",1,0)),IF(OR($S280="Ghost",$S280="Psychic"),0-1,IF($S280="Dark",1,0))))</f>
        <v>0</v>
      </c>
      <c r="AL280" s="507" t="n">
        <f aca="false">SUM(IF(OR($R280="Ground",$R280="Rock",$R280="Water"),0-1,IF(OR($R280="Bug",$R280="Flying",$R280="Fire",$R280="Dragon",$R280="Poison",$R280="Steel",$R280="Grass"),1,0)),IF(OR($S280="Ground",$S280="Rock",$S280="Water"),0-1,IF(OR($S280="Bug",$S280="Flying",$S280="Fire",$S280="Dragon",$S280="Poison",$S280="Steel",$S280="Grass"),1,0)))</f>
        <v>0</v>
      </c>
      <c r="AM280" s="507" t="n">
        <f aca="false">IF(OR($R280="Flying",$S280="Flying"),4,SUM(IF(OR($R280="Electric",$R280="Fire",$R280="Rock",$R280="Steel",$R280="Poison"),0-1,IF(OR($R280="Bug",$R280="Grass"),1,0)),IF(OR($S280="Electric",$S280="Fire",$S280="Rock",$S280="Steel",$S280="Poison"),0-1,IF(OR($S280="Bug",$S280="Grass"),1,0))))</f>
        <v>4</v>
      </c>
      <c r="AN280" s="507" t="n">
        <f aca="false">SUM(IF(OR($R280="Flying",$R280="Dragon",$R280="Grass",$R280="Ground"),0-1,IF(OR($R280="Steel",$R280="Ice",$R280="Fire",$R280="Water"),1,0)),IF(OR($S280="Flying",$S280="Dragon",$S280="Grass",$S280="Ground"),0-1,IF(OR($S280="Steel",$S280="Ice",$S280="Fire",$S280="Water"),1,0)))</f>
        <v>0</v>
      </c>
      <c r="AO280" s="507" t="n">
        <f aca="false">IF(OR($R280="Ghost",$S280="Ghost"),4,SUM(IF(OR($R280="Steel",$R280="Rock"),1,0),IF(OR($S280="Steel",$S280="Rock"),1,0)))</f>
        <v>0</v>
      </c>
      <c r="AP280" s="507" t="n">
        <f aca="false">IF(OR($R280="Steel",$S280="Steel"),4,SUM(IF(OR($R280="Fairy",$R280="Grass"),0-1,IF(OR($R280="Ghost",$R280="Rock",$R280="Ground",$R280="Poison"),1,0)),IF(OR($S280="Fairy",$S280="Grass"),0-1,IF(OR($S280="Ghost",$S280="Rock",$S280="Ground",$S280="Poison"),1,0))))</f>
        <v>0</v>
      </c>
      <c r="AQ280" s="507" t="n">
        <f aca="false">IF(OR($R280="Dark",$S280="Dark"),4,SUM(IF(OR($R280="Fighting",$R280="Poison"),0-1,IF(OR($R280="Psychic",$R280="Steel"),1,0)),IF(OR($S280="Fighting",$S280="Poison"),0-1,IF(OR($S280="Psychic",$S280="Steel"),1,0))))</f>
        <v>0</v>
      </c>
      <c r="AR280" s="507" t="n">
        <f aca="false">SUM(IF(OR($R280="Bug",$R280="Fire",$R280="Flying",$R280="Ice"),0-1,IF(OR($R280="Steel",$R280="Fighting",$R280="Ground"),1,0)),IF(OR($S280="Bug",$S280="Fire",$S280="Flying",$S280="Ice"),0-1,IF(OR($S280="Steel",$S280="Fighting",$S280="Ground"),1,0)))</f>
        <v>-1</v>
      </c>
      <c r="AS280" s="507" t="n">
        <f aca="false">SUM(IF(OR($R280="Fairy",$R280="Ice",$R280="Rock"),0-1,IF(OR($R280="Steel",$R280="Electric",$R280="Fire",$R280="Water"),1,0)),IF(OR($S280="Fairy",$S280="Ice",$S280="Rock"),0-1,IF(OR($S280="Steel",$S280="Electric",$S280="Fire",$S280="Water"),1,0)))</f>
        <v>1</v>
      </c>
      <c r="AT280" s="508" t="n">
        <f aca="false">SUM(IF(OR($R280="Fire",$R280="Ground",$R280="Rock"),0-1,IF(OR($R280="Dragon",$R280="Grass",$R280="Water"),1,0)),IF(OR($S280="Fire",$S280="Ground",$S280="Rock"),0-1,IF(OR($S280="Dragon",$S280="Grass",$S280="Water"),1,0)))</f>
        <v>1</v>
      </c>
      <c r="AU280" s="518"/>
    </row>
    <row r="281" customFormat="false" ht="15.75" hidden="false" customHeight="false" outlineLevel="0" collapsed="false">
      <c r="A281" s="510" t="str">
        <f aca="false" t="array" ref="A281:A281">IF(ISNA(INDEX(Source!$U$7:$U$95,MATCH(B281,Source!$V$7:$V$95,0))),"FREE",INDEX(Source!$U$7:$U$95,MATCH(B281,Source!$V$7:$V$95,0)))</f>
        <v>FREE</v>
      </c>
      <c r="B281" s="511" t="s">
        <v>316</v>
      </c>
      <c r="C281" s="511"/>
      <c r="D281" s="511"/>
      <c r="E281" s="499" t="str">
        <f aca="false">IF(SUM($W281:$X281)&gt;0,SUM($W281:$X281),IF($H281&gt;0,0,IF($H281&gt;0,0,"-")))</f>
        <v>-</v>
      </c>
      <c r="F281" s="499" t="str">
        <f aca="false">IF(SUM($Y281:$Z281)&gt;0,SUM($Y281:$Z281),IF($H281&gt;0,0,"-"))</f>
        <v>-</v>
      </c>
      <c r="G281" s="499" t="str">
        <f aca="false">IF($H281&gt;0,minus(E281,F281),"-")</f>
        <v>-</v>
      </c>
      <c r="H281" s="500" t="n">
        <f aca="false">SUM(COUNTIF(MatchSource!$A:$A,$B281),COUNTIF(MatchSource!$H:$H,$B281))</f>
        <v>0</v>
      </c>
      <c r="I281" s="501" t="n">
        <f aca="false">SUM($AA281:$AB281)</f>
        <v>0</v>
      </c>
      <c r="J281" s="501" t="s">
        <v>702</v>
      </c>
      <c r="K281" s="512" t="str">
        <f aca="false" t="array" ref="K281:K281">IF(ISNA(INDEX(DraftRosters!$AA$3:$AA$199,MATCH($B281,DraftRosters!$AB$3:$AB$199,0))),"FA",IF(INDEX(DraftRosters!$AA$3:$AA$199,MATCH($B281,DraftRosters!$AB$3:$AB$199,0))="Franchise","Franch",INDEX(DraftRosters!$AA$3:$AA$199,MATCH($B281,DraftRosters!$AB$3:$AB$199,0))))</f>
        <v>FA</v>
      </c>
      <c r="L281" s="499" t="n">
        <v>75</v>
      </c>
      <c r="M281" s="499" t="n">
        <v>86</v>
      </c>
      <c r="N281" s="499" t="n">
        <v>67</v>
      </c>
      <c r="O281" s="499" t="n">
        <v>106</v>
      </c>
      <c r="P281" s="499" t="n">
        <v>67</v>
      </c>
      <c r="Q281" s="501" t="n">
        <v>60</v>
      </c>
      <c r="R281" s="499" t="s">
        <v>801</v>
      </c>
      <c r="S281" s="501" t="s">
        <v>811</v>
      </c>
      <c r="T281" s="504" t="s">
        <v>880</v>
      </c>
      <c r="U281" s="505" t="s">
        <v>849</v>
      </c>
      <c r="V281" s="506" t="s">
        <v>934</v>
      </c>
      <c r="W281" s="500" t="str">
        <f aca="false">IFERROR(__xludf.dummyfunction("if(isna(SUM(FILTER(MatchSource!$A:$D,MatchSource!$A:$A=$B281))),0,SUM(FILTER(MatchSource!$A:$D,MatchSource!$A:$A=$B281)))"),"0")</f>
        <v>0</v>
      </c>
      <c r="X281" s="499" t="str">
        <f aca="false">IFERROR(__xludf.dummyfunction("if(isna(SUM(FILTER(MatchSource!$H:$K,MatchSource!$H:$H=$B281))),0,SUM(FILTER(MatchSource!$H:$K,MatchSource!$H:$H=$B281)))"),"0")</f>
        <v>0</v>
      </c>
      <c r="Y281" s="499" t="str">
        <f aca="false">IFERROR(__xludf.dummyfunction("if(isna(ABS(MINUS(SUM(FILTER(MatchSource!$A:$E,MatchSource!$A:$A=$B281)),SUM($W281)))),0,ABS(MINUS(SUM(FILTER(MatchSource!$A:$E,MatchSource!$A:$A=$B281)),SUM($W281))))"),"0")</f>
        <v>0</v>
      </c>
      <c r="Z281" s="499" t="str">
        <f aca="false">IFERROR(__xludf.dummyfunction("if(isna(ABS(MINUS(SUM(FILTER(MatchSource!$H:$L,MatchSource!$H:$H=$B281)),SUM($X281)))),0,ABS(MINUS(SUM(FILTER(MatchSource!$H:$L,MatchSource!$H:$H=$B281)),SUM($X281))))"),"0")</f>
        <v>0</v>
      </c>
      <c r="AA281" s="499" t="str">
        <f aca="false">IFERROR(__xludf.dummyfunction("if(isna(ABS(MINUS(SUM(FILTER(MatchSource!$A:$F,MatchSource!$A:$A=$B281)),SUM($W281,$Y281)))),0,ABS(MINUS(SUM(FILTER(MatchSource!$A:$F,MatchSource!$A:$A=$B281)),SUM($W281, $Y281,))))"),"0")</f>
        <v>0</v>
      </c>
      <c r="AB281" s="501" t="str">
        <f aca="false">IFERROR(__xludf.dummyfunction("if(isna(ABS(MINUS(SUM(FILTER(MatchSource!$H:$M,MatchSource!$H:$H=$B281)),SUM($X281,$Z281)))),0,ABS(MINUS(SUM(FILTER(MatchSource!$H:$M,MatchSource!$H:$H=$B281)),SUM($X281,$Z281))))"),"0")</f>
        <v>0</v>
      </c>
      <c r="AC281" s="507" t="n">
        <f aca="false">SUM(IF(OR($R281="Grass",$R281="Psychic",$R281="Dark"),0-1,IF(OR($R281="Fighting",$R281="Flying",$R281="Fire",$R281="Ghost",$R281="Poison",$R281="Steel",$R281="Fairy"),1,0)),IF(OR($S281="Grass",$S281="Psychic",$S281="Dark"),0-1,IF(OR($S281="Fighting",$S281="Flying",$S281="Fire",$S281="Ghost",$S281="Poison",$S281="Steel",$S281="Fairy"),1,0)))</f>
        <v>1</v>
      </c>
      <c r="AD281" s="507" t="n">
        <f aca="false">SUM(IF(OR($R281="Ghost",$R281="Psychic"),0-1,IF(OR($R281="Fighting",$R281="Dark",$R281="Fairy"),1,0)),IF(OR($S281="Ghost",$S281="Psychic"),0-1,IF(OR($S281="Fighting",$S281="Dark",$S281="Fairy"),1,0)))</f>
        <v>0</v>
      </c>
      <c r="AE281" s="507" t="n">
        <f aca="false">IF(OR($R281="Fairy",$S281="Fairy"),4,SUM(IF($R281="Dragon",0-1,IF($R281="Steel",1,0)),IF($S281="Dragon",0-1,IF($S281="Steel",1,0))))</f>
        <v>0</v>
      </c>
      <c r="AF281" s="507" t="n">
        <f aca="false">IF(OR($R281="Ground",$S281="Ground"),4,SUM(IF(OR($R281="Flying",$R281="Water"),0-1,IF(OR($R281="Dragon",$R281="Electric",$R281="Grass"),1,0)),IF(OR($S281="Flying",$S281="Water"),0-1,IF(OR($S281="Dragon",$S281="Electric",$S281="Grass"),1,0))))</f>
        <v>-2</v>
      </c>
      <c r="AG281" s="507" t="n">
        <f aca="false">SUM(IF(OR($R281="Dark",$R281="Dragon",$R281="Fighting"),0-1,IF(OR($R281="Steel",$R281="Poison",$R281="Fire"),1,0)),IF(OR($S281="Dark",$S281="Dragon",$S281="Fighting"),0-1,IF(OR($S281="Steel",$S281="Poison",$S281="Fire"),1,0)))</f>
        <v>0</v>
      </c>
      <c r="AH281" s="507" t="n">
        <f aca="false">IF(OR($R281="Ghost",$S281="Ghost"),4,SUM(IF(OR($R281="Dark",$R281="Ice",$R281="Normal",$R281="Rock",$R281="Steel"),0-1,IF(OR($R281="Bug",$R281="Fairy",$R281="Flying",$R281="Poison",$R281="Psychic"),1,0)),IF(OR($S281="Dark",$S281="Ice",$S281="Normal",$S281="Rock",$S281="Steel"),0-1,IF(OR($S281="Bug",$S281="Fairy",$S281="Flying",$S281="Poison",$S281="Psychic"),1,0))))</f>
        <v>1</v>
      </c>
      <c r="AI281" s="507" t="n">
        <f aca="false">SUM(IF(OR($R281="Bug",$R281="Grass",$R281="Ice",$R281="Steel"),0-1,IF(OR($R281="Dragon",$R281="Fire",$R281="Rock",$R281="Water"),1,0)),IF(OR($S281="Bug",$S281="Grass",$S281="Ice",$S281="Steel"),0-1,IF(OR($S281="Dragon",$S281="Fire",$S281="Rock",$S281="Water"),1,0)))</f>
        <v>1</v>
      </c>
      <c r="AJ281" s="507" t="n">
        <f aca="false">SUM(IF(OR($R281="Bug",$R281="Grass",$R281="Fighting"),0-1,IF(OR($R281="Electric",$R281="Rock",$R281="Steel"),1,0)),IF(OR($S281="Bug",$S281="Grass",$S281="Fighting"),0-1,IF(OR($S281="Electric",$S281="Rock",$S281="Steel"),1,0)))</f>
        <v>0</v>
      </c>
      <c r="AK281" s="507" t="n">
        <f aca="false">IF(OR($R281="Normal",$S281="Normal"),4,SUM(IF(OR($R281="Ghost",$R281="Psychic"),0-1,IF($R281="Dark",1,0)),IF(OR($S281="Ghost",$S281="Psychic"),0-1,IF($S281="Dark",1,0))))</f>
        <v>0</v>
      </c>
      <c r="AL281" s="507" t="n">
        <f aca="false">SUM(IF(OR($R281="Ground",$R281="Rock",$R281="Water"),0-1,IF(OR($R281="Bug",$R281="Flying",$R281="Fire",$R281="Dragon",$R281="Poison",$R281="Steel",$R281="Grass"),1,0)),IF(OR($S281="Ground",$S281="Rock",$S281="Water"),0-1,IF(OR($S281="Bug",$S281="Flying",$S281="Fire",$S281="Dragon",$S281="Poison",$S281="Steel",$S281="Grass"),1,0)))</f>
        <v>0</v>
      </c>
      <c r="AM281" s="507" t="n">
        <f aca="false">IF(OR($R281="Flying",$S281="Flying"),4,SUM(IF(OR($R281="Electric",$R281="Fire",$R281="Rock",$R281="Steel",$R281="Poison"),0-1,IF(OR($R281="Bug",$R281="Grass"),1,0)),IF(OR($S281="Electric",$S281="Fire",$S281="Rock",$S281="Steel",$S281="Poison"),0-1,IF(OR($S281="Bug",$S281="Grass"),1,0))))</f>
        <v>4</v>
      </c>
      <c r="AN281" s="507" t="n">
        <f aca="false">SUM(IF(OR($R281="Flying",$R281="Dragon",$R281="Grass",$R281="Ground"),0-1,IF(OR($R281="Steel",$R281="Ice",$R281="Fire",$R281="Water"),1,0)),IF(OR($S281="Flying",$S281="Dragon",$S281="Grass",$S281="Ground"),0-1,IF(OR($S281="Steel",$S281="Ice",$S281="Fire",$S281="Water"),1,0)))</f>
        <v>0</v>
      </c>
      <c r="AO281" s="507" t="n">
        <f aca="false">IF(OR($R281="Ghost",$S281="Ghost"),4,SUM(IF(OR($R281="Steel",$R281="Rock"),1,0),IF(OR($S281="Steel",$S281="Rock"),1,0)))</f>
        <v>0</v>
      </c>
      <c r="AP281" s="507" t="n">
        <f aca="false">IF(OR($R281="Steel",$S281="Steel"),4,SUM(IF(OR($R281="Fairy",$R281="Grass"),0-1,IF(OR($R281="Ghost",$R281="Rock",$R281="Ground",$R281="Poison"),1,0)),IF(OR($S281="Fairy",$S281="Grass"),0-1,IF(OR($S281="Ghost",$S281="Rock",$S281="Ground",$S281="Poison"),1,0))))</f>
        <v>0</v>
      </c>
      <c r="AQ281" s="507" t="n">
        <f aca="false">IF(OR($R281="Dark",$S281="Dark"),4,SUM(IF(OR($R281="Fighting",$R281="Poison"),0-1,IF(OR($R281="Psychic",$R281="Steel"),1,0)),IF(OR($S281="Fighting",$S281="Poison"),0-1,IF(OR($S281="Psychic",$S281="Steel"),1,0))))</f>
        <v>0</v>
      </c>
      <c r="AR281" s="507" t="n">
        <f aca="false">SUM(IF(OR($R281="Bug",$R281="Fire",$R281="Flying",$R281="Ice"),0-1,IF(OR($R281="Steel",$R281="Fighting",$R281="Ground"),1,0)),IF(OR($S281="Bug",$S281="Fire",$S281="Flying",$S281="Ice"),0-1,IF(OR($S281="Steel",$S281="Fighting",$S281="Ground"),1,0)))</f>
        <v>-1</v>
      </c>
      <c r="AS281" s="507" t="n">
        <f aca="false">SUM(IF(OR($R281="Fairy",$R281="Ice",$R281="Rock"),0-1,IF(OR($R281="Steel",$R281="Electric",$R281="Fire",$R281="Water"),1,0)),IF(OR($S281="Fairy",$S281="Ice",$S281="Rock"),0-1,IF(OR($S281="Steel",$S281="Electric",$S281="Fire",$S281="Water"),1,0)))</f>
        <v>1</v>
      </c>
      <c r="AT281" s="508" t="n">
        <f aca="false">SUM(IF(OR($R281="Fire",$R281="Ground",$R281="Rock"),0-1,IF(OR($R281="Dragon",$R281="Grass",$R281="Water"),1,0)),IF(OR($S281="Fire",$S281="Ground",$S281="Rock"),0-1,IF(OR($S281="Dragon",$S281="Grass",$S281="Water"),1,0)))</f>
        <v>1</v>
      </c>
      <c r="AU281" s="518"/>
    </row>
    <row r="282" customFormat="false" ht="15.75" hidden="false" customHeight="false" outlineLevel="0" collapsed="false">
      <c r="A282" s="510" t="str">
        <f aca="false" t="array" ref="A282:A282">IF(ISNA(INDEX(Source!$U$7:$U$95,MATCH(B282,Source!$V$7:$V$95,0))),"FREE",INDEX(Source!$U$7:$U$95,MATCH(B282,Source!$V$7:$V$95,0)))</f>
        <v>FREE</v>
      </c>
      <c r="B282" s="511" t="s">
        <v>323</v>
      </c>
      <c r="C282" s="511"/>
      <c r="D282" s="511"/>
      <c r="E282" s="499" t="str">
        <f aca="false">IF(SUM($W282:$X282)&gt;0,SUM($W282:$X282),IF($H282&gt;0,0,IF($H282&gt;0,0,"-")))</f>
        <v>-</v>
      </c>
      <c r="F282" s="499" t="str">
        <f aca="false">IF(SUM($Y282:$Z282)&gt;0,SUM($Y282:$Z282),IF($H282&gt;0,0,"-"))</f>
        <v>-</v>
      </c>
      <c r="G282" s="499" t="str">
        <f aca="false">IF($H282&gt;0,minus(E282,F282),"-")</f>
        <v>-</v>
      </c>
      <c r="H282" s="500" t="n">
        <f aca="false">SUM(COUNTIF(MatchSource!$A:$A,$B282),COUNTIF(MatchSource!$H:$H,$B282))</f>
        <v>0</v>
      </c>
      <c r="I282" s="501" t="n">
        <f aca="false">SUM($AA282:$AB282)</f>
        <v>0</v>
      </c>
      <c r="J282" s="501" t="s">
        <v>702</v>
      </c>
      <c r="K282" s="512" t="str">
        <f aca="false" t="array" ref="K282:K282">IF(ISNA(INDEX(DraftRosters!$AA$3:$AA$199,MATCH($B282,DraftRosters!$AB$3:$AB$199,0))),"FA",IF(INDEX(DraftRosters!$AA$3:$AA$199,MATCH($B282,DraftRosters!$AB$3:$AB$199,0))="Franchise","Franch",INDEX(DraftRosters!$AA$3:$AA$199,MATCH($B282,DraftRosters!$AB$3:$AB$199,0))))</f>
        <v>FA</v>
      </c>
      <c r="L282" s="499" t="n">
        <v>60</v>
      </c>
      <c r="M282" s="499" t="n">
        <v>80</v>
      </c>
      <c r="N282" s="499" t="n">
        <v>110</v>
      </c>
      <c r="O282" s="499" t="n">
        <v>50</v>
      </c>
      <c r="P282" s="499" t="n">
        <v>80</v>
      </c>
      <c r="Q282" s="501" t="n">
        <v>45</v>
      </c>
      <c r="R282" s="499" t="s">
        <v>907</v>
      </c>
      <c r="S282" s="501"/>
      <c r="T282" s="504" t="s">
        <v>858</v>
      </c>
      <c r="U282" s="505" t="s">
        <v>823</v>
      </c>
      <c r="V282" s="506" t="s">
        <v>1023</v>
      </c>
      <c r="W282" s="500" t="str">
        <f aca="false">IFERROR(__xludf.dummyfunction("if(isna(SUM(FILTER(MatchSource!$A:$D,MatchSource!$A:$A=$B282))),0,SUM(FILTER(MatchSource!$A:$D,MatchSource!$A:$A=$B282)))"),"0")</f>
        <v>0</v>
      </c>
      <c r="X282" s="499" t="str">
        <f aca="false">IFERROR(__xludf.dummyfunction("if(isna(SUM(FILTER(MatchSource!$H:$K,MatchSource!$H:$H=$B282))),0,SUM(FILTER(MatchSource!$H:$K,MatchSource!$H:$H=$B282)))"),"0")</f>
        <v>0</v>
      </c>
      <c r="Y282" s="499" t="str">
        <f aca="false">IFERROR(__xludf.dummyfunction("if(isna(ABS(MINUS(SUM(FILTER(MatchSource!$A:$E,MatchSource!$A:$A=$B282)),SUM($W282)))),0,ABS(MINUS(SUM(FILTER(MatchSource!$A:$E,MatchSource!$A:$A=$B282)),SUM($W282))))"),"0")</f>
        <v>0</v>
      </c>
      <c r="Z282" s="499" t="str">
        <f aca="false">IFERROR(__xludf.dummyfunction("if(isna(ABS(MINUS(SUM(FILTER(MatchSource!$H:$L,MatchSource!$H:$H=$B282)),SUM($X282)))),0,ABS(MINUS(SUM(FILTER(MatchSource!$H:$L,MatchSource!$H:$H=$B282)),SUM($X282))))"),"0")</f>
        <v>0</v>
      </c>
      <c r="AA282" s="499" t="str">
        <f aca="false">IFERROR(__xludf.dummyfunction("if(isna(ABS(MINUS(SUM(FILTER(MatchSource!$A:$F,MatchSource!$A:$A=$B282)),SUM($W282,$Y282)))),0,ABS(MINUS(SUM(FILTER(MatchSource!$A:$F,MatchSource!$A:$A=$B282)),SUM($W282, $Y282,))))"),"0")</f>
        <v>0</v>
      </c>
      <c r="AB282" s="501" t="str">
        <f aca="false">IFERROR(__xludf.dummyfunction("if(isna(ABS(MINUS(SUM(FILTER(MatchSource!$H:$M,MatchSource!$H:$H=$B282)),SUM($X282,$Z282)))),0,ABS(MINUS(SUM(FILTER(MatchSource!$H:$M,MatchSource!$H:$H=$B282)),SUM($X282,$Z282))))"),"0")</f>
        <v>0</v>
      </c>
      <c r="AC282" s="507" t="n">
        <f aca="false">SUM(IF(OR($R282="Grass",$R282="Psychic",$R282="Dark"),0-1,IF(OR($R282="Fighting",$R282="Flying",$R282="Fire",$R282="Ghost",$R282="Poison",$R282="Steel",$R282="Fairy"),1,0)),IF(OR($S282="Grass",$S282="Psychic",$S282="Dark"),0-1,IF(OR($S282="Fighting",$S282="Flying",$S282="Fire",$S282="Ghost",$S282="Poison",$S282="Steel",$S282="Fairy"),1,0)))</f>
        <v>0</v>
      </c>
      <c r="AD282" s="507" t="n">
        <f aca="false">SUM(IF(OR($R282="Ghost",$R282="Psychic"),0-1,IF(OR($R282="Fighting",$R282="Dark",$R282="Fairy"),1,0)),IF(OR($S282="Ghost",$S282="Psychic"),0-1,IF(OR($S282="Fighting",$S282="Dark",$S282="Fairy"),1,0)))</f>
        <v>0</v>
      </c>
      <c r="AE282" s="507" t="n">
        <f aca="false">IF(OR($R282="Fairy",$S282="Fairy"),4,SUM(IF($R282="Dragon",0-1,IF($R282="Steel",1,0)),IF($S282="Dragon",0-1,IF($S282="Steel",1,0))))</f>
        <v>0</v>
      </c>
      <c r="AF282" s="507" t="n">
        <f aca="false">IF(OR($R282="Ground",$S282="Ground"),4,SUM(IF(OR($R282="Flying",$R282="Water"),0-1,IF(OR($R282="Dragon",$R282="Electric",$R282="Grass"),1,0)),IF(OR($S282="Flying",$S282="Water"),0-1,IF(OR($S282="Dragon",$S282="Electric",$S282="Grass"),1,0))))</f>
        <v>4</v>
      </c>
      <c r="AG282" s="507" t="n">
        <f aca="false">SUM(IF(OR($R282="Dark",$R282="Dragon",$R282="Fighting"),0-1,IF(OR($R282="Steel",$R282="Poison",$R282="Fire"),1,0)),IF(OR($S282="Dark",$S282="Dragon",$S282="Fighting"),0-1,IF(OR($S282="Steel",$S282="Poison",$S282="Fire"),1,0)))</f>
        <v>0</v>
      </c>
      <c r="AH282" s="507" t="n">
        <f aca="false">IF(OR($R282="Ghost",$S282="Ghost"),4,SUM(IF(OR($R282="Dark",$R282="Ice",$R282="Normal",$R282="Rock",$R282="Steel"),0-1,IF(OR($R282="Bug",$R282="Fairy",$R282="Flying",$R282="Poison",$R282="Psychic"),1,0)),IF(OR($S282="Dark",$S282="Ice",$S282="Normal",$S282="Rock",$S282="Steel"),0-1,IF(OR($S282="Bug",$S282="Fairy",$S282="Flying",$S282="Poison",$S282="Psychic"),1,0))))</f>
        <v>0</v>
      </c>
      <c r="AI282" s="507" t="n">
        <f aca="false">SUM(IF(OR($R282="Bug",$R282="Grass",$R282="Ice",$R282="Steel"),0-1,IF(OR($R282="Dragon",$R282="Fire",$R282="Rock",$R282="Water"),1,0)),IF(OR($S282="Bug",$S282="Grass",$S282="Ice",$S282="Steel"),0-1,IF(OR($S282="Dragon",$S282="Fire",$S282="Rock",$S282="Water"),1,0)))</f>
        <v>0</v>
      </c>
      <c r="AJ282" s="507" t="n">
        <f aca="false">SUM(IF(OR($R282="Bug",$R282="Grass",$R282="Fighting"),0-1,IF(OR($R282="Electric",$R282="Rock",$R282="Steel"),1,0)),IF(OR($S282="Bug",$S282="Grass",$S282="Fighting"),0-1,IF(OR($S282="Electric",$S282="Rock",$S282="Steel"),1,0)))</f>
        <v>0</v>
      </c>
      <c r="AK282" s="507" t="n">
        <f aca="false">IF(OR($R282="Normal",$S282="Normal"),4,SUM(IF(OR($R282="Ghost",$R282="Psychic"),0-1,IF($R282="Dark",1,0)),IF(OR($S282="Ghost",$S282="Psychic"),0-1,IF($S282="Dark",1,0))))</f>
        <v>0</v>
      </c>
      <c r="AL282" s="507" t="n">
        <f aca="false">SUM(IF(OR($R282="Ground",$R282="Rock",$R282="Water"),0-1,IF(OR($R282="Bug",$R282="Flying",$R282="Fire",$R282="Dragon",$R282="Poison",$R282="Steel",$R282="Grass"),1,0)),IF(OR($S282="Ground",$S282="Rock",$S282="Water"),0-1,IF(OR($S282="Bug",$S282="Flying",$S282="Fire",$S282="Dragon",$S282="Poison",$S282="Steel",$S282="Grass"),1,0)))</f>
        <v>-1</v>
      </c>
      <c r="AM282" s="507" t="n">
        <f aca="false">IF(OR($R282="Flying",$S282="Flying"),4,SUM(IF(OR($R282="Electric",$R282="Fire",$R282="Rock",$R282="Steel",$R282="Poison"),0-1,IF(OR($R282="Bug",$R282="Grass"),1,0)),IF(OR($S282="Electric",$S282="Fire",$S282="Rock",$S282="Steel",$S282="Poison"),0-1,IF(OR($S282="Bug",$S282="Grass"),1,0))))</f>
        <v>0</v>
      </c>
      <c r="AN282" s="507" t="n">
        <f aca="false">SUM(IF(OR($R282="Flying",$R282="Dragon",$R282="Grass",$R282="Ground"),0-1,IF(OR($R282="Steel",$R282="Ice",$R282="Fire",$R282="Water"),1,0)),IF(OR($S282="Flying",$S282="Dragon",$S282="Grass",$S282="Ground"),0-1,IF(OR($S282="Steel",$S282="Ice",$S282="Fire",$S282="Water"),1,0)))</f>
        <v>-1</v>
      </c>
      <c r="AO282" s="507" t="n">
        <f aca="false">IF(OR($R282="Ghost",$S282="Ghost"),4,SUM(IF(OR($R282="Steel",$R282="Rock"),1,0),IF(OR($S282="Steel",$S282="Rock"),1,0)))</f>
        <v>0</v>
      </c>
      <c r="AP282" s="507" t="n">
        <f aca="false">IF(OR($R282="Steel",$S282="Steel"),4,SUM(IF(OR($R282="Fairy",$R282="Grass"),0-1,IF(OR($R282="Ghost",$R282="Rock",$R282="Ground",$R282="Poison"),1,0)),IF(OR($S282="Fairy",$S282="Grass"),0-1,IF(OR($S282="Ghost",$S282="Rock",$S282="Ground",$S282="Poison"),1,0))))</f>
        <v>1</v>
      </c>
      <c r="AQ282" s="507" t="n">
        <f aca="false">IF(OR($R282="Dark",$S282="Dark"),4,SUM(IF(OR($R282="Fighting",$R282="Poison"),0-1,IF(OR($R282="Psychic",$R282="Steel"),1,0)),IF(OR($S282="Fighting",$S282="Poison"),0-1,IF(OR($S282="Psychic",$S282="Steel"),1,0))))</f>
        <v>0</v>
      </c>
      <c r="AR282" s="507" t="n">
        <f aca="false">SUM(IF(OR($R282="Bug",$R282="Fire",$R282="Flying",$R282="Ice"),0-1,IF(OR($R282="Steel",$R282="Fighting",$R282="Ground"),1,0)),IF(OR($S282="Bug",$S282="Fire",$S282="Flying",$S282="Ice"),0-1,IF(OR($S282="Steel",$S282="Fighting",$S282="Ground"),1,0)))</f>
        <v>1</v>
      </c>
      <c r="AS282" s="507" t="n">
        <f aca="false">SUM(IF(OR($R282="Fairy",$R282="Ice",$R282="Rock"),0-1,IF(OR($R282="Steel",$R282="Electric",$R282="Fire",$R282="Water"),1,0)),IF(OR($S282="Fairy",$S282="Ice",$S282="Rock"),0-1,IF(OR($S282="Steel",$S282="Electric",$S282="Fire",$S282="Water"),1,0)))</f>
        <v>0</v>
      </c>
      <c r="AT282" s="508" t="n">
        <f aca="false">SUM(IF(OR($R282="Fire",$R282="Ground",$R282="Rock"),0-1,IF(OR($R282="Dragon",$R282="Grass",$R282="Water"),1,0)),IF(OR($S282="Fire",$S282="Ground",$S282="Rock"),0-1,IF(OR($S282="Dragon",$S282="Grass",$S282="Water"),1,0)))</f>
        <v>-1</v>
      </c>
      <c r="AU282" s="518"/>
    </row>
    <row r="283" customFormat="false" ht="15.75" hidden="false" customHeight="false" outlineLevel="0" collapsed="false">
      <c r="A283" s="510" t="str">
        <f aca="false" t="array" ref="A283:A283">IF(ISNA(INDEX(Source!$U$7:$U$95,MATCH(B283,Source!$V$7:$V$95,0))),"FREE",INDEX(Source!$U$7:$U$95,MATCH(B283,Source!$V$7:$V$95,0)))</f>
        <v>KKS</v>
      </c>
      <c r="B283" s="511" t="s">
        <v>84</v>
      </c>
      <c r="C283" s="511"/>
      <c r="D283" s="511"/>
      <c r="E283" s="499" t="n">
        <f aca="false">IF(SUM($W283:$X283)&gt;0,SUM($W283:$X283),IF($H283&gt;0,0,IF($H283&gt;0,0,"-")))</f>
        <v>0</v>
      </c>
      <c r="F283" s="499" t="n">
        <f aca="false">IF(SUM($Y283:$Z283)&gt;0,SUM($Y283:$Z283),IF($H283&gt;0,0,"-"))</f>
        <v>0</v>
      </c>
      <c r="G283" s="499" t="e">
        <f aca="false">IF($H283&gt;0,minus(E283,F283),"-")</f>
        <v>#NAME?</v>
      </c>
      <c r="H283" s="500" t="n">
        <f aca="false">SUM(COUNTIF(MatchSource!$A:$A,$B283),COUNTIF(MatchSource!$H:$H,$B283))</f>
        <v>4</v>
      </c>
      <c r="I283" s="501" t="n">
        <f aca="false">SUM($AA283:$AB283)</f>
        <v>0</v>
      </c>
      <c r="J283" s="501" t="s">
        <v>701</v>
      </c>
      <c r="K283" s="512" t="n">
        <f aca="false" t="array" ref="K283:K283">IF(ISNA(INDEX(DraftRosters!$AA$3:$AA$199,MATCH($B283,DraftRosters!$AB$3:$AB$199,0))),"FA",IF(INDEX(DraftRosters!$AA$3:$AA$199,MATCH($B283,DraftRosters!$AB$3:$AB$199,0))="Franchise","Franch",INDEX(DraftRosters!$AA$3:$AA$199,MATCH($B283,DraftRosters!$AB$3:$AB$199,0))))</f>
        <v>41</v>
      </c>
      <c r="L283" s="499" t="n">
        <v>60</v>
      </c>
      <c r="M283" s="499" t="n">
        <v>80</v>
      </c>
      <c r="N283" s="499" t="n">
        <v>110</v>
      </c>
      <c r="O283" s="499" t="n">
        <v>50</v>
      </c>
      <c r="P283" s="499" t="n">
        <v>80</v>
      </c>
      <c r="Q283" s="501" t="n">
        <v>45</v>
      </c>
      <c r="R283" s="499" t="s">
        <v>800</v>
      </c>
      <c r="S283" s="501" t="s">
        <v>802</v>
      </c>
      <c r="T283" s="504" t="s">
        <v>870</v>
      </c>
      <c r="U283" s="505" t="s">
        <v>1024</v>
      </c>
      <c r="V283" s="506" t="s">
        <v>823</v>
      </c>
      <c r="W283" s="500" t="str">
        <f aca="false">IFERROR(__xludf.dummyfunction("if(isna(SUM(FILTER(MatchSource!$A:$D,MatchSource!$A:$A=$B283))),0,SUM(FILTER(MatchSource!$A:$D,MatchSource!$A:$A=$B283)))"),"2")</f>
        <v>2</v>
      </c>
      <c r="X283" s="499" t="str">
        <f aca="false">IFERROR(__xludf.dummyfunction("if(isna(SUM(FILTER(MatchSource!$H:$K,MatchSource!$H:$H=$B283))),0,SUM(FILTER(MatchSource!$H:$K,MatchSource!$H:$H=$B283)))"),"2")</f>
        <v>2</v>
      </c>
      <c r="Y283" s="499" t="str">
        <f aca="false">IFERROR(__xludf.dummyfunction("if(isna(ABS(MINUS(SUM(FILTER(MatchSource!$A:$E,MatchSource!$A:$A=$B283)),SUM($W283)))),0,ABS(MINUS(SUM(FILTER(MatchSource!$A:$E,MatchSource!$A:$A=$B283)),SUM($W283))))"),"3")</f>
        <v>3</v>
      </c>
      <c r="Z283" s="499" t="str">
        <f aca="false">IFERROR(__xludf.dummyfunction("if(isna(ABS(MINUS(SUM(FILTER(MatchSource!$H:$L,MatchSource!$H:$H=$B283)),SUM($X283)))),0,ABS(MINUS(SUM(FILTER(MatchSource!$H:$L,MatchSource!$H:$H=$B283)),SUM($X283))))"),"1")</f>
        <v>1</v>
      </c>
      <c r="AA283" s="499" t="str">
        <f aca="false">IFERROR(__xludf.dummyfunction("if(isna(ABS(MINUS(SUM(FILTER(MatchSource!$A:$F,MatchSource!$A:$A=$B283)),SUM($W283,$Y283)))),0,ABS(MINUS(SUM(FILTER(MatchSource!$A:$F,MatchSource!$A:$A=$B283)),SUM($W283, $Y283,))))"),"2")</f>
        <v>2</v>
      </c>
      <c r="AB283" s="501" t="str">
        <f aca="false">IFERROR(__xludf.dummyfunction("if(isna(ABS(MINUS(SUM(FILTER(MatchSource!$H:$M,MatchSource!$H:$H=$B283)),SUM($X283,$Z283)))),0,ABS(MINUS(SUM(FILTER(MatchSource!$H:$M,MatchSource!$H:$H=$B283)),SUM($X283,$Z283))))"),"1")</f>
        <v>1</v>
      </c>
      <c r="AC283" s="507" t="n">
        <f aca="false">SUM(IF(OR($R283="Grass",$R283="Psychic",$R283="Dark"),0-1,IF(OR($R283="Fighting",$R283="Flying",$R283="Fire",$R283="Ghost",$R283="Poison",$R283="Steel",$R283="Fairy"),1,0)),IF(OR($S283="Grass",$S283="Psychic",$S283="Dark"),0-1,IF(OR($S283="Fighting",$S283="Flying",$S283="Fire",$S283="Ghost",$S283="Poison",$S283="Steel",$S283="Fairy"),1,0)))</f>
        <v>2</v>
      </c>
      <c r="AD283" s="507" t="n">
        <f aca="false">SUM(IF(OR($R283="Ghost",$R283="Psychic"),0-1,IF(OR($R283="Fighting",$R283="Dark",$R283="Fairy"),1,0)),IF(OR($S283="Ghost",$S283="Psychic"),0-1,IF(OR($S283="Fighting",$S283="Dark",$S283="Fairy"),1,0)))</f>
        <v>-1</v>
      </c>
      <c r="AE283" s="507" t="n">
        <f aca="false">IF(OR($R283="Fairy",$S283="Fairy"),4,SUM(IF($R283="Dragon",0-1,IF($R283="Steel",1,0)),IF($S283="Dragon",0-1,IF($S283="Steel",1,0))))</f>
        <v>0</v>
      </c>
      <c r="AF283" s="507" t="n">
        <f aca="false">IF(OR($R283="Ground",$S283="Ground"),4,SUM(IF(OR($R283="Flying",$R283="Water"),0-1,IF(OR($R283="Dragon",$R283="Electric",$R283="Grass"),1,0)),IF(OR($S283="Flying",$S283="Water"),0-1,IF(OR($S283="Dragon",$S283="Electric",$S283="Grass"),1,0))))</f>
        <v>0</v>
      </c>
      <c r="AG283" s="507" t="n">
        <f aca="false">SUM(IF(OR($R283="Dark",$R283="Dragon",$R283="Fighting"),0-1,IF(OR($R283="Steel",$R283="Poison",$R283="Fire"),1,0)),IF(OR($S283="Dark",$S283="Dragon",$S283="Fighting"),0-1,IF(OR($S283="Steel",$S283="Poison",$S283="Fire"),1,0)))</f>
        <v>1</v>
      </c>
      <c r="AH283" s="507" t="n">
        <f aca="false">IF(OR($R283="Ghost",$S283="Ghost"),4,SUM(IF(OR($R283="Dark",$R283="Ice",$R283="Normal",$R283="Rock",$R283="Steel"),0-1,IF(OR($R283="Bug",$R283="Fairy",$R283="Flying",$R283="Poison",$R283="Psychic"),1,0)),IF(OR($S283="Dark",$S283="Ice",$S283="Normal",$S283="Rock",$S283="Steel"),0-1,IF(OR($S283="Bug",$S283="Fairy",$S283="Flying",$S283="Poison",$S283="Psychic"),1,0))))</f>
        <v>4</v>
      </c>
      <c r="AI283" s="507" t="n">
        <f aca="false">SUM(IF(OR($R283="Bug",$R283="Grass",$R283="Ice",$R283="Steel"),0-1,IF(OR($R283="Dragon",$R283="Fire",$R283="Rock",$R283="Water"),1,0)),IF(OR($S283="Bug",$S283="Grass",$S283="Ice",$S283="Steel"),0-1,IF(OR($S283="Dragon",$S283="Fire",$S283="Rock",$S283="Water"),1,0)))</f>
        <v>1</v>
      </c>
      <c r="AJ283" s="507" t="n">
        <f aca="false">SUM(IF(OR($R283="Bug",$R283="Grass",$R283="Fighting"),0-1,IF(OR($R283="Electric",$R283="Rock",$R283="Steel"),1,0)),IF(OR($S283="Bug",$S283="Grass",$S283="Fighting"),0-1,IF(OR($S283="Electric",$S283="Rock",$S283="Steel"),1,0)))</f>
        <v>0</v>
      </c>
      <c r="AK283" s="507" t="n">
        <f aca="false">IF(OR($R283="Normal",$S283="Normal"),4,SUM(IF(OR($R283="Ghost",$R283="Psychic"),0-1,IF($R283="Dark",1,0)),IF(OR($S283="Ghost",$S283="Psychic"),0-1,IF($S283="Dark",1,0))))</f>
        <v>-1</v>
      </c>
      <c r="AL283" s="507" t="n">
        <f aca="false">SUM(IF(OR($R283="Ground",$R283="Rock",$R283="Water"),0-1,IF(OR($R283="Bug",$R283="Flying",$R283="Fire",$R283="Dragon",$R283="Poison",$R283="Steel",$R283="Grass"),1,0)),IF(OR($S283="Ground",$S283="Rock",$S283="Water"),0-1,IF(OR($S283="Bug",$S283="Flying",$S283="Fire",$S283="Dragon",$S283="Poison",$S283="Steel",$S283="Grass"),1,0)))</f>
        <v>1</v>
      </c>
      <c r="AM283" s="507" t="n">
        <f aca="false">IF(OR($R283="Flying",$S283="Flying"),4,SUM(IF(OR($R283="Electric",$R283="Fire",$R283="Rock",$R283="Steel",$R283="Poison"),0-1,IF(OR($R283="Bug",$R283="Grass"),1,0)),IF(OR($S283="Electric",$S283="Fire",$S283="Rock",$S283="Steel",$S283="Poison"),0-1,IF(OR($S283="Bug",$S283="Grass"),1,0))))</f>
        <v>-1</v>
      </c>
      <c r="AN283" s="507" t="n">
        <f aca="false">SUM(IF(OR($R283="Flying",$R283="Dragon",$R283="Grass",$R283="Ground"),0-1,IF(OR($R283="Steel",$R283="Ice",$R283="Fire",$R283="Water"),1,0)),IF(OR($S283="Flying",$S283="Dragon",$S283="Grass",$S283="Ground"),0-1,IF(OR($S283="Steel",$S283="Ice",$S283="Fire",$S283="Water"),1,0)))</f>
        <v>1</v>
      </c>
      <c r="AO283" s="507" t="n">
        <f aca="false">IF(OR($R283="Ghost",$S283="Ghost"),4,SUM(IF(OR($R283="Steel",$R283="Rock"),1,0),IF(OR($S283="Steel",$S283="Rock"),1,0)))</f>
        <v>4</v>
      </c>
      <c r="AP283" s="507" t="n">
        <f aca="false">IF(OR($R283="Steel",$S283="Steel"),4,SUM(IF(OR($R283="Fairy",$R283="Grass"),0-1,IF(OR($R283="Ghost",$R283="Rock",$R283="Ground",$R283="Poison"),1,0)),IF(OR($S283="Fairy",$S283="Grass"),0-1,IF(OR($S283="Ghost",$S283="Rock",$S283="Ground",$S283="Poison"),1,0))))</f>
        <v>1</v>
      </c>
      <c r="AQ283" s="507" t="n">
        <f aca="false">IF(OR($R283="Dark",$S283="Dark"),4,SUM(IF(OR($R283="Fighting",$R283="Poison"),0-1,IF(OR($R283="Psychic",$R283="Steel"),1,0)),IF(OR($S283="Fighting",$S283="Poison"),0-1,IF(OR($S283="Psychic",$S283="Steel"),1,0))))</f>
        <v>0</v>
      </c>
      <c r="AR283" s="507" t="n">
        <f aca="false">SUM(IF(OR($R283="Bug",$R283="Fire",$R283="Flying",$R283="Ice"),0-1,IF(OR($R283="Steel",$R283="Fighting",$R283="Ground"),1,0)),IF(OR($S283="Bug",$S283="Fire",$S283="Flying",$S283="Ice"),0-1,IF(OR($S283="Steel",$S283="Fighting",$S283="Ground"),1,0)))</f>
        <v>-1</v>
      </c>
      <c r="AS283" s="507" t="n">
        <f aca="false">SUM(IF(OR($R283="Fairy",$R283="Ice",$R283="Rock"),0-1,IF(OR($R283="Steel",$R283="Electric",$R283="Fire",$R283="Water"),1,0)),IF(OR($S283="Fairy",$S283="Ice",$S283="Rock"),0-1,IF(OR($S283="Steel",$S283="Electric",$S283="Fire",$S283="Water"),1,0)))</f>
        <v>1</v>
      </c>
      <c r="AT283" s="508" t="n">
        <f aca="false">SUM(IF(OR($R283="Fire",$R283="Ground",$R283="Rock"),0-1,IF(OR($R283="Dragon",$R283="Grass",$R283="Water"),1,0)),IF(OR($S283="Fire",$S283="Ground",$S283="Rock"),0-1,IF(OR($S283="Dragon",$S283="Grass",$S283="Water"),1,0)))</f>
        <v>-1</v>
      </c>
      <c r="AU283" s="518"/>
    </row>
    <row r="284" customFormat="false" ht="15.75" hidden="false" customHeight="false" outlineLevel="0" collapsed="false">
      <c r="A284" s="510" t="str">
        <f aca="false" t="array" ref="A284:A284">IF(ISNA(INDEX(Source!$U$7:$U$95,MATCH(B284,Source!$V$7:$V$95,0))),"FREE",INDEX(Source!$U$7:$U$95,MATCH(B284,Source!$V$7:$V$95,0)))</f>
        <v>FREE</v>
      </c>
      <c r="B284" s="511" t="s">
        <v>1025</v>
      </c>
      <c r="C284" s="511"/>
      <c r="D284" s="511"/>
      <c r="E284" s="499" t="str">
        <f aca="false">IF(SUM($W284:$X284)&gt;0,SUM($W284:$X284),IF($H284&gt;0,0,IF($H284&gt;0,0,"-")))</f>
        <v>-</v>
      </c>
      <c r="F284" s="499" t="str">
        <f aca="false">IF(SUM($Y284:$Z284)&gt;0,SUM($Y284:$Z284),IF($H284&gt;0,0,"-"))</f>
        <v>-</v>
      </c>
      <c r="G284" s="499" t="str">
        <f aca="false">IF($H284&gt;0,minus(E284,F284),"-")</f>
        <v>-</v>
      </c>
      <c r="H284" s="500" t="n">
        <f aca="false">SUM(COUNTIF(MatchSource!$A:$A,$B284),COUNTIF(MatchSource!$H:$H,$B284))</f>
        <v>0</v>
      </c>
      <c r="I284" s="501" t="n">
        <f aca="false">SUM($AA284:$AB284)</f>
        <v>0</v>
      </c>
      <c r="J284" s="501" t="s">
        <v>888</v>
      </c>
      <c r="K284" s="512" t="str">
        <f aca="false" t="array" ref="K284:K284">IF(ISNA(INDEX(DraftRosters!$AA$3:$AA$199,MATCH($B284,DraftRosters!$AB$3:$AB$199,0))),"FA",IF(INDEX(DraftRosters!$AA$3:$AA$199,MATCH($B284,DraftRosters!$AB$3:$AB$199,0))="Franchise","Franch",INDEX(DraftRosters!$AA$3:$AA$199,MATCH($B284,DraftRosters!$AB$3:$AB$199,0))))</f>
        <v>FA</v>
      </c>
      <c r="L284" s="499" t="n">
        <v>90</v>
      </c>
      <c r="M284" s="499" t="n">
        <v>125</v>
      </c>
      <c r="N284" s="499" t="n">
        <v>80</v>
      </c>
      <c r="O284" s="499" t="n">
        <v>90</v>
      </c>
      <c r="P284" s="499" t="n">
        <v>90</v>
      </c>
      <c r="Q284" s="501" t="n">
        <v>125</v>
      </c>
      <c r="R284" s="499" t="s">
        <v>881</v>
      </c>
      <c r="S284" s="501" t="s">
        <v>802</v>
      </c>
      <c r="T284" s="504" t="s">
        <v>842</v>
      </c>
      <c r="U284" s="505"/>
      <c r="V284" s="506"/>
      <c r="W284" s="500" t="str">
        <f aca="false">IFERROR(__xludf.dummyfunction("if(isna(SUM(FILTER(MatchSource!$A:$D,MatchSource!$A:$A=$B284))),0,SUM(FILTER(MatchSource!$A:$D,MatchSource!$A:$A=$B284)))"),"0")</f>
        <v>0</v>
      </c>
      <c r="X284" s="499" t="str">
        <f aca="false">IFERROR(__xludf.dummyfunction("if(isna(SUM(FILTER(MatchSource!$H:$K,MatchSource!$H:$H=$B284))),0,SUM(FILTER(MatchSource!$H:$K,MatchSource!$H:$H=$B284)))"),"0")</f>
        <v>0</v>
      </c>
      <c r="Y284" s="499" t="str">
        <f aca="false">IFERROR(__xludf.dummyfunction("if(isna(ABS(MINUS(SUM(FILTER(MatchSource!$A:$E,MatchSource!$A:$A=$B284)),SUM($W284)))),0,ABS(MINUS(SUM(FILTER(MatchSource!$A:$E,MatchSource!$A:$A=$B284)),SUM($W284))))"),"0")</f>
        <v>0</v>
      </c>
      <c r="Z284" s="499" t="str">
        <f aca="false">IFERROR(__xludf.dummyfunction("if(isna(ABS(MINUS(SUM(FILTER(MatchSource!$H:$L,MatchSource!$H:$H=$B284)),SUM($X284)))),0,ABS(MINUS(SUM(FILTER(MatchSource!$H:$L,MatchSource!$H:$H=$B284)),SUM($X284))))"),"0")</f>
        <v>0</v>
      </c>
      <c r="AA284" s="499" t="str">
        <f aca="false">IFERROR(__xludf.dummyfunction("if(isna(ABS(MINUS(SUM(FILTER(MatchSource!$A:$F,MatchSource!$A:$A=$B284)),SUM($W284,$Y284)))),0,ABS(MINUS(SUM(FILTER(MatchSource!$A:$F,MatchSource!$A:$A=$B284)),SUM($W284, $Y284,))))"),"0")</f>
        <v>0</v>
      </c>
      <c r="AB284" s="501" t="str">
        <f aca="false">IFERROR(__xludf.dummyfunction("if(isna(ABS(MINUS(SUM(FILTER(MatchSource!$H:$M,MatchSource!$H:$H=$B284)),SUM($X284,$Z284)))),0,ABS(MINUS(SUM(FILTER(MatchSource!$H:$M,MatchSource!$H:$H=$B284)),SUM($X284,$Z284))))"),"0")</f>
        <v>0</v>
      </c>
      <c r="AC284" s="507" t="n">
        <f aca="false">SUM(IF(OR($R284="Grass",$R284="Psychic",$R284="Dark"),0-1,IF(OR($R284="Fighting",$R284="Flying",$R284="Fire",$R284="Ghost",$R284="Poison",$R284="Steel",$R284="Fairy"),1,0)),IF(OR($S284="Grass",$S284="Psychic",$S284="Dark"),0-1,IF(OR($S284="Fighting",$S284="Flying",$S284="Fire",$S284="Ghost",$S284="Poison",$S284="Steel",$S284="Fairy"),1,0)))</f>
        <v>2</v>
      </c>
      <c r="AD284" s="507" t="n">
        <f aca="false">SUM(IF(OR($R284="Ghost",$R284="Psychic"),0-1,IF(OR($R284="Fighting",$R284="Dark",$R284="Fairy"),1,0)),IF(OR($S284="Ghost",$S284="Psychic"),0-1,IF(OR($S284="Fighting",$S284="Dark",$S284="Fairy"),1,0)))</f>
        <v>0</v>
      </c>
      <c r="AE284" s="507" t="n">
        <f aca="false">IF(OR($R284="Fairy",$S284="Fairy"),4,SUM(IF($R284="Dragon",0-1,IF($R284="Steel",1,0)),IF($S284="Dragon",0-1,IF($S284="Steel",1,0))))</f>
        <v>0</v>
      </c>
      <c r="AF284" s="507" t="n">
        <f aca="false">IF(OR($R284="Ground",$S284="Ground"),4,SUM(IF(OR($R284="Flying",$R284="Water"),0-1,IF(OR($R284="Dragon",$R284="Electric",$R284="Grass"),1,0)),IF(OR($S284="Flying",$S284="Water"),0-1,IF(OR($S284="Dragon",$S284="Electric",$S284="Grass"),1,0))))</f>
        <v>0</v>
      </c>
      <c r="AG284" s="507" t="n">
        <f aca="false">SUM(IF(OR($R284="Dark",$R284="Dragon",$R284="Fighting"),0-1,IF(OR($R284="Steel",$R284="Poison",$R284="Fire"),1,0)),IF(OR($S284="Dark",$S284="Dragon",$S284="Fighting"),0-1,IF(OR($S284="Steel",$S284="Poison",$S284="Fire"),1,0)))</f>
        <v>-1</v>
      </c>
      <c r="AH284" s="507" t="n">
        <f aca="false">IF(OR($R284="Ghost",$S284="Ghost"),4,SUM(IF(OR($R284="Dark",$R284="Ice",$R284="Normal",$R284="Rock",$R284="Steel"),0-1,IF(OR($R284="Bug",$R284="Fairy",$R284="Flying",$R284="Poison",$R284="Psychic"),1,0)),IF(OR($S284="Dark",$S284="Ice",$S284="Normal",$S284="Rock",$S284="Steel"),0-1,IF(OR($S284="Bug",$S284="Fairy",$S284="Flying",$S284="Poison",$S284="Psychic"),1,0))))</f>
        <v>4</v>
      </c>
      <c r="AI284" s="507" t="n">
        <f aca="false">SUM(IF(OR($R284="Bug",$R284="Grass",$R284="Ice",$R284="Steel"),0-1,IF(OR($R284="Dragon",$R284="Fire",$R284="Rock",$R284="Water"),1,0)),IF(OR($S284="Bug",$S284="Grass",$S284="Ice",$S284="Steel"),0-1,IF(OR($S284="Dragon",$S284="Fire",$S284="Rock",$S284="Water"),1,0)))</f>
        <v>0</v>
      </c>
      <c r="AJ284" s="507" t="n">
        <f aca="false">SUM(IF(OR($R284="Bug",$R284="Grass",$R284="Fighting"),0-1,IF(OR($R284="Electric",$R284="Rock",$R284="Steel"),1,0)),IF(OR($S284="Bug",$S284="Grass",$S284="Fighting"),0-1,IF(OR($S284="Electric",$S284="Rock",$S284="Steel"),1,0)))</f>
        <v>-1</v>
      </c>
      <c r="AK284" s="507" t="n">
        <f aca="false">IF(OR($R284="Normal",$S284="Normal"),4,SUM(IF(OR($R284="Ghost",$R284="Psychic"),0-1,IF($R284="Dark",1,0)),IF(OR($S284="Ghost",$S284="Psychic"),0-1,IF($S284="Dark",1,0))))</f>
        <v>-1</v>
      </c>
      <c r="AL284" s="507" t="n">
        <f aca="false">SUM(IF(OR($R284="Ground",$R284="Rock",$R284="Water"),0-1,IF(OR($R284="Bug",$R284="Flying",$R284="Fire",$R284="Dragon",$R284="Poison",$R284="Steel",$R284="Grass"),1,0)),IF(OR($S284="Ground",$S284="Rock",$S284="Water"),0-1,IF(OR($S284="Bug",$S284="Flying",$S284="Fire",$S284="Dragon",$S284="Poison",$S284="Steel",$S284="Grass"),1,0)))</f>
        <v>0</v>
      </c>
      <c r="AM284" s="507" t="n">
        <f aca="false">IF(OR($R284="Flying",$S284="Flying"),4,SUM(IF(OR($R284="Electric",$R284="Fire",$R284="Rock",$R284="Steel",$R284="Poison"),0-1,IF(OR($R284="Bug",$R284="Grass"),1,0)),IF(OR($S284="Electric",$S284="Fire",$S284="Rock",$S284="Steel",$S284="Poison"),0-1,IF(OR($S284="Bug",$S284="Grass"),1,0))))</f>
        <v>0</v>
      </c>
      <c r="AN284" s="507" t="n">
        <f aca="false">SUM(IF(OR($R284="Flying",$R284="Dragon",$R284="Grass",$R284="Ground"),0-1,IF(OR($R284="Steel",$R284="Ice",$R284="Fire",$R284="Water"),1,0)),IF(OR($S284="Flying",$S284="Dragon",$S284="Grass",$S284="Ground"),0-1,IF(OR($S284="Steel",$S284="Ice",$S284="Fire",$S284="Water"),1,0)))</f>
        <v>0</v>
      </c>
      <c r="AO284" s="507" t="n">
        <f aca="false">IF(OR($R284="Ghost",$S284="Ghost"),4,SUM(IF(OR($R284="Steel",$R284="Rock"),1,0),IF(OR($S284="Steel",$S284="Rock"),1,0)))</f>
        <v>4</v>
      </c>
      <c r="AP284" s="507" t="n">
        <f aca="false">IF(OR($R284="Steel",$S284="Steel"),4,SUM(IF(OR($R284="Fairy",$R284="Grass"),0-1,IF(OR($R284="Ghost",$R284="Rock",$R284="Ground",$R284="Poison"),1,0)),IF(OR($S284="Fairy",$S284="Grass"),0-1,IF(OR($S284="Ghost",$S284="Rock",$S284="Ground",$S284="Poison"),1,0))))</f>
        <v>1</v>
      </c>
      <c r="AQ284" s="507" t="n">
        <f aca="false">IF(OR($R284="Dark",$S284="Dark"),4,SUM(IF(OR($R284="Fighting",$R284="Poison"),0-1,IF(OR($R284="Psychic",$R284="Steel"),1,0)),IF(OR($S284="Fighting",$S284="Poison"),0-1,IF(OR($S284="Psychic",$S284="Steel"),1,0))))</f>
        <v>-1</v>
      </c>
      <c r="AR284" s="507" t="n">
        <f aca="false">SUM(IF(OR($R284="Bug",$R284="Fire",$R284="Flying",$R284="Ice"),0-1,IF(OR($R284="Steel",$R284="Fighting",$R284="Ground"),1,0)),IF(OR($S284="Bug",$S284="Fire",$S284="Flying",$S284="Ice"),0-1,IF(OR($S284="Steel",$S284="Fighting",$S284="Ground"),1,0)))</f>
        <v>1</v>
      </c>
      <c r="AS284" s="507" t="n">
        <f aca="false">SUM(IF(OR($R284="Fairy",$R284="Ice",$R284="Rock"),0-1,IF(OR($R284="Steel",$R284="Electric",$R284="Fire",$R284="Water"),1,0)),IF(OR($S284="Fairy",$S284="Ice",$S284="Rock"),0-1,IF(OR($S284="Steel",$S284="Electric",$S284="Fire",$S284="Water"),1,0)))</f>
        <v>0</v>
      </c>
      <c r="AT284" s="508" t="n">
        <f aca="false">SUM(IF(OR($R284="Fire",$R284="Ground",$R284="Rock"),0-1,IF(OR($R284="Dragon",$R284="Grass",$R284="Water"),1,0)),IF(OR($S284="Fire",$S284="Ground",$S284="Rock"),0-1,IF(OR($S284="Dragon",$S284="Grass",$S284="Water"),1,0)))</f>
        <v>0</v>
      </c>
      <c r="AU284" s="518"/>
    </row>
    <row r="285" customFormat="false" ht="15.75" hidden="false" customHeight="false" outlineLevel="0" collapsed="false">
      <c r="A285" s="510" t="str">
        <f aca="false" t="array" ref="A285:A285">IF(ISNA(INDEX(Source!$U$7:$U$95,MATCH(B285,Source!$V$7:$V$95,0))),"FREE",INDEX(Source!$U$7:$U$95,MATCH(B285,Source!$V$7:$V$95,0)))</f>
        <v>FREE</v>
      </c>
      <c r="B285" s="511" t="s">
        <v>575</v>
      </c>
      <c r="C285" s="511"/>
      <c r="D285" s="511"/>
      <c r="E285" s="499" t="str">
        <f aca="false">IF(SUM($W285:$X285)&gt;0,SUM($W285:$X285),IF($H285&gt;0,0,IF($H285&gt;0,0,"-")))</f>
        <v>-</v>
      </c>
      <c r="F285" s="499" t="str">
        <f aca="false">IF(SUM($Y285:$Z285)&gt;0,SUM($Y285:$Z285),IF($H285&gt;0,0,"-"))</f>
        <v>-</v>
      </c>
      <c r="G285" s="499" t="str">
        <f aca="false">IF($H285&gt;0,minus(E285,F285),"-")</f>
        <v>-</v>
      </c>
      <c r="H285" s="500" t="n">
        <f aca="false">SUM(COUNTIF(MatchSource!$A:$A,$B285),COUNTIF(MatchSource!$H:$H,$B285))</f>
        <v>0</v>
      </c>
      <c r="I285" s="501" t="n">
        <f aca="false">SUM($AA285:$AB285)</f>
        <v>0</v>
      </c>
      <c r="J285" s="501" t="s">
        <v>701</v>
      </c>
      <c r="K285" s="512" t="str">
        <f aca="false" t="array" ref="K285:K285">IF(ISNA(INDEX(DraftRosters!$AA$3:$AA$199,MATCH($B285,DraftRosters!$AB$3:$AB$199,0))),"FA",IF(INDEX(DraftRosters!$AA$3:$AA$199,MATCH($B285,DraftRosters!$AB$3:$AB$199,0))="Franchise","Franch",INDEX(DraftRosters!$AA$3:$AA$199,MATCH($B285,DraftRosters!$AB$3:$AB$199,0))))</f>
        <v>FA</v>
      </c>
      <c r="L285" s="499" t="n">
        <v>70</v>
      </c>
      <c r="M285" s="499" t="n">
        <v>60</v>
      </c>
      <c r="N285" s="499" t="n">
        <v>62</v>
      </c>
      <c r="O285" s="499" t="n">
        <v>100</v>
      </c>
      <c r="P285" s="499" t="n">
        <v>82</v>
      </c>
      <c r="Q285" s="501" t="n">
        <v>60</v>
      </c>
      <c r="R285" s="499" t="s">
        <v>794</v>
      </c>
      <c r="S285" s="501" t="s">
        <v>801</v>
      </c>
      <c r="T285" s="504" t="s">
        <v>851</v>
      </c>
      <c r="U285" s="505" t="s">
        <v>822</v>
      </c>
      <c r="V285" s="506"/>
      <c r="W285" s="500" t="str">
        <f aca="false">IFERROR(__xludf.dummyfunction("if(isna(SUM(FILTER(MatchSource!$A:$D,MatchSource!$A:$A=$B285))),0,SUM(FILTER(MatchSource!$A:$D,MatchSource!$A:$A=$B285)))"),"0")</f>
        <v>0</v>
      </c>
      <c r="X285" s="499" t="str">
        <f aca="false">IFERROR(__xludf.dummyfunction("if(isna(SUM(FILTER(MatchSource!$H:$K,MatchSource!$H:$H=$B285))),0,SUM(FILTER(MatchSource!$H:$K,MatchSource!$H:$H=$B285)))"),"0")</f>
        <v>0</v>
      </c>
      <c r="Y285" s="499" t="str">
        <f aca="false">IFERROR(__xludf.dummyfunction("if(isna(ABS(MINUS(SUM(FILTER(MatchSource!$A:$E,MatchSource!$A:$A=$B285)),SUM($W285)))),0,ABS(MINUS(SUM(FILTER(MatchSource!$A:$E,MatchSource!$A:$A=$B285)),SUM($W285))))"),"0")</f>
        <v>0</v>
      </c>
      <c r="Z285" s="499" t="str">
        <f aca="false">IFERROR(__xludf.dummyfunction("if(isna(ABS(MINUS(SUM(FILTER(MatchSource!$H:$L,MatchSource!$H:$H=$B285)),SUM($X285)))),0,ABS(MINUS(SUM(FILTER(MatchSource!$H:$L,MatchSource!$H:$H=$B285)),SUM($X285))))"),"0")</f>
        <v>0</v>
      </c>
      <c r="AA285" s="499" t="str">
        <f aca="false">IFERROR(__xludf.dummyfunction("if(isna(ABS(MINUS(SUM(FILTER(MatchSource!$A:$F,MatchSource!$A:$A=$B285)),SUM($W285,$Y285)))),0,ABS(MINUS(SUM(FILTER(MatchSource!$A:$F,MatchSource!$A:$A=$B285)),SUM($W285, $Y285,))))"),"0")</f>
        <v>0</v>
      </c>
      <c r="AB285" s="501" t="str">
        <f aca="false">IFERROR(__xludf.dummyfunction("if(isna(ABS(MINUS(SUM(FILTER(MatchSource!$H:$M,MatchSource!$H:$H=$B285)),SUM($X285,$Z285)))),0,ABS(MINUS(SUM(FILTER(MatchSource!$H:$M,MatchSource!$H:$H=$B285)),SUM($X285,$Z285))))"),"0")</f>
        <v>0</v>
      </c>
      <c r="AC285" s="507" t="n">
        <f aca="false">SUM(IF(OR($R285="Grass",$R285="Psychic",$R285="Dark"),0-1,IF(OR($R285="Fighting",$R285="Flying",$R285="Fire",$R285="Ghost",$R285="Poison",$R285="Steel",$R285="Fairy"),1,0)),IF(OR($S285="Grass",$S285="Psychic",$S285="Dark"),0-1,IF(OR($S285="Fighting",$S285="Flying",$S285="Fire",$S285="Ghost",$S285="Poison",$S285="Steel",$S285="Fairy"),1,0)))</f>
        <v>1</v>
      </c>
      <c r="AD285" s="507" t="n">
        <f aca="false">SUM(IF(OR($R285="Ghost",$R285="Psychic"),0-1,IF(OR($R285="Fighting",$R285="Dark",$R285="Fairy"),1,0)),IF(OR($S285="Ghost",$S285="Psychic"),0-1,IF(OR($S285="Fighting",$S285="Dark",$S285="Fairy"),1,0)))</f>
        <v>0</v>
      </c>
      <c r="AE285" s="507" t="n">
        <f aca="false">IF(OR($R285="Fairy",$S285="Fairy"),4,SUM(IF($R285="Dragon",0-1,IF($R285="Steel",1,0)),IF($S285="Dragon",0-1,IF($S285="Steel",1,0))))</f>
        <v>0</v>
      </c>
      <c r="AF285" s="507" t="n">
        <f aca="false">IF(OR($R285="Ground",$S285="Ground"),4,SUM(IF(OR($R285="Flying",$R285="Water"),0-1,IF(OR($R285="Dragon",$R285="Electric",$R285="Grass"),1,0)),IF(OR($S285="Flying",$S285="Water"),0-1,IF(OR($S285="Dragon",$S285="Electric",$S285="Grass"),1,0))))</f>
        <v>-1</v>
      </c>
      <c r="AG285" s="507" t="n">
        <f aca="false">SUM(IF(OR($R285="Dark",$R285="Dragon",$R285="Fighting"),0-1,IF(OR($R285="Steel",$R285="Poison",$R285="Fire"),1,0)),IF(OR($S285="Dark",$S285="Dragon",$S285="Fighting"),0-1,IF(OR($S285="Steel",$S285="Poison",$S285="Fire"),1,0)))</f>
        <v>0</v>
      </c>
      <c r="AH285" s="507" t="n">
        <f aca="false">IF(OR($R285="Ghost",$S285="Ghost"),4,SUM(IF(OR($R285="Dark",$R285="Ice",$R285="Normal",$R285="Rock",$R285="Steel"),0-1,IF(OR($R285="Bug",$R285="Fairy",$R285="Flying",$R285="Poison",$R285="Psychic"),1,0)),IF(OR($S285="Dark",$S285="Ice",$S285="Normal",$S285="Rock",$S285="Steel"),0-1,IF(OR($S285="Bug",$S285="Fairy",$S285="Flying",$S285="Poison",$S285="Psychic"),1,0))))</f>
        <v>2</v>
      </c>
      <c r="AI285" s="507" t="n">
        <f aca="false">SUM(IF(OR($R285="Bug",$R285="Grass",$R285="Ice",$R285="Steel"),0-1,IF(OR($R285="Dragon",$R285="Fire",$R285="Rock",$R285="Water"),1,0)),IF(OR($S285="Bug",$S285="Grass",$S285="Ice",$S285="Steel"),0-1,IF(OR($S285="Dragon",$S285="Fire",$S285="Rock",$S285="Water"),1,0)))</f>
        <v>-1</v>
      </c>
      <c r="AJ285" s="507" t="n">
        <f aca="false">SUM(IF(OR($R285="Bug",$R285="Grass",$R285="Fighting"),0-1,IF(OR($R285="Electric",$R285="Rock",$R285="Steel"),1,0)),IF(OR($S285="Bug",$S285="Grass",$S285="Fighting"),0-1,IF(OR($S285="Electric",$S285="Rock",$S285="Steel"),1,0)))</f>
        <v>-1</v>
      </c>
      <c r="AK285" s="507" t="n">
        <f aca="false">IF(OR($R285="Normal",$S285="Normal"),4,SUM(IF(OR($R285="Ghost",$R285="Psychic"),0-1,IF($R285="Dark",1,0)),IF(OR($S285="Ghost",$S285="Psychic"),0-1,IF($S285="Dark",1,0))))</f>
        <v>0</v>
      </c>
      <c r="AL285" s="507" t="n">
        <f aca="false">SUM(IF(OR($R285="Ground",$R285="Rock",$R285="Water"),0-1,IF(OR($R285="Bug",$R285="Flying",$R285="Fire",$R285="Dragon",$R285="Poison",$R285="Steel",$R285="Grass"),1,0)),IF(OR($S285="Ground",$S285="Rock",$S285="Water"),0-1,IF(OR($S285="Bug",$S285="Flying",$S285="Fire",$S285="Dragon",$S285="Poison",$S285="Steel",$S285="Grass"),1,0)))</f>
        <v>2</v>
      </c>
      <c r="AM285" s="507" t="n">
        <f aca="false">IF(OR($R285="Flying",$S285="Flying"),4,SUM(IF(OR($R285="Electric",$R285="Fire",$R285="Rock",$R285="Steel",$R285="Poison"),0-1,IF(OR($R285="Bug",$R285="Grass"),1,0)),IF(OR($S285="Electric",$S285="Fire",$S285="Rock",$S285="Steel",$S285="Poison"),0-1,IF(OR($S285="Bug",$S285="Grass"),1,0))))</f>
        <v>4</v>
      </c>
      <c r="AN285" s="507" t="n">
        <f aca="false">SUM(IF(OR($R285="Flying",$R285="Dragon",$R285="Grass",$R285="Ground"),0-1,IF(OR($R285="Steel",$R285="Ice",$R285="Fire",$R285="Water"),1,0)),IF(OR($S285="Flying",$S285="Dragon",$S285="Grass",$S285="Ground"),0-1,IF(OR($S285="Steel",$S285="Ice",$S285="Fire",$S285="Water"),1,0)))</f>
        <v>-1</v>
      </c>
      <c r="AO285" s="507" t="n">
        <f aca="false">IF(OR($R285="Ghost",$S285="Ghost"),4,SUM(IF(OR($R285="Steel",$R285="Rock"),1,0),IF(OR($S285="Steel",$S285="Rock"),1,0)))</f>
        <v>0</v>
      </c>
      <c r="AP285" s="507" t="n">
        <f aca="false">IF(OR($R285="Steel",$S285="Steel"),4,SUM(IF(OR($R285="Fairy",$R285="Grass"),0-1,IF(OR($R285="Ghost",$R285="Rock",$R285="Ground",$R285="Poison"),1,0)),IF(OR($S285="Fairy",$S285="Grass"),0-1,IF(OR($S285="Ghost",$S285="Rock",$S285="Ground",$S285="Poison"),1,0))))</f>
        <v>0</v>
      </c>
      <c r="AQ285" s="507" t="n">
        <f aca="false">IF(OR($R285="Dark",$S285="Dark"),4,SUM(IF(OR($R285="Fighting",$R285="Poison"),0-1,IF(OR($R285="Psychic",$R285="Steel"),1,0)),IF(OR($S285="Fighting",$S285="Poison"),0-1,IF(OR($S285="Psychic",$S285="Steel"),1,0))))</f>
        <v>0</v>
      </c>
      <c r="AR285" s="507" t="n">
        <f aca="false">SUM(IF(OR($R285="Bug",$R285="Fire",$R285="Flying",$R285="Ice"),0-1,IF(OR($R285="Steel",$R285="Fighting",$R285="Ground"),1,0)),IF(OR($S285="Bug",$S285="Fire",$S285="Flying",$S285="Ice"),0-1,IF(OR($S285="Steel",$S285="Fighting",$S285="Ground"),1,0)))</f>
        <v>-2</v>
      </c>
      <c r="AS285" s="507" t="n">
        <f aca="false">SUM(IF(OR($R285="Fairy",$R285="Ice",$R285="Rock"),0-1,IF(OR($R285="Steel",$R285="Electric",$R285="Fire",$R285="Water"),1,0)),IF(OR($S285="Fairy",$S285="Ice",$S285="Rock"),0-1,IF(OR($S285="Steel",$S285="Electric",$S285="Fire",$S285="Water"),1,0)))</f>
        <v>0</v>
      </c>
      <c r="AT285" s="508" t="n">
        <f aca="false">SUM(IF(OR($R285="Fire",$R285="Ground",$R285="Rock"),0-1,IF(OR($R285="Dragon",$R285="Grass",$R285="Water"),1,0)),IF(OR($S285="Fire",$S285="Ground",$S285="Rock"),0-1,IF(OR($S285="Dragon",$S285="Grass",$S285="Water"),1,0)))</f>
        <v>0</v>
      </c>
      <c r="AU285" s="518"/>
    </row>
    <row r="286" customFormat="false" ht="15.75" hidden="false" customHeight="false" outlineLevel="0" collapsed="false">
      <c r="A286" s="515" t="str">
        <f aca="false" t="array" ref="A286:A286">IF(ISNA(INDEX(Source!$U$7:$U$95,MATCH(B286,Source!$V$7:$V$95,0))),"FREE",INDEX(Source!$U$7:$U$95,MATCH(B286,Source!$V$7:$V$95,0)))</f>
        <v>FREE</v>
      </c>
      <c r="B286" s="511" t="s">
        <v>330</v>
      </c>
      <c r="C286" s="511"/>
      <c r="D286" s="511"/>
      <c r="E286" s="499" t="str">
        <f aca="false">IF(SUM($W286:$X286)&gt;0,SUM($W286:$X286),IF($H286&gt;0,0,IF($H286&gt;0,0,"-")))</f>
        <v>-</v>
      </c>
      <c r="F286" s="499" t="str">
        <f aca="false">IF(SUM($Y286:$Z286)&gt;0,SUM($Y286:$Z286),IF($H286&gt;0,0,"-"))</f>
        <v>-</v>
      </c>
      <c r="G286" s="499" t="str">
        <f aca="false">IF($H286&gt;0,minus(E286,F286),"-")</f>
        <v>-</v>
      </c>
      <c r="H286" s="500" t="n">
        <f aca="false">SUM(COUNTIF(MatchSource!$A:$A,$B286),COUNTIF(MatchSource!$H:$H,$B286))</f>
        <v>0</v>
      </c>
      <c r="I286" s="501" t="n">
        <f aca="false">SUM($AA286:$AB286)</f>
        <v>0</v>
      </c>
      <c r="J286" s="501" t="s">
        <v>702</v>
      </c>
      <c r="K286" s="512" t="str">
        <f aca="false" t="array" ref="K286:K286">IF(ISNA(INDEX(DraftRosters!$AA$3:$AA$199,MATCH($B286,DraftRosters!$AB$3:$AB$199,0))),"FA",IF(INDEX(DraftRosters!$AA$3:$AA$199,MATCH($B286,DraftRosters!$AB$3:$AB$199,0))="Franchise","Franch",INDEX(DraftRosters!$AA$3:$AA$199,MATCH($B286,DraftRosters!$AB$3:$AB$199,0))))</f>
        <v>FA</v>
      </c>
      <c r="L286" s="499" t="n">
        <v>50</v>
      </c>
      <c r="M286" s="499" t="n">
        <v>85</v>
      </c>
      <c r="N286" s="499" t="n">
        <v>85</v>
      </c>
      <c r="O286" s="499" t="n">
        <v>55</v>
      </c>
      <c r="P286" s="499" t="n">
        <v>55</v>
      </c>
      <c r="Q286" s="501" t="n">
        <v>50</v>
      </c>
      <c r="R286" s="499" t="s">
        <v>798</v>
      </c>
      <c r="S286" s="501" t="s">
        <v>810</v>
      </c>
      <c r="T286" s="504" t="s">
        <v>933</v>
      </c>
      <c r="U286" s="505" t="s">
        <v>898</v>
      </c>
      <c r="V286" s="506" t="s">
        <v>851</v>
      </c>
      <c r="W286" s="500" t="str">
        <f aca="false">IFERROR(__xludf.dummyfunction("if(isna(SUM(FILTER(MatchSource!$A:$D,MatchSource!$A:$A=$B286))),0,SUM(FILTER(MatchSource!$A:$D,MatchSource!$A:$A=$B286)))"),"0")</f>
        <v>0</v>
      </c>
      <c r="X286" s="499" t="str">
        <f aca="false">IFERROR(__xludf.dummyfunction("if(isna(SUM(FILTER(MatchSource!$H:$K,MatchSource!$H:$H=$B286))),0,SUM(FILTER(MatchSource!$H:$K,MatchSource!$H:$H=$B286)))"),"0")</f>
        <v>0</v>
      </c>
      <c r="Y286" s="499" t="str">
        <f aca="false">IFERROR(__xludf.dummyfunction("if(isna(ABS(MINUS(SUM(FILTER(MatchSource!$A:$E,MatchSource!$A:$A=$B286)),SUM($W286)))),0,ABS(MINUS(SUM(FILTER(MatchSource!$A:$E,MatchSource!$A:$A=$B286)),SUM($W286))))"),"0")</f>
        <v>0</v>
      </c>
      <c r="Z286" s="499" t="str">
        <f aca="false">IFERROR(__xludf.dummyfunction("if(isna(ABS(MINUS(SUM(FILTER(MatchSource!$H:$L,MatchSource!$H:$H=$B286)),SUM($X286)))),0,ABS(MINUS(SUM(FILTER(MatchSource!$H:$L,MatchSource!$H:$H=$B286)),SUM($X286))))"),"0")</f>
        <v>0</v>
      </c>
      <c r="AA286" s="499" t="str">
        <f aca="false">IFERROR(__xludf.dummyfunction("if(isna(ABS(MINUS(SUM(FILTER(MatchSource!$A:$F,MatchSource!$A:$A=$B286)),SUM($W286,$Y286)))),0,ABS(MINUS(SUM(FILTER(MatchSource!$A:$F,MatchSource!$A:$A=$B286)),SUM($W286, $Y286,))))"),"0")</f>
        <v>0</v>
      </c>
      <c r="AB286" s="501" t="str">
        <f aca="false">IFERROR(__xludf.dummyfunction("if(isna(ABS(MINUS(SUM(FILTER(MatchSource!$H:$M,MatchSource!$H:$H=$B286)),SUM($X286,$Z286)))),0,ABS(MINUS(SUM(FILTER(MatchSource!$H:$M,MatchSource!$H:$H=$B286)),SUM($X286,$Z286))))"),"0")</f>
        <v>0</v>
      </c>
      <c r="AC286" s="507" t="n">
        <f aca="false">SUM(IF(OR($R286="Grass",$R286="Psychic",$R286="Dark"),0-1,IF(OR($R286="Fighting",$R286="Flying",$R286="Fire",$R286="Ghost",$R286="Poison",$R286="Steel",$R286="Fairy"),1,0)),IF(OR($S286="Grass",$S286="Psychic",$S286="Dark"),0-1,IF(OR($S286="Fighting",$S286="Flying",$S286="Fire",$S286="Ghost",$S286="Poison",$S286="Steel",$S286="Fairy"),1,0)))</f>
        <v>2</v>
      </c>
      <c r="AD286" s="507" t="n">
        <f aca="false">SUM(IF(OR($R286="Ghost",$R286="Psychic"),0-1,IF(OR($R286="Fighting",$R286="Dark",$R286="Fairy"),1,0)),IF(OR($S286="Ghost",$S286="Psychic"),0-1,IF(OR($S286="Fighting",$S286="Dark",$S286="Fairy"),1,0)))</f>
        <v>1</v>
      </c>
      <c r="AE286" s="507" t="n">
        <f aca="false">IF(OR($R286="Fairy",$S286="Fairy"),4,SUM(IF($R286="Dragon",0-1,IF($R286="Steel",1,0)),IF($S286="Dragon",0-1,IF($S286="Steel",1,0))))</f>
        <v>4</v>
      </c>
      <c r="AF286" s="507" t="n">
        <f aca="false">IF(OR($R286="Ground",$S286="Ground"),4,SUM(IF(OR($R286="Flying",$R286="Water"),0-1,IF(OR($R286="Dragon",$R286="Electric",$R286="Grass"),1,0)),IF(OR($S286="Flying",$S286="Water"),0-1,IF(OR($S286="Dragon",$S286="Electric",$S286="Grass"),1,0))))</f>
        <v>0</v>
      </c>
      <c r="AG286" s="507" t="n">
        <f aca="false">SUM(IF(OR($R286="Dark",$R286="Dragon",$R286="Fighting"),0-1,IF(OR($R286="Steel",$R286="Poison",$R286="Fire"),1,0)),IF(OR($S286="Dark",$S286="Dragon",$S286="Fighting"),0-1,IF(OR($S286="Steel",$S286="Poison",$S286="Fire"),1,0)))</f>
        <v>1</v>
      </c>
      <c r="AH286" s="507" t="n">
        <f aca="false">IF(OR($R286="Ghost",$S286="Ghost"),4,SUM(IF(OR($R286="Dark",$R286="Ice",$R286="Normal",$R286="Rock",$R286="Steel"),0-1,IF(OR($R286="Bug",$R286="Fairy",$R286="Flying",$R286="Poison",$R286="Psychic"),1,0)),IF(OR($S286="Dark",$S286="Ice",$S286="Normal",$S286="Rock",$S286="Steel"),0-1,IF(OR($S286="Bug",$S286="Fairy",$S286="Flying",$S286="Poison",$S286="Psychic"),1,0))))</f>
        <v>0</v>
      </c>
      <c r="AI286" s="507" t="n">
        <f aca="false">SUM(IF(OR($R286="Bug",$R286="Grass",$R286="Ice",$R286="Steel"),0-1,IF(OR($R286="Dragon",$R286="Fire",$R286="Rock",$R286="Water"),1,0)),IF(OR($S286="Bug",$S286="Grass",$S286="Ice",$S286="Steel"),0-1,IF(OR($S286="Dragon",$S286="Fire",$S286="Rock",$S286="Water"),1,0)))</f>
        <v>-1</v>
      </c>
      <c r="AJ286" s="507" t="n">
        <f aca="false">SUM(IF(OR($R286="Bug",$R286="Grass",$R286="Fighting"),0-1,IF(OR($R286="Electric",$R286="Rock",$R286="Steel"),1,0)),IF(OR($S286="Bug",$S286="Grass",$S286="Fighting"),0-1,IF(OR($S286="Electric",$S286="Rock",$S286="Steel"),1,0)))</f>
        <v>1</v>
      </c>
      <c r="AK286" s="507" t="n">
        <f aca="false">IF(OR($R286="Normal",$S286="Normal"),4,SUM(IF(OR($R286="Ghost",$R286="Psychic"),0-1,IF($R286="Dark",1,0)),IF(OR($S286="Ghost",$S286="Psychic"),0-1,IF($S286="Dark",1,0))))</f>
        <v>0</v>
      </c>
      <c r="AL286" s="507" t="n">
        <f aca="false">SUM(IF(OR($R286="Ground",$R286="Rock",$R286="Water"),0-1,IF(OR($R286="Bug",$R286="Flying",$R286="Fire",$R286="Dragon",$R286="Poison",$R286="Steel",$R286="Grass"),1,0)),IF(OR($S286="Ground",$S286="Rock",$S286="Water"),0-1,IF(OR($S286="Bug",$S286="Flying",$S286="Fire",$S286="Dragon",$S286="Poison",$S286="Steel",$S286="Grass"),1,0)))</f>
        <v>1</v>
      </c>
      <c r="AM286" s="507" t="n">
        <f aca="false">IF(OR($R286="Flying",$S286="Flying"),4,SUM(IF(OR($R286="Electric",$R286="Fire",$R286="Rock",$R286="Steel",$R286="Poison"),0-1,IF(OR($R286="Bug",$R286="Grass"),1,0)),IF(OR($S286="Electric",$S286="Fire",$S286="Rock",$S286="Steel",$S286="Poison"),0-1,IF(OR($S286="Bug",$S286="Grass"),1,0))))</f>
        <v>-1</v>
      </c>
      <c r="AN286" s="507" t="n">
        <f aca="false">SUM(IF(OR($R286="Flying",$R286="Dragon",$R286="Grass",$R286="Ground"),0-1,IF(OR($R286="Steel",$R286="Ice",$R286="Fire",$R286="Water"),1,0)),IF(OR($S286="Flying",$S286="Dragon",$S286="Grass",$S286="Ground"),0-1,IF(OR($S286="Steel",$S286="Ice",$S286="Fire",$S286="Water"),1,0)))</f>
        <v>1</v>
      </c>
      <c r="AO286" s="507" t="n">
        <f aca="false">IF(OR($R286="Ghost",$S286="Ghost"),4,SUM(IF(OR($R286="Steel",$R286="Rock"),1,0),IF(OR($S286="Steel",$S286="Rock"),1,0)))</f>
        <v>1</v>
      </c>
      <c r="AP286" s="507" t="n">
        <f aca="false">IF(OR($R286="Steel",$S286="Steel"),4,SUM(IF(OR($R286="Fairy",$R286="Grass"),0-1,IF(OR($R286="Ghost",$R286="Rock",$R286="Ground",$R286="Poison"),1,0)),IF(OR($S286="Fairy",$S286="Grass"),0-1,IF(OR($S286="Ghost",$S286="Rock",$S286="Ground",$S286="Poison"),1,0))))</f>
        <v>4</v>
      </c>
      <c r="AQ286" s="507" t="n">
        <f aca="false">IF(OR($R286="Dark",$S286="Dark"),4,SUM(IF(OR($R286="Fighting",$R286="Poison"),0-1,IF(OR($R286="Psychic",$R286="Steel"),1,0)),IF(OR($S286="Fighting",$S286="Poison"),0-1,IF(OR($S286="Psychic",$S286="Steel"),1,0))))</f>
        <v>1</v>
      </c>
      <c r="AR286" s="507" t="n">
        <f aca="false">SUM(IF(OR($R286="Bug",$R286="Fire",$R286="Flying",$R286="Ice"),0-1,IF(OR($R286="Steel",$R286="Fighting",$R286="Ground"),1,0)),IF(OR($S286="Bug",$S286="Fire",$S286="Flying",$S286="Ice"),0-1,IF(OR($S286="Steel",$S286="Fighting",$S286="Ground"),1,0)))</f>
        <v>1</v>
      </c>
      <c r="AS286" s="507" t="n">
        <f aca="false">SUM(IF(OR($R286="Fairy",$R286="Ice",$R286="Rock"),0-1,IF(OR($R286="Steel",$R286="Electric",$R286="Fire",$R286="Water"),1,0)),IF(OR($S286="Fairy",$S286="Ice",$S286="Rock"),0-1,IF(OR($S286="Steel",$S286="Electric",$S286="Fire",$S286="Water"),1,0)))</f>
        <v>0</v>
      </c>
      <c r="AT286" s="508" t="n">
        <f aca="false">SUM(IF(OR($R286="Fire",$R286="Ground",$R286="Rock"),0-1,IF(OR($R286="Dragon",$R286="Grass",$R286="Water"),1,0)),IF(OR($S286="Fire",$S286="Ground",$S286="Rock"),0-1,IF(OR($S286="Dragon",$S286="Grass",$S286="Water"),1,0)))</f>
        <v>0</v>
      </c>
      <c r="AU286" s="518"/>
    </row>
    <row r="287" customFormat="false" ht="15.75" hidden="false" customHeight="false" outlineLevel="0" collapsed="false">
      <c r="A287" s="515" t="str">
        <f aca="false" t="array" ref="A287:A287">IF(ISNA(INDEX(Source!$U$7:$U$95,MATCH(B287,Source!$V$7:$V$95,0))),"FREE",INDEX(Source!$U$7:$U$95,MATCH(B287,Source!$V$7:$V$95,0)))</f>
        <v>FREE</v>
      </c>
      <c r="B287" s="511" t="s">
        <v>489</v>
      </c>
      <c r="C287" s="511"/>
      <c r="D287" s="511"/>
      <c r="E287" s="499" t="str">
        <f aca="false">IF(SUM($W287:$X287)&gt;0,SUM($W287:$X287),IF($H287&gt;0,0,IF($H287&gt;0,0,"-")))</f>
        <v>-</v>
      </c>
      <c r="F287" s="499" t="str">
        <f aca="false">IF(SUM($Y287:$Z287)&gt;0,SUM($Y287:$Z287),IF($H287&gt;0,0,"-"))</f>
        <v>-</v>
      </c>
      <c r="G287" s="499" t="str">
        <f aca="false">IF($H287&gt;0,minus(E287,F287),"-")</f>
        <v>-</v>
      </c>
      <c r="H287" s="500" t="n">
        <f aca="false">SUM(COUNTIF(MatchSource!$A:$A,$B287),COUNTIF(MatchSource!$H:$H,$B287))</f>
        <v>0</v>
      </c>
      <c r="I287" s="501" t="n">
        <f aca="false">SUM($AA287:$AB287)</f>
        <v>0</v>
      </c>
      <c r="J287" s="501" t="s">
        <v>700</v>
      </c>
      <c r="K287" s="512" t="str">
        <f aca="false" t="array" ref="K287:K287">IF(ISNA(INDEX(DraftRosters!$AA$3:$AA$199,MATCH($B287,DraftRosters!$AB$3:$AB$199,0))),"FA",IF(INDEX(DraftRosters!$AA$3:$AA$199,MATCH($B287,DraftRosters!$AB$3:$AB$199,0))="Franchise","Franch",INDEX(DraftRosters!$AA$3:$AA$199,MATCH($B287,DraftRosters!$AB$3:$AB$199,0))))</f>
        <v>FA</v>
      </c>
      <c r="L287" s="499" t="n">
        <v>60</v>
      </c>
      <c r="M287" s="499" t="n">
        <v>60</v>
      </c>
      <c r="N287" s="499" t="n">
        <v>75</v>
      </c>
      <c r="O287" s="499" t="n">
        <v>60</v>
      </c>
      <c r="P287" s="499" t="n">
        <v>75</v>
      </c>
      <c r="Q287" s="501" t="n">
        <v>80</v>
      </c>
      <c r="R287" s="499" t="s">
        <v>881</v>
      </c>
      <c r="S287" s="501" t="s">
        <v>828</v>
      </c>
      <c r="T287" s="504" t="s">
        <v>1026</v>
      </c>
      <c r="U287" s="505" t="s">
        <v>879</v>
      </c>
      <c r="V287" s="506"/>
      <c r="W287" s="500" t="str">
        <f aca="false">IFERROR(__xludf.dummyfunction("if(isna(SUM(FILTER(MatchSource!$A:$D,MatchSource!$A:$A=$B287))),0,SUM(FILTER(MatchSource!$A:$D,MatchSource!$A:$A=$B287)))"),"0")</f>
        <v>0</v>
      </c>
      <c r="X287" s="499" t="str">
        <f aca="false">IFERROR(__xludf.dummyfunction("if(isna(SUM(FILTER(MatchSource!$H:$K,MatchSource!$H:$H=$B287))),0,SUM(FILTER(MatchSource!$H:$K,MatchSource!$H:$H=$B287)))"),"0")</f>
        <v>0</v>
      </c>
      <c r="Y287" s="499" t="str">
        <f aca="false">IFERROR(__xludf.dummyfunction("if(isna(ABS(MINUS(SUM(FILTER(MatchSource!$A:$E,MatchSource!$A:$A=$B287)),SUM($W287)))),0,ABS(MINUS(SUM(FILTER(MatchSource!$A:$E,MatchSource!$A:$A=$B287)),SUM($W287))))"),"0")</f>
        <v>0</v>
      </c>
      <c r="Z287" s="499" t="str">
        <f aca="false">IFERROR(__xludf.dummyfunction("if(isna(ABS(MINUS(SUM(FILTER(MatchSource!$H:$L,MatchSource!$H:$H=$B287)),SUM($X287)))),0,ABS(MINUS(SUM(FILTER(MatchSource!$H:$L,MatchSource!$H:$H=$B287)),SUM($X287))))"),"0")</f>
        <v>0</v>
      </c>
      <c r="AA287" s="499" t="str">
        <f aca="false">IFERROR(__xludf.dummyfunction("if(isna(ABS(MINUS(SUM(FILTER(MatchSource!$A:$F,MatchSource!$A:$A=$B287)),SUM($W287,$Y287)))),0,ABS(MINUS(SUM(FILTER(MatchSource!$A:$F,MatchSource!$A:$A=$B287)),SUM($W287, $Y287,))))"),"0")</f>
        <v>0</v>
      </c>
      <c r="AB287" s="501" t="str">
        <f aca="false">IFERROR(__xludf.dummyfunction("if(isna(ABS(MINUS(SUM(FILTER(MatchSource!$H:$M,MatchSource!$H:$H=$B287)),SUM($X287,$Z287)))),0,ABS(MINUS(SUM(FILTER(MatchSource!$H:$M,MatchSource!$H:$H=$B287)),SUM($X287,$Z287))))"),"0")</f>
        <v>0</v>
      </c>
      <c r="AC287" s="507" t="n">
        <f aca="false">SUM(IF(OR($R287="Grass",$R287="Psychic",$R287="Dark"),0-1,IF(OR($R287="Fighting",$R287="Flying",$R287="Fire",$R287="Ghost",$R287="Poison",$R287="Steel",$R287="Fairy"),1,0)),IF(OR($S287="Grass",$S287="Psychic",$S287="Dark"),0-1,IF(OR($S287="Fighting",$S287="Flying",$S287="Fire",$S287="Ghost",$S287="Poison",$S287="Steel",$S287="Fairy"),1,0)))</f>
        <v>0</v>
      </c>
      <c r="AD287" s="507" t="n">
        <f aca="false">SUM(IF(OR($R287="Ghost",$R287="Psychic"),0-1,IF(OR($R287="Fighting",$R287="Dark",$R287="Fairy"),1,0)),IF(OR($S287="Ghost",$S287="Psychic"),0-1,IF(OR($S287="Fighting",$S287="Dark",$S287="Fairy"),1,0)))</f>
        <v>0</v>
      </c>
      <c r="AE287" s="507" t="n">
        <f aca="false">IF(OR($R287="Fairy",$S287="Fairy"),4,SUM(IF($R287="Dragon",0-1,IF($R287="Steel",1,0)),IF($S287="Dragon",0-1,IF($S287="Steel",1,0))))</f>
        <v>0</v>
      </c>
      <c r="AF287" s="507" t="n">
        <f aca="false">IF(OR($R287="Ground",$S287="Ground"),4,SUM(IF(OR($R287="Flying",$R287="Water"),0-1,IF(OR($R287="Dragon",$R287="Electric",$R287="Grass"),1,0)),IF(OR($S287="Flying",$S287="Water"),0-1,IF(OR($S287="Dragon",$S287="Electric",$S287="Grass"),1,0))))</f>
        <v>0</v>
      </c>
      <c r="AG287" s="507" t="n">
        <f aca="false">SUM(IF(OR($R287="Dark",$R287="Dragon",$R287="Fighting"),0-1,IF(OR($R287="Steel",$R287="Poison",$R287="Fire"),1,0)),IF(OR($S287="Dark",$S287="Dragon",$S287="Fighting"),0-1,IF(OR($S287="Steel",$S287="Poison",$S287="Fire"),1,0)))</f>
        <v>-1</v>
      </c>
      <c r="AH287" s="507" t="n">
        <f aca="false">IF(OR($R287="Ghost",$S287="Ghost"),4,SUM(IF(OR($R287="Dark",$R287="Ice",$R287="Normal",$R287="Rock",$R287="Steel"),0-1,IF(OR($R287="Bug",$R287="Fairy",$R287="Flying",$R287="Poison",$R287="Psychic"),1,0)),IF(OR($S287="Dark",$S287="Ice",$S287="Normal",$S287="Rock",$S287="Steel"),0-1,IF(OR($S287="Bug",$S287="Fairy",$S287="Flying",$S287="Poison",$S287="Psychic"),1,0))))</f>
        <v>1</v>
      </c>
      <c r="AI287" s="507" t="n">
        <f aca="false">SUM(IF(OR($R287="Bug",$R287="Grass",$R287="Ice",$R287="Steel"),0-1,IF(OR($R287="Dragon",$R287="Fire",$R287="Rock",$R287="Water"),1,0)),IF(OR($S287="Bug",$S287="Grass",$S287="Ice",$S287="Steel"),0-1,IF(OR($S287="Dragon",$S287="Fire",$S287="Rock",$S287="Water"),1,0)))</f>
        <v>0</v>
      </c>
      <c r="AJ287" s="507" t="n">
        <f aca="false">SUM(IF(OR($R287="Bug",$R287="Grass",$R287="Fighting"),0-1,IF(OR($R287="Electric",$R287="Rock",$R287="Steel"),1,0)),IF(OR($S287="Bug",$S287="Grass",$S287="Fighting"),0-1,IF(OR($S287="Electric",$S287="Rock",$S287="Steel"),1,0)))</f>
        <v>-1</v>
      </c>
      <c r="AK287" s="507" t="n">
        <f aca="false">IF(OR($R287="Normal",$S287="Normal"),4,SUM(IF(OR($R287="Ghost",$R287="Psychic"),0-1,IF($R287="Dark",1,0)),IF(OR($S287="Ghost",$S287="Psychic"),0-1,IF($S287="Dark",1,0))))</f>
        <v>-1</v>
      </c>
      <c r="AL287" s="507" t="n">
        <f aca="false">SUM(IF(OR($R287="Ground",$R287="Rock",$R287="Water"),0-1,IF(OR($R287="Bug",$R287="Flying",$R287="Fire",$R287="Dragon",$R287="Poison",$R287="Steel",$R287="Grass"),1,0)),IF(OR($S287="Ground",$S287="Rock",$S287="Water"),0-1,IF(OR($S287="Bug",$S287="Flying",$S287="Fire",$S287="Dragon",$S287="Poison",$S287="Steel",$S287="Grass"),1,0)))</f>
        <v>0</v>
      </c>
      <c r="AM287" s="507" t="n">
        <f aca="false">IF(OR($R287="Flying",$S287="Flying"),4,SUM(IF(OR($R287="Electric",$R287="Fire",$R287="Rock",$R287="Steel",$R287="Poison"),0-1,IF(OR($R287="Bug",$R287="Grass"),1,0)),IF(OR($S287="Electric",$S287="Fire",$S287="Rock",$S287="Steel",$S287="Poison"),0-1,IF(OR($S287="Bug",$S287="Grass"),1,0))))</f>
        <v>0</v>
      </c>
      <c r="AN287" s="507" t="n">
        <f aca="false">SUM(IF(OR($R287="Flying",$R287="Dragon",$R287="Grass",$R287="Ground"),0-1,IF(OR($R287="Steel",$R287="Ice",$R287="Fire",$R287="Water"),1,0)),IF(OR($S287="Flying",$S287="Dragon",$S287="Grass",$S287="Ground"),0-1,IF(OR($S287="Steel",$S287="Ice",$S287="Fire",$S287="Water"),1,0)))</f>
        <v>0</v>
      </c>
      <c r="AO287" s="507" t="n">
        <f aca="false">IF(OR($R287="Ghost",$S287="Ghost"),4,SUM(IF(OR($R287="Steel",$R287="Rock"),1,0),IF(OR($S287="Steel",$S287="Rock"),1,0)))</f>
        <v>0</v>
      </c>
      <c r="AP287" s="507" t="n">
        <f aca="false">IF(OR($R287="Steel",$S287="Steel"),4,SUM(IF(OR($R287="Fairy",$R287="Grass"),0-1,IF(OR($R287="Ghost",$R287="Rock",$R287="Ground",$R287="Poison"),1,0)),IF(OR($S287="Fairy",$S287="Grass"),0-1,IF(OR($S287="Ghost",$S287="Rock",$S287="Ground",$S287="Poison"),1,0))))</f>
        <v>0</v>
      </c>
      <c r="AQ287" s="507" t="n">
        <f aca="false">IF(OR($R287="Dark",$S287="Dark"),4,SUM(IF(OR($R287="Fighting",$R287="Poison"),0-1,IF(OR($R287="Psychic",$R287="Steel"),1,0)),IF(OR($S287="Fighting",$S287="Poison"),0-1,IF(OR($S287="Psychic",$S287="Steel"),1,0))))</f>
        <v>0</v>
      </c>
      <c r="AR287" s="507" t="n">
        <f aca="false">SUM(IF(OR($R287="Bug",$R287="Fire",$R287="Flying",$R287="Ice"),0-1,IF(OR($R287="Steel",$R287="Fighting",$R287="Ground"),1,0)),IF(OR($S287="Bug",$S287="Fire",$S287="Flying",$S287="Ice"),0-1,IF(OR($S287="Steel",$S287="Fighting",$S287="Ground"),1,0)))</f>
        <v>1</v>
      </c>
      <c r="AS287" s="507" t="n">
        <f aca="false">SUM(IF(OR($R287="Fairy",$R287="Ice",$R287="Rock"),0-1,IF(OR($R287="Steel",$R287="Electric",$R287="Fire",$R287="Water"),1,0)),IF(OR($S287="Fairy",$S287="Ice",$S287="Rock"),0-1,IF(OR($S287="Steel",$S287="Electric",$S287="Fire",$S287="Water"),1,0)))</f>
        <v>0</v>
      </c>
      <c r="AT287" s="508" t="n">
        <f aca="false">SUM(IF(OR($R287="Fire",$R287="Ground",$R287="Rock"),0-1,IF(OR($R287="Dragon",$R287="Grass",$R287="Water"),1,0)),IF(OR($S287="Fire",$S287="Ground",$S287="Rock"),0-1,IF(OR($S287="Dragon",$S287="Grass",$S287="Water"),1,0)))</f>
        <v>0</v>
      </c>
      <c r="AU287" s="518"/>
    </row>
    <row r="288" customFormat="false" ht="15.75" hidden="false" customHeight="false" outlineLevel="0" collapsed="false">
      <c r="A288" s="510" t="str">
        <f aca="false" t="array" ref="A288:A288">IF(ISNA(INDEX(Source!$U$7:$U$95,MATCH(B288,Source!$V$7:$V$95,0))),"FREE",INDEX(Source!$U$7:$U$95,MATCH(B288,Source!$V$7:$V$95,0)))</f>
        <v>SGP</v>
      </c>
      <c r="B288" s="511" t="s">
        <v>79</v>
      </c>
      <c r="C288" s="511"/>
      <c r="D288" s="511"/>
      <c r="E288" s="499" t="n">
        <f aca="false">IF(SUM($W288:$X288)&gt;0,SUM($W288:$X288),IF($H288&gt;0,0,IF($H288&gt;0,0,"-")))</f>
        <v>0</v>
      </c>
      <c r="F288" s="499" t="n">
        <f aca="false">IF(SUM($Y288:$Z288)&gt;0,SUM($Y288:$Z288),IF($H288&gt;0,0,"-"))</f>
        <v>0</v>
      </c>
      <c r="G288" s="499" t="e">
        <f aca="false">IF($H288&gt;0,minus(E288,F288),"-")</f>
        <v>#NAME?</v>
      </c>
      <c r="H288" s="500" t="n">
        <f aca="false">SUM(COUNTIF(MatchSource!$A:$A,$B288),COUNTIF(MatchSource!$H:$H,$B288))</f>
        <v>1</v>
      </c>
      <c r="I288" s="501" t="n">
        <f aca="false">SUM($AA288:$AB288)</f>
        <v>0</v>
      </c>
      <c r="J288" s="501" t="s">
        <v>276</v>
      </c>
      <c r="K288" s="512" t="n">
        <f aca="false" t="array" ref="K288:K288">IF(ISNA(INDEX(DraftRosters!$AA$3:$AA$199,MATCH($B288,DraftRosters!$AB$3:$AB$199,0))),"FA",IF(INDEX(DraftRosters!$AA$3:$AA$199,MATCH($B288,DraftRosters!$AB$3:$AB$199,0))="Franchise","Franch",INDEX(DraftRosters!$AA$3:$AA$199,MATCH($B288,DraftRosters!$AB$3:$AB$199,0))))</f>
        <v>47</v>
      </c>
      <c r="L288" s="499" t="n">
        <v>60</v>
      </c>
      <c r="M288" s="499" t="n">
        <v>100</v>
      </c>
      <c r="N288" s="499" t="n">
        <v>85</v>
      </c>
      <c r="O288" s="499" t="n">
        <v>80</v>
      </c>
      <c r="P288" s="499" t="n">
        <v>85</v>
      </c>
      <c r="Q288" s="501" t="n">
        <v>100</v>
      </c>
      <c r="R288" s="499" t="s">
        <v>881</v>
      </c>
      <c r="S288" s="501" t="s">
        <v>828</v>
      </c>
      <c r="T288" s="504" t="s">
        <v>1026</v>
      </c>
      <c r="U288" s="505"/>
      <c r="V288" s="506"/>
      <c r="W288" s="500" t="str">
        <f aca="false">IFERROR(__xludf.dummyfunction("if(isna(SUM(FILTER(MatchSource!$A:$D,MatchSource!$A:$A=$B288))),0,SUM(FILTER(MatchSource!$A:$D,MatchSource!$A:$A=$B288)))"),"0")</f>
        <v>0</v>
      </c>
      <c r="X288" s="499" t="str">
        <f aca="false">IFERROR(__xludf.dummyfunction("if(isna(SUM(FILTER(MatchSource!$H:$K,MatchSource!$H:$H=$B288))),0,SUM(FILTER(MatchSource!$H:$K,MatchSource!$H:$H=$B288)))"),"0")</f>
        <v>0</v>
      </c>
      <c r="Y288" s="499" t="str">
        <f aca="false">IFERROR(__xludf.dummyfunction("if(isna(ABS(MINUS(SUM(FILTER(MatchSource!$A:$E,MatchSource!$A:$A=$B288)),SUM($W288)))),0,ABS(MINUS(SUM(FILTER(MatchSource!$A:$E,MatchSource!$A:$A=$B288)),SUM($W288))))"),"1")</f>
        <v>1</v>
      </c>
      <c r="Z288" s="499" t="str">
        <f aca="false">IFERROR(__xludf.dummyfunction("if(isna(ABS(MINUS(SUM(FILTER(MatchSource!$H:$L,MatchSource!$H:$H=$B288)),SUM($X288)))),0,ABS(MINUS(SUM(FILTER(MatchSource!$H:$L,MatchSource!$H:$H=$B288)),SUM($X288))))"),"0")</f>
        <v>0</v>
      </c>
      <c r="AA288" s="499" t="str">
        <f aca="false">IFERROR(__xludf.dummyfunction("if(isna(ABS(MINUS(SUM(FILTER(MatchSource!$A:$F,MatchSource!$A:$A=$B288)),SUM($W288,$Y288)))),0,ABS(MINUS(SUM(FILTER(MatchSource!$A:$F,MatchSource!$A:$A=$B288)),SUM($W288, $Y288,))))"),"0")</f>
        <v>0</v>
      </c>
      <c r="AB288" s="501" t="str">
        <f aca="false">IFERROR(__xludf.dummyfunction("if(isna(ABS(MINUS(SUM(FILTER(MatchSource!$H:$M,MatchSource!$H:$H=$B288)),SUM($X288,$Z288)))),0,ABS(MINUS(SUM(FILTER(MatchSource!$H:$M,MatchSource!$H:$H=$B288)),SUM($X288,$Z288))))"),"0")</f>
        <v>0</v>
      </c>
      <c r="AC288" s="507" t="n">
        <f aca="false">SUM(IF(OR($R288="Grass",$R288="Psychic",$R288="Dark"),0-1,IF(OR($R288="Fighting",$R288="Flying",$R288="Fire",$R288="Ghost",$R288="Poison",$R288="Steel",$R288="Fairy"),1,0)),IF(OR($S288="Grass",$S288="Psychic",$S288="Dark"),0-1,IF(OR($S288="Fighting",$S288="Flying",$S288="Fire",$S288="Ghost",$S288="Poison",$S288="Steel",$S288="Fairy"),1,0)))</f>
        <v>0</v>
      </c>
      <c r="AD288" s="507" t="n">
        <f aca="false">SUM(IF(OR($R288="Ghost",$R288="Psychic"),0-1,IF(OR($R288="Fighting",$R288="Dark",$R288="Fairy"),1,0)),IF(OR($S288="Ghost",$S288="Psychic"),0-1,IF(OR($S288="Fighting",$S288="Dark",$S288="Fairy"),1,0)))</f>
        <v>0</v>
      </c>
      <c r="AE288" s="507" t="n">
        <f aca="false">IF(OR($R288="Fairy",$S288="Fairy"),4,SUM(IF($R288="Dragon",0-1,IF($R288="Steel",1,0)),IF($S288="Dragon",0-1,IF($S288="Steel",1,0))))</f>
        <v>0</v>
      </c>
      <c r="AF288" s="507" t="n">
        <f aca="false">IF(OR($R288="Ground",$S288="Ground"),4,SUM(IF(OR($R288="Flying",$R288="Water"),0-1,IF(OR($R288="Dragon",$R288="Electric",$R288="Grass"),1,0)),IF(OR($S288="Flying",$S288="Water"),0-1,IF(OR($S288="Dragon",$S288="Electric",$S288="Grass"),1,0))))</f>
        <v>0</v>
      </c>
      <c r="AG288" s="507" t="n">
        <f aca="false">SUM(IF(OR($R288="Dark",$R288="Dragon",$R288="Fighting"),0-1,IF(OR($R288="Steel",$R288="Poison",$R288="Fire"),1,0)),IF(OR($S288="Dark",$S288="Dragon",$S288="Fighting"),0-1,IF(OR($S288="Steel",$S288="Poison",$S288="Fire"),1,0)))</f>
        <v>-1</v>
      </c>
      <c r="AH288" s="507" t="n">
        <f aca="false">IF(OR($R288="Ghost",$S288="Ghost"),4,SUM(IF(OR($R288="Dark",$R288="Ice",$R288="Normal",$R288="Rock",$R288="Steel"),0-1,IF(OR($R288="Bug",$R288="Fairy",$R288="Flying",$R288="Poison",$R288="Psychic"),1,0)),IF(OR($S288="Dark",$S288="Ice",$S288="Normal",$S288="Rock",$S288="Steel"),0-1,IF(OR($S288="Bug",$S288="Fairy",$S288="Flying",$S288="Poison",$S288="Psychic"),1,0))))</f>
        <v>1</v>
      </c>
      <c r="AI288" s="507" t="n">
        <f aca="false">SUM(IF(OR($R288="Bug",$R288="Grass",$R288="Ice",$R288="Steel"),0-1,IF(OR($R288="Dragon",$R288="Fire",$R288="Rock",$R288="Water"),1,0)),IF(OR($S288="Bug",$S288="Grass",$S288="Ice",$S288="Steel"),0-1,IF(OR($S288="Dragon",$S288="Fire",$S288="Rock",$S288="Water"),1,0)))</f>
        <v>0</v>
      </c>
      <c r="AJ288" s="507" t="n">
        <f aca="false">SUM(IF(OR($R288="Bug",$R288="Grass",$R288="Fighting"),0-1,IF(OR($R288="Electric",$R288="Rock",$R288="Steel"),1,0)),IF(OR($S288="Bug",$S288="Grass",$S288="Fighting"),0-1,IF(OR($S288="Electric",$S288="Rock",$S288="Steel"),1,0)))</f>
        <v>-1</v>
      </c>
      <c r="AK288" s="507" t="n">
        <f aca="false">IF(OR($R288="Normal",$S288="Normal"),4,SUM(IF(OR($R288="Ghost",$R288="Psychic"),0-1,IF($R288="Dark",1,0)),IF(OR($S288="Ghost",$S288="Psychic"),0-1,IF($S288="Dark",1,0))))</f>
        <v>-1</v>
      </c>
      <c r="AL288" s="507" t="n">
        <f aca="false">SUM(IF(OR($R288="Ground",$R288="Rock",$R288="Water"),0-1,IF(OR($R288="Bug",$R288="Flying",$R288="Fire",$R288="Dragon",$R288="Poison",$R288="Steel",$R288="Grass"),1,0)),IF(OR($S288="Ground",$S288="Rock",$S288="Water"),0-1,IF(OR($S288="Bug",$S288="Flying",$S288="Fire",$S288="Dragon",$S288="Poison",$S288="Steel",$S288="Grass"),1,0)))</f>
        <v>0</v>
      </c>
      <c r="AM288" s="507" t="n">
        <f aca="false">IF(OR($R288="Flying",$S288="Flying"),4,SUM(IF(OR($R288="Electric",$R288="Fire",$R288="Rock",$R288="Steel",$R288="Poison"),0-1,IF(OR($R288="Bug",$R288="Grass"),1,0)),IF(OR($S288="Electric",$S288="Fire",$S288="Rock",$S288="Steel",$S288="Poison"),0-1,IF(OR($S288="Bug",$S288="Grass"),1,0))))</f>
        <v>0</v>
      </c>
      <c r="AN288" s="507" t="n">
        <f aca="false">SUM(IF(OR($R288="Flying",$R288="Dragon",$R288="Grass",$R288="Ground"),0-1,IF(OR($R288="Steel",$R288="Ice",$R288="Fire",$R288="Water"),1,0)),IF(OR($S288="Flying",$S288="Dragon",$S288="Grass",$S288="Ground"),0-1,IF(OR($S288="Steel",$S288="Ice",$S288="Fire",$S288="Water"),1,0)))</f>
        <v>0</v>
      </c>
      <c r="AO288" s="507" t="n">
        <f aca="false">IF(OR($R288="Ghost",$S288="Ghost"),4,SUM(IF(OR($R288="Steel",$R288="Rock"),1,0),IF(OR($S288="Steel",$S288="Rock"),1,0)))</f>
        <v>0</v>
      </c>
      <c r="AP288" s="507" t="n">
        <f aca="false">IF(OR($R288="Steel",$S288="Steel"),4,SUM(IF(OR($R288="Fairy",$R288="Grass"),0-1,IF(OR($R288="Ghost",$R288="Rock",$R288="Ground",$R288="Poison"),1,0)),IF(OR($S288="Fairy",$S288="Grass"),0-1,IF(OR($S288="Ghost",$S288="Rock",$S288="Ground",$S288="Poison"),1,0))))</f>
        <v>0</v>
      </c>
      <c r="AQ288" s="507" t="n">
        <f aca="false">IF(OR($R288="Dark",$S288="Dark"),4,SUM(IF(OR($R288="Fighting",$R288="Poison"),0-1,IF(OR($R288="Psychic",$R288="Steel"),1,0)),IF(OR($S288="Fighting",$S288="Poison"),0-1,IF(OR($S288="Psychic",$S288="Steel"),1,0))))</f>
        <v>0</v>
      </c>
      <c r="AR288" s="507" t="n">
        <f aca="false">SUM(IF(OR($R288="Bug",$R288="Fire",$R288="Flying",$R288="Ice"),0-1,IF(OR($R288="Steel",$R288="Fighting",$R288="Ground"),1,0)),IF(OR($S288="Bug",$S288="Fire",$S288="Flying",$S288="Ice"),0-1,IF(OR($S288="Steel",$S288="Fighting",$S288="Ground"),1,0)))</f>
        <v>1</v>
      </c>
      <c r="AS288" s="507" t="n">
        <f aca="false">SUM(IF(OR($R288="Fairy",$R288="Ice",$R288="Rock"),0-1,IF(OR($R288="Steel",$R288="Electric",$R288="Fire",$R288="Water"),1,0)),IF(OR($S288="Fairy",$S288="Ice",$S288="Rock"),0-1,IF(OR($S288="Steel",$S288="Electric",$S288="Fire",$S288="Water"),1,0)))</f>
        <v>0</v>
      </c>
      <c r="AT288" s="508" t="n">
        <f aca="false">SUM(IF(OR($R288="Fire",$R288="Ground",$R288="Rock"),0-1,IF(OR($R288="Dragon",$R288="Grass",$R288="Water"),1,0)),IF(OR($S288="Fire",$S288="Ground",$S288="Rock"),0-1,IF(OR($S288="Dragon",$S288="Grass",$S288="Water"),1,0)))</f>
        <v>0</v>
      </c>
      <c r="AU288" s="518"/>
    </row>
    <row r="289" customFormat="false" ht="15.75" hidden="false" customHeight="false" outlineLevel="0" collapsed="false">
      <c r="A289" s="515" t="str">
        <f aca="false" t="array" ref="A289:A289">IF(ISNA(INDEX(Source!$U$7:$U$95,MATCH(B289,Source!$V$7:$V$95,0))),"FREE",INDEX(Source!$U$7:$U$95,MATCH(B289,Source!$V$7:$V$95,0)))</f>
        <v>FREE</v>
      </c>
      <c r="B289" s="511" t="s">
        <v>338</v>
      </c>
      <c r="C289" s="511"/>
      <c r="D289" s="511"/>
      <c r="E289" s="499" t="str">
        <f aca="false">IF(SUM($W289:$X289)&gt;0,SUM($W289:$X289),IF($H289&gt;0,0,IF($H289&gt;0,0,"-")))</f>
        <v>-</v>
      </c>
      <c r="F289" s="499" t="str">
        <f aca="false">IF(SUM($Y289:$Z289)&gt;0,SUM($Y289:$Z289),IF($H289&gt;0,0,"-"))</f>
        <v>-</v>
      </c>
      <c r="G289" s="499" t="str">
        <f aca="false">IF($H289&gt;0,minus(E289,F289),"-")</f>
        <v>-</v>
      </c>
      <c r="H289" s="500" t="n">
        <f aca="false">SUM(COUNTIF(MatchSource!$A:$A,$B289),COUNTIF(MatchSource!$H:$H,$B289))</f>
        <v>0</v>
      </c>
      <c r="I289" s="501" t="n">
        <f aca="false">SUM($AA289:$AB289)</f>
        <v>0</v>
      </c>
      <c r="J289" s="501" t="s">
        <v>702</v>
      </c>
      <c r="K289" s="512" t="str">
        <f aca="false" t="array" ref="K289:K289">IF(ISNA(INDEX(DraftRosters!$AA$3:$AA$199,MATCH($B289,DraftRosters!$AB$3:$AB$199,0))),"FA",IF(INDEX(DraftRosters!$AA$3:$AA$199,MATCH($B289,DraftRosters!$AB$3:$AB$199,0))="Franchise","Franch",INDEX(DraftRosters!$AA$3:$AA$199,MATCH($B289,DraftRosters!$AB$3:$AB$199,0))))</f>
        <v>FA</v>
      </c>
      <c r="L289" s="499" t="n">
        <v>80</v>
      </c>
      <c r="M289" s="499" t="n">
        <v>82</v>
      </c>
      <c r="N289" s="499" t="n">
        <v>100</v>
      </c>
      <c r="O289" s="499" t="n">
        <v>83</v>
      </c>
      <c r="P289" s="499" t="n">
        <v>100</v>
      </c>
      <c r="Q289" s="501" t="n">
        <v>80</v>
      </c>
      <c r="R289" s="499" t="s">
        <v>803</v>
      </c>
      <c r="S289" s="501"/>
      <c r="T289" s="504" t="s">
        <v>1004</v>
      </c>
      <c r="U289" s="505" t="s">
        <v>921</v>
      </c>
      <c r="V289" s="506"/>
      <c r="W289" s="500" t="str">
        <f aca="false">IFERROR(__xludf.dummyfunction("if(isna(SUM(FILTER(MatchSource!$A:$D,MatchSource!$A:$A=$B289))),0,SUM(FILTER(MatchSource!$A:$D,MatchSource!$A:$A=$B289)))"),"0")</f>
        <v>0</v>
      </c>
      <c r="X289" s="499" t="str">
        <f aca="false">IFERROR(__xludf.dummyfunction("if(isna(SUM(FILTER(MatchSource!$H:$K,MatchSource!$H:$H=$B289))),0,SUM(FILTER(MatchSource!$H:$K,MatchSource!$H:$H=$B289)))"),"0")</f>
        <v>0</v>
      </c>
      <c r="Y289" s="499" t="str">
        <f aca="false">IFERROR(__xludf.dummyfunction("if(isna(ABS(MINUS(SUM(FILTER(MatchSource!$A:$E,MatchSource!$A:$A=$B289)),SUM($W289)))),0,ABS(MINUS(SUM(FILTER(MatchSource!$A:$E,MatchSource!$A:$A=$B289)),SUM($W289))))"),"0")</f>
        <v>0</v>
      </c>
      <c r="Z289" s="499" t="str">
        <f aca="false">IFERROR(__xludf.dummyfunction("if(isna(ABS(MINUS(SUM(FILTER(MatchSource!$H:$L,MatchSource!$H:$H=$B289)),SUM($X289)))),0,ABS(MINUS(SUM(FILTER(MatchSource!$H:$L,MatchSource!$H:$H=$B289)),SUM($X289))))"),"0")</f>
        <v>0</v>
      </c>
      <c r="AA289" s="499" t="str">
        <f aca="false">IFERROR(__xludf.dummyfunction("if(isna(ABS(MINUS(SUM(FILTER(MatchSource!$A:$F,MatchSource!$A:$A=$B289)),SUM($W289,$Y289)))),0,ABS(MINUS(SUM(FILTER(MatchSource!$A:$F,MatchSource!$A:$A=$B289)),SUM($W289, $Y289,))))"),"0")</f>
        <v>0</v>
      </c>
      <c r="AB289" s="501" t="str">
        <f aca="false">IFERROR(__xludf.dummyfunction("if(isna(ABS(MINUS(SUM(FILTER(MatchSource!$H:$M,MatchSource!$H:$H=$B289)),SUM($X289,$Z289)))),0,ABS(MINUS(SUM(FILTER(MatchSource!$H:$M,MatchSource!$H:$H=$B289)),SUM($X289,$Z289))))"),"0")</f>
        <v>0</v>
      </c>
      <c r="AC289" s="507" t="n">
        <f aca="false">SUM(IF(OR($R289="Grass",$R289="Psychic",$R289="Dark"),0-1,IF(OR($R289="Fighting",$R289="Flying",$R289="Fire",$R289="Ghost",$R289="Poison",$R289="Steel",$R289="Fairy"),1,0)),IF(OR($S289="Grass",$S289="Psychic",$S289="Dark"),0-1,IF(OR($S289="Fighting",$S289="Flying",$S289="Fire",$S289="Ghost",$S289="Poison",$S289="Steel",$S289="Fairy"),1,0)))</f>
        <v>-1</v>
      </c>
      <c r="AD289" s="507" t="n">
        <f aca="false">SUM(IF(OR($R289="Ghost",$R289="Psychic"),0-1,IF(OR($R289="Fighting",$R289="Dark",$R289="Fairy"),1,0)),IF(OR($S289="Ghost",$S289="Psychic"),0-1,IF(OR($S289="Fighting",$S289="Dark",$S289="Fairy"),1,0)))</f>
        <v>0</v>
      </c>
      <c r="AE289" s="507" t="n">
        <f aca="false">IF(OR($R289="Fairy",$S289="Fairy"),4,SUM(IF($R289="Dragon",0-1,IF($R289="Steel",1,0)),IF($S289="Dragon",0-1,IF($S289="Steel",1,0))))</f>
        <v>0</v>
      </c>
      <c r="AF289" s="507" t="n">
        <f aca="false">IF(OR($R289="Ground",$S289="Ground"),4,SUM(IF(OR($R289="Flying",$R289="Water"),0-1,IF(OR($R289="Dragon",$R289="Electric",$R289="Grass"),1,0)),IF(OR($S289="Flying",$S289="Water"),0-1,IF(OR($S289="Dragon",$S289="Electric",$S289="Grass"),1,0))))</f>
        <v>1</v>
      </c>
      <c r="AG289" s="507" t="n">
        <f aca="false">SUM(IF(OR($R289="Dark",$R289="Dragon",$R289="Fighting"),0-1,IF(OR($R289="Steel",$R289="Poison",$R289="Fire"),1,0)),IF(OR($S289="Dark",$S289="Dragon",$S289="Fighting"),0-1,IF(OR($S289="Steel",$S289="Poison",$S289="Fire"),1,0)))</f>
        <v>0</v>
      </c>
      <c r="AH289" s="507" t="n">
        <f aca="false">IF(OR($R289="Ghost",$S289="Ghost"),4,SUM(IF(OR($R289="Dark",$R289="Ice",$R289="Normal",$R289="Rock",$R289="Steel"),0-1,IF(OR($R289="Bug",$R289="Fairy",$R289="Flying",$R289="Poison",$R289="Psychic"),1,0)),IF(OR($S289="Dark",$S289="Ice",$S289="Normal",$S289="Rock",$S289="Steel"),0-1,IF(OR($S289="Bug",$S289="Fairy",$S289="Flying",$S289="Poison",$S289="Psychic"),1,0))))</f>
        <v>0</v>
      </c>
      <c r="AI289" s="507" t="n">
        <f aca="false">SUM(IF(OR($R289="Bug",$R289="Grass",$R289="Ice",$R289="Steel"),0-1,IF(OR($R289="Dragon",$R289="Fire",$R289="Rock",$R289="Water"),1,0)),IF(OR($S289="Bug",$S289="Grass",$S289="Ice",$S289="Steel"),0-1,IF(OR($S289="Dragon",$S289="Fire",$S289="Rock",$S289="Water"),1,0)))</f>
        <v>-1</v>
      </c>
      <c r="AJ289" s="507" t="n">
        <f aca="false">SUM(IF(OR($R289="Bug",$R289="Grass",$R289="Fighting"),0-1,IF(OR($R289="Electric",$R289="Rock",$R289="Steel"),1,0)),IF(OR($S289="Bug",$S289="Grass",$S289="Fighting"),0-1,IF(OR($S289="Electric",$S289="Rock",$S289="Steel"),1,0)))</f>
        <v>-1</v>
      </c>
      <c r="AK289" s="507" t="n">
        <f aca="false">IF(OR($R289="Normal",$S289="Normal"),4,SUM(IF(OR($R289="Ghost",$R289="Psychic"),0-1,IF($R289="Dark",1,0)),IF(OR($S289="Ghost",$S289="Psychic"),0-1,IF($S289="Dark",1,0))))</f>
        <v>0</v>
      </c>
      <c r="AL289" s="507" t="n">
        <f aca="false">SUM(IF(OR($R289="Ground",$R289="Rock",$R289="Water"),0-1,IF(OR($R289="Bug",$R289="Flying",$R289="Fire",$R289="Dragon",$R289="Poison",$R289="Steel",$R289="Grass"),1,0)),IF(OR($S289="Ground",$S289="Rock",$S289="Water"),0-1,IF(OR($S289="Bug",$S289="Flying",$S289="Fire",$S289="Dragon",$S289="Poison",$S289="Steel",$S289="Grass"),1,0)))</f>
        <v>1</v>
      </c>
      <c r="AM289" s="507" t="n">
        <f aca="false">IF(OR($R289="Flying",$S289="Flying"),4,SUM(IF(OR($R289="Electric",$R289="Fire",$R289="Rock",$R289="Steel",$R289="Poison"),0-1,IF(OR($R289="Bug",$R289="Grass"),1,0)),IF(OR($S289="Electric",$S289="Fire",$S289="Rock",$S289="Steel",$S289="Poison"),0-1,IF(OR($S289="Bug",$S289="Grass"),1,0))))</f>
        <v>1</v>
      </c>
      <c r="AN289" s="507" t="n">
        <f aca="false">SUM(IF(OR($R289="Flying",$R289="Dragon",$R289="Grass",$R289="Ground"),0-1,IF(OR($R289="Steel",$R289="Ice",$R289="Fire",$R289="Water"),1,0)),IF(OR($S289="Flying",$S289="Dragon",$S289="Grass",$S289="Ground"),0-1,IF(OR($S289="Steel",$S289="Ice",$S289="Fire",$S289="Water"),1,0)))</f>
        <v>-1</v>
      </c>
      <c r="AO289" s="507" t="n">
        <f aca="false">IF(OR($R289="Ghost",$S289="Ghost"),4,SUM(IF(OR($R289="Steel",$R289="Rock"),1,0),IF(OR($S289="Steel",$S289="Rock"),1,0)))</f>
        <v>0</v>
      </c>
      <c r="AP289" s="507" t="n">
        <f aca="false">IF(OR($R289="Steel",$S289="Steel"),4,SUM(IF(OR($R289="Fairy",$R289="Grass"),0-1,IF(OR($R289="Ghost",$R289="Rock",$R289="Ground",$R289="Poison"),1,0)),IF(OR($S289="Fairy",$S289="Grass"),0-1,IF(OR($S289="Ghost",$S289="Rock",$S289="Ground",$S289="Poison"),1,0))))</f>
        <v>-1</v>
      </c>
      <c r="AQ289" s="507" t="n">
        <f aca="false">IF(OR($R289="Dark",$S289="Dark"),4,SUM(IF(OR($R289="Fighting",$R289="Poison"),0-1,IF(OR($R289="Psychic",$R289="Steel"),1,0)),IF(OR($S289="Fighting",$S289="Poison"),0-1,IF(OR($S289="Psychic",$S289="Steel"),1,0))))</f>
        <v>0</v>
      </c>
      <c r="AR289" s="507" t="n">
        <f aca="false">SUM(IF(OR($R289="Bug",$R289="Fire",$R289="Flying",$R289="Ice"),0-1,IF(OR($R289="Steel",$R289="Fighting",$R289="Ground"),1,0)),IF(OR($S289="Bug",$S289="Fire",$S289="Flying",$S289="Ice"),0-1,IF(OR($S289="Steel",$S289="Fighting",$S289="Ground"),1,0)))</f>
        <v>0</v>
      </c>
      <c r="AS289" s="507" t="n">
        <f aca="false">SUM(IF(OR($R289="Fairy",$R289="Ice",$R289="Rock"),0-1,IF(OR($R289="Steel",$R289="Electric",$R289="Fire",$R289="Water"),1,0)),IF(OR($S289="Fairy",$S289="Ice",$S289="Rock"),0-1,IF(OR($S289="Steel",$S289="Electric",$S289="Fire",$S289="Water"),1,0)))</f>
        <v>0</v>
      </c>
      <c r="AT289" s="508" t="n">
        <f aca="false">SUM(IF(OR($R289="Fire",$R289="Ground",$R289="Rock"),0-1,IF(OR($R289="Dragon",$R289="Grass",$R289="Water"),1,0)),IF(OR($S289="Fire",$S289="Ground",$S289="Rock"),0-1,IF(OR($S289="Dragon",$S289="Grass",$S289="Water"),1,0)))</f>
        <v>1</v>
      </c>
      <c r="AU289" s="518"/>
    </row>
    <row r="290" customFormat="false" ht="15.75" hidden="false" customHeight="false" outlineLevel="0" collapsed="false">
      <c r="A290" s="510" t="str">
        <f aca="false" t="array" ref="A290:A290">IF(ISNA(INDEX(Source!$U$7:$U$95,MATCH(B290,Source!$V$7:$V$95,0))),"FREE",INDEX(Source!$U$7:$U$95,MATCH(B290,Source!$V$7:$V$95,0)))</f>
        <v>FREE</v>
      </c>
      <c r="B290" s="511" t="s">
        <v>494</v>
      </c>
      <c r="C290" s="511"/>
      <c r="D290" s="511"/>
      <c r="E290" s="499" t="str">
        <f aca="false">IF(SUM($W290:$X290)&gt;0,SUM($W290:$X290),IF($H290&gt;0,0,IF($H290&gt;0,0,"-")))</f>
        <v>-</v>
      </c>
      <c r="F290" s="499" t="str">
        <f aca="false">IF(SUM($Y290:$Z290)&gt;0,SUM($Y290:$Z290),IF($H290&gt;0,0,"-"))</f>
        <v>-</v>
      </c>
      <c r="G290" s="499" t="str">
        <f aca="false">IF($H290&gt;0,minus(E290,F290),"-")</f>
        <v>-</v>
      </c>
      <c r="H290" s="500" t="n">
        <f aca="false">SUM(COUNTIF(MatchSource!$A:$A,$B290),COUNTIF(MatchSource!$H:$H,$B290))</f>
        <v>0</v>
      </c>
      <c r="I290" s="501" t="n">
        <f aca="false">SUM($AA290:$AB290)</f>
        <v>0</v>
      </c>
      <c r="J290" s="501" t="s">
        <v>700</v>
      </c>
      <c r="K290" s="512" t="str">
        <f aca="false" t="array" ref="K290:K290">IF(ISNA(INDEX(DraftRosters!$AA$3:$AA$199,MATCH($B290,DraftRosters!$AB$3:$AB$199,0))),"FA",IF(INDEX(DraftRosters!$AA$3:$AA$199,MATCH($B290,DraftRosters!$AB$3:$AB$199,0))="Franchise","Franch",INDEX(DraftRosters!$AA$3:$AA$199,MATCH($B290,DraftRosters!$AB$3:$AB$199,0))))</f>
        <v>FA</v>
      </c>
      <c r="L290" s="499" t="n">
        <v>100</v>
      </c>
      <c r="M290" s="499" t="n">
        <v>77</v>
      </c>
      <c r="N290" s="499" t="n">
        <v>77</v>
      </c>
      <c r="O290" s="499" t="n">
        <v>128</v>
      </c>
      <c r="P290" s="499" t="n">
        <v>128</v>
      </c>
      <c r="Q290" s="501" t="n">
        <v>90</v>
      </c>
      <c r="R290" s="499" t="s">
        <v>839</v>
      </c>
      <c r="S290" s="501" t="s">
        <v>828</v>
      </c>
      <c r="T290" s="504" t="s">
        <v>895</v>
      </c>
      <c r="U290" s="505"/>
      <c r="V290" s="506"/>
      <c r="W290" s="500" t="str">
        <f aca="false">IFERROR(__xludf.dummyfunction("if(isna(SUM(FILTER(MatchSource!$A:$D,MatchSource!$A:$A=$B290))),0,SUM(FILTER(MatchSource!$A:$D,MatchSource!$A:$A=$B290)))"),"0")</f>
        <v>0</v>
      </c>
      <c r="X290" s="499" t="str">
        <f aca="false">IFERROR(__xludf.dummyfunction("if(isna(SUM(FILTER(MatchSource!$H:$K,MatchSource!$H:$H=$B290))),0,SUM(FILTER(MatchSource!$H:$K,MatchSource!$H:$H=$B290)))"),"0")</f>
        <v>0</v>
      </c>
      <c r="Y290" s="499" t="str">
        <f aca="false">IFERROR(__xludf.dummyfunction("if(isna(ABS(MINUS(SUM(FILTER(MatchSource!$A:$E,MatchSource!$A:$A=$B290)),SUM($W290)))),0,ABS(MINUS(SUM(FILTER(MatchSource!$A:$E,MatchSource!$A:$A=$B290)),SUM($W290))))"),"0")</f>
        <v>0</v>
      </c>
      <c r="Z290" s="499" t="str">
        <f aca="false">IFERROR(__xludf.dummyfunction("if(isna(ABS(MINUS(SUM(FILTER(MatchSource!$H:$L,MatchSource!$H:$H=$B290)),SUM($X290)))),0,ABS(MINUS(SUM(FILTER(MatchSource!$H:$L,MatchSource!$H:$H=$B290)),SUM($X290))))"),"0")</f>
        <v>0</v>
      </c>
      <c r="AA290" s="499" t="str">
        <f aca="false">IFERROR(__xludf.dummyfunction("if(isna(ABS(MINUS(SUM(FILTER(MatchSource!$A:$F,MatchSource!$A:$A=$B290)),SUM($W290,$Y290)))),0,ABS(MINUS(SUM(FILTER(MatchSource!$A:$F,MatchSource!$A:$A=$B290)),SUM($W290, $Y290,))))"),"0")</f>
        <v>0</v>
      </c>
      <c r="AB290" s="501" t="str">
        <f aca="false">IFERROR(__xludf.dummyfunction("if(isna(ABS(MINUS(SUM(FILTER(MatchSource!$H:$M,MatchSource!$H:$H=$B290)),SUM($X290,$Z290)))),0,ABS(MINUS(SUM(FILTER(MatchSource!$H:$M,MatchSource!$H:$H=$B290)),SUM($X290,$Z290))))"),"0")</f>
        <v>0</v>
      </c>
      <c r="AC290" s="507" t="n">
        <f aca="false">SUM(IF(OR($R290="Grass",$R290="Psychic",$R290="Dark"),0-1,IF(OR($R290="Fighting",$R290="Flying",$R290="Fire",$R290="Ghost",$R290="Poison",$R290="Steel",$R290="Fairy"),1,0)),IF(OR($S290="Grass",$S290="Psychic",$S290="Dark"),0-1,IF(OR($S290="Fighting",$S290="Flying",$S290="Fire",$S290="Ghost",$S290="Poison",$S290="Steel",$S290="Fairy"),1,0)))</f>
        <v>-1</v>
      </c>
      <c r="AD290" s="507" t="n">
        <f aca="false">SUM(IF(OR($R290="Ghost",$R290="Psychic"),0-1,IF(OR($R290="Fighting",$R290="Dark",$R290="Fairy"),1,0)),IF(OR($S290="Ghost",$S290="Psychic"),0-1,IF(OR($S290="Fighting",$S290="Dark",$S290="Fairy"),1,0)))</f>
        <v>-1</v>
      </c>
      <c r="AE290" s="507" t="n">
        <f aca="false">IF(OR($R290="Fairy",$S290="Fairy"),4,SUM(IF($R290="Dragon",0-1,IF($R290="Steel",1,0)),IF($S290="Dragon",0-1,IF($S290="Steel",1,0))))</f>
        <v>0</v>
      </c>
      <c r="AF290" s="507" t="n">
        <f aca="false">IF(OR($R290="Ground",$S290="Ground"),4,SUM(IF(OR($R290="Flying",$R290="Water"),0-1,IF(OR($R290="Dragon",$R290="Electric",$R290="Grass"),1,0)),IF(OR($S290="Flying",$S290="Water"),0-1,IF(OR($S290="Dragon",$S290="Electric",$S290="Grass"),1,0))))</f>
        <v>0</v>
      </c>
      <c r="AG290" s="507" t="n">
        <f aca="false">SUM(IF(OR($R290="Dark",$R290="Dragon",$R290="Fighting"),0-1,IF(OR($R290="Steel",$R290="Poison",$R290="Fire"),1,0)),IF(OR($S290="Dark",$S290="Dragon",$S290="Fighting"),0-1,IF(OR($S290="Steel",$S290="Poison",$S290="Fire"),1,0)))</f>
        <v>0</v>
      </c>
      <c r="AH290" s="507" t="n">
        <f aca="false">IF(OR($R290="Ghost",$S290="Ghost"),4,SUM(IF(OR($R290="Dark",$R290="Ice",$R290="Normal",$R290="Rock",$R290="Steel"),0-1,IF(OR($R290="Bug",$R290="Fairy",$R290="Flying",$R290="Poison",$R290="Psychic"),1,0)),IF(OR($S290="Dark",$S290="Ice",$S290="Normal",$S290="Rock",$S290="Steel"),0-1,IF(OR($S290="Bug",$S290="Fairy",$S290="Flying",$S290="Poison",$S290="Psychic"),1,0))))</f>
        <v>0</v>
      </c>
      <c r="AI290" s="507" t="n">
        <f aca="false">SUM(IF(OR($R290="Bug",$R290="Grass",$R290="Ice",$R290="Steel"),0-1,IF(OR($R290="Dragon",$R290="Fire",$R290="Rock",$R290="Water"),1,0)),IF(OR($S290="Bug",$S290="Grass",$S290="Ice",$S290="Steel"),0-1,IF(OR($S290="Dragon",$S290="Fire",$S290="Rock",$S290="Water"),1,0)))</f>
        <v>0</v>
      </c>
      <c r="AJ290" s="507" t="n">
        <f aca="false">SUM(IF(OR($R290="Bug",$R290="Grass",$R290="Fighting"),0-1,IF(OR($R290="Electric",$R290="Rock",$R290="Steel"),1,0)),IF(OR($S290="Bug",$S290="Grass",$S290="Fighting"),0-1,IF(OR($S290="Electric",$S290="Rock",$S290="Steel"),1,0)))</f>
        <v>0</v>
      </c>
      <c r="AK290" s="507" t="n">
        <f aca="false">IF(OR($R290="Normal",$S290="Normal"),4,SUM(IF(OR($R290="Ghost",$R290="Psychic"),0-1,IF($R290="Dark",1,0)),IF(OR($S290="Ghost",$S290="Psychic"),0-1,IF($S290="Dark",1,0))))</f>
        <v>4</v>
      </c>
      <c r="AL290" s="507" t="n">
        <f aca="false">SUM(IF(OR($R290="Ground",$R290="Rock",$R290="Water"),0-1,IF(OR($R290="Bug",$R290="Flying",$R290="Fire",$R290="Dragon",$R290="Poison",$R290="Steel",$R290="Grass"),1,0)),IF(OR($S290="Ground",$S290="Rock",$S290="Water"),0-1,IF(OR($S290="Bug",$S290="Flying",$S290="Fire",$S290="Dragon",$S290="Poison",$S290="Steel",$S290="Grass"),1,0)))</f>
        <v>0</v>
      </c>
      <c r="AM290" s="507" t="n">
        <f aca="false">IF(OR($R290="Flying",$S290="Flying"),4,SUM(IF(OR($R290="Electric",$R290="Fire",$R290="Rock",$R290="Steel",$R290="Poison"),0-1,IF(OR($R290="Bug",$R290="Grass"),1,0)),IF(OR($S290="Electric",$S290="Fire",$S290="Rock",$S290="Steel",$S290="Poison"),0-1,IF(OR($S290="Bug",$S290="Grass"),1,0))))</f>
        <v>0</v>
      </c>
      <c r="AN290" s="507" t="n">
        <f aca="false">SUM(IF(OR($R290="Flying",$R290="Dragon",$R290="Grass",$R290="Ground"),0-1,IF(OR($R290="Steel",$R290="Ice",$R290="Fire",$R290="Water"),1,0)),IF(OR($S290="Flying",$S290="Dragon",$S290="Grass",$S290="Ground"),0-1,IF(OR($S290="Steel",$S290="Ice",$S290="Fire",$S290="Water"),1,0)))</f>
        <v>0</v>
      </c>
      <c r="AO290" s="507" t="n">
        <f aca="false">IF(OR($R290="Ghost",$S290="Ghost"),4,SUM(IF(OR($R290="Steel",$R290="Rock"),1,0),IF(OR($S290="Steel",$S290="Rock"),1,0)))</f>
        <v>0</v>
      </c>
      <c r="AP290" s="507" t="n">
        <f aca="false">IF(OR($R290="Steel",$S290="Steel"),4,SUM(IF(OR($R290="Fairy",$R290="Grass"),0-1,IF(OR($R290="Ghost",$R290="Rock",$R290="Ground",$R290="Poison"),1,0)),IF(OR($S290="Fairy",$S290="Grass"),0-1,IF(OR($S290="Ghost",$S290="Rock",$S290="Ground",$S290="Poison"),1,0))))</f>
        <v>0</v>
      </c>
      <c r="AQ290" s="507" t="n">
        <f aca="false">IF(OR($R290="Dark",$S290="Dark"),4,SUM(IF(OR($R290="Fighting",$R290="Poison"),0-1,IF(OR($R290="Psychic",$R290="Steel"),1,0)),IF(OR($S290="Fighting",$S290="Poison"),0-1,IF(OR($S290="Psychic",$S290="Steel"),1,0))))</f>
        <v>1</v>
      </c>
      <c r="AR290" s="507" t="n">
        <f aca="false">SUM(IF(OR($R290="Bug",$R290="Fire",$R290="Flying",$R290="Ice"),0-1,IF(OR($R290="Steel",$R290="Fighting",$R290="Ground"),1,0)),IF(OR($S290="Bug",$S290="Fire",$S290="Flying",$S290="Ice"),0-1,IF(OR($S290="Steel",$S290="Fighting",$S290="Ground"),1,0)))</f>
        <v>0</v>
      </c>
      <c r="AS290" s="507" t="n">
        <f aca="false">SUM(IF(OR($R290="Fairy",$R290="Ice",$R290="Rock"),0-1,IF(OR($R290="Steel",$R290="Electric",$R290="Fire",$R290="Water"),1,0)),IF(OR($S290="Fairy",$S290="Ice",$S290="Rock"),0-1,IF(OR($S290="Steel",$S290="Electric",$S290="Fire",$S290="Water"),1,0)))</f>
        <v>0</v>
      </c>
      <c r="AT290" s="508" t="n">
        <f aca="false">SUM(IF(OR($R290="Fire",$R290="Ground",$R290="Rock"),0-1,IF(OR($R290="Dragon",$R290="Grass",$R290="Water"),1,0)),IF(OR($S290="Fire",$S290="Ground",$S290="Rock"),0-1,IF(OR($S290="Dragon",$S290="Grass",$S290="Water"),1,0)))</f>
        <v>0</v>
      </c>
      <c r="AU290" s="518"/>
    </row>
    <row r="291" customFormat="false" ht="15.75" hidden="false" customHeight="false" outlineLevel="0" collapsed="false">
      <c r="A291" s="537" t="str">
        <f aca="false" t="array" ref="A291:A291">IF(ISNA(INDEX(Source!$U$7:$U$95,MATCH(B291,Source!$V$7:$V$95,0))),"FREE",INDEX(Source!$U$7:$U$95,MATCH(B291,Source!$V$7:$V$95,0)))</f>
        <v>FREE</v>
      </c>
      <c r="B291" s="538" t="s">
        <v>757</v>
      </c>
      <c r="C291" s="538"/>
      <c r="D291" s="538"/>
      <c r="E291" s="499" t="str">
        <f aca="false">IF(SUM($W291:$X291)&gt;0,SUM($W291:$X291),IF($H291&gt;0,0,IF($H291&gt;0,0,"-")))</f>
        <v>-</v>
      </c>
      <c r="F291" s="499" t="str">
        <f aca="false">IF(SUM($Y291:$Z291)&gt;0,SUM($Y291:$Z291),IF($H291&gt;0,0,"-"))</f>
        <v>-</v>
      </c>
      <c r="G291" s="499" t="str">
        <f aca="false">IF($H291&gt;0,minus(E291,F291),"-")</f>
        <v>-</v>
      </c>
      <c r="H291" s="500" t="n">
        <f aca="false">SUM(COUNTIF(MatchSource!$A:$A,$B291),COUNTIF(MatchSource!$H:$H,$B291))</f>
        <v>0</v>
      </c>
      <c r="I291" s="501" t="n">
        <f aca="false">SUM($AA291:$AB291)</f>
        <v>0</v>
      </c>
      <c r="J291" s="539" t="s">
        <v>702</v>
      </c>
      <c r="K291" s="537" t="str">
        <f aca="false" t="array" ref="K291:K291">IF(ISNA(INDEX(DraftRosters!$AA$3:$AA$199,MATCH($B291,DraftRosters!$AB$3:$AB$199,0))),"FA",IF(INDEX(DraftRosters!$AA$3:$AA$199,MATCH($B291,DraftRosters!$AB$3:$AB$199,0))="Franchise","Franch",INDEX(DraftRosters!$AA$3:$AA$199,MATCH($B291,DraftRosters!$AB$3:$AB$199,0))))</f>
        <v>FA</v>
      </c>
      <c r="L291" s="540" t="n">
        <v>74</v>
      </c>
      <c r="M291" s="540" t="n">
        <v>48</v>
      </c>
      <c r="N291" s="540" t="n">
        <v>76</v>
      </c>
      <c r="O291" s="540" t="n">
        <v>83</v>
      </c>
      <c r="P291" s="540" t="n">
        <v>81</v>
      </c>
      <c r="Q291" s="541" t="n">
        <v>104</v>
      </c>
      <c r="R291" s="540" t="s">
        <v>828</v>
      </c>
      <c r="S291" s="413"/>
      <c r="T291" s="542" t="s">
        <v>1027</v>
      </c>
      <c r="U291" s="543" t="s">
        <v>897</v>
      </c>
      <c r="V291" s="544" t="s">
        <v>914</v>
      </c>
      <c r="W291" s="500" t="str">
        <f aca="false">IFERROR(__xludf.dummyfunction("if(isna(SUM(FILTER(MatchSource!$A:$D,MatchSource!$A:$A=$B291))),0,SUM(FILTER(MatchSource!$A:$D,MatchSource!$A:$A=$B291)))"),"0")</f>
        <v>0</v>
      </c>
      <c r="X291" s="499" t="str">
        <f aca="false">IFERROR(__xludf.dummyfunction("if(isna(SUM(FILTER(MatchSource!$H:$K,MatchSource!$H:$H=$B291))),0,SUM(FILTER(MatchSource!$H:$K,MatchSource!$H:$H=$B291)))"),"0")</f>
        <v>0</v>
      </c>
      <c r="Y291" s="499" t="str">
        <f aca="false">IFERROR(__xludf.dummyfunction("if(isna(ABS(MINUS(SUM(FILTER(MatchSource!$A:$E,MatchSource!$A:$A=$B291)),SUM($W291)))),0,ABS(MINUS(SUM(FILTER(MatchSource!$A:$E,MatchSource!$A:$A=$B291)),SUM($W291))))"),"0")</f>
        <v>0</v>
      </c>
      <c r="Z291" s="499" t="str">
        <f aca="false">IFERROR(__xludf.dummyfunction("if(isna(ABS(MINUS(SUM(FILTER(MatchSource!$H:$L,MatchSource!$H:$H=$B291)),SUM($X291)))),0,ABS(MINUS(SUM(FILTER(MatchSource!$H:$L,MatchSource!$H:$H=$B291)),SUM($X291))))"),"0")</f>
        <v>0</v>
      </c>
      <c r="AA291" s="499" t="str">
        <f aca="false">IFERROR(__xludf.dummyfunction("if(isna(ABS(MINUS(SUM(FILTER(MatchSource!$A:$F,MatchSource!$A:$A=$B291)),SUM($W291,$Y291)))),0,ABS(MINUS(SUM(FILTER(MatchSource!$A:$F,MatchSource!$A:$A=$B291)),SUM($W291, $Y291,))))"),"0")</f>
        <v>0</v>
      </c>
      <c r="AB291" s="501" t="str">
        <f aca="false">IFERROR(__xludf.dummyfunction("if(isna(ABS(MINUS(SUM(FILTER(MatchSource!$H:$M,MatchSource!$H:$H=$B291)),SUM($X291,$Z291)))),0,ABS(MINUS(SUM(FILTER(MatchSource!$H:$M,MatchSource!$H:$H=$B291)),SUM($X291,$Z291))))"),"0")</f>
        <v>0</v>
      </c>
      <c r="AC291" s="540" t="n">
        <f aca="false">SUM(IF(OR($R291="Grass",$R291="Psychic",$R291="Dark"),0-1,IF(OR($R291="Fighting",$R291="Flying",$R291="Fire",$R291="Ghost",$R291="Poison",$R291="Steel",$R291="Fairy"),1,0)),IF(OR($S291="Grass",$S291="Psychic",$S291="Dark"),0-1,IF(OR($S291="Fighting",$S291="Flying",$S291="Fire",$S291="Ghost",$S291="Poison",$S291="Steel",$S291="Fairy"),1,0)))</f>
        <v>-1</v>
      </c>
      <c r="AD291" s="540" t="n">
        <f aca="false">SUM(IF(OR($R291="Ghost",$R291="Psychic"),0-1,IF(OR($R291="Fighting",$R291="Dark",$R291="Fairy"),1,0)),IF(OR($S291="Ghost",$S291="Psychic"),0-1,IF(OR($S291="Fighting",$S291="Dark",$S291="Fairy"),1,0)))</f>
        <v>-1</v>
      </c>
      <c r="AE291" s="540" t="n">
        <f aca="false">IF(OR($R291="Fairy",$S291="Fairy"),4,SUM(IF($R291="Dragon",0-1,IF($R291="Steel",1,0)),IF($S291="Dragon",0-1,IF($S291="Steel",1,0))))</f>
        <v>0</v>
      </c>
      <c r="AF291" s="540" t="n">
        <f aca="false">IF(OR($R291="Ground",$S291="Ground"),4,SUM(IF(OR($R291="Flying",$R291="Water"),0-1,IF(OR($R291="Dragon",$R291="Electric",$R291="Grass"),1,0)),IF(OR($S291="Flying",$S291="Water"),0-1,IF(OR($S291="Dragon",$S291="Electric",$S291="Grass"),1,0))))</f>
        <v>0</v>
      </c>
      <c r="AG291" s="540" t="n">
        <f aca="false">SUM(IF(OR($R291="Dark",$R291="Dragon",$R291="Fighting"),0-1,IF(OR($R291="Steel",$R291="Poison",$R291="Fire"),1,0)),IF(OR($S291="Dark",$S291="Dragon",$S291="Fighting"),0-1,IF(OR($S291="Steel",$S291="Poison",$S291="Fire"),1,0)))</f>
        <v>0</v>
      </c>
      <c r="AH291" s="540" t="n">
        <f aca="false">IF(OR($R291="Ghost",$S291="Ghost"),4,SUM(IF(OR($R291="Dark",$R291="Ice",$R291="Normal",$R291="Rock",$R291="Steel"),0-1,IF(OR($R291="Bug",$R291="Fairy",$R291="Flying",$R291="Poison",$R291="Psychic"),1,0)),IF(OR($S291="Dark",$S291="Ice",$S291="Normal",$S291="Rock",$S291="Steel"),0-1,IF(OR($S291="Bug",$S291="Fairy",$S291="Flying",$S291="Poison",$S291="Psychic"),1,0))))</f>
        <v>1</v>
      </c>
      <c r="AI291" s="540" t="n">
        <f aca="false">SUM(IF(OR($R291="Bug",$R291="Grass",$R291="Ice",$R291="Steel"),0-1,IF(OR($R291="Dragon",$R291="Fire",$R291="Rock",$R291="Water"),1,0)),IF(OR($S291="Bug",$S291="Grass",$S291="Ice",$S291="Steel"),0-1,IF(OR($S291="Dragon",$S291="Fire",$S291="Rock",$S291="Water"),1,0)))</f>
        <v>0</v>
      </c>
      <c r="AJ291" s="540" t="n">
        <f aca="false">SUM(IF(OR($R291="Bug",$R291="Grass",$R291="Fighting"),0-1,IF(OR($R291="Electric",$R291="Rock",$R291="Steel"),1,0)),IF(OR($S291="Bug",$S291="Grass",$S291="Fighting"),0-1,IF(OR($S291="Electric",$S291="Rock",$S291="Steel"),1,0)))</f>
        <v>0</v>
      </c>
      <c r="AK291" s="540" t="n">
        <f aca="false">IF(OR($R291="Normal",$S291="Normal"),4,SUM(IF(OR($R291="Ghost",$R291="Psychic"),0-1,IF($R291="Dark",1,0)),IF(OR($S291="Ghost",$S291="Psychic"),0-1,IF($S291="Dark",1,0))))</f>
        <v>-1</v>
      </c>
      <c r="AL291" s="540" t="n">
        <f aca="false">SUM(IF(OR($R291="Ground",$R291="Rock",$R291="Water"),0-1,IF(OR($R291="Bug",$R291="Flying",$R291="Fire",$R291="Dragon",$R291="Poison",$R291="Steel",$R291="Grass"),1,0)),IF(OR($S291="Ground",$S291="Rock",$S291="Water"),0-1,IF(OR($S291="Bug",$S291="Flying",$S291="Fire",$S291="Dragon",$S291="Poison",$S291="Steel",$S291="Grass"),1,0)))</f>
        <v>0</v>
      </c>
      <c r="AM291" s="540" t="n">
        <f aca="false">IF(OR($R291="Flying",$S291="Flying"),4,SUM(IF(OR($R291="Electric",$R291="Fire",$R291="Rock",$R291="Steel",$R291="Poison"),0-1,IF(OR($R291="Bug",$R291="Grass"),1,0)),IF(OR($S291="Electric",$S291="Fire",$S291="Rock",$S291="Steel",$S291="Poison"),0-1,IF(OR($S291="Bug",$S291="Grass"),1,0))))</f>
        <v>0</v>
      </c>
      <c r="AN291" s="540" t="n">
        <f aca="false">SUM(IF(OR($R291="Flying",$R291="Dragon",$R291="Grass",$R291="Ground"),0-1,IF(OR($R291="Steel",$R291="Ice",$R291="Fire",$R291="Water"),1,0)),IF(OR($S291="Flying",$S291="Dragon",$S291="Grass",$S291="Ground"),0-1,IF(OR($S291="Steel",$S291="Ice",$S291="Fire",$S291="Water"),1,0)))</f>
        <v>0</v>
      </c>
      <c r="AO291" s="540" t="n">
        <f aca="false">IF(OR($R291="Ghost",$S291="Ghost"),4,SUM(IF(OR($R291="Steel",$R291="Rock"),1,0),IF(OR($S291="Steel",$S291="Rock"),1,0)))</f>
        <v>0</v>
      </c>
      <c r="AP291" s="540" t="n">
        <f aca="false">IF(OR($R291="Steel",$S291="Steel"),4,SUM(IF(OR($R291="Fairy",$R291="Grass"),0-1,IF(OR($R291="Ghost",$R291="Rock",$R291="Ground",$R291="Poison"),1,0)),IF(OR($S291="Fairy",$S291="Grass"),0-1,IF(OR($S291="Ghost",$S291="Rock",$S291="Ground",$S291="Poison"),1,0))))</f>
        <v>0</v>
      </c>
      <c r="AQ291" s="540" t="n">
        <f aca="false">IF(OR($R291="Dark",$S291="Dark"),4,SUM(IF(OR($R291="Fighting",$R291="Poison"),0-1,IF(OR($R291="Psychic",$R291="Steel"),1,0)),IF(OR($S291="Fighting",$S291="Poison"),0-1,IF(OR($S291="Psychic",$S291="Steel"),1,0))))</f>
        <v>1</v>
      </c>
      <c r="AR291" s="540" t="n">
        <f aca="false">SUM(IF(OR($R291="Bug",$R291="Fire",$R291="Flying",$R291="Ice"),0-1,IF(OR($R291="Steel",$R291="Fighting",$R291="Ground"),1,0)),IF(OR($S291="Bug",$S291="Fire",$S291="Flying",$S291="Ice"),0-1,IF(OR($S291="Steel",$S291="Fighting",$S291="Ground"),1,0)))</f>
        <v>0</v>
      </c>
      <c r="AS291" s="540" t="n">
        <f aca="false">SUM(IF(OR($R291="Fairy",$R291="Ice",$R291="Rock"),0-1,IF(OR($R291="Steel",$R291="Electric",$R291="Fire",$R291="Water"),1,0)),IF(OR($S291="Fairy",$S291="Ice",$S291="Rock"),0-1,IF(OR($S291="Steel",$S291="Electric",$S291="Fire",$S291="Water"),1,0)))</f>
        <v>0</v>
      </c>
      <c r="AT291" s="541" t="n">
        <f aca="false">SUM(IF(OR($R291="Fire",$R291="Ground",$R291="Rock"),0-1,IF(OR($R291="Dragon",$R291="Grass",$R291="Water"),1,0)),IF(OR($S291="Fire",$S291="Ground",$S291="Rock"),0-1,IF(OR($S291="Dragon",$S291="Grass",$S291="Water"),1,0)))</f>
        <v>0</v>
      </c>
      <c r="AU291" s="518"/>
    </row>
    <row r="292" customFormat="false" ht="15.75" hidden="false" customHeight="false" outlineLevel="0" collapsed="false">
      <c r="A292" s="510" t="str">
        <f aca="false" t="array" ref="A292:A292">IF(ISNA(INDEX(Source!$U$7:$U$95,MATCH(B292,Source!$V$7:$V$95,0))),"FREE",INDEX(Source!$U$7:$U$95,MATCH(B292,Source!$V$7:$V$95,0)))</f>
        <v>FREE</v>
      </c>
      <c r="B292" s="511" t="s">
        <v>1028</v>
      </c>
      <c r="C292" s="511"/>
      <c r="D292" s="511"/>
      <c r="E292" s="499" t="str">
        <f aca="false">IF(SUM($W292:$X292)&gt;0,SUM($W292:$X292),IF($H292&gt;0,0,IF($H292&gt;0,0,"-")))</f>
        <v>-</v>
      </c>
      <c r="F292" s="499" t="str">
        <f aca="false">IF(SUM($Y292:$Z292)&gt;0,SUM($Y292:$Z292),IF($H292&gt;0,0,"-"))</f>
        <v>-</v>
      </c>
      <c r="G292" s="499" t="str">
        <f aca="false">IF($H292&gt;0,minus(E292,F292),"-")</f>
        <v>-</v>
      </c>
      <c r="H292" s="500" t="n">
        <f aca="false">SUM(COUNTIF(MatchSource!$A:$A,$B292),COUNTIF(MatchSource!$H:$H,$B292))</f>
        <v>0</v>
      </c>
      <c r="I292" s="501" t="n">
        <f aca="false">SUM($AA292:$AB292)</f>
        <v>0</v>
      </c>
      <c r="J292" s="501" t="s">
        <v>888</v>
      </c>
      <c r="K292" s="512" t="str">
        <f aca="false" t="array" ref="K292:K292">IF(ISNA(INDEX(DraftRosters!$AA$3:$AA$199,MATCH($B292,DraftRosters!$AB$3:$AB$199,0))),"FA",IF(INDEX(DraftRosters!$AA$3:$AA$199,MATCH($B292,DraftRosters!$AB$3:$AB$199,0))="Franchise","Franch",INDEX(DraftRosters!$AA$3:$AA$199,MATCH($B292,DraftRosters!$AB$3:$AB$199,0))))</f>
        <v>FA</v>
      </c>
      <c r="L292" s="507" t="n">
        <v>74</v>
      </c>
      <c r="M292" s="507" t="n">
        <v>48</v>
      </c>
      <c r="N292" s="507" t="n">
        <v>76</v>
      </c>
      <c r="O292" s="507" t="n">
        <v>83</v>
      </c>
      <c r="P292" s="507" t="n">
        <v>81</v>
      </c>
      <c r="Q292" s="508" t="n">
        <v>104</v>
      </c>
      <c r="R292" s="499" t="s">
        <v>828</v>
      </c>
      <c r="S292" s="501"/>
      <c r="T292" s="520" t="s">
        <v>989</v>
      </c>
      <c r="U292" s="513" t="s">
        <v>897</v>
      </c>
      <c r="V292" s="514" t="s">
        <v>914</v>
      </c>
      <c r="W292" s="500" t="str">
        <f aca="false">IFERROR(__xludf.dummyfunction("if(isna(SUM(FILTER(MatchSource!$A:$D,MatchSource!$A:$A=$B292))),0,SUM(FILTER(MatchSource!$A:$D,MatchSource!$A:$A=$B292)))"),"0")</f>
        <v>0</v>
      </c>
      <c r="X292" s="499" t="str">
        <f aca="false">IFERROR(__xludf.dummyfunction("if(isna(SUM(FILTER(MatchSource!$H:$K,MatchSource!$H:$H=$B292))),0,SUM(FILTER(MatchSource!$H:$K,MatchSource!$H:$H=$B292)))"),"0")</f>
        <v>0</v>
      </c>
      <c r="Y292" s="499" t="str">
        <f aca="false">IFERROR(__xludf.dummyfunction("if(isna(ABS(MINUS(SUM(FILTER(MatchSource!$A:$E,MatchSource!$A:$A=$B292)),SUM($W292)))),0,ABS(MINUS(SUM(FILTER(MatchSource!$A:$E,MatchSource!$A:$A=$B292)),SUM($W292))))"),"0")</f>
        <v>0</v>
      </c>
      <c r="Z292" s="499" t="str">
        <f aca="false">IFERROR(__xludf.dummyfunction("if(isna(ABS(MINUS(SUM(FILTER(MatchSource!$H:$L,MatchSource!$H:$H=$B292)),SUM($X292)))),0,ABS(MINUS(SUM(FILTER(MatchSource!$H:$L,MatchSource!$H:$H=$B292)),SUM($X292))))"),"0")</f>
        <v>0</v>
      </c>
      <c r="AA292" s="499" t="str">
        <f aca="false">IFERROR(__xludf.dummyfunction("if(isna(ABS(MINUS(SUM(FILTER(MatchSource!$A:$F,MatchSource!$A:$A=$B292)),SUM($W292,$Y292)))),0,ABS(MINUS(SUM(FILTER(MatchSource!$A:$F,MatchSource!$A:$A=$B292)),SUM($W292, $Y292,))))"),"0")</f>
        <v>0</v>
      </c>
      <c r="AB292" s="501" t="str">
        <f aca="false">IFERROR(__xludf.dummyfunction("if(isna(ABS(MINUS(SUM(FILTER(MatchSource!$H:$M,MatchSource!$H:$H=$B292)),SUM($X292,$Z292)))),0,ABS(MINUS(SUM(FILTER(MatchSource!$H:$M,MatchSource!$H:$H=$B292)),SUM($X292,$Z292))))"),"0")</f>
        <v>0</v>
      </c>
      <c r="AC292" s="507" t="n">
        <f aca="false">SUM(IF(OR($R292="Grass",$R292="Psychic",$R292="Dark"),0-1,IF(OR($R292="Fighting",$R292="Flying",$R292="Fire",$R292="Ghost",$R292="Poison",$R292="Steel",$R292="Fairy"),1,0)),IF(OR($S292="Grass",$S292="Psychic",$S292="Dark"),0-1,IF(OR($S292="Fighting",$S292="Flying",$S292="Fire",$S292="Ghost",$S292="Poison",$S292="Steel",$S292="Fairy"),1,0)))</f>
        <v>-1</v>
      </c>
      <c r="AD292" s="507" t="n">
        <f aca="false">SUM(IF(OR($R292="Ghost",$R292="Psychic"),0-1,IF(OR($R292="Fighting",$R292="Dark",$R292="Fairy"),1,0)),IF(OR($S292="Ghost",$S292="Psychic"),0-1,IF(OR($S292="Fighting",$S292="Dark",$S292="Fairy"),1,0)))</f>
        <v>-1</v>
      </c>
      <c r="AE292" s="507" t="n">
        <f aca="false">IF(OR($R292="Fairy",$S292="Fairy"),4,SUM(IF($R292="Dragon",0-1,IF($R292="Steel",1,0)),IF($S292="Dragon",0-1,IF($S292="Steel",1,0))))</f>
        <v>0</v>
      </c>
      <c r="AF292" s="507" t="n">
        <f aca="false">IF(OR($R292="Ground",$S292="Ground"),4,SUM(IF(OR($R292="Flying",$R292="Water"),0-1,IF(OR($R292="Dragon",$R292="Electric",$R292="Grass"),1,0)),IF(OR($S292="Flying",$S292="Water"),0-1,IF(OR($S292="Dragon",$S292="Electric",$S292="Grass"),1,0))))</f>
        <v>0</v>
      </c>
      <c r="AG292" s="507" t="n">
        <f aca="false">SUM(IF(OR($R292="Dark",$R292="Dragon",$R292="Fighting"),0-1,IF(OR($R292="Steel",$R292="Poison",$R292="Fire"),1,0)),IF(OR($S292="Dark",$S292="Dragon",$S292="Fighting"),0-1,IF(OR($S292="Steel",$S292="Poison",$S292="Fire"),1,0)))</f>
        <v>0</v>
      </c>
      <c r="AH292" s="507" t="n">
        <f aca="false">IF(OR($R292="Ghost",$S292="Ghost"),4,SUM(IF(OR($R292="Dark",$R292="Ice",$R292="Normal",$R292="Rock",$R292="Steel"),0-1,IF(OR($R292="Bug",$R292="Fairy",$R292="Flying",$R292="Poison",$R292="Psychic"),1,0)),IF(OR($S292="Dark",$S292="Ice",$S292="Normal",$S292="Rock",$S292="Steel"),0-1,IF(OR($S292="Bug",$S292="Fairy",$S292="Flying",$S292="Poison",$S292="Psychic"),1,0))))</f>
        <v>1</v>
      </c>
      <c r="AI292" s="507" t="n">
        <f aca="false">SUM(IF(OR($R292="Bug",$R292="Grass",$R292="Ice",$R292="Steel"),0-1,IF(OR($R292="Dragon",$R292="Fire",$R292="Rock",$R292="Water"),1,0)),IF(OR($S292="Bug",$S292="Grass",$S292="Ice",$S292="Steel"),0-1,IF(OR($S292="Dragon",$S292="Fire",$S292="Rock",$S292="Water"),1,0)))</f>
        <v>0</v>
      </c>
      <c r="AJ292" s="507" t="n">
        <f aca="false">SUM(IF(OR($R292="Bug",$R292="Grass",$R292="Fighting"),0-1,IF(OR($R292="Electric",$R292="Rock",$R292="Steel"),1,0)),IF(OR($S292="Bug",$S292="Grass",$S292="Fighting"),0-1,IF(OR($S292="Electric",$S292="Rock",$S292="Steel"),1,0)))</f>
        <v>0</v>
      </c>
      <c r="AK292" s="507" t="n">
        <f aca="false">IF(OR($R292="Normal",$S292="Normal"),4,SUM(IF(OR($R292="Ghost",$R292="Psychic"),0-1,IF($R292="Dark",1,0)),IF(OR($S292="Ghost",$S292="Psychic"),0-1,IF($S292="Dark",1,0))))</f>
        <v>-1</v>
      </c>
      <c r="AL292" s="507" t="n">
        <f aca="false">SUM(IF(OR($R292="Ground",$R292="Rock",$R292="Water"),0-1,IF(OR($R292="Bug",$R292="Flying",$R292="Fire",$R292="Dragon",$R292="Poison",$R292="Steel",$R292="Grass"),1,0)),IF(OR($S292="Ground",$S292="Rock",$S292="Water"),0-1,IF(OR($S292="Bug",$S292="Flying",$S292="Fire",$S292="Dragon",$S292="Poison",$S292="Steel",$S292="Grass"),1,0)))</f>
        <v>0</v>
      </c>
      <c r="AM292" s="507" t="n">
        <f aca="false">IF(OR($R292="Flying",$S292="Flying"),4,SUM(IF(OR($R292="Electric",$R292="Fire",$R292="Rock",$R292="Steel",$R292="Poison"),0-1,IF(OR($R292="Bug",$R292="Grass"),1,0)),IF(OR($S292="Electric",$S292="Fire",$S292="Rock",$S292="Steel",$S292="Poison"),0-1,IF(OR($S292="Bug",$S292="Grass"),1,0))))</f>
        <v>0</v>
      </c>
      <c r="AN292" s="507" t="n">
        <f aca="false">SUM(IF(OR($R292="Flying",$R292="Dragon",$R292="Grass",$R292="Ground"),0-1,IF(OR($R292="Steel",$R292="Ice",$R292="Fire",$R292="Water"),1,0)),IF(OR($S292="Flying",$S292="Dragon",$S292="Grass",$S292="Ground"),0-1,IF(OR($S292="Steel",$S292="Ice",$S292="Fire",$S292="Water"),1,0)))</f>
        <v>0</v>
      </c>
      <c r="AO292" s="507" t="n">
        <f aca="false">IF(OR($R292="Ghost",$S292="Ghost"),4,SUM(IF(OR($R292="Steel",$R292="Rock"),1,0),IF(OR($S292="Steel",$S292="Rock"),1,0)))</f>
        <v>0</v>
      </c>
      <c r="AP292" s="507" t="n">
        <f aca="false">IF(OR($R292="Steel",$S292="Steel"),4,SUM(IF(OR($R292="Fairy",$R292="Grass"),0-1,IF(OR($R292="Ghost",$R292="Rock",$R292="Ground",$R292="Poison"),1,0)),IF(OR($S292="Fairy",$S292="Grass"),0-1,IF(OR($S292="Ghost",$S292="Rock",$S292="Ground",$S292="Poison"),1,0))))</f>
        <v>0</v>
      </c>
      <c r="AQ292" s="507" t="n">
        <f aca="false">IF(OR($R292="Dark",$S292="Dark"),4,SUM(IF(OR($R292="Fighting",$R292="Poison"),0-1,IF(OR($R292="Psychic",$R292="Steel"),1,0)),IF(OR($S292="Fighting",$S292="Poison"),0-1,IF(OR($S292="Psychic",$S292="Steel"),1,0))))</f>
        <v>1</v>
      </c>
      <c r="AR292" s="507" t="n">
        <f aca="false">SUM(IF(OR($R292="Bug",$R292="Fire",$R292="Flying",$R292="Ice"),0-1,IF(OR($R292="Steel",$R292="Fighting",$R292="Ground"),1,0)),IF(OR($S292="Bug",$S292="Fire",$S292="Flying",$S292="Ice"),0-1,IF(OR($S292="Steel",$S292="Fighting",$S292="Ground"),1,0)))</f>
        <v>0</v>
      </c>
      <c r="AS292" s="507" t="n">
        <f aca="false">SUM(IF(OR($R292="Fairy",$R292="Ice",$R292="Rock"),0-1,IF(OR($R292="Steel",$R292="Electric",$R292="Fire",$R292="Water"),1,0)),IF(OR($S292="Fairy",$S292="Ice",$S292="Rock"),0-1,IF(OR($S292="Steel",$S292="Electric",$S292="Fire",$S292="Water"),1,0)))</f>
        <v>0</v>
      </c>
      <c r="AT292" s="508" t="n">
        <f aca="false">SUM(IF(OR($R292="Fire",$R292="Ground",$R292="Rock"),0-1,IF(OR($R292="Dragon",$R292="Grass",$R292="Water"),1,0)),IF(OR($S292="Fire",$S292="Ground",$S292="Rock"),0-1,IF(OR($S292="Dragon",$S292="Grass",$S292="Water"),1,0)))</f>
        <v>0</v>
      </c>
      <c r="AU292" s="518"/>
    </row>
    <row r="293" customFormat="false" ht="15.75" hidden="false" customHeight="false" outlineLevel="0" collapsed="false">
      <c r="A293" s="510" t="str">
        <f aca="false" t="array" ref="A293:A293">IF(ISNA(INDEX(Source!$U$7:$U$95,MATCH(B293,Source!$V$7:$V$95,0))),"FREE",INDEX(Source!$U$7:$U$95,MATCH(B293,Source!$V$7:$V$95,0)))</f>
        <v>FREE</v>
      </c>
      <c r="B293" s="511" t="s">
        <v>1029</v>
      </c>
      <c r="C293" s="511"/>
      <c r="D293" s="511"/>
      <c r="E293" s="499" t="str">
        <f aca="false">IF(SUM($W293:$X293)&gt;0,SUM($W293:$X293),IF($H293&gt;0,0,IF($H293&gt;0,0,"-")))</f>
        <v>-</v>
      </c>
      <c r="F293" s="499" t="str">
        <f aca="false">IF(SUM($Y293:$Z293)&gt;0,SUM($Y293:$Z293),IF($H293&gt;0,0,"-"))</f>
        <v>-</v>
      </c>
      <c r="G293" s="499" t="str">
        <f aca="false">IF($H293&gt;0,minus(E293,F293),"-")</f>
        <v>-</v>
      </c>
      <c r="H293" s="500" t="n">
        <f aca="false">SUM(COUNTIF(MatchSource!$A:$A,$B293),COUNTIF(MatchSource!$H:$H,$B293))</f>
        <v>0</v>
      </c>
      <c r="I293" s="501" t="n">
        <f aca="false">SUM($AA293:$AB293)</f>
        <v>0</v>
      </c>
      <c r="J293" s="501" t="s">
        <v>888</v>
      </c>
      <c r="K293" s="512" t="str">
        <f aca="false" t="array" ref="K293:K293">IF(ISNA(INDEX(DraftRosters!$AA$3:$AA$199,MATCH($B293,DraftRosters!$AB$3:$AB$199,0))),"FA",IF(INDEX(DraftRosters!$AA$3:$AA$199,MATCH($B293,DraftRosters!$AB$3:$AB$199,0))="Franchise","Franch",INDEX(DraftRosters!$AA$3:$AA$199,MATCH($B293,DraftRosters!$AB$3:$AB$199,0))))</f>
        <v>FA</v>
      </c>
      <c r="L293" s="507" t="n">
        <v>74</v>
      </c>
      <c r="M293" s="507" t="n">
        <v>48</v>
      </c>
      <c r="N293" s="507" t="n">
        <v>76</v>
      </c>
      <c r="O293" s="507" t="n">
        <v>83</v>
      </c>
      <c r="P293" s="507" t="n">
        <v>81</v>
      </c>
      <c r="Q293" s="508" t="n">
        <v>104</v>
      </c>
      <c r="R293" s="499" t="s">
        <v>828</v>
      </c>
      <c r="S293" s="501"/>
      <c r="T293" s="520" t="s">
        <v>872</v>
      </c>
      <c r="U293" s="513" t="s">
        <v>897</v>
      </c>
      <c r="V293" s="514" t="s">
        <v>914</v>
      </c>
      <c r="W293" s="500" t="str">
        <f aca="false">IFERROR(__xludf.dummyfunction("if(isna(SUM(FILTER(MatchSource!$A:$D,MatchSource!$A:$A=$B293))),0,SUM(FILTER(MatchSource!$A:$D,MatchSource!$A:$A=$B293)))"),"0")</f>
        <v>0</v>
      </c>
      <c r="X293" s="499" t="str">
        <f aca="false">IFERROR(__xludf.dummyfunction("if(isna(SUM(FILTER(MatchSource!$H:$K,MatchSource!$H:$H=$B293))),0,SUM(FILTER(MatchSource!$H:$K,MatchSource!$H:$H=$B293)))"),"0")</f>
        <v>0</v>
      </c>
      <c r="Y293" s="499" t="str">
        <f aca="false">IFERROR(__xludf.dummyfunction("if(isna(ABS(MINUS(SUM(FILTER(MatchSource!$A:$E,MatchSource!$A:$A=$B293)),SUM($W293)))),0,ABS(MINUS(SUM(FILTER(MatchSource!$A:$E,MatchSource!$A:$A=$B293)),SUM($W293))))"),"0")</f>
        <v>0</v>
      </c>
      <c r="Z293" s="499" t="str">
        <f aca="false">IFERROR(__xludf.dummyfunction("if(isna(ABS(MINUS(SUM(FILTER(MatchSource!$H:$L,MatchSource!$H:$H=$B293)),SUM($X293)))),0,ABS(MINUS(SUM(FILTER(MatchSource!$H:$L,MatchSource!$H:$H=$B293)),SUM($X293))))"),"0")</f>
        <v>0</v>
      </c>
      <c r="AA293" s="499" t="str">
        <f aca="false">IFERROR(__xludf.dummyfunction("if(isna(ABS(MINUS(SUM(FILTER(MatchSource!$A:$F,MatchSource!$A:$A=$B293)),SUM($W293,$Y293)))),0,ABS(MINUS(SUM(FILTER(MatchSource!$A:$F,MatchSource!$A:$A=$B293)),SUM($W293, $Y293,))))"),"0")</f>
        <v>0</v>
      </c>
      <c r="AB293" s="501" t="str">
        <f aca="false">IFERROR(__xludf.dummyfunction("if(isna(ABS(MINUS(SUM(FILTER(MatchSource!$H:$M,MatchSource!$H:$H=$B293)),SUM($X293,$Z293)))),0,ABS(MINUS(SUM(FILTER(MatchSource!$H:$M,MatchSource!$H:$H=$B293)),SUM($X293,$Z293))))"),"0")</f>
        <v>0</v>
      </c>
      <c r="AC293" s="507" t="n">
        <f aca="false">SUM(IF(OR($R293="Grass",$R293="Psychic",$R293="Dark"),0-1,IF(OR($R293="Fighting",$R293="Flying",$R293="Fire",$R293="Ghost",$R293="Poison",$R293="Steel",$R293="Fairy"),1,0)),IF(OR($S293="Grass",$S293="Psychic",$S293="Dark"),0-1,IF(OR($S293="Fighting",$S293="Flying",$S293="Fire",$S293="Ghost",$S293="Poison",$S293="Steel",$S293="Fairy"),1,0)))</f>
        <v>-1</v>
      </c>
      <c r="AD293" s="507" t="n">
        <f aca="false">SUM(IF(OR($R293="Ghost",$R293="Psychic"),0-1,IF(OR($R293="Fighting",$R293="Dark",$R293="Fairy"),1,0)),IF(OR($S293="Ghost",$S293="Psychic"),0-1,IF(OR($S293="Fighting",$S293="Dark",$S293="Fairy"),1,0)))</f>
        <v>-1</v>
      </c>
      <c r="AE293" s="507" t="n">
        <f aca="false">IF(OR($R293="Fairy",$S293="Fairy"),4,SUM(IF($R293="Dragon",0-1,IF($R293="Steel",1,0)),IF($S293="Dragon",0-1,IF($S293="Steel",1,0))))</f>
        <v>0</v>
      </c>
      <c r="AF293" s="507" t="n">
        <f aca="false">IF(OR($R293="Ground",$S293="Ground"),4,SUM(IF(OR($R293="Flying",$R293="Water"),0-1,IF(OR($R293="Dragon",$R293="Electric",$R293="Grass"),1,0)),IF(OR($S293="Flying",$S293="Water"),0-1,IF(OR($S293="Dragon",$S293="Electric",$S293="Grass"),1,0))))</f>
        <v>0</v>
      </c>
      <c r="AG293" s="507" t="n">
        <f aca="false">SUM(IF(OR($R293="Dark",$R293="Dragon",$R293="Fighting"),0-1,IF(OR($R293="Steel",$R293="Poison",$R293="Fire"),1,0)),IF(OR($S293="Dark",$S293="Dragon",$S293="Fighting"),0-1,IF(OR($S293="Steel",$S293="Poison",$S293="Fire"),1,0)))</f>
        <v>0</v>
      </c>
      <c r="AH293" s="507" t="n">
        <f aca="false">IF(OR($R293="Ghost",$S293="Ghost"),4,SUM(IF(OR($R293="Dark",$R293="Ice",$R293="Normal",$R293="Rock",$R293="Steel"),0-1,IF(OR($R293="Bug",$R293="Fairy",$R293="Flying",$R293="Poison",$R293="Psychic"),1,0)),IF(OR($S293="Dark",$S293="Ice",$S293="Normal",$S293="Rock",$S293="Steel"),0-1,IF(OR($S293="Bug",$S293="Fairy",$S293="Flying",$S293="Poison",$S293="Psychic"),1,0))))</f>
        <v>1</v>
      </c>
      <c r="AI293" s="507" t="n">
        <f aca="false">SUM(IF(OR($R293="Bug",$R293="Grass",$R293="Ice",$R293="Steel"),0-1,IF(OR($R293="Dragon",$R293="Fire",$R293="Rock",$R293="Water"),1,0)),IF(OR($S293="Bug",$S293="Grass",$S293="Ice",$S293="Steel"),0-1,IF(OR($S293="Dragon",$S293="Fire",$S293="Rock",$S293="Water"),1,0)))</f>
        <v>0</v>
      </c>
      <c r="AJ293" s="507" t="n">
        <f aca="false">SUM(IF(OR($R293="Bug",$R293="Grass",$R293="Fighting"),0-1,IF(OR($R293="Electric",$R293="Rock",$R293="Steel"),1,0)),IF(OR($S293="Bug",$S293="Grass",$S293="Fighting"),0-1,IF(OR($S293="Electric",$S293="Rock",$S293="Steel"),1,0)))</f>
        <v>0</v>
      </c>
      <c r="AK293" s="507" t="n">
        <f aca="false">IF(OR($R293="Normal",$S293="Normal"),4,SUM(IF(OR($R293="Ghost",$R293="Psychic"),0-1,IF($R293="Dark",1,0)),IF(OR($S293="Ghost",$S293="Psychic"),0-1,IF($S293="Dark",1,0))))</f>
        <v>-1</v>
      </c>
      <c r="AL293" s="507" t="n">
        <f aca="false">SUM(IF(OR($R293="Ground",$R293="Rock",$R293="Water"),0-1,IF(OR($R293="Bug",$R293="Flying",$R293="Fire",$R293="Dragon",$R293="Poison",$R293="Steel",$R293="Grass"),1,0)),IF(OR($S293="Ground",$S293="Rock",$S293="Water"),0-1,IF(OR($S293="Bug",$S293="Flying",$S293="Fire",$S293="Dragon",$S293="Poison",$S293="Steel",$S293="Grass"),1,0)))</f>
        <v>0</v>
      </c>
      <c r="AM293" s="507" t="n">
        <f aca="false">IF(OR($R293="Flying",$S293="Flying"),4,SUM(IF(OR($R293="Electric",$R293="Fire",$R293="Rock",$R293="Steel",$R293="Poison"),0-1,IF(OR($R293="Bug",$R293="Grass"),1,0)),IF(OR($S293="Electric",$S293="Fire",$S293="Rock",$S293="Steel",$S293="Poison"),0-1,IF(OR($S293="Bug",$S293="Grass"),1,0))))</f>
        <v>0</v>
      </c>
      <c r="AN293" s="507" t="n">
        <f aca="false">SUM(IF(OR($R293="Flying",$R293="Dragon",$R293="Grass",$R293="Ground"),0-1,IF(OR($R293="Steel",$R293="Ice",$R293="Fire",$R293="Water"),1,0)),IF(OR($S293="Flying",$S293="Dragon",$S293="Grass",$S293="Ground"),0-1,IF(OR($S293="Steel",$S293="Ice",$S293="Fire",$S293="Water"),1,0)))</f>
        <v>0</v>
      </c>
      <c r="AO293" s="507" t="n">
        <f aca="false">IF(OR($R293="Ghost",$S293="Ghost"),4,SUM(IF(OR($R293="Steel",$R293="Rock"),1,0),IF(OR($S293="Steel",$S293="Rock"),1,0)))</f>
        <v>0</v>
      </c>
      <c r="AP293" s="507" t="n">
        <f aca="false">IF(OR($R293="Steel",$S293="Steel"),4,SUM(IF(OR($R293="Fairy",$R293="Grass"),0-1,IF(OR($R293="Ghost",$R293="Rock",$R293="Ground",$R293="Poison"),1,0)),IF(OR($S293="Fairy",$S293="Grass"),0-1,IF(OR($S293="Ghost",$S293="Rock",$S293="Ground",$S293="Poison"),1,0))))</f>
        <v>0</v>
      </c>
      <c r="AQ293" s="507" t="n">
        <f aca="false">IF(OR($R293="Dark",$S293="Dark"),4,SUM(IF(OR($R293="Fighting",$R293="Poison"),0-1,IF(OR($R293="Psychic",$R293="Steel"),1,0)),IF(OR($S293="Fighting",$S293="Poison"),0-1,IF(OR($S293="Psychic",$S293="Steel"),1,0))))</f>
        <v>1</v>
      </c>
      <c r="AR293" s="507" t="n">
        <f aca="false">SUM(IF(OR($R293="Bug",$R293="Fire",$R293="Flying",$R293="Ice"),0-1,IF(OR($R293="Steel",$R293="Fighting",$R293="Ground"),1,0)),IF(OR($S293="Bug",$S293="Fire",$S293="Flying",$S293="Ice"),0-1,IF(OR($S293="Steel",$S293="Fighting",$S293="Ground"),1,0)))</f>
        <v>0</v>
      </c>
      <c r="AS293" s="507" t="n">
        <f aca="false">SUM(IF(OR($R293="Fairy",$R293="Ice",$R293="Rock"),0-1,IF(OR($R293="Steel",$R293="Electric",$R293="Fire",$R293="Water"),1,0)),IF(OR($S293="Fairy",$S293="Ice",$S293="Rock"),0-1,IF(OR($S293="Steel",$S293="Electric",$S293="Fire",$S293="Water"),1,0)))</f>
        <v>0</v>
      </c>
      <c r="AT293" s="508" t="n">
        <f aca="false">SUM(IF(OR($R293="Fire",$R293="Ground",$R293="Rock"),0-1,IF(OR($R293="Dragon",$R293="Grass",$R293="Water"),1,0)),IF(OR($S293="Fire",$S293="Ground",$S293="Rock"),0-1,IF(OR($S293="Dragon",$S293="Grass",$S293="Water"),1,0)))</f>
        <v>0</v>
      </c>
      <c r="AU293" s="518"/>
    </row>
    <row r="294" customFormat="false" ht="15.75" hidden="false" customHeight="false" outlineLevel="0" collapsed="false">
      <c r="A294" s="510" t="str">
        <f aca="false" t="array" ref="A294:A294">IF(ISNA(INDEX(Source!$U$7:$U$95,MATCH(B294,Source!$V$7:$V$95,0))),"FREE",INDEX(Source!$U$7:$U$95,MATCH(B294,Source!$V$7:$V$95,0)))</f>
        <v>FREE</v>
      </c>
      <c r="B294" s="511" t="s">
        <v>579</v>
      </c>
      <c r="C294" s="511"/>
      <c r="D294" s="511"/>
      <c r="E294" s="499" t="str">
        <f aca="false">IF(SUM($W294:$X294)&gt;0,SUM($W294:$X294),IF($H294&gt;0,0,IF($H294&gt;0,0,"-")))</f>
        <v>-</v>
      </c>
      <c r="F294" s="499" t="str">
        <f aca="false">IF(SUM($Y294:$Z294)&gt;0,SUM($Y294:$Z294),IF($H294&gt;0,0,"-"))</f>
        <v>-</v>
      </c>
      <c r="G294" s="499" t="str">
        <f aca="false">IF($H294&gt;0,minus(E294,F294),"-")</f>
        <v>-</v>
      </c>
      <c r="H294" s="500" t="n">
        <f aca="false">SUM(COUNTIF(MatchSource!$A:$A,$B294),COUNTIF(MatchSource!$H:$H,$B294))</f>
        <v>0</v>
      </c>
      <c r="I294" s="501" t="n">
        <f aca="false">SUM($AA294:$AB294)</f>
        <v>0</v>
      </c>
      <c r="J294" s="501" t="s">
        <v>701</v>
      </c>
      <c r="K294" s="512" t="str">
        <f aca="false" t="array" ref="K294:K294">IF(ISNA(INDEX(DraftRosters!$AA$3:$AA$199,MATCH($B294,DraftRosters!$AB$3:$AB$199,0))),"FA",IF(INDEX(DraftRosters!$AA$3:$AA$199,MATCH($B294,DraftRosters!$AB$3:$AB$199,0))="Franchise","Franch",INDEX(DraftRosters!$AA$3:$AA$199,MATCH($B294,DraftRosters!$AB$3:$AB$199,0))))</f>
        <v>FA</v>
      </c>
      <c r="L294" s="499" t="n">
        <v>80</v>
      </c>
      <c r="M294" s="499" t="n">
        <v>105</v>
      </c>
      <c r="N294" s="499" t="n">
        <v>105</v>
      </c>
      <c r="O294" s="499" t="n">
        <v>105</v>
      </c>
      <c r="P294" s="499" t="n">
        <v>105</v>
      </c>
      <c r="Q294" s="501" t="n">
        <v>80</v>
      </c>
      <c r="R294" s="499" t="s">
        <v>828</v>
      </c>
      <c r="S294" s="501"/>
      <c r="T294" s="520" t="s">
        <v>866</v>
      </c>
      <c r="U294" s="513"/>
      <c r="V294" s="514"/>
      <c r="W294" s="500" t="str">
        <f aca="false">IFERROR(__xludf.dummyfunction("if(isna(SUM(FILTER(MatchSource!$A:$D,MatchSource!$A:$A=$B294))),0,SUM(FILTER(MatchSource!$A:$D,MatchSource!$A:$A=$B294)))"),"0")</f>
        <v>0</v>
      </c>
      <c r="X294" s="499" t="str">
        <f aca="false">IFERROR(__xludf.dummyfunction("if(isna(SUM(FILTER(MatchSource!$H:$K,MatchSource!$H:$H=$B294))),0,SUM(FILTER(MatchSource!$H:$K,MatchSource!$H:$H=$B294)))"),"0")</f>
        <v>0</v>
      </c>
      <c r="Y294" s="499" t="str">
        <f aca="false">IFERROR(__xludf.dummyfunction("if(isna(ABS(MINUS(SUM(FILTER(MatchSource!$A:$E,MatchSource!$A:$A=$B294)),SUM($W294)))),0,ABS(MINUS(SUM(FILTER(MatchSource!$A:$E,MatchSource!$A:$A=$B294)),SUM($W294))))"),"0")</f>
        <v>0</v>
      </c>
      <c r="Z294" s="499" t="str">
        <f aca="false">IFERROR(__xludf.dummyfunction("if(isna(ABS(MINUS(SUM(FILTER(MatchSource!$H:$L,MatchSource!$H:$H=$B294)),SUM($X294)))),0,ABS(MINUS(SUM(FILTER(MatchSource!$H:$L,MatchSource!$H:$H=$B294)),SUM($X294))))"),"0")</f>
        <v>0</v>
      </c>
      <c r="AA294" s="499" t="str">
        <f aca="false">IFERROR(__xludf.dummyfunction("if(isna(ABS(MINUS(SUM(FILTER(MatchSource!$A:$F,MatchSource!$A:$A=$B294)),SUM($W294,$Y294)))),0,ABS(MINUS(SUM(FILTER(MatchSource!$A:$F,MatchSource!$A:$A=$B294)),SUM($W294, $Y294,))))"),"0")</f>
        <v>0</v>
      </c>
      <c r="AB294" s="501" t="str">
        <f aca="false">IFERROR(__xludf.dummyfunction("if(isna(ABS(MINUS(SUM(FILTER(MatchSource!$H:$M,MatchSource!$H:$H=$B294)),SUM($X294,$Z294)))),0,ABS(MINUS(SUM(FILTER(MatchSource!$H:$M,MatchSource!$H:$H=$B294)),SUM($X294,$Z294))))"),"0")</f>
        <v>0</v>
      </c>
      <c r="AC294" s="507" t="n">
        <f aca="false">SUM(IF(OR($R294="Grass",$R294="Psychic",$R294="Dark"),0-1,IF(OR($R294="Fighting",$R294="Flying",$R294="Fire",$R294="Ghost",$R294="Poison",$R294="Steel",$R294="Fairy"),1,0)),IF(OR($S294="Grass",$S294="Psychic",$S294="Dark"),0-1,IF(OR($S294="Fighting",$S294="Flying",$S294="Fire",$S294="Ghost",$S294="Poison",$S294="Steel",$S294="Fairy"),1,0)))</f>
        <v>-1</v>
      </c>
      <c r="AD294" s="507" t="n">
        <f aca="false">SUM(IF(OR($R294="Ghost",$R294="Psychic"),0-1,IF(OR($R294="Fighting",$R294="Dark",$R294="Fairy"),1,0)),IF(OR($S294="Ghost",$S294="Psychic"),0-1,IF(OR($S294="Fighting",$S294="Dark",$S294="Fairy"),1,0)))</f>
        <v>-1</v>
      </c>
      <c r="AE294" s="507" t="n">
        <f aca="false">IF(OR($R294="Fairy",$S294="Fairy"),4,SUM(IF($R294="Dragon",0-1,IF($R294="Steel",1,0)),IF($S294="Dragon",0-1,IF($S294="Steel",1,0))))</f>
        <v>0</v>
      </c>
      <c r="AF294" s="507" t="n">
        <f aca="false">IF(OR($R294="Ground",$S294="Ground"),4,SUM(IF(OR($R294="Flying",$R294="Water"),0-1,IF(OR($R294="Dragon",$R294="Electric",$R294="Grass"),1,0)),IF(OR($S294="Flying",$S294="Water"),0-1,IF(OR($S294="Dragon",$S294="Electric",$S294="Grass"),1,0))))</f>
        <v>0</v>
      </c>
      <c r="AG294" s="507" t="n">
        <f aca="false">SUM(IF(OR($R294="Dark",$R294="Dragon",$R294="Fighting"),0-1,IF(OR($R294="Steel",$R294="Poison",$R294="Fire"),1,0)),IF(OR($S294="Dark",$S294="Dragon",$S294="Fighting"),0-1,IF(OR($S294="Steel",$S294="Poison",$S294="Fire"),1,0)))</f>
        <v>0</v>
      </c>
      <c r="AH294" s="507" t="n">
        <f aca="false">IF(OR($R294="Ghost",$S294="Ghost"),4,SUM(IF(OR($R294="Dark",$R294="Ice",$R294="Normal",$R294="Rock",$R294="Steel"),0-1,IF(OR($R294="Bug",$R294="Fairy",$R294="Flying",$R294="Poison",$R294="Psychic"),1,0)),IF(OR($S294="Dark",$S294="Ice",$S294="Normal",$S294="Rock",$S294="Steel"),0-1,IF(OR($S294="Bug",$S294="Fairy",$S294="Flying",$S294="Poison",$S294="Psychic"),1,0))))</f>
        <v>1</v>
      </c>
      <c r="AI294" s="507" t="n">
        <f aca="false">SUM(IF(OR($R294="Bug",$R294="Grass",$R294="Ice",$R294="Steel"),0-1,IF(OR($R294="Dragon",$R294="Fire",$R294="Rock",$R294="Water"),1,0)),IF(OR($S294="Bug",$S294="Grass",$S294="Ice",$S294="Steel"),0-1,IF(OR($S294="Dragon",$S294="Fire",$S294="Rock",$S294="Water"),1,0)))</f>
        <v>0</v>
      </c>
      <c r="AJ294" s="507" t="n">
        <f aca="false">SUM(IF(OR($R294="Bug",$R294="Grass",$R294="Fighting"),0-1,IF(OR($R294="Electric",$R294="Rock",$R294="Steel"),1,0)),IF(OR($S294="Bug",$S294="Grass",$S294="Fighting"),0-1,IF(OR($S294="Electric",$S294="Rock",$S294="Steel"),1,0)))</f>
        <v>0</v>
      </c>
      <c r="AK294" s="507" t="n">
        <f aca="false">IF(OR($R294="Normal",$S294="Normal"),4,SUM(IF(OR($R294="Ghost",$R294="Psychic"),0-1,IF($R294="Dark",1,0)),IF(OR($S294="Ghost",$S294="Psychic"),0-1,IF($S294="Dark",1,0))))</f>
        <v>-1</v>
      </c>
      <c r="AL294" s="507" t="n">
        <f aca="false">SUM(IF(OR($R294="Ground",$R294="Rock",$R294="Water"),0-1,IF(OR($R294="Bug",$R294="Flying",$R294="Fire",$R294="Dragon",$R294="Poison",$R294="Steel",$R294="Grass"),1,0)),IF(OR($S294="Ground",$S294="Rock",$S294="Water"),0-1,IF(OR($S294="Bug",$S294="Flying",$S294="Fire",$S294="Dragon",$S294="Poison",$S294="Steel",$S294="Grass"),1,0)))</f>
        <v>0</v>
      </c>
      <c r="AM294" s="507" t="n">
        <f aca="false">IF(OR($R294="Flying",$S294="Flying"),4,SUM(IF(OR($R294="Electric",$R294="Fire",$R294="Rock",$R294="Steel",$R294="Poison"),0-1,IF(OR($R294="Bug",$R294="Grass"),1,0)),IF(OR($S294="Electric",$S294="Fire",$S294="Rock",$S294="Steel",$S294="Poison"),0-1,IF(OR($S294="Bug",$S294="Grass"),1,0))))</f>
        <v>0</v>
      </c>
      <c r="AN294" s="507" t="n">
        <f aca="false">SUM(IF(OR($R294="Flying",$R294="Dragon",$R294="Grass",$R294="Ground"),0-1,IF(OR($R294="Steel",$R294="Ice",$R294="Fire",$R294="Water"),1,0)),IF(OR($S294="Flying",$S294="Dragon",$S294="Grass",$S294="Ground"),0-1,IF(OR($S294="Steel",$S294="Ice",$S294="Fire",$S294="Water"),1,0)))</f>
        <v>0</v>
      </c>
      <c r="AO294" s="507" t="n">
        <f aca="false">IF(OR($R294="Ghost",$S294="Ghost"),4,SUM(IF(OR($R294="Steel",$R294="Rock"),1,0),IF(OR($S294="Steel",$S294="Rock"),1,0)))</f>
        <v>0</v>
      </c>
      <c r="AP294" s="507" t="n">
        <f aca="false">IF(OR($R294="Steel",$S294="Steel"),4,SUM(IF(OR($R294="Fairy",$R294="Grass"),0-1,IF(OR($R294="Ghost",$R294="Rock",$R294="Ground",$R294="Poison"),1,0)),IF(OR($S294="Fairy",$S294="Grass"),0-1,IF(OR($S294="Ghost",$S294="Rock",$S294="Ground",$S294="Poison"),1,0))))</f>
        <v>0</v>
      </c>
      <c r="AQ294" s="507" t="n">
        <f aca="false">IF(OR($R294="Dark",$S294="Dark"),4,SUM(IF(OR($R294="Fighting",$R294="Poison"),0-1,IF(OR($R294="Psychic",$R294="Steel"),1,0)),IF(OR($S294="Fighting",$S294="Poison"),0-1,IF(OR($S294="Psychic",$S294="Steel"),1,0))))</f>
        <v>1</v>
      </c>
      <c r="AR294" s="507" t="n">
        <f aca="false">SUM(IF(OR($R294="Bug",$R294="Fire",$R294="Flying",$R294="Ice"),0-1,IF(OR($R294="Steel",$R294="Fighting",$R294="Ground"),1,0)),IF(OR($S294="Bug",$S294="Fire",$S294="Flying",$S294="Ice"),0-1,IF(OR($S294="Steel",$S294="Fighting",$S294="Ground"),1,0)))</f>
        <v>0</v>
      </c>
      <c r="AS294" s="507" t="n">
        <f aca="false">SUM(IF(OR($R294="Fairy",$R294="Ice",$R294="Rock"),0-1,IF(OR($R294="Steel",$R294="Electric",$R294="Fire",$R294="Water"),1,0)),IF(OR($S294="Fairy",$S294="Ice",$S294="Rock"),0-1,IF(OR($S294="Steel",$S294="Electric",$S294="Fire",$S294="Water"),1,0)))</f>
        <v>0</v>
      </c>
      <c r="AT294" s="508" t="n">
        <f aca="false">SUM(IF(OR($R294="Fire",$R294="Ground",$R294="Rock"),0-1,IF(OR($R294="Dragon",$R294="Grass",$R294="Water"),1,0)),IF(OR($S294="Fire",$S294="Ground",$S294="Rock"),0-1,IF(OR($S294="Dragon",$S294="Grass",$S294="Water"),1,0)))</f>
        <v>0</v>
      </c>
      <c r="AU294" s="518"/>
    </row>
    <row r="295" customFormat="false" ht="15.75" hidden="false" customHeight="false" outlineLevel="0" collapsed="false">
      <c r="A295" s="510" t="str">
        <f aca="false" t="array" ref="A295:A295">IF(ISNA(INDEX(Source!$U$7:$U$95,MATCH(B295,Source!$V$7:$V$95,0))),"FREE",INDEX(Source!$U$7:$U$95,MATCH(B295,Source!$V$7:$V$95,0)))</f>
        <v>JVJ</v>
      </c>
      <c r="B295" s="511" t="s">
        <v>94</v>
      </c>
      <c r="C295" s="511"/>
      <c r="D295" s="511"/>
      <c r="E295" s="499" t="n">
        <f aca="false">IF(SUM($W295:$X295)&gt;0,SUM($W295:$X295),IF($H295&gt;0,0,IF($H295&gt;0,0,"-")))</f>
        <v>0</v>
      </c>
      <c r="F295" s="499" t="n">
        <f aca="false">IF(SUM($Y295:$Z295)&gt;0,SUM($Y295:$Z295),IF($H295&gt;0,0,"-"))</f>
        <v>0</v>
      </c>
      <c r="G295" s="499" t="e">
        <f aca="false">IF($H295&gt;0,minus(E295,F295),"-")</f>
        <v>#NAME?</v>
      </c>
      <c r="H295" s="500" t="n">
        <f aca="false">SUM(COUNTIF(MatchSource!$A:$A,$B295),COUNTIF(MatchSource!$H:$H,$B295))</f>
        <v>7</v>
      </c>
      <c r="I295" s="501" t="n">
        <f aca="false">SUM($AA295:$AB295)</f>
        <v>0</v>
      </c>
      <c r="J295" s="501" t="s">
        <v>700</v>
      </c>
      <c r="K295" s="512" t="n">
        <f aca="false" t="array" ref="K295:K295">IF(ISNA(INDEX(DraftRosters!$AA$3:$AA$199,MATCH($B295,DraftRosters!$AB$3:$AB$199,0))),"FA",IF(INDEX(DraftRosters!$AA$3:$AA$199,MATCH($B295,DraftRosters!$AB$3:$AB$199,0))="Franchise","Franch",INDEX(DraftRosters!$AA$3:$AA$199,MATCH($B295,DraftRosters!$AB$3:$AB$199,0))))</f>
        <v>48</v>
      </c>
      <c r="L295" s="507" t="n">
        <v>80</v>
      </c>
      <c r="M295" s="507" t="n">
        <v>135</v>
      </c>
      <c r="N295" s="507" t="n">
        <v>130</v>
      </c>
      <c r="O295" s="507" t="n">
        <v>95</v>
      </c>
      <c r="P295" s="507" t="n">
        <v>90</v>
      </c>
      <c r="Q295" s="508" t="n">
        <v>70</v>
      </c>
      <c r="R295" s="499" t="s">
        <v>828</v>
      </c>
      <c r="S295" s="501" t="s">
        <v>810</v>
      </c>
      <c r="T295" s="504" t="s">
        <v>911</v>
      </c>
      <c r="U295" s="505" t="s">
        <v>1030</v>
      </c>
      <c r="V295" s="506"/>
      <c r="W295" s="500" t="str">
        <f aca="false">IFERROR(__xludf.dummyfunction("if(isna(SUM(FILTER(MatchSource!$A:$D,MatchSource!$A:$A=$B295))),0,SUM(FILTER(MatchSource!$A:$D,MatchSource!$A:$A=$B295)))"),"7")</f>
        <v>7</v>
      </c>
      <c r="X295" s="499" t="str">
        <f aca="false">IFERROR(__xludf.dummyfunction("if(isna(SUM(FILTER(MatchSource!$H:$K,MatchSource!$H:$H=$B295))),0,SUM(FILTER(MatchSource!$H:$K,MatchSource!$H:$H=$B295)))"),"5")</f>
        <v>5</v>
      </c>
      <c r="Y295" s="499" t="str">
        <f aca="false">IFERROR(__xludf.dummyfunction("if(isna(ABS(MINUS(SUM(FILTER(MatchSource!$A:$E,MatchSource!$A:$A=$B295)),SUM($W295)))),0,ABS(MINUS(SUM(FILTER(MatchSource!$A:$E,MatchSource!$A:$A=$B295)),SUM($W295))))"),"2")</f>
        <v>2</v>
      </c>
      <c r="Z295" s="499" t="str">
        <f aca="false">IFERROR(__xludf.dummyfunction("if(isna(ABS(MINUS(SUM(FILTER(MatchSource!$H:$L,MatchSource!$H:$H=$B295)),SUM($X295)))),0,ABS(MINUS(SUM(FILTER(MatchSource!$H:$L,MatchSource!$H:$H=$B295)),SUM($X295))))"),"2")</f>
        <v>2</v>
      </c>
      <c r="AA295" s="499" t="str">
        <f aca="false">IFERROR(__xludf.dummyfunction("if(isna(ABS(MINUS(SUM(FILTER(MatchSource!$A:$F,MatchSource!$A:$A=$B295)),SUM($W295,$Y295)))),0,ABS(MINUS(SUM(FILTER(MatchSource!$A:$F,MatchSource!$A:$A=$B295)),SUM($W295, $Y295,))))"),"2")</f>
        <v>2</v>
      </c>
      <c r="AB295" s="501" t="str">
        <f aca="false">IFERROR(__xludf.dummyfunction("if(isna(ABS(MINUS(SUM(FILTER(MatchSource!$H:$M,MatchSource!$H:$H=$B295)),SUM($X295,$Z295)))),0,ABS(MINUS(SUM(FILTER(MatchSource!$H:$M,MatchSource!$H:$H=$B295)),SUM($X295,$Z295))))"),"2")</f>
        <v>2</v>
      </c>
      <c r="AC295" s="507" t="n">
        <f aca="false">SUM(IF(OR($R295="Grass",$R295="Psychic",$R295="Dark"),0-1,IF(OR($R295="Fighting",$R295="Flying",$R295="Fire",$R295="Ghost",$R295="Poison",$R295="Steel",$R295="Fairy"),1,0)),IF(OR($S295="Grass",$S295="Psychic",$S295="Dark"),0-1,IF(OR($S295="Fighting",$S295="Flying",$S295="Fire",$S295="Ghost",$S295="Poison",$S295="Steel",$S295="Fairy"),1,0)))</f>
        <v>0</v>
      </c>
      <c r="AD295" s="507" t="n">
        <f aca="false">SUM(IF(OR($R295="Ghost",$R295="Psychic"),0-1,IF(OR($R295="Fighting",$R295="Dark",$R295="Fairy"),1,0)),IF(OR($S295="Ghost",$S295="Psychic"),0-1,IF(OR($S295="Fighting",$S295="Dark",$S295="Fairy"),1,0)))</f>
        <v>-1</v>
      </c>
      <c r="AE295" s="507" t="n">
        <f aca="false">IF(OR($R295="Fairy",$S295="Fairy"),4,SUM(IF($R295="Dragon",0-1,IF($R295="Steel",1,0)),IF($S295="Dragon",0-1,IF($S295="Steel",1,0))))</f>
        <v>1</v>
      </c>
      <c r="AF295" s="507" t="n">
        <f aca="false">IF(OR($R295="Ground",$S295="Ground"),4,SUM(IF(OR($R295="Flying",$R295="Water"),0-1,IF(OR($R295="Dragon",$R295="Electric",$R295="Grass"),1,0)),IF(OR($S295="Flying",$S295="Water"),0-1,IF(OR($S295="Dragon",$S295="Electric",$S295="Grass"),1,0))))</f>
        <v>0</v>
      </c>
      <c r="AG295" s="507" t="n">
        <f aca="false">SUM(IF(OR($R295="Dark",$R295="Dragon",$R295="Fighting"),0-1,IF(OR($R295="Steel",$R295="Poison",$R295="Fire"),1,0)),IF(OR($S295="Dark",$S295="Dragon",$S295="Fighting"),0-1,IF(OR($S295="Steel",$S295="Poison",$S295="Fire"),1,0)))</f>
        <v>1</v>
      </c>
      <c r="AH295" s="507" t="n">
        <f aca="false">IF(OR($R295="Ghost",$S295="Ghost"),4,SUM(IF(OR($R295="Dark",$R295="Ice",$R295="Normal",$R295="Rock",$R295="Steel"),0-1,IF(OR($R295="Bug",$R295="Fairy",$R295="Flying",$R295="Poison",$R295="Psychic"),1,0)),IF(OR($S295="Dark",$S295="Ice",$S295="Normal",$S295="Rock",$S295="Steel"),0-1,IF(OR($S295="Bug",$S295="Fairy",$S295="Flying",$S295="Poison",$S295="Psychic"),1,0))))</f>
        <v>0</v>
      </c>
      <c r="AI295" s="507" t="n">
        <f aca="false">SUM(IF(OR($R295="Bug",$R295="Grass",$R295="Ice",$R295="Steel"),0-1,IF(OR($R295="Dragon",$R295="Fire",$R295="Rock",$R295="Water"),1,0)),IF(OR($S295="Bug",$S295="Grass",$S295="Ice",$S295="Steel"),0-1,IF(OR($S295="Dragon",$S295="Fire",$S295="Rock",$S295="Water"),1,0)))</f>
        <v>-1</v>
      </c>
      <c r="AJ295" s="507" t="n">
        <f aca="false">SUM(IF(OR($R295="Bug",$R295="Grass",$R295="Fighting"),0-1,IF(OR($R295="Electric",$R295="Rock",$R295="Steel"),1,0)),IF(OR($S295="Bug",$S295="Grass",$S295="Fighting"),0-1,IF(OR($S295="Electric",$S295="Rock",$S295="Steel"),1,0)))</f>
        <v>1</v>
      </c>
      <c r="AK295" s="507" t="n">
        <f aca="false">IF(OR($R295="Normal",$S295="Normal"),4,SUM(IF(OR($R295="Ghost",$R295="Psychic"),0-1,IF($R295="Dark",1,0)),IF(OR($S295="Ghost",$S295="Psychic"),0-1,IF($S295="Dark",1,0))))</f>
        <v>-1</v>
      </c>
      <c r="AL295" s="507" t="n">
        <f aca="false">SUM(IF(OR($R295="Ground",$R295="Rock",$R295="Water"),0-1,IF(OR($R295="Bug",$R295="Flying",$R295="Fire",$R295="Dragon",$R295="Poison",$R295="Steel",$R295="Grass"),1,0)),IF(OR($S295="Ground",$S295="Rock",$S295="Water"),0-1,IF(OR($S295="Bug",$S295="Flying",$S295="Fire",$S295="Dragon",$S295="Poison",$S295="Steel",$S295="Grass"),1,0)))</f>
        <v>1</v>
      </c>
      <c r="AM295" s="507" t="n">
        <f aca="false">IF(OR($R295="Flying",$S295="Flying"),4,SUM(IF(OR($R295="Electric",$R295="Fire",$R295="Rock",$R295="Steel",$R295="Poison"),0-1,IF(OR($R295="Bug",$R295="Grass"),1,0)),IF(OR($S295="Electric",$S295="Fire",$S295="Rock",$S295="Steel",$S295="Poison"),0-1,IF(OR($S295="Bug",$S295="Grass"),1,0))))</f>
        <v>-1</v>
      </c>
      <c r="AN295" s="507" t="n">
        <f aca="false">SUM(IF(OR($R295="Flying",$R295="Dragon",$R295="Grass",$R295="Ground"),0-1,IF(OR($R295="Steel",$R295="Ice",$R295="Fire",$R295="Water"),1,0)),IF(OR($S295="Flying",$S295="Dragon",$S295="Grass",$S295="Ground"),0-1,IF(OR($S295="Steel",$S295="Ice",$S295="Fire",$S295="Water"),1,0)))</f>
        <v>1</v>
      </c>
      <c r="AO295" s="507" t="n">
        <f aca="false">IF(OR($R295="Ghost",$S295="Ghost"),4,SUM(IF(OR($R295="Steel",$R295="Rock"),1,0),IF(OR($S295="Steel",$S295="Rock"),1,0)))</f>
        <v>1</v>
      </c>
      <c r="AP295" s="507" t="n">
        <f aca="false">IF(OR($R295="Steel",$S295="Steel"),4,SUM(IF(OR($R295="Fairy",$R295="Grass"),0-1,IF(OR($R295="Ghost",$R295="Rock",$R295="Ground",$R295="Poison"),1,0)),IF(OR($S295="Fairy",$S295="Grass"),0-1,IF(OR($S295="Ghost",$S295="Rock",$S295="Ground",$S295="Poison"),1,0))))</f>
        <v>4</v>
      </c>
      <c r="AQ295" s="507" t="n">
        <f aca="false">IF(OR($R295="Dark",$S295="Dark"),4,SUM(IF(OR($R295="Fighting",$R295="Poison"),0-1,IF(OR($R295="Psychic",$R295="Steel"),1,0)),IF(OR($S295="Fighting",$S295="Poison"),0-1,IF(OR($S295="Psychic",$S295="Steel"),1,0))))</f>
        <v>2</v>
      </c>
      <c r="AR295" s="507" t="n">
        <f aca="false">SUM(IF(OR($R295="Bug",$R295="Fire",$R295="Flying",$R295="Ice"),0-1,IF(OR($R295="Steel",$R295="Fighting",$R295="Ground"),1,0)),IF(OR($S295="Bug",$S295="Fire",$S295="Flying",$S295="Ice"),0-1,IF(OR($S295="Steel",$S295="Fighting",$S295="Ground"),1,0)))</f>
        <v>1</v>
      </c>
      <c r="AS295" s="507" t="n">
        <f aca="false">SUM(IF(OR($R295="Fairy",$R295="Ice",$R295="Rock"),0-1,IF(OR($R295="Steel",$R295="Electric",$R295="Fire",$R295="Water"),1,0)),IF(OR($S295="Fairy",$S295="Ice",$S295="Rock"),0-1,IF(OR($S295="Steel",$S295="Electric",$S295="Fire",$S295="Water"),1,0)))</f>
        <v>1</v>
      </c>
      <c r="AT295" s="508" t="n">
        <f aca="false">SUM(IF(OR($R295="Fire",$R295="Ground",$R295="Rock"),0-1,IF(OR($R295="Dragon",$R295="Grass",$R295="Water"),1,0)),IF(OR($S295="Fire",$S295="Ground",$S295="Rock"),0-1,IF(OR($S295="Dragon",$S295="Grass",$S295="Water"),1,0)))</f>
        <v>0</v>
      </c>
      <c r="AU295" s="518"/>
    </row>
    <row r="296" customFormat="false" ht="15.75" hidden="false" customHeight="false" outlineLevel="0" collapsed="false">
      <c r="A296" s="510" t="str">
        <f aca="false" t="array" ref="A296:A296">IF(ISNA(INDEX(Source!$U$7:$U$95,MATCH(B296,Source!$V$7:$V$95,0))),"FREE",INDEX(Source!$U$7:$U$95,MATCH(B296,Source!$V$7:$V$95,0)))</f>
        <v>FREE</v>
      </c>
      <c r="B296" s="511" t="s">
        <v>1031</v>
      </c>
      <c r="C296" s="511"/>
      <c r="D296" s="511"/>
      <c r="E296" s="499" t="str">
        <f aca="false">IF(SUM($W296:$X296)&gt;0,SUM($W296:$X296),IF($H296&gt;0,0,IF($H296&gt;0,0,"-")))</f>
        <v>-</v>
      </c>
      <c r="F296" s="499" t="str">
        <f aca="false">IF(SUM($Y296:$Z296)&gt;0,SUM($Y296:$Z296),IF($H296&gt;0,0,"-"))</f>
        <v>-</v>
      </c>
      <c r="G296" s="499" t="str">
        <f aca="false">IF($H296&gt;0,minus(E296,F296),"-")</f>
        <v>-</v>
      </c>
      <c r="H296" s="500" t="n">
        <f aca="false">SUM(COUNTIF(MatchSource!$A:$A,$B296),COUNTIF(MatchSource!$H:$H,$B296))</f>
        <v>0</v>
      </c>
      <c r="I296" s="501" t="n">
        <f aca="false">SUM($AA296:$AB296)</f>
        <v>0</v>
      </c>
      <c r="J296" s="501" t="s">
        <v>888</v>
      </c>
      <c r="K296" s="512" t="str">
        <f aca="false" t="array" ref="K296:K296">IF(ISNA(INDEX(DraftRosters!$AA$3:$AA$199,MATCH($B296,DraftRosters!$AB$3:$AB$199,0))),"FA",IF(INDEX(DraftRosters!$AA$3:$AA$199,MATCH($B296,DraftRosters!$AB$3:$AB$199,0))="Franchise","Franch",INDEX(DraftRosters!$AA$3:$AA$199,MATCH($B296,DraftRosters!$AB$3:$AB$199,0))))</f>
        <v>FA</v>
      </c>
      <c r="L296" s="499" t="n">
        <v>80</v>
      </c>
      <c r="M296" s="499" t="n">
        <v>145</v>
      </c>
      <c r="N296" s="499" t="n">
        <v>150</v>
      </c>
      <c r="O296" s="499" t="n">
        <v>105</v>
      </c>
      <c r="P296" s="499" t="n">
        <v>110</v>
      </c>
      <c r="Q296" s="501" t="n">
        <v>110</v>
      </c>
      <c r="R296" s="499" t="s">
        <v>828</v>
      </c>
      <c r="S296" s="501" t="s">
        <v>810</v>
      </c>
      <c r="T296" s="504" t="s">
        <v>824</v>
      </c>
      <c r="U296" s="505"/>
      <c r="V296" s="506"/>
      <c r="W296" s="500" t="str">
        <f aca="false">IFERROR(__xludf.dummyfunction("if(isna(SUM(FILTER(MatchSource!$A:$D,MatchSource!$A:$A=$B296))),0,SUM(FILTER(MatchSource!$A:$D,MatchSource!$A:$A=$B296)))"),"0")</f>
        <v>0</v>
      </c>
      <c r="X296" s="499" t="str">
        <f aca="false">IFERROR(__xludf.dummyfunction("if(isna(SUM(FILTER(MatchSource!$H:$K,MatchSource!$H:$H=$B296))),0,SUM(FILTER(MatchSource!$H:$K,MatchSource!$H:$H=$B296)))"),"0")</f>
        <v>0</v>
      </c>
      <c r="Y296" s="499" t="str">
        <f aca="false">IFERROR(__xludf.dummyfunction("if(isna(ABS(MINUS(SUM(FILTER(MatchSource!$A:$E,MatchSource!$A:$A=$B296)),SUM($W296)))),0,ABS(MINUS(SUM(FILTER(MatchSource!$A:$E,MatchSource!$A:$A=$B296)),SUM($W296))))"),"0")</f>
        <v>0</v>
      </c>
      <c r="Z296" s="499" t="str">
        <f aca="false">IFERROR(__xludf.dummyfunction("if(isna(ABS(MINUS(SUM(FILTER(MatchSource!$H:$L,MatchSource!$H:$H=$B296)),SUM($X296)))),0,ABS(MINUS(SUM(FILTER(MatchSource!$H:$L,MatchSource!$H:$H=$B296)),SUM($X296))))"),"0")</f>
        <v>0</v>
      </c>
      <c r="AA296" s="499" t="str">
        <f aca="false">IFERROR(__xludf.dummyfunction("if(isna(ABS(MINUS(SUM(FILTER(MatchSource!$A:$F,MatchSource!$A:$A=$B296)),SUM($W296,$Y296)))),0,ABS(MINUS(SUM(FILTER(MatchSource!$A:$F,MatchSource!$A:$A=$B296)),SUM($W296, $Y296,))))"),"0")</f>
        <v>0</v>
      </c>
      <c r="AB296" s="501" t="str">
        <f aca="false">IFERROR(__xludf.dummyfunction("if(isna(ABS(MINUS(SUM(FILTER(MatchSource!$H:$M,MatchSource!$H:$H=$B296)),SUM($X296,$Z296)))),0,ABS(MINUS(SUM(FILTER(MatchSource!$H:$M,MatchSource!$H:$H=$B296)),SUM($X296,$Z296))))"),"0")</f>
        <v>0</v>
      </c>
      <c r="AC296" s="507" t="n">
        <f aca="false">SUM(IF(OR($R296="Grass",$R296="Psychic",$R296="Dark"),0-1,IF(OR($R296="Fighting",$R296="Flying",$R296="Fire",$R296="Ghost",$R296="Poison",$R296="Steel",$R296="Fairy"),1,0)),IF(OR($S296="Grass",$S296="Psychic",$S296="Dark"),0-1,IF(OR($S296="Fighting",$S296="Flying",$S296="Fire",$S296="Ghost",$S296="Poison",$S296="Steel",$S296="Fairy"),1,0)))</f>
        <v>0</v>
      </c>
      <c r="AD296" s="507" t="n">
        <f aca="false">SUM(IF(OR($R296="Ghost",$R296="Psychic"),0-1,IF(OR($R296="Fighting",$R296="Dark",$R296="Fairy"),1,0)),IF(OR($S296="Ghost",$S296="Psychic"),0-1,IF(OR($S296="Fighting",$S296="Dark",$S296="Fairy"),1,0)))</f>
        <v>-1</v>
      </c>
      <c r="AE296" s="507" t="n">
        <f aca="false">IF(OR($R296="Fairy",$S296="Fairy"),4,SUM(IF($R296="Dragon",0-1,IF($R296="Steel",1,0)),IF($S296="Dragon",0-1,IF($S296="Steel",1,0))))</f>
        <v>1</v>
      </c>
      <c r="AF296" s="507" t="n">
        <f aca="false">IF(OR($R296="Ground",$S296="Ground"),4,SUM(IF(OR($R296="Flying",$R296="Water"),0-1,IF(OR($R296="Dragon",$R296="Electric",$R296="Grass"),1,0)),IF(OR($S296="Flying",$S296="Water"),0-1,IF(OR($S296="Dragon",$S296="Electric",$S296="Grass"),1,0))))</f>
        <v>0</v>
      </c>
      <c r="AG296" s="507" t="n">
        <f aca="false">SUM(IF(OR($R296="Dark",$R296="Dragon",$R296="Fighting"),0-1,IF(OR($R296="Steel",$R296="Poison",$R296="Fire"),1,0)),IF(OR($S296="Dark",$S296="Dragon",$S296="Fighting"),0-1,IF(OR($S296="Steel",$S296="Poison",$S296="Fire"),1,0)))</f>
        <v>1</v>
      </c>
      <c r="AH296" s="507" t="n">
        <f aca="false">IF(OR($R296="Ghost",$S296="Ghost"),4,SUM(IF(OR($R296="Dark",$R296="Ice",$R296="Normal",$R296="Rock",$R296="Steel"),0-1,IF(OR($R296="Bug",$R296="Fairy",$R296="Flying",$R296="Poison",$R296="Psychic"),1,0)),IF(OR($S296="Dark",$S296="Ice",$S296="Normal",$S296="Rock",$S296="Steel"),0-1,IF(OR($S296="Bug",$S296="Fairy",$S296="Flying",$S296="Poison",$S296="Psychic"),1,0))))</f>
        <v>0</v>
      </c>
      <c r="AI296" s="507" t="n">
        <f aca="false">SUM(IF(OR($R296="Bug",$R296="Grass",$R296="Ice",$R296="Steel"),0-1,IF(OR($R296="Dragon",$R296="Fire",$R296="Rock",$R296="Water"),1,0)),IF(OR($S296="Bug",$S296="Grass",$S296="Ice",$S296="Steel"),0-1,IF(OR($S296="Dragon",$S296="Fire",$S296="Rock",$S296="Water"),1,0)))</f>
        <v>-1</v>
      </c>
      <c r="AJ296" s="507" t="n">
        <f aca="false">SUM(IF(OR($R296="Bug",$R296="Grass",$R296="Fighting"),0-1,IF(OR($R296="Electric",$R296="Rock",$R296="Steel"),1,0)),IF(OR($S296="Bug",$S296="Grass",$S296="Fighting"),0-1,IF(OR($S296="Electric",$S296="Rock",$S296="Steel"),1,0)))</f>
        <v>1</v>
      </c>
      <c r="AK296" s="507" t="n">
        <f aca="false">IF(OR($R296="Normal",$S296="Normal"),4,SUM(IF(OR($R296="Ghost",$R296="Psychic"),0-1,IF($R296="Dark",1,0)),IF(OR($S296="Ghost",$S296="Psychic"),0-1,IF($S296="Dark",1,0))))</f>
        <v>-1</v>
      </c>
      <c r="AL296" s="507" t="n">
        <f aca="false">SUM(IF(OR($R296="Ground",$R296="Rock",$R296="Water"),0-1,IF(OR($R296="Bug",$R296="Flying",$R296="Fire",$R296="Dragon",$R296="Poison",$R296="Steel",$R296="Grass"),1,0)),IF(OR($S296="Ground",$S296="Rock",$S296="Water"),0-1,IF(OR($S296="Bug",$S296="Flying",$S296="Fire",$S296="Dragon",$S296="Poison",$S296="Steel",$S296="Grass"),1,0)))</f>
        <v>1</v>
      </c>
      <c r="AM296" s="507" t="n">
        <f aca="false">IF(OR($R296="Flying",$S296="Flying"),4,SUM(IF(OR($R296="Electric",$R296="Fire",$R296="Rock",$R296="Steel",$R296="Poison"),0-1,IF(OR($R296="Bug",$R296="Grass"),1,0)),IF(OR($S296="Electric",$S296="Fire",$S296="Rock",$S296="Steel",$S296="Poison"),0-1,IF(OR($S296="Bug",$S296="Grass"),1,0))))</f>
        <v>-1</v>
      </c>
      <c r="AN296" s="507" t="n">
        <f aca="false">SUM(IF(OR($R296="Flying",$R296="Dragon",$R296="Grass",$R296="Ground"),0-1,IF(OR($R296="Steel",$R296="Ice",$R296="Fire",$R296="Water"),1,0)),IF(OR($S296="Flying",$S296="Dragon",$S296="Grass",$S296="Ground"),0-1,IF(OR($S296="Steel",$S296="Ice",$S296="Fire",$S296="Water"),1,0)))</f>
        <v>1</v>
      </c>
      <c r="AO296" s="507" t="n">
        <f aca="false">IF(OR($R296="Ghost",$S296="Ghost"),4,SUM(IF(OR($R296="Steel",$R296="Rock"),1,0),IF(OR($S296="Steel",$S296="Rock"),1,0)))</f>
        <v>1</v>
      </c>
      <c r="AP296" s="507" t="n">
        <f aca="false">IF(OR($R296="Steel",$S296="Steel"),4,SUM(IF(OR($R296="Fairy",$R296="Grass"),0-1,IF(OR($R296="Ghost",$R296="Rock",$R296="Ground",$R296="Poison"),1,0)),IF(OR($S296="Fairy",$S296="Grass"),0-1,IF(OR($S296="Ghost",$S296="Rock",$S296="Ground",$S296="Poison"),1,0))))</f>
        <v>4</v>
      </c>
      <c r="AQ296" s="507" t="n">
        <f aca="false">IF(OR($R296="Dark",$S296="Dark"),4,SUM(IF(OR($R296="Fighting",$R296="Poison"),0-1,IF(OR($R296="Psychic",$R296="Steel"),1,0)),IF(OR($S296="Fighting",$S296="Poison"),0-1,IF(OR($S296="Psychic",$S296="Steel"),1,0))))</f>
        <v>2</v>
      </c>
      <c r="AR296" s="507" t="n">
        <f aca="false">SUM(IF(OR($R296="Bug",$R296="Fire",$R296="Flying",$R296="Ice"),0-1,IF(OR($R296="Steel",$R296="Fighting",$R296="Ground"),1,0)),IF(OR($S296="Bug",$S296="Fire",$S296="Flying",$S296="Ice"),0-1,IF(OR($S296="Steel",$S296="Fighting",$S296="Ground"),1,0)))</f>
        <v>1</v>
      </c>
      <c r="AS296" s="507" t="n">
        <f aca="false">SUM(IF(OR($R296="Fairy",$R296="Ice",$R296="Rock"),0-1,IF(OR($R296="Steel",$R296="Electric",$R296="Fire",$R296="Water"),1,0)),IF(OR($S296="Fairy",$S296="Ice",$S296="Rock"),0-1,IF(OR($S296="Steel",$S296="Electric",$S296="Fire",$S296="Water"),1,0)))</f>
        <v>1</v>
      </c>
      <c r="AT296" s="508" t="n">
        <f aca="false">SUM(IF(OR($R296="Fire",$R296="Ground",$R296="Rock"),0-1,IF(OR($R296="Dragon",$R296="Grass",$R296="Water"),1,0)),IF(OR($S296="Fire",$S296="Ground",$S296="Rock"),0-1,IF(OR($S296="Dragon",$S296="Grass",$S296="Water"),1,0)))</f>
        <v>0</v>
      </c>
      <c r="AU296" s="518"/>
    </row>
    <row r="297" customFormat="false" ht="15.75" hidden="false" customHeight="false" outlineLevel="0" collapsed="false">
      <c r="A297" s="510" t="str">
        <f aca="false" t="array" ref="A297:A297">IF(ISNA(INDEX(Source!$U$7:$U$95,MATCH(B297,Source!$V$7:$V$95,0))),"FREE",INDEX(Source!$U$7:$U$95,MATCH(B297,Source!$V$7:$V$95,0)))</f>
        <v>FREE</v>
      </c>
      <c r="B297" s="511" t="s">
        <v>353</v>
      </c>
      <c r="C297" s="511"/>
      <c r="D297" s="511"/>
      <c r="E297" s="499" t="str">
        <f aca="false">IF(SUM($W297:$X297)&gt;0,SUM($W297:$X297),IF($H297&gt;0,0,IF($H297&gt;0,0,"-")))</f>
        <v>-</v>
      </c>
      <c r="F297" s="499" t="str">
        <f aca="false">IF(SUM($Y297:$Z297)&gt;0,SUM($Y297:$Z297),IF($H297&gt;0,0,"-"))</f>
        <v>-</v>
      </c>
      <c r="G297" s="499" t="str">
        <f aca="false">IF($H297&gt;0,minus(E297,F297),"-")</f>
        <v>-</v>
      </c>
      <c r="H297" s="500" t="n">
        <f aca="false">SUM(COUNTIF(MatchSource!$A:$A,$B297),COUNTIF(MatchSource!$H:$H,$B297))</f>
        <v>0</v>
      </c>
      <c r="I297" s="501" t="n">
        <f aca="false">SUM($AA297:$AB297)</f>
        <v>0</v>
      </c>
      <c r="J297" s="501" t="s">
        <v>702</v>
      </c>
      <c r="K297" s="512" t="str">
        <f aca="false" t="array" ref="K297:K297">IF(ISNA(INDEX(DraftRosters!$AA$3:$AA$199,MATCH($B297,DraftRosters!$AB$3:$AB$199,0))),"FA",IF(INDEX(DraftRosters!$AA$3:$AA$199,MATCH($B297,DraftRosters!$AB$3:$AB$199,0))="Franchise","Franch",INDEX(DraftRosters!$AA$3:$AA$199,MATCH($B297,DraftRosters!$AB$3:$AB$199,0))))</f>
        <v>FA</v>
      </c>
      <c r="L297" s="499" t="n">
        <v>60</v>
      </c>
      <c r="M297" s="499" t="n">
        <v>75</v>
      </c>
      <c r="N297" s="499" t="n">
        <v>100</v>
      </c>
      <c r="O297" s="499" t="n">
        <v>55</v>
      </c>
      <c r="P297" s="499" t="n">
        <v>80</v>
      </c>
      <c r="Q297" s="501" t="n">
        <v>50</v>
      </c>
      <c r="R297" s="499" t="s">
        <v>828</v>
      </c>
      <c r="S297" s="501" t="s">
        <v>810</v>
      </c>
      <c r="T297" s="504" t="s">
        <v>911</v>
      </c>
      <c r="U297" s="505" t="s">
        <v>1030</v>
      </c>
      <c r="V297" s="506"/>
      <c r="W297" s="500" t="str">
        <f aca="false">IFERROR(__xludf.dummyfunction("if(isna(SUM(FILTER(MatchSource!$A:$D,MatchSource!$A:$A=$B297))),0,SUM(FILTER(MatchSource!$A:$D,MatchSource!$A:$A=$B297)))"),"0")</f>
        <v>0</v>
      </c>
      <c r="X297" s="499" t="str">
        <f aca="false">IFERROR(__xludf.dummyfunction("if(isna(SUM(FILTER(MatchSource!$H:$K,MatchSource!$H:$H=$B297))),0,SUM(FILTER(MatchSource!$H:$K,MatchSource!$H:$H=$B297)))"),"0")</f>
        <v>0</v>
      </c>
      <c r="Y297" s="499" t="str">
        <f aca="false">IFERROR(__xludf.dummyfunction("if(isna(ABS(MINUS(SUM(FILTER(MatchSource!$A:$E,MatchSource!$A:$A=$B297)),SUM($W297)))),0,ABS(MINUS(SUM(FILTER(MatchSource!$A:$E,MatchSource!$A:$A=$B297)),SUM($W297))))"),"0")</f>
        <v>0</v>
      </c>
      <c r="Z297" s="499" t="str">
        <f aca="false">IFERROR(__xludf.dummyfunction("if(isna(ABS(MINUS(SUM(FILTER(MatchSource!$H:$L,MatchSource!$H:$H=$B297)),SUM($X297)))),0,ABS(MINUS(SUM(FILTER(MatchSource!$H:$L,MatchSource!$H:$H=$B297)),SUM($X297))))"),"0")</f>
        <v>0</v>
      </c>
      <c r="AA297" s="499" t="str">
        <f aca="false">IFERROR(__xludf.dummyfunction("if(isna(ABS(MINUS(SUM(FILTER(MatchSource!$A:$F,MatchSource!$A:$A=$B297)),SUM($W297,$Y297)))),0,ABS(MINUS(SUM(FILTER(MatchSource!$A:$F,MatchSource!$A:$A=$B297)),SUM($W297, $Y297,))))"),"0")</f>
        <v>0</v>
      </c>
      <c r="AB297" s="501" t="str">
        <f aca="false">IFERROR(__xludf.dummyfunction("if(isna(ABS(MINUS(SUM(FILTER(MatchSource!$H:$M,MatchSource!$H:$H=$B297)),SUM($X297,$Z297)))),0,ABS(MINUS(SUM(FILTER(MatchSource!$H:$M,MatchSource!$H:$H=$B297)),SUM($X297,$Z297))))"),"0")</f>
        <v>0</v>
      </c>
      <c r="AC297" s="507" t="n">
        <f aca="false">SUM(IF(OR($R297="Grass",$R297="Psychic",$R297="Dark"),0-1,IF(OR($R297="Fighting",$R297="Flying",$R297="Fire",$R297="Ghost",$R297="Poison",$R297="Steel",$R297="Fairy"),1,0)),IF(OR($S297="Grass",$S297="Psychic",$S297="Dark"),0-1,IF(OR($S297="Fighting",$S297="Flying",$S297="Fire",$S297="Ghost",$S297="Poison",$S297="Steel",$S297="Fairy"),1,0)))</f>
        <v>0</v>
      </c>
      <c r="AD297" s="507" t="n">
        <f aca="false">SUM(IF(OR($R297="Ghost",$R297="Psychic"),0-1,IF(OR($R297="Fighting",$R297="Dark",$R297="Fairy"),1,0)),IF(OR($S297="Ghost",$S297="Psychic"),0-1,IF(OR($S297="Fighting",$S297="Dark",$S297="Fairy"),1,0)))</f>
        <v>-1</v>
      </c>
      <c r="AE297" s="507" t="n">
        <f aca="false">IF(OR($R297="Fairy",$S297="Fairy"),4,SUM(IF($R297="Dragon",0-1,IF($R297="Steel",1,0)),IF($S297="Dragon",0-1,IF($S297="Steel",1,0))))</f>
        <v>1</v>
      </c>
      <c r="AF297" s="507" t="n">
        <f aca="false">IF(OR($R297="Ground",$S297="Ground"),4,SUM(IF(OR($R297="Flying",$R297="Water"),0-1,IF(OR($R297="Dragon",$R297="Electric",$R297="Grass"),1,0)),IF(OR($S297="Flying",$S297="Water"),0-1,IF(OR($S297="Dragon",$S297="Electric",$S297="Grass"),1,0))))</f>
        <v>0</v>
      </c>
      <c r="AG297" s="507" t="n">
        <f aca="false">SUM(IF(OR($R297="Dark",$R297="Dragon",$R297="Fighting"),0-1,IF(OR($R297="Steel",$R297="Poison",$R297="Fire"),1,0)),IF(OR($S297="Dark",$S297="Dragon",$S297="Fighting"),0-1,IF(OR($S297="Steel",$S297="Poison",$S297="Fire"),1,0)))</f>
        <v>1</v>
      </c>
      <c r="AH297" s="507" t="n">
        <f aca="false">IF(OR($R297="Ghost",$S297="Ghost"),4,SUM(IF(OR($R297="Dark",$R297="Ice",$R297="Normal",$R297="Rock",$R297="Steel"),0-1,IF(OR($R297="Bug",$R297="Fairy",$R297="Flying",$R297="Poison",$R297="Psychic"),1,0)),IF(OR($S297="Dark",$S297="Ice",$S297="Normal",$S297="Rock",$S297="Steel"),0-1,IF(OR($S297="Bug",$S297="Fairy",$S297="Flying",$S297="Poison",$S297="Psychic"),1,0))))</f>
        <v>0</v>
      </c>
      <c r="AI297" s="507" t="n">
        <f aca="false">SUM(IF(OR($R297="Bug",$R297="Grass",$R297="Ice",$R297="Steel"),0-1,IF(OR($R297="Dragon",$R297="Fire",$R297="Rock",$R297="Water"),1,0)),IF(OR($S297="Bug",$S297="Grass",$S297="Ice",$S297="Steel"),0-1,IF(OR($S297="Dragon",$S297="Fire",$S297="Rock",$S297="Water"),1,0)))</f>
        <v>-1</v>
      </c>
      <c r="AJ297" s="507" t="n">
        <f aca="false">SUM(IF(OR($R297="Bug",$R297="Grass",$R297="Fighting"),0-1,IF(OR($R297="Electric",$R297="Rock",$R297="Steel"),1,0)),IF(OR($S297="Bug",$S297="Grass",$S297="Fighting"),0-1,IF(OR($S297="Electric",$S297="Rock",$S297="Steel"),1,0)))</f>
        <v>1</v>
      </c>
      <c r="AK297" s="507" t="n">
        <f aca="false">IF(OR($R297="Normal",$S297="Normal"),4,SUM(IF(OR($R297="Ghost",$R297="Psychic"),0-1,IF($R297="Dark",1,0)),IF(OR($S297="Ghost",$S297="Psychic"),0-1,IF($S297="Dark",1,0))))</f>
        <v>-1</v>
      </c>
      <c r="AL297" s="507" t="n">
        <f aca="false">SUM(IF(OR($R297="Ground",$R297="Rock",$R297="Water"),0-1,IF(OR($R297="Bug",$R297="Flying",$R297="Fire",$R297="Dragon",$R297="Poison",$R297="Steel",$R297="Grass"),1,0)),IF(OR($S297="Ground",$S297="Rock",$S297="Water"),0-1,IF(OR($S297="Bug",$S297="Flying",$S297="Fire",$S297="Dragon",$S297="Poison",$S297="Steel",$S297="Grass"),1,0)))</f>
        <v>1</v>
      </c>
      <c r="AM297" s="507" t="n">
        <f aca="false">IF(OR($R297="Flying",$S297="Flying"),4,SUM(IF(OR($R297="Electric",$R297="Fire",$R297="Rock",$R297="Steel",$R297="Poison"),0-1,IF(OR($R297="Bug",$R297="Grass"),1,0)),IF(OR($S297="Electric",$S297="Fire",$S297="Rock",$S297="Steel",$S297="Poison"),0-1,IF(OR($S297="Bug",$S297="Grass"),1,0))))</f>
        <v>-1</v>
      </c>
      <c r="AN297" s="507" t="n">
        <f aca="false">SUM(IF(OR($R297="Flying",$R297="Dragon",$R297="Grass",$R297="Ground"),0-1,IF(OR($R297="Steel",$R297="Ice",$R297="Fire",$R297="Water"),1,0)),IF(OR($S297="Flying",$S297="Dragon",$S297="Grass",$S297="Ground"),0-1,IF(OR($S297="Steel",$S297="Ice",$S297="Fire",$S297="Water"),1,0)))</f>
        <v>1</v>
      </c>
      <c r="AO297" s="507" t="n">
        <f aca="false">IF(OR($R297="Ghost",$S297="Ghost"),4,SUM(IF(OR($R297="Steel",$R297="Rock"),1,0),IF(OR($S297="Steel",$S297="Rock"),1,0)))</f>
        <v>1</v>
      </c>
      <c r="AP297" s="507" t="n">
        <f aca="false">IF(OR($R297="Steel",$S297="Steel"),4,SUM(IF(OR($R297="Fairy",$R297="Grass"),0-1,IF(OR($R297="Ghost",$R297="Rock",$R297="Ground",$R297="Poison"),1,0)),IF(OR($S297="Fairy",$S297="Grass"),0-1,IF(OR($S297="Ghost",$S297="Rock",$S297="Ground",$S297="Poison"),1,0))))</f>
        <v>4</v>
      </c>
      <c r="AQ297" s="507" t="n">
        <f aca="false">IF(OR($R297="Dark",$S297="Dark"),4,SUM(IF(OR($R297="Fighting",$R297="Poison"),0-1,IF(OR($R297="Psychic",$R297="Steel"),1,0)),IF(OR($S297="Fighting",$S297="Poison"),0-1,IF(OR($S297="Psychic",$S297="Steel"),1,0))))</f>
        <v>2</v>
      </c>
      <c r="AR297" s="507" t="n">
        <f aca="false">SUM(IF(OR($R297="Bug",$R297="Fire",$R297="Flying",$R297="Ice"),0-1,IF(OR($R297="Steel",$R297="Fighting",$R297="Ground"),1,0)),IF(OR($S297="Bug",$S297="Fire",$S297="Flying",$S297="Ice"),0-1,IF(OR($S297="Steel",$S297="Fighting",$S297="Ground"),1,0)))</f>
        <v>1</v>
      </c>
      <c r="AS297" s="507" t="n">
        <f aca="false">SUM(IF(OR($R297="Fairy",$R297="Ice",$R297="Rock"),0-1,IF(OR($R297="Steel",$R297="Electric",$R297="Fire",$R297="Water"),1,0)),IF(OR($S297="Fairy",$S297="Ice",$S297="Rock"),0-1,IF(OR($S297="Steel",$S297="Electric",$S297="Fire",$S297="Water"),1,0)))</f>
        <v>1</v>
      </c>
      <c r="AT297" s="508" t="n">
        <f aca="false">SUM(IF(OR($R297="Fire",$R297="Ground",$R297="Rock"),0-1,IF(OR($R297="Dragon",$R297="Grass",$R297="Water"),1,0)),IF(OR($S297="Fire",$S297="Ground",$S297="Rock"),0-1,IF(OR($S297="Dragon",$S297="Grass",$S297="Water"),1,0)))</f>
        <v>0</v>
      </c>
      <c r="AU297" s="518"/>
    </row>
    <row r="298" customFormat="false" ht="15.75" hidden="false" customHeight="false" outlineLevel="0" collapsed="false">
      <c r="A298" s="515" t="str">
        <f aca="false" t="array" ref="A298:A298">IF(ISNA(INDEX(Source!$U$7:$U$95,MATCH(B298,Source!$V$7:$V$95,0))),"FREE",INDEX(Source!$U$7:$U$95,MATCH(B298,Source!$V$7:$V$95,0)))</f>
        <v>KKS</v>
      </c>
      <c r="B298" s="511" t="s">
        <v>85</v>
      </c>
      <c r="C298" s="511"/>
      <c r="D298" s="511"/>
      <c r="E298" s="499" t="n">
        <f aca="false">IF(SUM($W298:$X298)&gt;0,SUM($W298:$X298),IF($H298&gt;0,0,IF($H298&gt;0,0,"-")))</f>
        <v>0</v>
      </c>
      <c r="F298" s="499" t="n">
        <f aca="false">IF(SUM($Y298:$Z298)&gt;0,SUM($Y298:$Z298),IF($H298&gt;0,0,"-"))</f>
        <v>0</v>
      </c>
      <c r="G298" s="499" t="e">
        <f aca="false">IF($H298&gt;0,minus(E298,F298),"-")</f>
        <v>#NAME?</v>
      </c>
      <c r="H298" s="500" t="n">
        <f aca="false">SUM(COUNTIF(MatchSource!$A:$A,$B298),COUNTIF(MatchSource!$H:$H,$B298))</f>
        <v>11</v>
      </c>
      <c r="I298" s="501" t="n">
        <f aca="false">SUM($AA298:$AB298)</f>
        <v>0</v>
      </c>
      <c r="J298" s="501" t="s">
        <v>698</v>
      </c>
      <c r="K298" s="512" t="n">
        <f aca="false" t="array" ref="K298:K298">IF(ISNA(INDEX(DraftRosters!$AA$3:$AA$199,MATCH($B298,DraftRosters!$AB$3:$AB$199,0))),"FA",IF(INDEX(DraftRosters!$AA$3:$AA$199,MATCH($B298,DraftRosters!$AB$3:$AB$199,0))="Franchise","Franch",INDEX(DraftRosters!$AA$3:$AA$199,MATCH($B298,DraftRosters!$AB$3:$AB$199,0))))</f>
        <v>9</v>
      </c>
      <c r="L298" s="499" t="n">
        <v>100</v>
      </c>
      <c r="M298" s="499" t="n">
        <v>100</v>
      </c>
      <c r="N298" s="499" t="n">
        <v>100</v>
      </c>
      <c r="O298" s="499" t="n">
        <v>100</v>
      </c>
      <c r="P298" s="499" t="n">
        <v>100</v>
      </c>
      <c r="Q298" s="501" t="n">
        <v>100</v>
      </c>
      <c r="R298" s="499" t="s">
        <v>828</v>
      </c>
      <c r="S298" s="501"/>
      <c r="T298" s="504" t="s">
        <v>831</v>
      </c>
      <c r="U298" s="505"/>
      <c r="V298" s="506"/>
      <c r="W298" s="500" t="str">
        <f aca="false">IFERROR(__xludf.dummyfunction("if(isna(SUM(FILTER(MatchSource!$A:$D,MatchSource!$A:$A=$B298))),0,SUM(FILTER(MatchSource!$A:$D,MatchSource!$A:$A=$B298)))"),"6")</f>
        <v>6</v>
      </c>
      <c r="X298" s="499" t="str">
        <f aca="false">IFERROR(__xludf.dummyfunction("if(isna(SUM(FILTER(MatchSource!$H:$K,MatchSource!$H:$H=$B298))),0,SUM(FILTER(MatchSource!$H:$K,MatchSource!$H:$H=$B298)))"),"2")</f>
        <v>2</v>
      </c>
      <c r="Y298" s="499" t="str">
        <f aca="false">IFERROR(__xludf.dummyfunction("if(isna(ABS(MINUS(SUM(FILTER(MatchSource!$A:$E,MatchSource!$A:$A=$B298)),SUM($W298)))),0,ABS(MINUS(SUM(FILTER(MatchSource!$A:$E,MatchSource!$A:$A=$B298)),SUM($W298))))"),"4")</f>
        <v>4</v>
      </c>
      <c r="Z298" s="499" t="str">
        <f aca="false">IFERROR(__xludf.dummyfunction("if(isna(ABS(MINUS(SUM(FILTER(MatchSource!$H:$L,MatchSource!$H:$H=$B298)),SUM($X298)))),0,ABS(MINUS(SUM(FILTER(MatchSource!$H:$L,MatchSource!$H:$H=$B298)),SUM($X298))))"),"2")</f>
        <v>2</v>
      </c>
      <c r="AA298" s="499" t="str">
        <f aca="false">IFERROR(__xludf.dummyfunction("if(isna(ABS(MINUS(SUM(FILTER(MatchSource!$A:$F,MatchSource!$A:$A=$B298)),SUM($W298,$Y298)))),0,ABS(MINUS(SUM(FILTER(MatchSource!$A:$F,MatchSource!$A:$A=$B298)),SUM($W298, $Y298,))))"),"6")</f>
        <v>6</v>
      </c>
      <c r="AB298" s="501" t="str">
        <f aca="false">IFERROR(__xludf.dummyfunction("if(isna(ABS(MINUS(SUM(FILTER(MatchSource!$H:$M,MatchSource!$H:$H=$B298)),SUM($X298,$Z298)))),0,ABS(MINUS(SUM(FILTER(MatchSource!$H:$M,MatchSource!$H:$H=$B298)),SUM($X298,$Z298))))"),"3")</f>
        <v>3</v>
      </c>
      <c r="AC298" s="507" t="n">
        <f aca="false">SUM(IF(OR($R298="Grass",$R298="Psychic",$R298="Dark"),0-1,IF(OR($R298="Fighting",$R298="Flying",$R298="Fire",$R298="Ghost",$R298="Poison",$R298="Steel",$R298="Fairy"),1,0)),IF(OR($S298="Grass",$S298="Psychic",$S298="Dark"),0-1,IF(OR($S298="Fighting",$S298="Flying",$S298="Fire",$S298="Ghost",$S298="Poison",$S298="Steel",$S298="Fairy"),1,0)))</f>
        <v>-1</v>
      </c>
      <c r="AD298" s="507" t="n">
        <f aca="false">SUM(IF(OR($R298="Ghost",$R298="Psychic"),0-1,IF(OR($R298="Fighting",$R298="Dark",$R298="Fairy"),1,0)),IF(OR($S298="Ghost",$S298="Psychic"),0-1,IF(OR($S298="Fighting",$S298="Dark",$S298="Fairy"),1,0)))</f>
        <v>-1</v>
      </c>
      <c r="AE298" s="507" t="n">
        <f aca="false">IF(OR($R298="Fairy",$S298="Fairy"),4,SUM(IF($R298="Dragon",0-1,IF($R298="Steel",1,0)),IF($S298="Dragon",0-1,IF($S298="Steel",1,0))))</f>
        <v>0</v>
      </c>
      <c r="AF298" s="507" t="n">
        <f aca="false">IF(OR($R298="Ground",$S298="Ground"),4,SUM(IF(OR($R298="Flying",$R298="Water"),0-1,IF(OR($R298="Dragon",$R298="Electric",$R298="Grass"),1,0)),IF(OR($S298="Flying",$S298="Water"),0-1,IF(OR($S298="Dragon",$S298="Electric",$S298="Grass"),1,0))))</f>
        <v>0</v>
      </c>
      <c r="AG298" s="507" t="n">
        <f aca="false">SUM(IF(OR($R298="Dark",$R298="Dragon",$R298="Fighting"),0-1,IF(OR($R298="Steel",$R298="Poison",$R298="Fire"),1,0)),IF(OR($S298="Dark",$S298="Dragon",$S298="Fighting"),0-1,IF(OR($S298="Steel",$S298="Poison",$S298="Fire"),1,0)))</f>
        <v>0</v>
      </c>
      <c r="AH298" s="507" t="n">
        <f aca="false">IF(OR($R298="Ghost",$S298="Ghost"),4,SUM(IF(OR($R298="Dark",$R298="Ice",$R298="Normal",$R298="Rock",$R298="Steel"),0-1,IF(OR($R298="Bug",$R298="Fairy",$R298="Flying",$R298="Poison",$R298="Psychic"),1,0)),IF(OR($S298="Dark",$S298="Ice",$S298="Normal",$S298="Rock",$S298="Steel"),0-1,IF(OR($S298="Bug",$S298="Fairy",$S298="Flying",$S298="Poison",$S298="Psychic"),1,0))))</f>
        <v>1</v>
      </c>
      <c r="AI298" s="507" t="n">
        <f aca="false">SUM(IF(OR($R298="Bug",$R298="Grass",$R298="Ice",$R298="Steel"),0-1,IF(OR($R298="Dragon",$R298="Fire",$R298="Rock",$R298="Water"),1,0)),IF(OR($S298="Bug",$S298="Grass",$S298="Ice",$S298="Steel"),0-1,IF(OR($S298="Dragon",$S298="Fire",$S298="Rock",$S298="Water"),1,0)))</f>
        <v>0</v>
      </c>
      <c r="AJ298" s="507" t="n">
        <f aca="false">SUM(IF(OR($R298="Bug",$R298="Grass",$R298="Fighting"),0-1,IF(OR($R298="Electric",$R298="Rock",$R298="Steel"),1,0)),IF(OR($S298="Bug",$S298="Grass",$S298="Fighting"),0-1,IF(OR($S298="Electric",$S298="Rock",$S298="Steel"),1,0)))</f>
        <v>0</v>
      </c>
      <c r="AK298" s="507" t="n">
        <f aca="false">IF(OR($R298="Normal",$S298="Normal"),4,SUM(IF(OR($R298="Ghost",$R298="Psychic"),0-1,IF($R298="Dark",1,0)),IF(OR($S298="Ghost",$S298="Psychic"),0-1,IF($S298="Dark",1,0))))</f>
        <v>-1</v>
      </c>
      <c r="AL298" s="507" t="n">
        <f aca="false">SUM(IF(OR($R298="Ground",$R298="Rock",$R298="Water"),0-1,IF(OR($R298="Bug",$R298="Flying",$R298="Fire",$R298="Dragon",$R298="Poison",$R298="Steel",$R298="Grass"),1,0)),IF(OR($S298="Ground",$S298="Rock",$S298="Water"),0-1,IF(OR($S298="Bug",$S298="Flying",$S298="Fire",$S298="Dragon",$S298="Poison",$S298="Steel",$S298="Grass"),1,0)))</f>
        <v>0</v>
      </c>
      <c r="AM298" s="507" t="n">
        <f aca="false">IF(OR($R298="Flying",$S298="Flying"),4,SUM(IF(OR($R298="Electric",$R298="Fire",$R298="Rock",$R298="Steel",$R298="Poison"),0-1,IF(OR($R298="Bug",$R298="Grass"),1,0)),IF(OR($S298="Electric",$S298="Fire",$S298="Rock",$S298="Steel",$S298="Poison"),0-1,IF(OR($S298="Bug",$S298="Grass"),1,0))))</f>
        <v>0</v>
      </c>
      <c r="AN298" s="507" t="n">
        <f aca="false">SUM(IF(OR($R298="Flying",$R298="Dragon",$R298="Grass",$R298="Ground"),0-1,IF(OR($R298="Steel",$R298="Ice",$R298="Fire",$R298="Water"),1,0)),IF(OR($S298="Flying",$S298="Dragon",$S298="Grass",$S298="Ground"),0-1,IF(OR($S298="Steel",$S298="Ice",$S298="Fire",$S298="Water"),1,0)))</f>
        <v>0</v>
      </c>
      <c r="AO298" s="507" t="n">
        <f aca="false">IF(OR($R298="Ghost",$S298="Ghost"),4,SUM(IF(OR($R298="Steel",$R298="Rock"),1,0),IF(OR($S298="Steel",$S298="Rock"),1,0)))</f>
        <v>0</v>
      </c>
      <c r="AP298" s="507" t="n">
        <f aca="false">IF(OR($R298="Steel",$S298="Steel"),4,SUM(IF(OR($R298="Fairy",$R298="Grass"),0-1,IF(OR($R298="Ghost",$R298="Rock",$R298="Ground",$R298="Poison"),1,0)),IF(OR($S298="Fairy",$S298="Grass"),0-1,IF(OR($S298="Ghost",$S298="Rock",$S298="Ground",$S298="Poison"),1,0))))</f>
        <v>0</v>
      </c>
      <c r="AQ298" s="507" t="n">
        <f aca="false">IF(OR($R298="Dark",$S298="Dark"),4,SUM(IF(OR($R298="Fighting",$R298="Poison"),0-1,IF(OR($R298="Psychic",$R298="Steel"),1,0)),IF(OR($S298="Fighting",$S298="Poison"),0-1,IF(OR($S298="Psychic",$S298="Steel"),1,0))))</f>
        <v>1</v>
      </c>
      <c r="AR298" s="507" t="n">
        <f aca="false">SUM(IF(OR($R298="Bug",$R298="Fire",$R298="Flying",$R298="Ice"),0-1,IF(OR($R298="Steel",$R298="Fighting",$R298="Ground"),1,0)),IF(OR($S298="Bug",$S298="Fire",$S298="Flying",$S298="Ice"),0-1,IF(OR($S298="Steel",$S298="Fighting",$S298="Ground"),1,0)))</f>
        <v>0</v>
      </c>
      <c r="AS298" s="507" t="n">
        <f aca="false">SUM(IF(OR($R298="Fairy",$R298="Ice",$R298="Rock"),0-1,IF(OR($R298="Steel",$R298="Electric",$R298="Fire",$R298="Water"),1,0)),IF(OR($S298="Fairy",$S298="Ice",$S298="Rock"),0-1,IF(OR($S298="Steel",$S298="Electric",$S298="Fire",$S298="Water"),1,0)))</f>
        <v>0</v>
      </c>
      <c r="AT298" s="508" t="n">
        <f aca="false">SUM(IF(OR($R298="Fire",$R298="Ground",$R298="Rock"),0-1,IF(OR($R298="Dragon",$R298="Grass",$R298="Water"),1,0)),IF(OR($S298="Fire",$S298="Ground",$S298="Rock"),0-1,IF(OR($S298="Dragon",$S298="Grass",$S298="Water"),1,0)))</f>
        <v>0</v>
      </c>
      <c r="AU298" s="518"/>
    </row>
    <row r="299" customFormat="false" ht="15.75" hidden="false" customHeight="false" outlineLevel="0" collapsed="false">
      <c r="A299" s="497" t="str">
        <f aca="false" t="array" ref="A299:A299">IF(ISNA(INDEX(Source!$U$7:$U$95,MATCH(B299,Source!$V$7:$V$95,0))),"FREE",INDEX(Source!$U$7:$U$95,MATCH(B299,Source!$V$7:$V$95,0)))</f>
        <v>FREE</v>
      </c>
      <c r="B299" s="511" t="s">
        <v>503</v>
      </c>
      <c r="C299" s="511"/>
      <c r="D299" s="511"/>
      <c r="E299" s="499" t="str">
        <f aca="false">IF(SUM($W299:$X299)&gt;0,SUM($W299:$X299),IF($H299&gt;0,0,IF($H299&gt;0,0,"-")))</f>
        <v>-</v>
      </c>
      <c r="F299" s="499" t="str">
        <f aca="false">IF(SUM($Y299:$Z299)&gt;0,SUM($Y299:$Z299),IF($H299&gt;0,0,"-"))</f>
        <v>-</v>
      </c>
      <c r="G299" s="499" t="str">
        <f aca="false">IF($H299&gt;0,minus(E299,F299),"-")</f>
        <v>-</v>
      </c>
      <c r="H299" s="500" t="n">
        <f aca="false">SUM(COUNTIF(MatchSource!$A:$A,$B299),COUNTIF(MatchSource!$H:$H,$B299))</f>
        <v>0</v>
      </c>
      <c r="I299" s="501" t="n">
        <f aca="false">SUM($AA299:$AB299)</f>
        <v>0</v>
      </c>
      <c r="J299" s="501" t="s">
        <v>700</v>
      </c>
      <c r="K299" s="512" t="str">
        <f aca="false" t="array" ref="K299:K299">IF(ISNA(INDEX(DraftRosters!$AA$3:$AA$199,MATCH($B299,DraftRosters!$AB$3:$AB$199,0))),"FA",IF(INDEX(DraftRosters!$AA$3:$AA$199,MATCH($B299,DraftRosters!$AB$3:$AB$199,0))="Franchise","Franch",INDEX(DraftRosters!$AA$3:$AA$199,MATCH($B299,DraftRosters!$AB$3:$AB$199,0))))</f>
        <v>FA</v>
      </c>
      <c r="L299" s="499" t="n">
        <v>65</v>
      </c>
      <c r="M299" s="499" t="n">
        <v>125</v>
      </c>
      <c r="N299" s="499" t="n">
        <v>60</v>
      </c>
      <c r="O299" s="499" t="n">
        <v>95</v>
      </c>
      <c r="P299" s="499" t="n">
        <v>60</v>
      </c>
      <c r="Q299" s="501" t="n">
        <v>105</v>
      </c>
      <c r="R299" s="499" t="s">
        <v>881</v>
      </c>
      <c r="S299" s="501"/>
      <c r="T299" s="504" t="s">
        <v>829</v>
      </c>
      <c r="U299" s="505" t="s">
        <v>896</v>
      </c>
      <c r="V299" s="506" t="s">
        <v>834</v>
      </c>
      <c r="W299" s="500" t="str">
        <f aca="false">IFERROR(__xludf.dummyfunction("if(isna(SUM(FILTER(MatchSource!$A:$D,MatchSource!$A:$A=$B299))),0,SUM(FILTER(MatchSource!$A:$D,MatchSource!$A:$A=$B299)))"),"0")</f>
        <v>0</v>
      </c>
      <c r="X299" s="499" t="str">
        <f aca="false">IFERROR(__xludf.dummyfunction("if(isna(SUM(FILTER(MatchSource!$H:$K,MatchSource!$H:$H=$B299))),0,SUM(FILTER(MatchSource!$H:$K,MatchSource!$H:$H=$B299)))"),"0")</f>
        <v>0</v>
      </c>
      <c r="Y299" s="499" t="str">
        <f aca="false">IFERROR(__xludf.dummyfunction("if(isna(ABS(MINUS(SUM(FILTER(MatchSource!$A:$E,MatchSource!$A:$A=$B299)),SUM($W299)))),0,ABS(MINUS(SUM(FILTER(MatchSource!$A:$E,MatchSource!$A:$A=$B299)),SUM($W299))))"),"0")</f>
        <v>0</v>
      </c>
      <c r="Z299" s="499" t="str">
        <f aca="false">IFERROR(__xludf.dummyfunction("if(isna(ABS(MINUS(SUM(FILTER(MatchSource!$H:$L,MatchSource!$H:$H=$B299)),SUM($X299)))),0,ABS(MINUS(SUM(FILTER(MatchSource!$H:$L,MatchSource!$H:$H=$B299)),SUM($X299))))"),"0")</f>
        <v>0</v>
      </c>
      <c r="AA299" s="499" t="str">
        <f aca="false">IFERROR(__xludf.dummyfunction("if(isna(ABS(MINUS(SUM(FILTER(MatchSource!$A:$F,MatchSource!$A:$A=$B299)),SUM($W299,$Y299)))),0,ABS(MINUS(SUM(FILTER(MatchSource!$A:$F,MatchSource!$A:$A=$B299)),SUM($W299, $Y299,))))"),"0")</f>
        <v>0</v>
      </c>
      <c r="AB299" s="501" t="str">
        <f aca="false">IFERROR(__xludf.dummyfunction("if(isna(ABS(MINUS(SUM(FILTER(MatchSource!$H:$M,MatchSource!$H:$H=$B299)),SUM($X299,$Z299)))),0,ABS(MINUS(SUM(FILTER(MatchSource!$H:$M,MatchSource!$H:$H=$B299)),SUM($X299,$Z299))))"),"0")</f>
        <v>0</v>
      </c>
      <c r="AC299" s="507" t="n">
        <f aca="false">SUM(IF(OR($R299="Grass",$R299="Psychic",$R299="Dark"),0-1,IF(OR($R299="Fighting",$R299="Flying",$R299="Fire",$R299="Ghost",$R299="Poison",$R299="Steel",$R299="Fairy"),1,0)),IF(OR($S299="Grass",$S299="Psychic",$S299="Dark"),0-1,IF(OR($S299="Fighting",$S299="Flying",$S299="Fire",$S299="Ghost",$S299="Poison",$S299="Steel",$S299="Fairy"),1,0)))</f>
        <v>1</v>
      </c>
      <c r="AD299" s="507" t="n">
        <f aca="false">SUM(IF(OR($R299="Ghost",$R299="Psychic"),0-1,IF(OR($R299="Fighting",$R299="Dark",$R299="Fairy"),1,0)),IF(OR($S299="Ghost",$S299="Psychic"),0-1,IF(OR($S299="Fighting",$S299="Dark",$S299="Fairy"),1,0)))</f>
        <v>1</v>
      </c>
      <c r="AE299" s="507" t="n">
        <f aca="false">IF(OR($R299="Fairy",$S299="Fairy"),4,SUM(IF($R299="Dragon",0-1,IF($R299="Steel",1,0)),IF($S299="Dragon",0-1,IF($S299="Steel",1,0))))</f>
        <v>0</v>
      </c>
      <c r="AF299" s="507" t="n">
        <f aca="false">IF(OR($R299="Ground",$S299="Ground"),4,SUM(IF(OR($R299="Flying",$R299="Water"),0-1,IF(OR($R299="Dragon",$R299="Electric",$R299="Grass"),1,0)),IF(OR($S299="Flying",$S299="Water"),0-1,IF(OR($S299="Dragon",$S299="Electric",$S299="Grass"),1,0))))</f>
        <v>0</v>
      </c>
      <c r="AG299" s="507" t="n">
        <f aca="false">SUM(IF(OR($R299="Dark",$R299="Dragon",$R299="Fighting"),0-1,IF(OR($R299="Steel",$R299="Poison",$R299="Fire"),1,0)),IF(OR($S299="Dark",$S299="Dragon",$S299="Fighting"),0-1,IF(OR($S299="Steel",$S299="Poison",$S299="Fire"),1,0)))</f>
        <v>-1</v>
      </c>
      <c r="AH299" s="507" t="n">
        <f aca="false">IF(OR($R299="Ghost",$S299="Ghost"),4,SUM(IF(OR($R299="Dark",$R299="Ice",$R299="Normal",$R299="Rock",$R299="Steel"),0-1,IF(OR($R299="Bug",$R299="Fairy",$R299="Flying",$R299="Poison",$R299="Psychic"),1,0)),IF(OR($S299="Dark",$S299="Ice",$S299="Normal",$S299="Rock",$S299="Steel"),0-1,IF(OR($S299="Bug",$S299="Fairy",$S299="Flying",$S299="Poison",$S299="Psychic"),1,0))))</f>
        <v>0</v>
      </c>
      <c r="AI299" s="507" t="n">
        <f aca="false">SUM(IF(OR($R299="Bug",$R299="Grass",$R299="Ice",$R299="Steel"),0-1,IF(OR($R299="Dragon",$R299="Fire",$R299="Rock",$R299="Water"),1,0)),IF(OR($S299="Bug",$S299="Grass",$S299="Ice",$S299="Steel"),0-1,IF(OR($S299="Dragon",$S299="Fire",$S299="Rock",$S299="Water"),1,0)))</f>
        <v>0</v>
      </c>
      <c r="AJ299" s="507" t="n">
        <f aca="false">SUM(IF(OR($R299="Bug",$R299="Grass",$R299="Fighting"),0-1,IF(OR($R299="Electric",$R299="Rock",$R299="Steel"),1,0)),IF(OR($S299="Bug",$S299="Grass",$S299="Fighting"),0-1,IF(OR($S299="Electric",$S299="Rock",$S299="Steel"),1,0)))</f>
        <v>-1</v>
      </c>
      <c r="AK299" s="507" t="n">
        <f aca="false">IF(OR($R299="Normal",$S299="Normal"),4,SUM(IF(OR($R299="Ghost",$R299="Psychic"),0-1,IF($R299="Dark",1,0)),IF(OR($S299="Ghost",$S299="Psychic"),0-1,IF($S299="Dark",1,0))))</f>
        <v>0</v>
      </c>
      <c r="AL299" s="507" t="n">
        <f aca="false">SUM(IF(OR($R299="Ground",$R299="Rock",$R299="Water"),0-1,IF(OR($R299="Bug",$R299="Flying",$R299="Fire",$R299="Dragon",$R299="Poison",$R299="Steel",$R299="Grass"),1,0)),IF(OR($S299="Ground",$S299="Rock",$S299="Water"),0-1,IF(OR($S299="Bug",$S299="Flying",$S299="Fire",$S299="Dragon",$S299="Poison",$S299="Steel",$S299="Grass"),1,0)))</f>
        <v>0</v>
      </c>
      <c r="AM299" s="507" t="n">
        <f aca="false">IF(OR($R299="Flying",$S299="Flying"),4,SUM(IF(OR($R299="Electric",$R299="Fire",$R299="Rock",$R299="Steel",$R299="Poison"),0-1,IF(OR($R299="Bug",$R299="Grass"),1,0)),IF(OR($S299="Electric",$S299="Fire",$S299="Rock",$S299="Steel",$S299="Poison"),0-1,IF(OR($S299="Bug",$S299="Grass"),1,0))))</f>
        <v>0</v>
      </c>
      <c r="AN299" s="507" t="n">
        <f aca="false">SUM(IF(OR($R299="Flying",$R299="Dragon",$R299="Grass",$R299="Ground"),0-1,IF(OR($R299="Steel",$R299="Ice",$R299="Fire",$R299="Water"),1,0)),IF(OR($S299="Flying",$S299="Dragon",$S299="Grass",$S299="Ground"),0-1,IF(OR($S299="Steel",$S299="Ice",$S299="Fire",$S299="Water"),1,0)))</f>
        <v>0</v>
      </c>
      <c r="AO299" s="507" t="n">
        <f aca="false">IF(OR($R299="Ghost",$S299="Ghost"),4,SUM(IF(OR($R299="Steel",$R299="Rock"),1,0),IF(OR($S299="Steel",$S299="Rock"),1,0)))</f>
        <v>0</v>
      </c>
      <c r="AP299" s="507" t="n">
        <f aca="false">IF(OR($R299="Steel",$S299="Steel"),4,SUM(IF(OR($R299="Fairy",$R299="Grass"),0-1,IF(OR($R299="Ghost",$R299="Rock",$R299="Ground",$R299="Poison"),1,0)),IF(OR($S299="Fairy",$S299="Grass"),0-1,IF(OR($S299="Ghost",$S299="Rock",$S299="Ground",$S299="Poison"),1,0))))</f>
        <v>0</v>
      </c>
      <c r="AQ299" s="507" t="n">
        <f aca="false">IF(OR($R299="Dark",$S299="Dark"),4,SUM(IF(OR($R299="Fighting",$R299="Poison"),0-1,IF(OR($R299="Psychic",$R299="Steel"),1,0)),IF(OR($S299="Fighting",$S299="Poison"),0-1,IF(OR($S299="Psychic",$S299="Steel"),1,0))))</f>
        <v>-1</v>
      </c>
      <c r="AR299" s="507" t="n">
        <f aca="false">SUM(IF(OR($R299="Bug",$R299="Fire",$R299="Flying",$R299="Ice"),0-1,IF(OR($R299="Steel",$R299="Fighting",$R299="Ground"),1,0)),IF(OR($S299="Bug",$S299="Fire",$S299="Flying",$S299="Ice"),0-1,IF(OR($S299="Steel",$S299="Fighting",$S299="Ground"),1,0)))</f>
        <v>1</v>
      </c>
      <c r="AS299" s="507" t="n">
        <f aca="false">SUM(IF(OR($R299="Fairy",$R299="Ice",$R299="Rock"),0-1,IF(OR($R299="Steel",$R299="Electric",$R299="Fire",$R299="Water"),1,0)),IF(OR($S299="Fairy",$S299="Ice",$S299="Rock"),0-1,IF(OR($S299="Steel",$S299="Electric",$S299="Fire",$S299="Water"),1,0)))</f>
        <v>0</v>
      </c>
      <c r="AT299" s="508" t="n">
        <f aca="false">SUM(IF(OR($R299="Fire",$R299="Ground",$R299="Rock"),0-1,IF(OR($R299="Dragon",$R299="Grass",$R299="Water"),1,0)),IF(OR($S299="Fire",$S299="Ground",$S299="Rock"),0-1,IF(OR($S299="Dragon",$S299="Grass",$S299="Water"),1,0)))</f>
        <v>0</v>
      </c>
      <c r="AU299" s="518"/>
    </row>
    <row r="300" customFormat="false" ht="15.75" hidden="false" customHeight="false" outlineLevel="0" collapsed="false">
      <c r="A300" s="515" t="str">
        <f aca="false" t="array" ref="A300:A300">IF(ISNA(INDEX(Source!$U$7:$U$95,MATCH(B300,Source!$V$7:$V$95,0))),"FREE",INDEX(Source!$U$7:$U$95,MATCH(B300,Source!$V$7:$V$95,0)))</f>
        <v>FREE</v>
      </c>
      <c r="B300" s="511" t="s">
        <v>360</v>
      </c>
      <c r="C300" s="511"/>
      <c r="D300" s="511"/>
      <c r="E300" s="499" t="str">
        <f aca="false">IF(SUM($W300:$X300)&gt;0,SUM($W300:$X300),IF($H300&gt;0,0,IF($H300&gt;0,0,"-")))</f>
        <v>-</v>
      </c>
      <c r="F300" s="499" t="str">
        <f aca="false">IF(SUM($Y300:$Z300)&gt;0,SUM($Y300:$Z300),IF($H300&gt;0,0,"-"))</f>
        <v>-</v>
      </c>
      <c r="G300" s="499" t="str">
        <f aca="false">IF($H300&gt;0,minus(E300,F300),"-")</f>
        <v>-</v>
      </c>
      <c r="H300" s="500" t="n">
        <f aca="false">SUM(COUNTIF(MatchSource!$A:$A,$B300),COUNTIF(MatchSource!$H:$H,$B300))</f>
        <v>0</v>
      </c>
      <c r="I300" s="501" t="n">
        <f aca="false">SUM($AA300:$AB300)</f>
        <v>0</v>
      </c>
      <c r="J300" s="501" t="s">
        <v>702</v>
      </c>
      <c r="K300" s="512" t="str">
        <f aca="false" t="array" ref="K300:K300">IF(ISNA(INDEX(DraftRosters!$AA$3:$AA$199,MATCH($B300,DraftRosters!$AB$3:$AB$199,0))),"FA",IF(INDEX(DraftRosters!$AA$3:$AA$199,MATCH($B300,DraftRosters!$AB$3:$AB$199,0))="Franchise","Franch",INDEX(DraftRosters!$AA$3:$AA$199,MATCH($B300,DraftRosters!$AB$3:$AB$199,0))))</f>
        <v>FA</v>
      </c>
      <c r="L300" s="499" t="n">
        <v>70</v>
      </c>
      <c r="M300" s="499" t="n">
        <v>90</v>
      </c>
      <c r="N300" s="499" t="n">
        <v>70</v>
      </c>
      <c r="O300" s="499" t="n">
        <v>60</v>
      </c>
      <c r="P300" s="499" t="n">
        <v>60</v>
      </c>
      <c r="Q300" s="501" t="n">
        <v>70</v>
      </c>
      <c r="R300" s="499" t="s">
        <v>795</v>
      </c>
      <c r="S300" s="501"/>
      <c r="T300" s="504" t="s">
        <v>851</v>
      </c>
      <c r="U300" s="505" t="s">
        <v>991</v>
      </c>
      <c r="V300" s="506" t="s">
        <v>997</v>
      </c>
      <c r="W300" s="500" t="str">
        <f aca="false">IFERROR(__xludf.dummyfunction("if(isna(SUM(FILTER(MatchSource!$A:$D,MatchSource!$A:$A=$B300))),0,SUM(FILTER(MatchSource!$A:$D,MatchSource!$A:$A=$B300)))"),"0")</f>
        <v>0</v>
      </c>
      <c r="X300" s="499" t="str">
        <f aca="false">IFERROR(__xludf.dummyfunction("if(isna(SUM(FILTER(MatchSource!$H:$K,MatchSource!$H:$H=$B300))),0,SUM(FILTER(MatchSource!$H:$K,MatchSource!$H:$H=$B300)))"),"0")</f>
        <v>0</v>
      </c>
      <c r="Y300" s="499" t="str">
        <f aca="false">IFERROR(__xludf.dummyfunction("if(isna(ABS(MINUS(SUM(FILTER(MatchSource!$A:$E,MatchSource!$A:$A=$B300)),SUM($W300)))),0,ABS(MINUS(SUM(FILTER(MatchSource!$A:$E,MatchSource!$A:$A=$B300)),SUM($W300))))"),"0")</f>
        <v>0</v>
      </c>
      <c r="Z300" s="499" t="str">
        <f aca="false">IFERROR(__xludf.dummyfunction("if(isna(ABS(MINUS(SUM(FILTER(MatchSource!$H:$L,MatchSource!$H:$H=$B300)),SUM($X300)))),0,ABS(MINUS(SUM(FILTER(MatchSource!$H:$L,MatchSource!$H:$H=$B300)),SUM($X300))))"),"0")</f>
        <v>0</v>
      </c>
      <c r="AA300" s="499" t="str">
        <f aca="false">IFERROR(__xludf.dummyfunction("if(isna(ABS(MINUS(SUM(FILTER(MatchSource!$A:$F,MatchSource!$A:$A=$B300)),SUM($W300,$Y300)))),0,ABS(MINUS(SUM(FILTER(MatchSource!$A:$F,MatchSource!$A:$A=$B300)),SUM($W300, $Y300,))))"),"0")</f>
        <v>0</v>
      </c>
      <c r="AB300" s="501" t="str">
        <f aca="false">IFERROR(__xludf.dummyfunction("if(isna(ABS(MINUS(SUM(FILTER(MatchSource!$H:$M,MatchSource!$H:$H=$B300)),SUM($X300,$Z300)))),0,ABS(MINUS(SUM(FILTER(MatchSource!$H:$M,MatchSource!$H:$H=$B300)),SUM($X300,$Z300))))"),"0")</f>
        <v>0</v>
      </c>
      <c r="AC300" s="507" t="n">
        <f aca="false">SUM(IF(OR($R300="Grass",$R300="Psychic",$R300="Dark"),0-1,IF(OR($R300="Fighting",$R300="Flying",$R300="Fire",$R300="Ghost",$R300="Poison",$R300="Steel",$R300="Fairy"),1,0)),IF(OR($S300="Grass",$S300="Psychic",$S300="Dark"),0-1,IF(OR($S300="Fighting",$S300="Flying",$S300="Fire",$S300="Ghost",$S300="Poison",$S300="Steel",$S300="Fairy"),1,0)))</f>
        <v>-1</v>
      </c>
      <c r="AD300" s="507" t="n">
        <f aca="false">SUM(IF(OR($R300="Ghost",$R300="Psychic"),0-1,IF(OR($R300="Fighting",$R300="Dark",$R300="Fairy"),1,0)),IF(OR($S300="Ghost",$S300="Psychic"),0-1,IF(OR($S300="Fighting",$S300="Dark",$S300="Fairy"),1,0)))</f>
        <v>1</v>
      </c>
      <c r="AE300" s="507" t="n">
        <f aca="false">IF(OR($R300="Fairy",$S300="Fairy"),4,SUM(IF($R300="Dragon",0-1,IF($R300="Steel",1,0)),IF($S300="Dragon",0-1,IF($S300="Steel",1,0))))</f>
        <v>0</v>
      </c>
      <c r="AF300" s="507" t="n">
        <f aca="false">IF(OR($R300="Ground",$S300="Ground"),4,SUM(IF(OR($R300="Flying",$R300="Water"),0-1,IF(OR($R300="Dragon",$R300="Electric",$R300="Grass"),1,0)),IF(OR($S300="Flying",$S300="Water"),0-1,IF(OR($S300="Dragon",$S300="Electric",$S300="Grass"),1,0))))</f>
        <v>0</v>
      </c>
      <c r="AG300" s="507" t="n">
        <f aca="false">SUM(IF(OR($R300="Dark",$R300="Dragon",$R300="Fighting"),0-1,IF(OR($R300="Steel",$R300="Poison",$R300="Fire"),1,0)),IF(OR($S300="Dark",$S300="Dragon",$S300="Fighting"),0-1,IF(OR($S300="Steel",$S300="Poison",$S300="Fire"),1,0)))</f>
        <v>-1</v>
      </c>
      <c r="AH300" s="507" t="n">
        <f aca="false">IF(OR($R300="Ghost",$S300="Ghost"),4,SUM(IF(OR($R300="Dark",$R300="Ice",$R300="Normal",$R300="Rock",$R300="Steel"),0-1,IF(OR($R300="Bug",$R300="Fairy",$R300="Flying",$R300="Poison",$R300="Psychic"),1,0)),IF(OR($S300="Dark",$S300="Ice",$S300="Normal",$S300="Rock",$S300="Steel"),0-1,IF(OR($S300="Bug",$S300="Fairy",$S300="Flying",$S300="Poison",$S300="Psychic"),1,0))))</f>
        <v>-1</v>
      </c>
      <c r="AI300" s="507" t="n">
        <f aca="false">SUM(IF(OR($R300="Bug",$R300="Grass",$R300="Ice",$R300="Steel"),0-1,IF(OR($R300="Dragon",$R300="Fire",$R300="Rock",$R300="Water"),1,0)),IF(OR($S300="Bug",$S300="Grass",$S300="Ice",$S300="Steel"),0-1,IF(OR($S300="Dragon",$S300="Fire",$S300="Rock",$S300="Water"),1,0)))</f>
        <v>0</v>
      </c>
      <c r="AJ300" s="507" t="n">
        <f aca="false">SUM(IF(OR($R300="Bug",$R300="Grass",$R300="Fighting"),0-1,IF(OR($R300="Electric",$R300="Rock",$R300="Steel"),1,0)),IF(OR($S300="Bug",$S300="Grass",$S300="Fighting"),0-1,IF(OR($S300="Electric",$S300="Rock",$S300="Steel"),1,0)))</f>
        <v>0</v>
      </c>
      <c r="AK300" s="507" t="n">
        <f aca="false">IF(OR($R300="Normal",$S300="Normal"),4,SUM(IF(OR($R300="Ghost",$R300="Psychic"),0-1,IF($R300="Dark",1,0)),IF(OR($S300="Ghost",$S300="Psychic"),0-1,IF($S300="Dark",1,0))))</f>
        <v>1</v>
      </c>
      <c r="AL300" s="507" t="n">
        <f aca="false">SUM(IF(OR($R300="Ground",$R300="Rock",$R300="Water"),0-1,IF(OR($R300="Bug",$R300="Flying",$R300="Fire",$R300="Dragon",$R300="Poison",$R300="Steel",$R300="Grass"),1,0)),IF(OR($S300="Ground",$S300="Rock",$S300="Water"),0-1,IF(OR($S300="Bug",$S300="Flying",$S300="Fire",$S300="Dragon",$S300="Poison",$S300="Steel",$S300="Grass"),1,0)))</f>
        <v>0</v>
      </c>
      <c r="AM300" s="507" t="n">
        <f aca="false">IF(OR($R300="Flying",$S300="Flying"),4,SUM(IF(OR($R300="Electric",$R300="Fire",$R300="Rock",$R300="Steel",$R300="Poison"),0-1,IF(OR($R300="Bug",$R300="Grass"),1,0)),IF(OR($S300="Electric",$S300="Fire",$S300="Rock",$S300="Steel",$S300="Poison"),0-1,IF(OR($S300="Bug",$S300="Grass"),1,0))))</f>
        <v>0</v>
      </c>
      <c r="AN300" s="507" t="n">
        <f aca="false">SUM(IF(OR($R300="Flying",$R300="Dragon",$R300="Grass",$R300="Ground"),0-1,IF(OR($R300="Steel",$R300="Ice",$R300="Fire",$R300="Water"),1,0)),IF(OR($S300="Flying",$S300="Dragon",$S300="Grass",$S300="Ground"),0-1,IF(OR($S300="Steel",$S300="Ice",$S300="Fire",$S300="Water"),1,0)))</f>
        <v>0</v>
      </c>
      <c r="AO300" s="507" t="n">
        <f aca="false">IF(OR($R300="Ghost",$S300="Ghost"),4,SUM(IF(OR($R300="Steel",$R300="Rock"),1,0),IF(OR($S300="Steel",$S300="Rock"),1,0)))</f>
        <v>0</v>
      </c>
      <c r="AP300" s="507" t="n">
        <f aca="false">IF(OR($R300="Steel",$S300="Steel"),4,SUM(IF(OR($R300="Fairy",$R300="Grass"),0-1,IF(OR($R300="Ghost",$R300="Rock",$R300="Ground",$R300="Poison"),1,0)),IF(OR($S300="Fairy",$S300="Grass"),0-1,IF(OR($S300="Ghost",$S300="Rock",$S300="Ground",$S300="Poison"),1,0))))</f>
        <v>0</v>
      </c>
      <c r="AQ300" s="507" t="n">
        <f aca="false">IF(OR($R300="Dark",$S300="Dark"),4,SUM(IF(OR($R300="Fighting",$R300="Poison"),0-1,IF(OR($R300="Psychic",$R300="Steel"),1,0)),IF(OR($S300="Fighting",$S300="Poison"),0-1,IF(OR($S300="Psychic",$S300="Steel"),1,0))))</f>
        <v>4</v>
      </c>
      <c r="AR300" s="507" t="n">
        <f aca="false">SUM(IF(OR($R300="Bug",$R300="Fire",$R300="Flying",$R300="Ice"),0-1,IF(OR($R300="Steel",$R300="Fighting",$R300="Ground"),1,0)),IF(OR($S300="Bug",$S300="Fire",$S300="Flying",$S300="Ice"),0-1,IF(OR($S300="Steel",$S300="Fighting",$S300="Ground"),1,0)))</f>
        <v>0</v>
      </c>
      <c r="AS300" s="507" t="n">
        <f aca="false">SUM(IF(OR($R300="Fairy",$R300="Ice",$R300="Rock"),0-1,IF(OR($R300="Steel",$R300="Electric",$R300="Fire",$R300="Water"),1,0)),IF(OR($S300="Fairy",$S300="Ice",$S300="Rock"),0-1,IF(OR($S300="Steel",$S300="Electric",$S300="Fire",$S300="Water"),1,0)))</f>
        <v>0</v>
      </c>
      <c r="AT300" s="508" t="n">
        <f aca="false">SUM(IF(OR($R300="Fire",$R300="Ground",$R300="Rock"),0-1,IF(OR($R300="Dragon",$R300="Grass",$R300="Water"),1,0)),IF(OR($S300="Fire",$S300="Ground",$S300="Rock"),0-1,IF(OR($S300="Dragon",$S300="Grass",$S300="Water"),1,0)))</f>
        <v>0</v>
      </c>
      <c r="AU300" s="518"/>
    </row>
    <row r="301" customFormat="false" ht="15.75" hidden="false" customHeight="false" outlineLevel="0" collapsed="false">
      <c r="A301" s="510" t="str">
        <f aca="false" t="array" ref="A301:A301">IF(ISNA(INDEX(Source!$U$7:$U$95,MATCH(B301,Source!$V$7:$V$95,0))),"FREE",INDEX(Source!$U$7:$U$95,MATCH(B301,Source!$V$7:$V$95,0)))</f>
        <v>SGP</v>
      </c>
      <c r="B301" s="511" t="s">
        <v>107</v>
      </c>
      <c r="C301" s="511"/>
      <c r="D301" s="511"/>
      <c r="E301" s="499" t="n">
        <f aca="false">IF(SUM($W301:$X301)&gt;0,SUM($W301:$X301),IF($H301&gt;0,0,IF($H301&gt;0,0,"-")))</f>
        <v>0</v>
      </c>
      <c r="F301" s="499" t="n">
        <f aca="false">IF(SUM($Y301:$Z301)&gt;0,SUM($Y301:$Z301),IF($H301&gt;0,0,"-"))</f>
        <v>0</v>
      </c>
      <c r="G301" s="499" t="e">
        <f aca="false">IF($H301&gt;0,minus(E301,F301),"-")</f>
        <v>#NAME?</v>
      </c>
      <c r="H301" s="500" t="n">
        <f aca="false">SUM(COUNTIF(MatchSource!$A:$A,$B301),COUNTIF(MatchSource!$H:$H,$B301))</f>
        <v>4</v>
      </c>
      <c r="I301" s="501" t="n">
        <f aca="false">SUM($AA301:$AB301)</f>
        <v>0</v>
      </c>
      <c r="J301" s="501" t="s">
        <v>699</v>
      </c>
      <c r="K301" s="512" t="n">
        <f aca="false" t="array" ref="K301:K301">IF(ISNA(INDEX(DraftRosters!$AA$3:$AA$199,MATCH($B301,DraftRosters!$AB$3:$AB$199,0))),"FA",IF(INDEX(DraftRosters!$AA$3:$AA$199,MATCH($B301,DraftRosters!$AB$3:$AB$199,0))="Franchise","Franch",INDEX(DraftRosters!$AA$3:$AA$199,MATCH($B301,DraftRosters!$AB$3:$AB$199,0))))</f>
        <v>66</v>
      </c>
      <c r="L301" s="507" t="n">
        <v>95</v>
      </c>
      <c r="M301" s="507" t="n">
        <v>60</v>
      </c>
      <c r="N301" s="507" t="n">
        <v>79</v>
      </c>
      <c r="O301" s="507" t="n">
        <v>100</v>
      </c>
      <c r="P301" s="507" t="n">
        <v>125</v>
      </c>
      <c r="Q301" s="508" t="n">
        <v>81</v>
      </c>
      <c r="R301" s="499" t="s">
        <v>811</v>
      </c>
      <c r="S301" s="501"/>
      <c r="T301" s="504" t="s">
        <v>989</v>
      </c>
      <c r="U301" s="505" t="s">
        <v>1032</v>
      </c>
      <c r="V301" s="506" t="s">
        <v>922</v>
      </c>
      <c r="W301" s="500" t="str">
        <f aca="false">IFERROR(__xludf.dummyfunction("if(isna(SUM(FILTER(MatchSource!$A:$D,MatchSource!$A:$A=$B301))),0,SUM(FILTER(MatchSource!$A:$D,MatchSource!$A:$A=$B301)))"),"1")</f>
        <v>1</v>
      </c>
      <c r="X301" s="499" t="str">
        <f aca="false">IFERROR(__xludf.dummyfunction("if(isna(SUM(FILTER(MatchSource!$H:$K,MatchSource!$H:$H=$B301))),0,SUM(FILTER(MatchSource!$H:$K,MatchSource!$H:$H=$B301)))"),"2")</f>
        <v>2</v>
      </c>
      <c r="Y301" s="499" t="str">
        <f aca="false">IFERROR(__xludf.dummyfunction("if(isna(ABS(MINUS(SUM(FILTER(MatchSource!$A:$E,MatchSource!$A:$A=$B301)),SUM($W301)))),0,ABS(MINUS(SUM(FILTER(MatchSource!$A:$E,MatchSource!$A:$A=$B301)),SUM($W301))))"),"1")</f>
        <v>1</v>
      </c>
      <c r="Z301" s="499" t="str">
        <f aca="false">IFERROR(__xludf.dummyfunction("if(isna(ABS(MINUS(SUM(FILTER(MatchSource!$H:$L,MatchSource!$H:$H=$B301)),SUM($X301)))),0,ABS(MINUS(SUM(FILTER(MatchSource!$H:$L,MatchSource!$H:$H=$B301)),SUM($X301))))"),"3")</f>
        <v>3</v>
      </c>
      <c r="AA301" s="499" t="str">
        <f aca="false">IFERROR(__xludf.dummyfunction("if(isna(ABS(MINUS(SUM(FILTER(MatchSource!$A:$F,MatchSource!$A:$A=$B301)),SUM($W301,$Y301)))),0,ABS(MINUS(SUM(FILTER(MatchSource!$A:$F,MatchSource!$A:$A=$B301)),SUM($W301, $Y301,))))"),"0")</f>
        <v>0</v>
      </c>
      <c r="AB301" s="501" t="str">
        <f aca="false">IFERROR(__xludf.dummyfunction("if(isna(ABS(MINUS(SUM(FILTER(MatchSource!$H:$M,MatchSource!$H:$H=$B301)),SUM($X301,$Z301)))),0,ABS(MINUS(SUM(FILTER(MatchSource!$H:$M,MatchSource!$H:$H=$B301)),SUM($X301,$Z301))))"),"0")</f>
        <v>0</v>
      </c>
      <c r="AC301" s="507" t="n">
        <f aca="false">SUM(IF(OR($R301="Grass",$R301="Psychic",$R301="Dark"),0-1,IF(OR($R301="Fighting",$R301="Flying",$R301="Fire",$R301="Ghost",$R301="Poison",$R301="Steel",$R301="Fairy"),1,0)),IF(OR($S301="Grass",$S301="Psychic",$S301="Dark"),0-1,IF(OR($S301="Fighting",$S301="Flying",$S301="Fire",$S301="Ghost",$S301="Poison",$S301="Steel",$S301="Fairy"),1,0)))</f>
        <v>0</v>
      </c>
      <c r="AD301" s="507" t="n">
        <f aca="false">SUM(IF(OR($R301="Ghost",$R301="Psychic"),0-1,IF(OR($R301="Fighting",$R301="Dark",$R301="Fairy"),1,0)),IF(OR($S301="Ghost",$S301="Psychic"),0-1,IF(OR($S301="Fighting",$S301="Dark",$S301="Fairy"),1,0)))</f>
        <v>0</v>
      </c>
      <c r="AE301" s="507" t="n">
        <f aca="false">IF(OR($R301="Fairy",$S301="Fairy"),4,SUM(IF($R301="Dragon",0-1,IF($R301="Steel",1,0)),IF($S301="Dragon",0-1,IF($S301="Steel",1,0))))</f>
        <v>0</v>
      </c>
      <c r="AF301" s="507" t="n">
        <f aca="false">IF(OR($R301="Ground",$S301="Ground"),4,SUM(IF(OR($R301="Flying",$R301="Water"),0-1,IF(OR($R301="Dragon",$R301="Electric",$R301="Grass"),1,0)),IF(OR($S301="Flying",$S301="Water"),0-1,IF(OR($S301="Dragon",$S301="Electric",$S301="Grass"),1,0))))</f>
        <v>-1</v>
      </c>
      <c r="AG301" s="507" t="n">
        <f aca="false">SUM(IF(OR($R301="Dark",$R301="Dragon",$R301="Fighting"),0-1,IF(OR($R301="Steel",$R301="Poison",$R301="Fire"),1,0)),IF(OR($S301="Dark",$S301="Dragon",$S301="Fighting"),0-1,IF(OR($S301="Steel",$S301="Poison",$S301="Fire"),1,0)))</f>
        <v>0</v>
      </c>
      <c r="AH301" s="507" t="n">
        <f aca="false">IF(OR($R301="Ghost",$S301="Ghost"),4,SUM(IF(OR($R301="Dark",$R301="Ice",$R301="Normal",$R301="Rock",$R301="Steel"),0-1,IF(OR($R301="Bug",$R301="Fairy",$R301="Flying",$R301="Poison",$R301="Psychic"),1,0)),IF(OR($S301="Dark",$S301="Ice",$S301="Normal",$S301="Rock",$S301="Steel"),0-1,IF(OR($S301="Bug",$S301="Fairy",$S301="Flying",$S301="Poison",$S301="Psychic"),1,0))))</f>
        <v>0</v>
      </c>
      <c r="AI301" s="507" t="n">
        <f aca="false">SUM(IF(OR($R301="Bug",$R301="Grass",$R301="Ice",$R301="Steel"),0-1,IF(OR($R301="Dragon",$R301="Fire",$R301="Rock",$R301="Water"),1,0)),IF(OR($S301="Bug",$S301="Grass",$S301="Ice",$S301="Steel"),0-1,IF(OR($S301="Dragon",$S301="Fire",$S301="Rock",$S301="Water"),1,0)))</f>
        <v>1</v>
      </c>
      <c r="AJ301" s="507" t="n">
        <f aca="false">SUM(IF(OR($R301="Bug",$R301="Grass",$R301="Fighting"),0-1,IF(OR($R301="Electric",$R301="Rock",$R301="Steel"),1,0)),IF(OR($S301="Bug",$S301="Grass",$S301="Fighting"),0-1,IF(OR($S301="Electric",$S301="Rock",$S301="Steel"),1,0)))</f>
        <v>0</v>
      </c>
      <c r="AK301" s="507" t="n">
        <f aca="false">IF(OR($R301="Normal",$S301="Normal"),4,SUM(IF(OR($R301="Ghost",$R301="Psychic"),0-1,IF($R301="Dark",1,0)),IF(OR($S301="Ghost",$S301="Psychic"),0-1,IF($S301="Dark",1,0))))</f>
        <v>0</v>
      </c>
      <c r="AL301" s="507" t="n">
        <f aca="false">SUM(IF(OR($R301="Ground",$R301="Rock",$R301="Water"),0-1,IF(OR($R301="Bug",$R301="Flying",$R301="Fire",$R301="Dragon",$R301="Poison",$R301="Steel",$R301="Grass"),1,0)),IF(OR($S301="Ground",$S301="Rock",$S301="Water"),0-1,IF(OR($S301="Bug",$S301="Flying",$S301="Fire",$S301="Dragon",$S301="Poison",$S301="Steel",$S301="Grass"),1,0)))</f>
        <v>-1</v>
      </c>
      <c r="AM301" s="507" t="n">
        <f aca="false">IF(OR($R301="Flying",$S301="Flying"),4,SUM(IF(OR($R301="Electric",$R301="Fire",$R301="Rock",$R301="Steel",$R301="Poison"),0-1,IF(OR($R301="Bug",$R301="Grass"),1,0)),IF(OR($S301="Electric",$S301="Fire",$S301="Rock",$S301="Steel",$S301="Poison"),0-1,IF(OR($S301="Bug",$S301="Grass"),1,0))))</f>
        <v>0</v>
      </c>
      <c r="AN301" s="507" t="n">
        <f aca="false">SUM(IF(OR($R301="Flying",$R301="Dragon",$R301="Grass",$R301="Ground"),0-1,IF(OR($R301="Steel",$R301="Ice",$R301="Fire",$R301="Water"),1,0)),IF(OR($S301="Flying",$S301="Dragon",$S301="Grass",$S301="Ground"),0-1,IF(OR($S301="Steel",$S301="Ice",$S301="Fire",$S301="Water"),1,0)))</f>
        <v>1</v>
      </c>
      <c r="AO301" s="507" t="n">
        <f aca="false">IF(OR($R301="Ghost",$S301="Ghost"),4,SUM(IF(OR($R301="Steel",$R301="Rock"),1,0),IF(OR($S301="Steel",$S301="Rock"),1,0)))</f>
        <v>0</v>
      </c>
      <c r="AP301" s="507" t="n">
        <f aca="false">IF(OR($R301="Steel",$S301="Steel"),4,SUM(IF(OR($R301="Fairy",$R301="Grass"),0-1,IF(OR($R301="Ghost",$R301="Rock",$R301="Ground",$R301="Poison"),1,0)),IF(OR($S301="Fairy",$S301="Grass"),0-1,IF(OR($S301="Ghost",$S301="Rock",$S301="Ground",$S301="Poison"),1,0))))</f>
        <v>0</v>
      </c>
      <c r="AQ301" s="507" t="n">
        <f aca="false">IF(OR($R301="Dark",$S301="Dark"),4,SUM(IF(OR($R301="Fighting",$R301="Poison"),0-1,IF(OR($R301="Psychic",$R301="Steel"),1,0)),IF(OR($S301="Fighting",$S301="Poison"),0-1,IF(OR($S301="Psychic",$S301="Steel"),1,0))))</f>
        <v>0</v>
      </c>
      <c r="AR301" s="507" t="n">
        <f aca="false">SUM(IF(OR($R301="Bug",$R301="Fire",$R301="Flying",$R301="Ice"),0-1,IF(OR($R301="Steel",$R301="Fighting",$R301="Ground"),1,0)),IF(OR($S301="Bug",$S301="Fire",$S301="Flying",$S301="Ice"),0-1,IF(OR($S301="Steel",$S301="Fighting",$S301="Ground"),1,0)))</f>
        <v>0</v>
      </c>
      <c r="AS301" s="507" t="n">
        <f aca="false">SUM(IF(OR($R301="Fairy",$R301="Ice",$R301="Rock"),0-1,IF(OR($R301="Steel",$R301="Electric",$R301="Fire",$R301="Water"),1,0)),IF(OR($S301="Fairy",$S301="Ice",$S301="Rock"),0-1,IF(OR($S301="Steel",$S301="Electric",$S301="Fire",$S301="Water"),1,0)))</f>
        <v>1</v>
      </c>
      <c r="AT301" s="508" t="n">
        <f aca="false">SUM(IF(OR($R301="Fire",$R301="Ground",$R301="Rock"),0-1,IF(OR($R301="Dragon",$R301="Grass",$R301="Water"),1,0)),IF(OR($S301="Fire",$S301="Ground",$S301="Rock"),0-1,IF(OR($S301="Dragon",$S301="Grass",$S301="Water"),1,0)))</f>
        <v>1</v>
      </c>
      <c r="AU301" s="518"/>
    </row>
    <row r="302" customFormat="false" ht="15.75" hidden="false" customHeight="false" outlineLevel="0" collapsed="false">
      <c r="A302" s="510" t="str">
        <f aca="false" t="array" ref="A302:A302">IF(ISNA(INDEX(Source!$U$7:$U$95,MATCH(B302,Source!$V$7:$V$95,0))),"FREE",INDEX(Source!$U$7:$U$95,MATCH(B302,Source!$V$7:$V$95,0)))</f>
        <v>FREE</v>
      </c>
      <c r="B302" s="511" t="s">
        <v>507</v>
      </c>
      <c r="C302" s="511"/>
      <c r="D302" s="511"/>
      <c r="E302" s="499" t="str">
        <f aca="false">IF(SUM($W302:$X302)&gt;0,SUM($W302:$X302),IF($H302&gt;0,0,IF($H302&gt;0,0,"-")))</f>
        <v>-</v>
      </c>
      <c r="F302" s="499" t="str">
        <f aca="false">IF(SUM($Y302:$Z302)&gt;0,SUM($Y302:$Z302),IF($H302&gt;0,0,"-"))</f>
        <v>-</v>
      </c>
      <c r="G302" s="499" t="str">
        <f aca="false">IF($H302&gt;0,minus(E302,F302),"-")</f>
        <v>-</v>
      </c>
      <c r="H302" s="500" t="n">
        <f aca="false">SUM(COUNTIF(MatchSource!$A:$A,$B302),COUNTIF(MatchSource!$H:$H,$B302))</f>
        <v>0</v>
      </c>
      <c r="I302" s="501" t="n">
        <f aca="false">SUM($AA302:$AB302)</f>
        <v>0</v>
      </c>
      <c r="J302" s="501" t="s">
        <v>700</v>
      </c>
      <c r="K302" s="512" t="str">
        <f aca="false" t="array" ref="K302:K302">IF(ISNA(INDEX(DraftRosters!$AA$3:$AA$199,MATCH($B302,DraftRosters!$AB$3:$AB$199,0))),"FA",IF(INDEX(DraftRosters!$AA$3:$AA$199,MATCH($B302,DraftRosters!$AB$3:$AB$199,0))="Franchise","Franch",INDEX(DraftRosters!$AA$3:$AA$199,MATCH($B302,DraftRosters!$AB$3:$AB$199,0))))</f>
        <v>FA</v>
      </c>
      <c r="L302" s="507" t="n">
        <v>95</v>
      </c>
      <c r="M302" s="507" t="n">
        <v>80</v>
      </c>
      <c r="N302" s="507" t="n">
        <v>105</v>
      </c>
      <c r="O302" s="507" t="n">
        <v>40</v>
      </c>
      <c r="P302" s="507" t="n">
        <v>70</v>
      </c>
      <c r="Q302" s="508" t="n">
        <v>100</v>
      </c>
      <c r="R302" s="499" t="s">
        <v>839</v>
      </c>
      <c r="S302" s="501"/>
      <c r="T302" s="504" t="s">
        <v>869</v>
      </c>
      <c r="U302" s="505" t="s">
        <v>868</v>
      </c>
      <c r="V302" s="506" t="s">
        <v>969</v>
      </c>
      <c r="W302" s="500" t="str">
        <f aca="false">IFERROR(__xludf.dummyfunction("if(isna(SUM(FILTER(MatchSource!$A:$D,MatchSource!$A:$A=$B302))),0,SUM(FILTER(MatchSource!$A:$D,MatchSource!$A:$A=$B302)))"),"0")</f>
        <v>0</v>
      </c>
      <c r="X302" s="499" t="str">
        <f aca="false">IFERROR(__xludf.dummyfunction("if(isna(SUM(FILTER(MatchSource!$H:$K,MatchSource!$H:$H=$B302))),0,SUM(FILTER(MatchSource!$H:$K,MatchSource!$H:$H=$B302)))"),"0")</f>
        <v>0</v>
      </c>
      <c r="Y302" s="499" t="str">
        <f aca="false">IFERROR(__xludf.dummyfunction("if(isna(ABS(MINUS(SUM(FILTER(MatchSource!$A:$E,MatchSource!$A:$A=$B302)),SUM($W302)))),0,ABS(MINUS(SUM(FILTER(MatchSource!$A:$E,MatchSource!$A:$A=$B302)),SUM($W302))))"),"0")</f>
        <v>0</v>
      </c>
      <c r="Z302" s="499" t="str">
        <f aca="false">IFERROR(__xludf.dummyfunction("if(isna(ABS(MINUS(SUM(FILTER(MatchSource!$H:$L,MatchSource!$H:$H=$B302)),SUM($X302)))),0,ABS(MINUS(SUM(FILTER(MatchSource!$H:$L,MatchSource!$H:$H=$B302)),SUM($X302))))"),"0")</f>
        <v>0</v>
      </c>
      <c r="AA302" s="499" t="str">
        <f aca="false">IFERROR(__xludf.dummyfunction("if(isna(ABS(MINUS(SUM(FILTER(MatchSource!$A:$F,MatchSource!$A:$A=$B302)),SUM($W302,$Y302)))),0,ABS(MINUS(SUM(FILTER(MatchSource!$A:$F,MatchSource!$A:$A=$B302)),SUM($W302, $Y302,))))"),"0")</f>
        <v>0</v>
      </c>
      <c r="AB302" s="501" t="str">
        <f aca="false">IFERROR(__xludf.dummyfunction("if(isna(ABS(MINUS(SUM(FILTER(MatchSource!$H:$M,MatchSource!$H:$H=$B302)),SUM($X302,$Z302)))),0,ABS(MINUS(SUM(FILTER(MatchSource!$H:$M,MatchSource!$H:$H=$B302)),SUM($X302,$Z302))))"),"0")</f>
        <v>0</v>
      </c>
      <c r="AC302" s="507" t="n">
        <f aca="false">SUM(IF(OR($R302="Grass",$R302="Psychic",$R302="Dark"),0-1,IF(OR($R302="Fighting",$R302="Flying",$R302="Fire",$R302="Ghost",$R302="Poison",$R302="Steel",$R302="Fairy"),1,0)),IF(OR($S302="Grass",$S302="Psychic",$S302="Dark"),0-1,IF(OR($S302="Fighting",$S302="Flying",$S302="Fire",$S302="Ghost",$S302="Poison",$S302="Steel",$S302="Fairy"),1,0)))</f>
        <v>0</v>
      </c>
      <c r="AD302" s="507" t="n">
        <f aca="false">SUM(IF(OR($R302="Ghost",$R302="Psychic"),0-1,IF(OR($R302="Fighting",$R302="Dark",$R302="Fairy"),1,0)),IF(OR($S302="Ghost",$S302="Psychic"),0-1,IF(OR($S302="Fighting",$S302="Dark",$S302="Fairy"),1,0)))</f>
        <v>0</v>
      </c>
      <c r="AE302" s="507" t="n">
        <f aca="false">IF(OR($R302="Fairy",$S302="Fairy"),4,SUM(IF($R302="Dragon",0-1,IF($R302="Steel",1,0)),IF($S302="Dragon",0-1,IF($S302="Steel",1,0))))</f>
        <v>0</v>
      </c>
      <c r="AF302" s="507" t="n">
        <f aca="false">IF(OR($R302="Ground",$S302="Ground"),4,SUM(IF(OR($R302="Flying",$R302="Water"),0-1,IF(OR($R302="Dragon",$R302="Electric",$R302="Grass"),1,0)),IF(OR($S302="Flying",$S302="Water"),0-1,IF(OR($S302="Dragon",$S302="Electric",$S302="Grass"),1,0))))</f>
        <v>0</v>
      </c>
      <c r="AG302" s="507" t="n">
        <f aca="false">SUM(IF(OR($R302="Dark",$R302="Dragon",$R302="Fighting"),0-1,IF(OR($R302="Steel",$R302="Poison",$R302="Fire"),1,0)),IF(OR($S302="Dark",$S302="Dragon",$S302="Fighting"),0-1,IF(OR($S302="Steel",$S302="Poison",$S302="Fire"),1,0)))</f>
        <v>0</v>
      </c>
      <c r="AH302" s="507" t="n">
        <f aca="false">IF(OR($R302="Ghost",$S302="Ghost"),4,SUM(IF(OR($R302="Dark",$R302="Ice",$R302="Normal",$R302="Rock",$R302="Steel"),0-1,IF(OR($R302="Bug",$R302="Fairy",$R302="Flying",$R302="Poison",$R302="Psychic"),1,0)),IF(OR($S302="Dark",$S302="Ice",$S302="Normal",$S302="Rock",$S302="Steel"),0-1,IF(OR($S302="Bug",$S302="Fairy",$S302="Flying",$S302="Poison",$S302="Psychic"),1,0))))</f>
        <v>-1</v>
      </c>
      <c r="AI302" s="507" t="n">
        <f aca="false">SUM(IF(OR($R302="Bug",$R302="Grass",$R302="Ice",$R302="Steel"),0-1,IF(OR($R302="Dragon",$R302="Fire",$R302="Rock",$R302="Water"),1,0)),IF(OR($S302="Bug",$S302="Grass",$S302="Ice",$S302="Steel"),0-1,IF(OR($S302="Dragon",$S302="Fire",$S302="Rock",$S302="Water"),1,0)))</f>
        <v>0</v>
      </c>
      <c r="AJ302" s="507" t="n">
        <f aca="false">SUM(IF(OR($R302="Bug",$R302="Grass",$R302="Fighting"),0-1,IF(OR($R302="Electric",$R302="Rock",$R302="Steel"),1,0)),IF(OR($S302="Bug",$S302="Grass",$S302="Fighting"),0-1,IF(OR($S302="Electric",$S302="Rock",$S302="Steel"),1,0)))</f>
        <v>0</v>
      </c>
      <c r="AK302" s="507" t="n">
        <f aca="false">IF(OR($R302="Normal",$S302="Normal"),4,SUM(IF(OR($R302="Ghost",$R302="Psychic"),0-1,IF($R302="Dark",1,0)),IF(OR($S302="Ghost",$S302="Psychic"),0-1,IF($S302="Dark",1,0))))</f>
        <v>4</v>
      </c>
      <c r="AL302" s="507" t="n">
        <f aca="false">SUM(IF(OR($R302="Ground",$R302="Rock",$R302="Water"),0-1,IF(OR($R302="Bug",$R302="Flying",$R302="Fire",$R302="Dragon",$R302="Poison",$R302="Steel",$R302="Grass"),1,0)),IF(OR($S302="Ground",$S302="Rock",$S302="Water"),0-1,IF(OR($S302="Bug",$S302="Flying",$S302="Fire",$S302="Dragon",$S302="Poison",$S302="Steel",$S302="Grass"),1,0)))</f>
        <v>0</v>
      </c>
      <c r="AM302" s="507" t="n">
        <f aca="false">IF(OR($R302="Flying",$S302="Flying"),4,SUM(IF(OR($R302="Electric",$R302="Fire",$R302="Rock",$R302="Steel",$R302="Poison"),0-1,IF(OR($R302="Bug",$R302="Grass"),1,0)),IF(OR($S302="Electric",$S302="Fire",$S302="Rock",$S302="Steel",$S302="Poison"),0-1,IF(OR($S302="Bug",$S302="Grass"),1,0))))</f>
        <v>0</v>
      </c>
      <c r="AN302" s="507" t="n">
        <f aca="false">SUM(IF(OR($R302="Flying",$R302="Dragon",$R302="Grass",$R302="Ground"),0-1,IF(OR($R302="Steel",$R302="Ice",$R302="Fire",$R302="Water"),1,0)),IF(OR($S302="Flying",$S302="Dragon",$S302="Grass",$S302="Ground"),0-1,IF(OR($S302="Steel",$S302="Ice",$S302="Fire",$S302="Water"),1,0)))</f>
        <v>0</v>
      </c>
      <c r="AO302" s="507" t="n">
        <f aca="false">IF(OR($R302="Ghost",$S302="Ghost"),4,SUM(IF(OR($R302="Steel",$R302="Rock"),1,0),IF(OR($S302="Steel",$S302="Rock"),1,0)))</f>
        <v>0</v>
      </c>
      <c r="AP302" s="507" t="n">
        <f aca="false">IF(OR($R302="Steel",$S302="Steel"),4,SUM(IF(OR($R302="Fairy",$R302="Grass"),0-1,IF(OR($R302="Ghost",$R302="Rock",$R302="Ground",$R302="Poison"),1,0)),IF(OR($S302="Fairy",$S302="Grass"),0-1,IF(OR($S302="Ghost",$S302="Rock",$S302="Ground",$S302="Poison"),1,0))))</f>
        <v>0</v>
      </c>
      <c r="AQ302" s="507" t="n">
        <f aca="false">IF(OR($R302="Dark",$S302="Dark"),4,SUM(IF(OR($R302="Fighting",$R302="Poison"),0-1,IF(OR($R302="Psychic",$R302="Steel"),1,0)),IF(OR($S302="Fighting",$S302="Poison"),0-1,IF(OR($S302="Psychic",$S302="Steel"),1,0))))</f>
        <v>0</v>
      </c>
      <c r="AR302" s="507" t="n">
        <f aca="false">SUM(IF(OR($R302="Bug",$R302="Fire",$R302="Flying",$R302="Ice"),0-1,IF(OR($R302="Steel",$R302="Fighting",$R302="Ground"),1,0)),IF(OR($S302="Bug",$S302="Fire",$S302="Flying",$S302="Ice"),0-1,IF(OR($S302="Steel",$S302="Fighting",$S302="Ground"),1,0)))</f>
        <v>0</v>
      </c>
      <c r="AS302" s="507" t="n">
        <f aca="false">SUM(IF(OR($R302="Fairy",$R302="Ice",$R302="Rock"),0-1,IF(OR($R302="Steel",$R302="Electric",$R302="Fire",$R302="Water"),1,0)),IF(OR($S302="Fairy",$S302="Ice",$S302="Rock"),0-1,IF(OR($S302="Steel",$S302="Electric",$S302="Fire",$S302="Water"),1,0)))</f>
        <v>0</v>
      </c>
      <c r="AT302" s="508" t="n">
        <f aca="false">SUM(IF(OR($R302="Fire",$R302="Ground",$R302="Rock"),0-1,IF(OR($R302="Dragon",$R302="Grass",$R302="Water"),1,0)),IF(OR($S302="Fire",$S302="Ground",$S302="Rock"),0-1,IF(OR($S302="Dragon",$S302="Grass",$S302="Water"),1,0)))</f>
        <v>0</v>
      </c>
      <c r="AU302" s="518"/>
    </row>
    <row r="303" customFormat="false" ht="15.75" hidden="false" customHeight="false" outlineLevel="0" collapsed="false">
      <c r="A303" s="510" t="str">
        <f aca="false" t="array" ref="A303:A303">IF(ISNA(INDEX(Source!$U$7:$U$95,MATCH(B303,Source!$V$7:$V$95,0))),"FREE",INDEX(Source!$U$7:$U$95,MATCH(B303,Source!$V$7:$V$95,0)))</f>
        <v>FTT</v>
      </c>
      <c r="B303" s="511" t="s">
        <v>74</v>
      </c>
      <c r="C303" s="511"/>
      <c r="D303" s="511"/>
      <c r="E303" s="499" t="n">
        <f aca="false">IF(SUM($W303:$X303)&gt;0,SUM($W303:$X303),IF($H303&gt;0,0,IF($H303&gt;0,0,"-")))</f>
        <v>0</v>
      </c>
      <c r="F303" s="499" t="n">
        <f aca="false">IF(SUM($Y303:$Z303)&gt;0,SUM($Y303:$Z303),IF($H303&gt;0,0,"-"))</f>
        <v>0</v>
      </c>
      <c r="G303" s="499" t="e">
        <f aca="false">IF($H303&gt;0,minus(E303,F303),"-")</f>
        <v>#NAME?</v>
      </c>
      <c r="H303" s="500" t="n">
        <f aca="false">SUM(COUNTIF(MatchSource!$A:$A,$B303),COUNTIF(MatchSource!$H:$H,$B303))</f>
        <v>6</v>
      </c>
      <c r="I303" s="501" t="n">
        <f aca="false">SUM($AA303:$AB303)</f>
        <v>0</v>
      </c>
      <c r="J303" s="501" t="s">
        <v>699</v>
      </c>
      <c r="K303" s="512" t="n">
        <f aca="false" t="array" ref="K303:K303">IF(ISNA(INDEX(DraftRosters!$AA$3:$AA$199,MATCH($B303,DraftRosters!$AB$3:$AB$199,0))),"FA",IF(INDEX(DraftRosters!$AA$3:$AA$199,MATCH($B303,DraftRosters!$AB$3:$AB$199,0))="Franchise","Franch",INDEX(DraftRosters!$AA$3:$AA$199,MATCH($B303,DraftRosters!$AB$3:$AB$199,0))))</f>
        <v>79</v>
      </c>
      <c r="L303" s="499" t="n">
        <v>55</v>
      </c>
      <c r="M303" s="499" t="n">
        <v>90</v>
      </c>
      <c r="N303" s="499" t="n">
        <v>80</v>
      </c>
      <c r="O303" s="499" t="n">
        <v>50</v>
      </c>
      <c r="P303" s="499" t="n">
        <v>105</v>
      </c>
      <c r="Q303" s="501" t="n">
        <v>96</v>
      </c>
      <c r="R303" s="499" t="s">
        <v>798</v>
      </c>
      <c r="S303" s="501" t="s">
        <v>802</v>
      </c>
      <c r="T303" s="504" t="s">
        <v>1033</v>
      </c>
      <c r="U303" s="505"/>
      <c r="V303" s="506"/>
      <c r="W303" s="500" t="str">
        <f aca="false">IFERROR(__xludf.dummyfunction("if(isna(SUM(FILTER(MatchSource!$A:$D,MatchSource!$A:$A=$B303))),0,SUM(FILTER(MatchSource!$A:$D,MatchSource!$A:$A=$B303)))"),"1")</f>
        <v>1</v>
      </c>
      <c r="X303" s="499" t="str">
        <f aca="false">IFERROR(__xludf.dummyfunction("if(isna(SUM(FILTER(MatchSource!$H:$K,MatchSource!$H:$H=$B303))),0,SUM(FILTER(MatchSource!$H:$K,MatchSource!$H:$H=$B303)))"),"6")</f>
        <v>6</v>
      </c>
      <c r="Y303" s="499" t="str">
        <f aca="false">IFERROR(__xludf.dummyfunction("if(isna(ABS(MINUS(SUM(FILTER(MatchSource!$A:$E,MatchSource!$A:$A=$B303)),SUM($W303)))),0,ABS(MINUS(SUM(FILTER(MatchSource!$A:$E,MatchSource!$A:$A=$B303)),SUM($W303))))"),"2")</f>
        <v>2</v>
      </c>
      <c r="Z303" s="499" t="str">
        <f aca="false">IFERROR(__xludf.dummyfunction("if(isna(ABS(MINUS(SUM(FILTER(MatchSource!$H:$L,MatchSource!$H:$H=$B303)),SUM($X303)))),0,ABS(MINUS(SUM(FILTER(MatchSource!$H:$L,MatchSource!$H:$H=$B303)),SUM($X303))))"),"3")</f>
        <v>3</v>
      </c>
      <c r="AA303" s="499" t="str">
        <f aca="false">IFERROR(__xludf.dummyfunction("if(isna(ABS(MINUS(SUM(FILTER(MatchSource!$A:$F,MatchSource!$A:$A=$B303)),SUM($W303,$Y303)))),0,ABS(MINUS(SUM(FILTER(MatchSource!$A:$F,MatchSource!$A:$A=$B303)),SUM($W303, $Y303,))))"),"0")</f>
        <v>0</v>
      </c>
      <c r="AB303" s="501" t="str">
        <f aca="false">IFERROR(__xludf.dummyfunction("if(isna(ABS(MINUS(SUM(FILTER(MatchSource!$H:$M,MatchSource!$H:$H=$B303)),SUM($X303,$Z303)))),0,ABS(MINUS(SUM(FILTER(MatchSource!$H:$M,MatchSource!$H:$H=$B303)),SUM($X303,$Z303))))"),"1")</f>
        <v>1</v>
      </c>
      <c r="AC303" s="507" t="n">
        <f aca="false">SUM(IF(OR($R303="Grass",$R303="Psychic",$R303="Dark"),0-1,IF(OR($R303="Fighting",$R303="Flying",$R303="Fire",$R303="Ghost",$R303="Poison",$R303="Steel",$R303="Fairy"),1,0)),IF(OR($S303="Grass",$S303="Psychic",$S303="Dark"),0-1,IF(OR($S303="Fighting",$S303="Flying",$S303="Fire",$S303="Ghost",$S303="Poison",$S303="Steel",$S303="Fairy"),1,0)))</f>
        <v>2</v>
      </c>
      <c r="AD303" s="507" t="n">
        <f aca="false">SUM(IF(OR($R303="Ghost",$R303="Psychic"),0-1,IF(OR($R303="Fighting",$R303="Dark",$R303="Fairy"),1,0)),IF(OR($S303="Ghost",$S303="Psychic"),0-1,IF(OR($S303="Fighting",$S303="Dark",$S303="Fairy"),1,0)))</f>
        <v>0</v>
      </c>
      <c r="AE303" s="507" t="n">
        <f aca="false">IF(OR($R303="Fairy",$S303="Fairy"),4,SUM(IF($R303="Dragon",0-1,IF($R303="Steel",1,0)),IF($S303="Dragon",0-1,IF($S303="Steel",1,0))))</f>
        <v>4</v>
      </c>
      <c r="AF303" s="507" t="n">
        <f aca="false">IF(OR($R303="Ground",$S303="Ground"),4,SUM(IF(OR($R303="Flying",$R303="Water"),0-1,IF(OR($R303="Dragon",$R303="Electric",$R303="Grass"),1,0)),IF(OR($S303="Flying",$S303="Water"),0-1,IF(OR($S303="Dragon",$S303="Electric",$S303="Grass"),1,0))))</f>
        <v>0</v>
      </c>
      <c r="AG303" s="507" t="n">
        <f aca="false">SUM(IF(OR($R303="Dark",$R303="Dragon",$R303="Fighting"),0-1,IF(OR($R303="Steel",$R303="Poison",$R303="Fire"),1,0)),IF(OR($S303="Dark",$S303="Dragon",$S303="Fighting"),0-1,IF(OR($S303="Steel",$S303="Poison",$S303="Fire"),1,0)))</f>
        <v>0</v>
      </c>
      <c r="AH303" s="507" t="n">
        <f aca="false">IF(OR($R303="Ghost",$S303="Ghost"),4,SUM(IF(OR($R303="Dark",$R303="Ice",$R303="Normal",$R303="Rock",$R303="Steel"),0-1,IF(OR($R303="Bug",$R303="Fairy",$R303="Flying",$R303="Poison",$R303="Psychic"),1,0)),IF(OR($S303="Dark",$S303="Ice",$S303="Normal",$S303="Rock",$S303="Steel"),0-1,IF(OR($S303="Bug",$S303="Fairy",$S303="Flying",$S303="Poison",$S303="Psychic"),1,0))))</f>
        <v>4</v>
      </c>
      <c r="AI303" s="507" t="n">
        <f aca="false">SUM(IF(OR($R303="Bug",$R303="Grass",$R303="Ice",$R303="Steel"),0-1,IF(OR($R303="Dragon",$R303="Fire",$R303="Rock",$R303="Water"),1,0)),IF(OR($S303="Bug",$S303="Grass",$S303="Ice",$S303="Steel"),0-1,IF(OR($S303="Dragon",$S303="Fire",$S303="Rock",$S303="Water"),1,0)))</f>
        <v>0</v>
      </c>
      <c r="AJ303" s="507" t="n">
        <f aca="false">SUM(IF(OR($R303="Bug",$R303="Grass",$R303="Fighting"),0-1,IF(OR($R303="Electric",$R303="Rock",$R303="Steel"),1,0)),IF(OR($S303="Bug",$S303="Grass",$S303="Fighting"),0-1,IF(OR($S303="Electric",$S303="Rock",$S303="Steel"),1,0)))</f>
        <v>0</v>
      </c>
      <c r="AK303" s="507" t="n">
        <f aca="false">IF(OR($R303="Normal",$S303="Normal"),4,SUM(IF(OR($R303="Ghost",$R303="Psychic"),0-1,IF($R303="Dark",1,0)),IF(OR($S303="Ghost",$S303="Psychic"),0-1,IF($S303="Dark",1,0))))</f>
        <v>-1</v>
      </c>
      <c r="AL303" s="507" t="n">
        <f aca="false">SUM(IF(OR($R303="Ground",$R303="Rock",$R303="Water"),0-1,IF(OR($R303="Bug",$R303="Flying",$R303="Fire",$R303="Dragon",$R303="Poison",$R303="Steel",$R303="Grass"),1,0)),IF(OR($S303="Ground",$S303="Rock",$S303="Water"),0-1,IF(OR($S303="Bug",$S303="Flying",$S303="Fire",$S303="Dragon",$S303="Poison",$S303="Steel",$S303="Grass"),1,0)))</f>
        <v>0</v>
      </c>
      <c r="AM303" s="507" t="n">
        <f aca="false">IF(OR($R303="Flying",$S303="Flying"),4,SUM(IF(OR($R303="Electric",$R303="Fire",$R303="Rock",$R303="Steel",$R303="Poison"),0-1,IF(OR($R303="Bug",$R303="Grass"),1,0)),IF(OR($S303="Electric",$S303="Fire",$S303="Rock",$S303="Steel",$S303="Poison"),0-1,IF(OR($S303="Bug",$S303="Grass"),1,0))))</f>
        <v>0</v>
      </c>
      <c r="AN303" s="507" t="n">
        <f aca="false">SUM(IF(OR($R303="Flying",$R303="Dragon",$R303="Grass",$R303="Ground"),0-1,IF(OR($R303="Steel",$R303="Ice",$R303="Fire",$R303="Water"),1,0)),IF(OR($S303="Flying",$S303="Dragon",$S303="Grass",$S303="Ground"),0-1,IF(OR($S303="Steel",$S303="Ice",$S303="Fire",$S303="Water"),1,0)))</f>
        <v>0</v>
      </c>
      <c r="AO303" s="507" t="n">
        <f aca="false">IF(OR($R303="Ghost",$S303="Ghost"),4,SUM(IF(OR($R303="Steel",$R303="Rock"),1,0),IF(OR($S303="Steel",$S303="Rock"),1,0)))</f>
        <v>4</v>
      </c>
      <c r="AP303" s="507" t="n">
        <f aca="false">IF(OR($R303="Steel",$S303="Steel"),4,SUM(IF(OR($R303="Fairy",$R303="Grass"),0-1,IF(OR($R303="Ghost",$R303="Rock",$R303="Ground",$R303="Poison"),1,0)),IF(OR($S303="Fairy",$S303="Grass"),0-1,IF(OR($S303="Ghost",$S303="Rock",$S303="Ground",$S303="Poison"),1,0))))</f>
        <v>0</v>
      </c>
      <c r="AQ303" s="507" t="n">
        <f aca="false">IF(OR($R303="Dark",$S303="Dark"),4,SUM(IF(OR($R303="Fighting",$R303="Poison"),0-1,IF(OR($R303="Psychic",$R303="Steel"),1,0)),IF(OR($S303="Fighting",$S303="Poison"),0-1,IF(OR($S303="Psychic",$S303="Steel"),1,0))))</f>
        <v>0</v>
      </c>
      <c r="AR303" s="507" t="n">
        <f aca="false">SUM(IF(OR($R303="Bug",$R303="Fire",$R303="Flying",$R303="Ice"),0-1,IF(OR($R303="Steel",$R303="Fighting",$R303="Ground"),1,0)),IF(OR($S303="Bug",$S303="Fire",$S303="Flying",$S303="Ice"),0-1,IF(OR($S303="Steel",$S303="Fighting",$S303="Ground"),1,0)))</f>
        <v>0</v>
      </c>
      <c r="AS303" s="507" t="n">
        <f aca="false">SUM(IF(OR($R303="Fairy",$R303="Ice",$R303="Rock"),0-1,IF(OR($R303="Steel",$R303="Electric",$R303="Fire",$R303="Water"),1,0)),IF(OR($S303="Fairy",$S303="Ice",$S303="Rock"),0-1,IF(OR($S303="Steel",$S303="Electric",$S303="Fire",$S303="Water"),1,0)))</f>
        <v>-1</v>
      </c>
      <c r="AT303" s="508" t="n">
        <f aca="false">SUM(IF(OR($R303="Fire",$R303="Ground",$R303="Rock"),0-1,IF(OR($R303="Dragon",$R303="Grass",$R303="Water"),1,0)),IF(OR($S303="Fire",$S303="Ground",$S303="Rock"),0-1,IF(OR($S303="Dragon",$S303="Grass",$S303="Water"),1,0)))</f>
        <v>0</v>
      </c>
      <c r="AU303" s="518"/>
    </row>
    <row r="304" customFormat="false" ht="15.75" hidden="false" customHeight="false" outlineLevel="0" collapsed="false">
      <c r="A304" s="515" t="str">
        <f aca="false" t="array" ref="A304:A304">IF(ISNA(INDEX(Source!$U$7:$U$95,MATCH(B304,Source!$V$7:$V$95,0))),"FREE",INDEX(Source!$U$7:$U$95,MATCH(B304,Source!$V$7:$V$95,0)))</f>
        <v>JVJ</v>
      </c>
      <c r="B304" s="511" t="s">
        <v>248</v>
      </c>
      <c r="C304" s="511"/>
      <c r="D304" s="511"/>
      <c r="E304" s="499" t="str">
        <f aca="false">IF(SUM($W304:$X304)&gt;0,SUM($W304:$X304),IF($H304&gt;0,0,IF($H304&gt;0,0,"-")))</f>
        <v>-</v>
      </c>
      <c r="F304" s="499" t="str">
        <f aca="false">IF(SUM($Y304:$Z304)&gt;0,SUM($Y304:$Z304),IF($H304&gt;0,0,"-"))</f>
        <v>-</v>
      </c>
      <c r="G304" s="499" t="str">
        <f aca="false">IF($H304&gt;0,minus(E304,F304),"-")</f>
        <v>-</v>
      </c>
      <c r="H304" s="500" t="n">
        <f aca="false">SUM(COUNTIF(MatchSource!$A:$A,$B304),COUNTIF(MatchSource!$H:$H,$B304))</f>
        <v>0</v>
      </c>
      <c r="I304" s="501" t="n">
        <f aca="false">SUM($AA304:$AB304)</f>
        <v>0</v>
      </c>
      <c r="J304" s="501" t="s">
        <v>700</v>
      </c>
      <c r="K304" s="512" t="str">
        <f aca="false" t="array" ref="K304:K304">IF(ISNA(INDEX(DraftRosters!$AA$3:$AA$199,MATCH($B304,DraftRosters!$AB$3:$AB$199,0))),"FA",IF(INDEX(DraftRosters!$AA$3:$AA$199,MATCH($B304,DraftRosters!$AB$3:$AB$199,0))="Franchise","Franch",INDEX(DraftRosters!$AA$3:$AA$199,MATCH($B304,DraftRosters!$AB$3:$AB$199,0))))</f>
        <v>FA</v>
      </c>
      <c r="L304" s="507" t="n">
        <v>60</v>
      </c>
      <c r="M304" s="507" t="n">
        <v>60</v>
      </c>
      <c r="N304" s="507" t="n">
        <v>100</v>
      </c>
      <c r="O304" s="507" t="n">
        <v>60</v>
      </c>
      <c r="P304" s="507" t="n">
        <v>100</v>
      </c>
      <c r="Q304" s="508" t="n">
        <v>60</v>
      </c>
      <c r="R304" s="499" t="s">
        <v>801</v>
      </c>
      <c r="S304" s="501" t="s">
        <v>809</v>
      </c>
      <c r="T304" s="504" t="s">
        <v>1034</v>
      </c>
      <c r="U304" s="505"/>
      <c r="V304" s="506"/>
      <c r="W304" s="500" t="str">
        <f aca="false">IFERROR(__xludf.dummyfunction("if(isna(SUM(FILTER(MatchSource!$A:$D,MatchSource!$A:$A=$B304))),0,SUM(FILTER(MatchSource!$A:$D,MatchSource!$A:$A=$B304)))"),"0")</f>
        <v>0</v>
      </c>
      <c r="X304" s="499" t="str">
        <f aca="false">IFERROR(__xludf.dummyfunction("if(isna(SUM(FILTER(MatchSource!$H:$K,MatchSource!$H:$H=$B304))),0,SUM(FILTER(MatchSource!$H:$K,MatchSource!$H:$H=$B304)))"),"0")</f>
        <v>0</v>
      </c>
      <c r="Y304" s="499" t="str">
        <f aca="false">IFERROR(__xludf.dummyfunction("if(isna(ABS(MINUS(SUM(FILTER(MatchSource!$A:$E,MatchSource!$A:$A=$B304)),SUM($W304)))),0,ABS(MINUS(SUM(FILTER(MatchSource!$A:$E,MatchSource!$A:$A=$B304)),SUM($W304))))"),"0")</f>
        <v>0</v>
      </c>
      <c r="Z304" s="499" t="str">
        <f aca="false">IFERROR(__xludf.dummyfunction("if(isna(ABS(MINUS(SUM(FILTER(MatchSource!$H:$L,MatchSource!$H:$H=$B304)),SUM($X304)))),0,ABS(MINUS(SUM(FILTER(MatchSource!$H:$L,MatchSource!$H:$H=$B304)),SUM($X304))))"),"0")</f>
        <v>0</v>
      </c>
      <c r="AA304" s="499" t="str">
        <f aca="false">IFERROR(__xludf.dummyfunction("if(isna(ABS(MINUS(SUM(FILTER(MatchSource!$A:$F,MatchSource!$A:$A=$B304)),SUM($W304,$Y304)))),0,ABS(MINUS(SUM(FILTER(MatchSource!$A:$F,MatchSource!$A:$A=$B304)),SUM($W304, $Y304,))))"),"0")</f>
        <v>0</v>
      </c>
      <c r="AB304" s="501" t="str">
        <f aca="false">IFERROR(__xludf.dummyfunction("if(isna(ABS(MINUS(SUM(FILTER(MatchSource!$H:$M,MatchSource!$H:$H=$B304)),SUM($X304,$Z304)))),0,ABS(MINUS(SUM(FILTER(MatchSource!$H:$M,MatchSource!$H:$H=$B304)),SUM($X304,$Z304))))"),"0")</f>
        <v>0</v>
      </c>
      <c r="AC304" s="507" t="n">
        <f aca="false">SUM(IF(OR($R304="Grass",$R304="Psychic",$R304="Dark"),0-1,IF(OR($R304="Fighting",$R304="Flying",$R304="Fire",$R304="Ghost",$R304="Poison",$R304="Steel",$R304="Fairy"),1,0)),IF(OR($S304="Grass",$S304="Psychic",$S304="Dark"),0-1,IF(OR($S304="Fighting",$S304="Flying",$S304="Fire",$S304="Ghost",$S304="Poison",$S304="Steel",$S304="Fairy"),1,0)))</f>
        <v>1</v>
      </c>
      <c r="AD304" s="507" t="n">
        <f aca="false">SUM(IF(OR($R304="Ghost",$R304="Psychic"),0-1,IF(OR($R304="Fighting",$R304="Dark",$R304="Fairy"),1,0)),IF(OR($S304="Ghost",$S304="Psychic"),0-1,IF(OR($S304="Fighting",$S304="Dark",$S304="Fairy"),1,0)))</f>
        <v>0</v>
      </c>
      <c r="AE304" s="507" t="n">
        <f aca="false">IF(OR($R304="Fairy",$S304="Fairy"),4,SUM(IF($R304="Dragon",0-1,IF($R304="Steel",1,0)),IF($S304="Dragon",0-1,IF($S304="Steel",1,0))))</f>
        <v>0</v>
      </c>
      <c r="AF304" s="507" t="n">
        <f aca="false">IF(OR($R304="Ground",$S304="Ground"),4,SUM(IF(OR($R304="Flying",$R304="Water"),0-1,IF(OR($R304="Dragon",$R304="Electric",$R304="Grass"),1,0)),IF(OR($S304="Flying",$S304="Water"),0-1,IF(OR($S304="Dragon",$S304="Electric",$S304="Grass"),1,0))))</f>
        <v>-1</v>
      </c>
      <c r="AG304" s="507" t="n">
        <f aca="false">SUM(IF(OR($R304="Dark",$R304="Dragon",$R304="Fighting"),0-1,IF(OR($R304="Steel",$R304="Poison",$R304="Fire"),1,0)),IF(OR($S304="Dark",$S304="Dragon",$S304="Fighting"),0-1,IF(OR($S304="Steel",$S304="Poison",$S304="Fire"),1,0)))</f>
        <v>0</v>
      </c>
      <c r="AH304" s="507" t="n">
        <f aca="false">IF(OR($R304="Ghost",$S304="Ghost"),4,SUM(IF(OR($R304="Dark",$R304="Ice",$R304="Normal",$R304="Rock",$R304="Steel"),0-1,IF(OR($R304="Bug",$R304="Fairy",$R304="Flying",$R304="Poison",$R304="Psychic"),1,0)),IF(OR($S304="Dark",$S304="Ice",$S304="Normal",$S304="Rock",$S304="Steel"),0-1,IF(OR($S304="Bug",$S304="Fairy",$S304="Flying",$S304="Poison",$S304="Psychic"),1,0))))</f>
        <v>0</v>
      </c>
      <c r="AI304" s="507" t="n">
        <f aca="false">SUM(IF(OR($R304="Bug",$R304="Grass",$R304="Ice",$R304="Steel"),0-1,IF(OR($R304="Dragon",$R304="Fire",$R304="Rock",$R304="Water"),1,0)),IF(OR($S304="Bug",$S304="Grass",$S304="Ice",$S304="Steel"),0-1,IF(OR($S304="Dragon",$S304="Fire",$S304="Rock",$S304="Water"),1,0)))</f>
        <v>1</v>
      </c>
      <c r="AJ304" s="507" t="n">
        <f aca="false">SUM(IF(OR($R304="Bug",$R304="Grass",$R304="Fighting"),0-1,IF(OR($R304="Electric",$R304="Rock",$R304="Steel"),1,0)),IF(OR($S304="Bug",$S304="Grass",$S304="Fighting"),0-1,IF(OR($S304="Electric",$S304="Rock",$S304="Steel"),1,0)))</f>
        <v>1</v>
      </c>
      <c r="AK304" s="507" t="n">
        <f aca="false">IF(OR($R304="Normal",$S304="Normal"),4,SUM(IF(OR($R304="Ghost",$R304="Psychic"),0-1,IF($R304="Dark",1,0)),IF(OR($S304="Ghost",$S304="Psychic"),0-1,IF($S304="Dark",1,0))))</f>
        <v>0</v>
      </c>
      <c r="AL304" s="507" t="n">
        <f aca="false">SUM(IF(OR($R304="Ground",$R304="Rock",$R304="Water"),0-1,IF(OR($R304="Bug",$R304="Flying",$R304="Fire",$R304="Dragon",$R304="Poison",$R304="Steel",$R304="Grass"),1,0)),IF(OR($S304="Ground",$S304="Rock",$S304="Water"),0-1,IF(OR($S304="Bug",$S304="Flying",$S304="Fire",$S304="Dragon",$S304="Poison",$S304="Steel",$S304="Grass"),1,0)))</f>
        <v>0</v>
      </c>
      <c r="AM304" s="507" t="n">
        <f aca="false">IF(OR($R304="Flying",$S304="Flying"),4,SUM(IF(OR($R304="Electric",$R304="Fire",$R304="Rock",$R304="Steel",$R304="Poison"),0-1,IF(OR($R304="Bug",$R304="Grass"),1,0)),IF(OR($S304="Electric",$S304="Fire",$S304="Rock",$S304="Steel",$S304="Poison"),0-1,IF(OR($S304="Bug",$S304="Grass"),1,0))))</f>
        <v>4</v>
      </c>
      <c r="AN304" s="507" t="n">
        <f aca="false">SUM(IF(OR($R304="Flying",$R304="Dragon",$R304="Grass",$R304="Ground"),0-1,IF(OR($R304="Steel",$R304="Ice",$R304="Fire",$R304="Water"),1,0)),IF(OR($S304="Flying",$S304="Dragon",$S304="Grass",$S304="Ground"),0-1,IF(OR($S304="Steel",$S304="Ice",$S304="Fire",$S304="Water"),1,0)))</f>
        <v>-1</v>
      </c>
      <c r="AO304" s="507" t="n">
        <f aca="false">IF(OR($R304="Ghost",$S304="Ghost"),4,SUM(IF(OR($R304="Steel",$R304="Rock"),1,0),IF(OR($S304="Steel",$S304="Rock"),1,0)))</f>
        <v>1</v>
      </c>
      <c r="AP304" s="507" t="n">
        <f aca="false">IF(OR($R304="Steel",$S304="Steel"),4,SUM(IF(OR($R304="Fairy",$R304="Grass"),0-1,IF(OR($R304="Ghost",$R304="Rock",$R304="Ground",$R304="Poison"),1,0)),IF(OR($S304="Fairy",$S304="Grass"),0-1,IF(OR($S304="Ghost",$S304="Rock",$S304="Ground",$S304="Poison"),1,0))))</f>
        <v>1</v>
      </c>
      <c r="AQ304" s="507" t="n">
        <f aca="false">IF(OR($R304="Dark",$S304="Dark"),4,SUM(IF(OR($R304="Fighting",$R304="Poison"),0-1,IF(OR($R304="Psychic",$R304="Steel"),1,0)),IF(OR($S304="Fighting",$S304="Poison"),0-1,IF(OR($S304="Psychic",$S304="Steel"),1,0))))</f>
        <v>0</v>
      </c>
      <c r="AR304" s="507" t="n">
        <f aca="false">SUM(IF(OR($R304="Bug",$R304="Fire",$R304="Flying",$R304="Ice"),0-1,IF(OR($R304="Steel",$R304="Fighting",$R304="Ground"),1,0)),IF(OR($S304="Bug",$S304="Fire",$S304="Flying",$S304="Ice"),0-1,IF(OR($S304="Steel",$S304="Fighting",$S304="Ground"),1,0)))</f>
        <v>-1</v>
      </c>
      <c r="AS304" s="507" t="n">
        <f aca="false">SUM(IF(OR($R304="Fairy",$R304="Ice",$R304="Rock"),0-1,IF(OR($R304="Steel",$R304="Electric",$R304="Fire",$R304="Water"),1,0)),IF(OR($S304="Fairy",$S304="Ice",$S304="Rock"),0-1,IF(OR($S304="Steel",$S304="Electric",$S304="Fire",$S304="Water"),1,0)))</f>
        <v>-1</v>
      </c>
      <c r="AT304" s="508" t="n">
        <f aca="false">SUM(IF(OR($R304="Fire",$R304="Ground",$R304="Rock"),0-1,IF(OR($R304="Dragon",$R304="Grass",$R304="Water"),1,0)),IF(OR($S304="Fire",$S304="Ground",$S304="Rock"),0-1,IF(OR($S304="Dragon",$S304="Grass",$S304="Water"),1,0)))</f>
        <v>-1</v>
      </c>
      <c r="AU304" s="518"/>
    </row>
    <row r="305" customFormat="false" ht="15.75" hidden="false" customHeight="false" outlineLevel="0" collapsed="false">
      <c r="A305" s="510" t="str">
        <f aca="false" t="array" ref="A305:A305">IF(ISNA(INDEX(Source!$U$7:$U$95,MATCH(B305,Source!$V$7:$V$95,0))),"FREE",INDEX(Source!$U$7:$U$95,MATCH(B305,Source!$V$7:$V$95,0)))</f>
        <v>FREE</v>
      </c>
      <c r="B305" s="511" t="s">
        <v>365</v>
      </c>
      <c r="C305" s="511"/>
      <c r="D305" s="511"/>
      <c r="E305" s="499" t="str">
        <f aca="false">IF(SUM($W305:$X305)&gt;0,SUM($W305:$X305),IF($H305&gt;0,0,IF($H305&gt;0,0,"-")))</f>
        <v>-</v>
      </c>
      <c r="F305" s="499" t="str">
        <f aca="false">IF(SUM($Y305:$Z305)&gt;0,SUM($Y305:$Z305),IF($H305&gt;0,0,"-"))</f>
        <v>-</v>
      </c>
      <c r="G305" s="499" t="str">
        <f aca="false">IF($H305&gt;0,minus(E305,F305),"-")</f>
        <v>-</v>
      </c>
      <c r="H305" s="500" t="n">
        <f aca="false">SUM(COUNTIF(MatchSource!$A:$A,$B305),COUNTIF(MatchSource!$H:$H,$B305))</f>
        <v>0</v>
      </c>
      <c r="I305" s="501" t="n">
        <f aca="false">SUM($AA305:$AB305)</f>
        <v>0</v>
      </c>
      <c r="J305" s="501" t="s">
        <v>702</v>
      </c>
      <c r="K305" s="512" t="str">
        <f aca="false" t="array" ref="K305:K305">IF(ISNA(INDEX(DraftRosters!$AA$3:$AA$199,MATCH($B305,DraftRosters!$AB$3:$AB$199,0))),"FA",IF(INDEX(DraftRosters!$AA$3:$AA$199,MATCH($B305,DraftRosters!$AB$3:$AB$199,0))="Franchise","Franch",INDEX(DraftRosters!$AA$3:$AA$199,MATCH($B305,DraftRosters!$AB$3:$AB$199,0))))</f>
        <v>FA</v>
      </c>
      <c r="L305" s="499" t="n">
        <v>95</v>
      </c>
      <c r="M305" s="499" t="n">
        <v>80</v>
      </c>
      <c r="N305" s="499" t="n">
        <v>105</v>
      </c>
      <c r="O305" s="499" t="n">
        <v>40</v>
      </c>
      <c r="P305" s="499" t="n">
        <v>70</v>
      </c>
      <c r="Q305" s="501" t="n">
        <v>100</v>
      </c>
      <c r="R305" s="499" t="s">
        <v>839</v>
      </c>
      <c r="S305" s="501"/>
      <c r="T305" s="504" t="s">
        <v>1007</v>
      </c>
      <c r="U305" s="505" t="s">
        <v>1003</v>
      </c>
      <c r="V305" s="506"/>
      <c r="W305" s="500" t="str">
        <f aca="false">IFERROR(__xludf.dummyfunction("if(isna(SUM(FILTER(MatchSource!$A:$D,MatchSource!$A:$A=$B305))),0,SUM(FILTER(MatchSource!$A:$D,MatchSource!$A:$A=$B305)))"),"0")</f>
        <v>0</v>
      </c>
      <c r="X305" s="499" t="str">
        <f aca="false">IFERROR(__xludf.dummyfunction("if(isna(SUM(FILTER(MatchSource!$H:$K,MatchSource!$H:$H=$B305))),0,SUM(FILTER(MatchSource!$H:$K,MatchSource!$H:$H=$B305)))"),"0")</f>
        <v>0</v>
      </c>
      <c r="Y305" s="499" t="str">
        <f aca="false">IFERROR(__xludf.dummyfunction("if(isna(ABS(MINUS(SUM(FILTER(MatchSource!$A:$E,MatchSource!$A:$A=$B305)),SUM($W305)))),0,ABS(MINUS(SUM(FILTER(MatchSource!$A:$E,MatchSource!$A:$A=$B305)),SUM($W305))))"),"0")</f>
        <v>0</v>
      </c>
      <c r="Z305" s="499" t="str">
        <f aca="false">IFERROR(__xludf.dummyfunction("if(isna(ABS(MINUS(SUM(FILTER(MatchSource!$H:$L,MatchSource!$H:$H=$B305)),SUM($X305)))),0,ABS(MINUS(SUM(FILTER(MatchSource!$H:$L,MatchSource!$H:$H=$B305)),SUM($X305))))"),"0")</f>
        <v>0</v>
      </c>
      <c r="AA305" s="499" t="str">
        <f aca="false">IFERROR(__xludf.dummyfunction("if(isna(ABS(MINUS(SUM(FILTER(MatchSource!$A:$F,MatchSource!$A:$A=$B305)),SUM($W305,$Y305)))),0,ABS(MINUS(SUM(FILTER(MatchSource!$A:$F,MatchSource!$A:$A=$B305)),SUM($W305, $Y305,))))"),"0")</f>
        <v>0</v>
      </c>
      <c r="AB305" s="501" t="str">
        <f aca="false">IFERROR(__xludf.dummyfunction("if(isna(ABS(MINUS(SUM(FILTER(MatchSource!$H:$M,MatchSource!$H:$H=$B305)),SUM($X305,$Z305)))),0,ABS(MINUS(SUM(FILTER(MatchSource!$H:$M,MatchSource!$H:$H=$B305)),SUM($X305,$Z305))))"),"0")</f>
        <v>0</v>
      </c>
      <c r="AC305" s="507" t="n">
        <f aca="false">SUM(IF(OR($R305="Grass",$R305="Psychic",$R305="Dark"),0-1,IF(OR($R305="Fighting",$R305="Flying",$R305="Fire",$R305="Ghost",$R305="Poison",$R305="Steel",$R305="Fairy"),1,0)),IF(OR($S305="Grass",$S305="Psychic",$S305="Dark"),0-1,IF(OR($S305="Fighting",$S305="Flying",$S305="Fire",$S305="Ghost",$S305="Poison",$S305="Steel",$S305="Fairy"),1,0)))</f>
        <v>0</v>
      </c>
      <c r="AD305" s="507" t="n">
        <f aca="false">SUM(IF(OR($R305="Ghost",$R305="Psychic"),0-1,IF(OR($R305="Fighting",$R305="Dark",$R305="Fairy"),1,0)),IF(OR($S305="Ghost",$S305="Psychic"),0-1,IF(OR($S305="Fighting",$S305="Dark",$S305="Fairy"),1,0)))</f>
        <v>0</v>
      </c>
      <c r="AE305" s="507" t="n">
        <f aca="false">IF(OR($R305="Fairy",$S305="Fairy"),4,SUM(IF($R305="Dragon",0-1,IF($R305="Steel",1,0)),IF($S305="Dragon",0-1,IF($S305="Steel",1,0))))</f>
        <v>0</v>
      </c>
      <c r="AF305" s="507" t="n">
        <f aca="false">IF(OR($R305="Ground",$S305="Ground"),4,SUM(IF(OR($R305="Flying",$R305="Water"),0-1,IF(OR($R305="Dragon",$R305="Electric",$R305="Grass"),1,0)),IF(OR($S305="Flying",$S305="Water"),0-1,IF(OR($S305="Dragon",$S305="Electric",$S305="Grass"),1,0))))</f>
        <v>0</v>
      </c>
      <c r="AG305" s="507" t="n">
        <f aca="false">SUM(IF(OR($R305="Dark",$R305="Dragon",$R305="Fighting"),0-1,IF(OR($R305="Steel",$R305="Poison",$R305="Fire"),1,0)),IF(OR($S305="Dark",$S305="Dragon",$S305="Fighting"),0-1,IF(OR($S305="Steel",$S305="Poison",$S305="Fire"),1,0)))</f>
        <v>0</v>
      </c>
      <c r="AH305" s="507" t="n">
        <f aca="false">IF(OR($R305="Ghost",$S305="Ghost"),4,SUM(IF(OR($R305="Dark",$R305="Ice",$R305="Normal",$R305="Rock",$R305="Steel"),0-1,IF(OR($R305="Bug",$R305="Fairy",$R305="Flying",$R305="Poison",$R305="Psychic"),1,0)),IF(OR($S305="Dark",$S305="Ice",$S305="Normal",$S305="Rock",$S305="Steel"),0-1,IF(OR($S305="Bug",$S305="Fairy",$S305="Flying",$S305="Poison",$S305="Psychic"),1,0))))</f>
        <v>-1</v>
      </c>
      <c r="AI305" s="507" t="n">
        <f aca="false">SUM(IF(OR($R305="Bug",$R305="Grass",$R305="Ice",$R305="Steel"),0-1,IF(OR($R305="Dragon",$R305="Fire",$R305="Rock",$R305="Water"),1,0)),IF(OR($S305="Bug",$S305="Grass",$S305="Ice",$S305="Steel"),0-1,IF(OR($S305="Dragon",$S305="Fire",$S305="Rock",$S305="Water"),1,0)))</f>
        <v>0</v>
      </c>
      <c r="AJ305" s="507" t="n">
        <f aca="false">SUM(IF(OR($R305="Bug",$R305="Grass",$R305="Fighting"),0-1,IF(OR($R305="Electric",$R305="Rock",$R305="Steel"),1,0)),IF(OR($S305="Bug",$S305="Grass",$S305="Fighting"),0-1,IF(OR($S305="Electric",$S305="Rock",$S305="Steel"),1,0)))</f>
        <v>0</v>
      </c>
      <c r="AK305" s="507" t="n">
        <f aca="false">IF(OR($R305="Normal",$S305="Normal"),4,SUM(IF(OR($R305="Ghost",$R305="Psychic"),0-1,IF($R305="Dark",1,0)),IF(OR($S305="Ghost",$S305="Psychic"),0-1,IF($S305="Dark",1,0))))</f>
        <v>4</v>
      </c>
      <c r="AL305" s="507" t="n">
        <f aca="false">SUM(IF(OR($R305="Ground",$R305="Rock",$R305="Water"),0-1,IF(OR($R305="Bug",$R305="Flying",$R305="Fire",$R305="Dragon",$R305="Poison",$R305="Steel",$R305="Grass"),1,0)),IF(OR($S305="Ground",$S305="Rock",$S305="Water"),0-1,IF(OR($S305="Bug",$S305="Flying",$S305="Fire",$S305="Dragon",$S305="Poison",$S305="Steel",$S305="Grass"),1,0)))</f>
        <v>0</v>
      </c>
      <c r="AM305" s="507" t="n">
        <f aca="false">IF(OR($R305="Flying",$S305="Flying"),4,SUM(IF(OR($R305="Electric",$R305="Fire",$R305="Rock",$R305="Steel",$R305="Poison"),0-1,IF(OR($R305="Bug",$R305="Grass"),1,0)),IF(OR($S305="Electric",$S305="Fire",$S305="Rock",$S305="Steel",$S305="Poison"),0-1,IF(OR($S305="Bug",$S305="Grass"),1,0))))</f>
        <v>0</v>
      </c>
      <c r="AN305" s="507" t="n">
        <f aca="false">SUM(IF(OR($R305="Flying",$R305="Dragon",$R305="Grass",$R305="Ground"),0-1,IF(OR($R305="Steel",$R305="Ice",$R305="Fire",$R305="Water"),1,0)),IF(OR($S305="Flying",$S305="Dragon",$S305="Grass",$S305="Ground"),0-1,IF(OR($S305="Steel",$S305="Ice",$S305="Fire",$S305="Water"),1,0)))</f>
        <v>0</v>
      </c>
      <c r="AO305" s="507" t="n">
        <f aca="false">IF(OR($R305="Ghost",$S305="Ghost"),4,SUM(IF(OR($R305="Steel",$R305="Rock"),1,0),IF(OR($S305="Steel",$S305="Rock"),1,0)))</f>
        <v>0</v>
      </c>
      <c r="AP305" s="507" t="n">
        <f aca="false">IF(OR($R305="Steel",$S305="Steel"),4,SUM(IF(OR($R305="Fairy",$R305="Grass"),0-1,IF(OR($R305="Ghost",$R305="Rock",$R305="Ground",$R305="Poison"),1,0)),IF(OR($S305="Fairy",$S305="Grass"),0-1,IF(OR($S305="Ghost",$S305="Rock",$S305="Ground",$S305="Poison"),1,0))))</f>
        <v>0</v>
      </c>
      <c r="AQ305" s="507" t="n">
        <f aca="false">IF(OR($R305="Dark",$S305="Dark"),4,SUM(IF(OR($R305="Fighting",$R305="Poison"),0-1,IF(OR($R305="Psychic",$R305="Steel"),1,0)),IF(OR($S305="Fighting",$S305="Poison"),0-1,IF(OR($S305="Psychic",$S305="Steel"),1,0))))</f>
        <v>0</v>
      </c>
      <c r="AR305" s="507" t="n">
        <f aca="false">SUM(IF(OR($R305="Bug",$R305="Fire",$R305="Flying",$R305="Ice"),0-1,IF(OR($R305="Steel",$R305="Fighting",$R305="Ground"),1,0)),IF(OR($S305="Bug",$S305="Fire",$S305="Flying",$S305="Ice"),0-1,IF(OR($S305="Steel",$S305="Fighting",$S305="Ground"),1,0)))</f>
        <v>0</v>
      </c>
      <c r="AS305" s="507" t="n">
        <f aca="false">SUM(IF(OR($R305="Fairy",$R305="Ice",$R305="Rock"),0-1,IF(OR($R305="Steel",$R305="Electric",$R305="Fire",$R305="Water"),1,0)),IF(OR($S305="Fairy",$S305="Ice",$S305="Rock"),0-1,IF(OR($S305="Steel",$S305="Electric",$S305="Fire",$S305="Water"),1,0)))</f>
        <v>0</v>
      </c>
      <c r="AT305" s="508" t="n">
        <f aca="false">SUM(IF(OR($R305="Fire",$R305="Ground",$R305="Rock"),0-1,IF(OR($R305="Dragon",$R305="Grass",$R305="Water"),1,0)),IF(OR($S305="Fire",$S305="Ground",$S305="Rock"),0-1,IF(OR($S305="Dragon",$S305="Grass",$S305="Water"),1,0)))</f>
        <v>0</v>
      </c>
      <c r="AU305" s="518"/>
    </row>
    <row r="306" customFormat="false" ht="15.75" hidden="false" customHeight="false" outlineLevel="0" collapsed="false">
      <c r="A306" s="510" t="str">
        <f aca="false" t="array" ref="A306:A306">IF(ISNA(INDEX(Source!$U$7:$U$95,MATCH(B306,Source!$V$7:$V$95,0))),"FREE",INDEX(Source!$U$7:$U$95,MATCH(B306,Source!$V$7:$V$95,0)))</f>
        <v>FREE</v>
      </c>
      <c r="B306" s="511" t="s">
        <v>758</v>
      </c>
      <c r="C306" s="511"/>
      <c r="D306" s="511"/>
      <c r="E306" s="499" t="str">
        <f aca="false">IF(SUM($W306:$X306)&gt;0,SUM($W306:$X306),IF($H306&gt;0,0,IF($H306&gt;0,0,"-")))</f>
        <v>-</v>
      </c>
      <c r="F306" s="499" t="str">
        <f aca="false">IF(SUM($Y306:$Z306)&gt;0,SUM($Y306:$Z306),IF($H306&gt;0,0,"-"))</f>
        <v>-</v>
      </c>
      <c r="G306" s="499" t="str">
        <f aca="false">IF($H306&gt;0,minus(E306,F306),"-")</f>
        <v>-</v>
      </c>
      <c r="H306" s="500" t="n">
        <f aca="false">SUM(COUNTIF(MatchSource!$A:$A,$B306),COUNTIF(MatchSource!$H:$H,$B306))</f>
        <v>0</v>
      </c>
      <c r="I306" s="501" t="n">
        <f aca="false">SUM($AA306:$AB306)</f>
        <v>0</v>
      </c>
      <c r="J306" s="501" t="s">
        <v>702</v>
      </c>
      <c r="K306" s="512" t="str">
        <f aca="false" t="array" ref="K306:K306">IF(ISNA(INDEX(DraftRosters!$AA$3:$AA$199,MATCH($B306,DraftRosters!$AB$3:$AB$199,0))),"FA",IF(INDEX(DraftRosters!$AA$3:$AA$199,MATCH($B306,DraftRosters!$AB$3:$AB$199,0))="Franchise","Franch",INDEX(DraftRosters!$AA$3:$AA$199,MATCH($B306,DraftRosters!$AB$3:$AB$199,0))))</f>
        <v>FA</v>
      </c>
      <c r="L306" s="499" t="n">
        <v>60</v>
      </c>
      <c r="M306" s="499" t="n">
        <v>60</v>
      </c>
      <c r="N306" s="499" t="n">
        <v>60</v>
      </c>
      <c r="O306" s="499" t="n">
        <v>85</v>
      </c>
      <c r="P306" s="499" t="n">
        <v>85</v>
      </c>
      <c r="Q306" s="501" t="n">
        <v>85</v>
      </c>
      <c r="R306" s="499" t="s">
        <v>802</v>
      </c>
      <c r="S306" s="501"/>
      <c r="T306" s="504" t="s">
        <v>866</v>
      </c>
      <c r="U306" s="505"/>
      <c r="V306" s="506"/>
      <c r="W306" s="500" t="str">
        <f aca="false">IFERROR(__xludf.dummyfunction("if(isna(SUM(FILTER(MatchSource!$A:$D,MatchSource!$A:$A=$B306))),0,SUM(FILTER(MatchSource!$A:$D,MatchSource!$A:$A=$B306)))"),"0")</f>
        <v>0</v>
      </c>
      <c r="X306" s="499" t="str">
        <f aca="false">IFERROR(__xludf.dummyfunction("if(isna(SUM(FILTER(MatchSource!$H:$K,MatchSource!$H:$H=$B306))),0,SUM(FILTER(MatchSource!$H:$K,MatchSource!$H:$H=$B306)))"),"0")</f>
        <v>0</v>
      </c>
      <c r="Y306" s="499" t="str">
        <f aca="false">IFERROR(__xludf.dummyfunction("if(isna(ABS(MINUS(SUM(FILTER(MatchSource!$A:$E,MatchSource!$A:$A=$B306)),SUM($W306)))),0,ABS(MINUS(SUM(FILTER(MatchSource!$A:$E,MatchSource!$A:$A=$B306)),SUM($W306))))"),"0")</f>
        <v>0</v>
      </c>
      <c r="Z306" s="499" t="str">
        <f aca="false">IFERROR(__xludf.dummyfunction("if(isna(ABS(MINUS(SUM(FILTER(MatchSource!$H:$L,MatchSource!$H:$H=$B306)),SUM($X306)))),0,ABS(MINUS(SUM(FILTER(MatchSource!$H:$L,MatchSource!$H:$H=$B306)),SUM($X306))))"),"0")</f>
        <v>0</v>
      </c>
      <c r="AA306" s="499" t="str">
        <f aca="false">IFERROR(__xludf.dummyfunction("if(isna(ABS(MINUS(SUM(FILTER(MatchSource!$A:$F,MatchSource!$A:$A=$B306)),SUM($W306,$Y306)))),0,ABS(MINUS(SUM(FILTER(MatchSource!$A:$F,MatchSource!$A:$A=$B306)),SUM($W306, $Y306,))))"),"0")</f>
        <v>0</v>
      </c>
      <c r="AB306" s="501" t="str">
        <f aca="false">IFERROR(__xludf.dummyfunction("if(isna(ABS(MINUS(SUM(FILTER(MatchSource!$H:$M,MatchSource!$H:$H=$B306)),SUM($X306,$Z306)))),0,ABS(MINUS(SUM(FILTER(MatchSource!$H:$M,MatchSource!$H:$H=$B306)),SUM($X306,$Z306))))"),"0")</f>
        <v>0</v>
      </c>
      <c r="AC306" s="507" t="n">
        <f aca="false">SUM(IF(OR($R306="Grass",$R306="Psychic",$R306="Dark"),0-1,IF(OR($R306="Fighting",$R306="Flying",$R306="Fire",$R306="Ghost",$R306="Poison",$R306="Steel",$R306="Fairy"),1,0)),IF(OR($S306="Grass",$S306="Psychic",$S306="Dark"),0-1,IF(OR($S306="Fighting",$S306="Flying",$S306="Fire",$S306="Ghost",$S306="Poison",$S306="Steel",$S306="Fairy"),1,0)))</f>
        <v>1</v>
      </c>
      <c r="AD306" s="507" t="n">
        <f aca="false">SUM(IF(OR($R306="Ghost",$R306="Psychic"),0-1,IF(OR($R306="Fighting",$R306="Dark",$R306="Fairy"),1,0)),IF(OR($S306="Ghost",$S306="Psychic"),0-1,IF(OR($S306="Fighting",$S306="Dark",$S306="Fairy"),1,0)))</f>
        <v>-1</v>
      </c>
      <c r="AE306" s="507" t="n">
        <f aca="false">IF(OR($R306="Fairy",$S306="Fairy"),4,SUM(IF($R306="Dragon",0-1,IF($R306="Steel",1,0)),IF($S306="Dragon",0-1,IF($S306="Steel",1,0))))</f>
        <v>0</v>
      </c>
      <c r="AF306" s="507" t="n">
        <f aca="false">IF(OR($R306="Ground",$S306="Ground"),4,SUM(IF(OR($R306="Flying",$R306="Water"),0-1,IF(OR($R306="Dragon",$R306="Electric",$R306="Grass"),1,0)),IF(OR($S306="Flying",$S306="Water"),0-1,IF(OR($S306="Dragon",$S306="Electric",$S306="Grass"),1,0))))</f>
        <v>0</v>
      </c>
      <c r="AG306" s="507" t="n">
        <f aca="false">SUM(IF(OR($R306="Dark",$R306="Dragon",$R306="Fighting"),0-1,IF(OR($R306="Steel",$R306="Poison",$R306="Fire"),1,0)),IF(OR($S306="Dark",$S306="Dragon",$S306="Fighting"),0-1,IF(OR($S306="Steel",$S306="Poison",$S306="Fire"),1,0)))</f>
        <v>0</v>
      </c>
      <c r="AH306" s="507" t="n">
        <f aca="false">IF(OR($R306="Ghost",$S306="Ghost"),4,SUM(IF(OR($R306="Dark",$R306="Ice",$R306="Normal",$R306="Rock",$R306="Steel"),0-1,IF(OR($R306="Bug",$R306="Fairy",$R306="Flying",$R306="Poison",$R306="Psychic"),1,0)),IF(OR($S306="Dark",$S306="Ice",$S306="Normal",$S306="Rock",$S306="Steel"),0-1,IF(OR($S306="Bug",$S306="Fairy",$S306="Flying",$S306="Poison",$S306="Psychic"),1,0))))</f>
        <v>4</v>
      </c>
      <c r="AI306" s="507" t="n">
        <f aca="false">SUM(IF(OR($R306="Bug",$R306="Grass",$R306="Ice",$R306="Steel"),0-1,IF(OR($R306="Dragon",$R306="Fire",$R306="Rock",$R306="Water"),1,0)),IF(OR($S306="Bug",$S306="Grass",$S306="Ice",$S306="Steel"),0-1,IF(OR($S306="Dragon",$S306="Fire",$S306="Rock",$S306="Water"),1,0)))</f>
        <v>0</v>
      </c>
      <c r="AJ306" s="507" t="n">
        <f aca="false">SUM(IF(OR($R306="Bug",$R306="Grass",$R306="Fighting"),0-1,IF(OR($R306="Electric",$R306="Rock",$R306="Steel"),1,0)),IF(OR($S306="Bug",$S306="Grass",$S306="Fighting"),0-1,IF(OR($S306="Electric",$S306="Rock",$S306="Steel"),1,0)))</f>
        <v>0</v>
      </c>
      <c r="AK306" s="507" t="n">
        <f aca="false">IF(OR($R306="Normal",$S306="Normal"),4,SUM(IF(OR($R306="Ghost",$R306="Psychic"),0-1,IF($R306="Dark",1,0)),IF(OR($S306="Ghost",$S306="Psychic"),0-1,IF($S306="Dark",1,0))))</f>
        <v>-1</v>
      </c>
      <c r="AL306" s="507" t="n">
        <f aca="false">SUM(IF(OR($R306="Ground",$R306="Rock",$R306="Water"),0-1,IF(OR($R306="Bug",$R306="Flying",$R306="Fire",$R306="Dragon",$R306="Poison",$R306="Steel",$R306="Grass"),1,0)),IF(OR($S306="Ground",$S306="Rock",$S306="Water"),0-1,IF(OR($S306="Bug",$S306="Flying",$S306="Fire",$S306="Dragon",$S306="Poison",$S306="Steel",$S306="Grass"),1,0)))</f>
        <v>0</v>
      </c>
      <c r="AM306" s="507" t="n">
        <f aca="false">IF(OR($R306="Flying",$S306="Flying"),4,SUM(IF(OR($R306="Electric",$R306="Fire",$R306="Rock",$R306="Steel",$R306="Poison"),0-1,IF(OR($R306="Bug",$R306="Grass"),1,0)),IF(OR($S306="Electric",$S306="Fire",$S306="Rock",$S306="Steel",$S306="Poison"),0-1,IF(OR($S306="Bug",$S306="Grass"),1,0))))</f>
        <v>0</v>
      </c>
      <c r="AN306" s="507" t="n">
        <f aca="false">SUM(IF(OR($R306="Flying",$R306="Dragon",$R306="Grass",$R306="Ground"),0-1,IF(OR($R306="Steel",$R306="Ice",$R306="Fire",$R306="Water"),1,0)),IF(OR($S306="Flying",$S306="Dragon",$S306="Grass",$S306="Ground"),0-1,IF(OR($S306="Steel",$S306="Ice",$S306="Fire",$S306="Water"),1,0)))</f>
        <v>0</v>
      </c>
      <c r="AO306" s="507" t="n">
        <f aca="false">IF(OR($R306="Ghost",$S306="Ghost"),4,SUM(IF(OR($R306="Steel",$R306="Rock"),1,0),IF(OR($S306="Steel",$S306="Rock"),1,0)))</f>
        <v>4</v>
      </c>
      <c r="AP306" s="507" t="n">
        <f aca="false">IF(OR($R306="Steel",$S306="Steel"),4,SUM(IF(OR($R306="Fairy",$R306="Grass"),0-1,IF(OR($R306="Ghost",$R306="Rock",$R306="Ground",$R306="Poison"),1,0)),IF(OR($S306="Fairy",$S306="Grass"),0-1,IF(OR($S306="Ghost",$S306="Rock",$S306="Ground",$S306="Poison"),1,0))))</f>
        <v>1</v>
      </c>
      <c r="AQ306" s="507" t="n">
        <f aca="false">IF(OR($R306="Dark",$S306="Dark"),4,SUM(IF(OR($R306="Fighting",$R306="Poison"),0-1,IF(OR($R306="Psychic",$R306="Steel"),1,0)),IF(OR($S306="Fighting",$S306="Poison"),0-1,IF(OR($S306="Psychic",$S306="Steel"),1,0))))</f>
        <v>0</v>
      </c>
      <c r="AR306" s="507" t="n">
        <f aca="false">SUM(IF(OR($R306="Bug",$R306="Fire",$R306="Flying",$R306="Ice"),0-1,IF(OR($R306="Steel",$R306="Fighting",$R306="Ground"),1,0)),IF(OR($S306="Bug",$S306="Fire",$S306="Flying",$S306="Ice"),0-1,IF(OR($S306="Steel",$S306="Fighting",$S306="Ground"),1,0)))</f>
        <v>0</v>
      </c>
      <c r="AS306" s="507" t="n">
        <f aca="false">SUM(IF(OR($R306="Fairy",$R306="Ice",$R306="Rock"),0-1,IF(OR($R306="Steel",$R306="Electric",$R306="Fire",$R306="Water"),1,0)),IF(OR($S306="Fairy",$S306="Ice",$S306="Rock"),0-1,IF(OR($S306="Steel",$S306="Electric",$S306="Fire",$S306="Water"),1,0)))</f>
        <v>0</v>
      </c>
      <c r="AT306" s="508" t="n">
        <f aca="false">SUM(IF(OR($R306="Fire",$R306="Ground",$R306="Rock"),0-1,IF(OR($R306="Dragon",$R306="Grass",$R306="Water"),1,0)),IF(OR($S306="Fire",$S306="Ground",$S306="Rock"),0-1,IF(OR($S306="Dragon",$S306="Grass",$S306="Water"),1,0)))</f>
        <v>0</v>
      </c>
      <c r="AU306" s="518"/>
    </row>
    <row r="307" customFormat="false" ht="15.75" hidden="false" customHeight="false" outlineLevel="0" collapsed="false">
      <c r="A307" s="510" t="str">
        <f aca="false" t="array" ref="A307:A307">IF(ISNA(INDEX(Source!$U$7:$U$95,MATCH(B307,Source!$V$7:$V$95,0))),"FREE",INDEX(Source!$U$7:$U$95,MATCH(B307,Source!$V$7:$V$95,0)))</f>
        <v>FREE</v>
      </c>
      <c r="B307" s="511" t="s">
        <v>583</v>
      </c>
      <c r="C307" s="511"/>
      <c r="D307" s="511"/>
      <c r="E307" s="499" t="str">
        <f aca="false">IF(SUM($W307:$X307)&gt;0,SUM($W307:$X307),IF($H307&gt;0,0,IF($H307&gt;0,0,"-")))</f>
        <v>-</v>
      </c>
      <c r="F307" s="499" t="str">
        <f aca="false">IF(SUM($Y307:$Z307)&gt;0,SUM($Y307:$Z307),IF($H307&gt;0,0,"-"))</f>
        <v>-</v>
      </c>
      <c r="G307" s="499" t="str">
        <f aca="false">IF($H307&gt;0,minus(E307,F307),"-")</f>
        <v>-</v>
      </c>
      <c r="H307" s="500" t="n">
        <f aca="false">SUM(COUNTIF(MatchSource!$A:$A,$B307),COUNTIF(MatchSource!$H:$H,$B307))</f>
        <v>0</v>
      </c>
      <c r="I307" s="501" t="n">
        <f aca="false">SUM($AA307:$AB307)</f>
        <v>0</v>
      </c>
      <c r="J307" s="501" t="s">
        <v>701</v>
      </c>
      <c r="K307" s="512" t="str">
        <f aca="false" t="array" ref="K307:K307">IF(ISNA(INDEX(DraftRosters!$AA$3:$AA$199,MATCH($B307,DraftRosters!$AB$3:$AB$199,0))),"FA",IF(INDEX(DraftRosters!$AA$3:$AA$199,MATCH($B307,DraftRosters!$AB$3:$AB$199,0))="Franchise","Franch",INDEX(DraftRosters!$AA$3:$AA$199,MATCH($B307,DraftRosters!$AB$3:$AB$199,0))))</f>
        <v>FA</v>
      </c>
      <c r="L307" s="507" t="n">
        <v>60</v>
      </c>
      <c r="M307" s="507" t="n">
        <v>60</v>
      </c>
      <c r="N307" s="507" t="n">
        <v>60</v>
      </c>
      <c r="O307" s="507" t="n">
        <v>105</v>
      </c>
      <c r="P307" s="507" t="n">
        <v>105</v>
      </c>
      <c r="Q307" s="508" t="n">
        <v>105</v>
      </c>
      <c r="R307" s="499" t="s">
        <v>802</v>
      </c>
      <c r="S307" s="501"/>
      <c r="T307" s="504" t="s">
        <v>866</v>
      </c>
      <c r="U307" s="505"/>
      <c r="V307" s="506"/>
      <c r="W307" s="500" t="str">
        <f aca="false">IFERROR(__xludf.dummyfunction("if(isna(SUM(FILTER(MatchSource!$A:$D,MatchSource!$A:$A=$B307))),0,SUM(FILTER(MatchSource!$A:$D,MatchSource!$A:$A=$B307)))"),"0")</f>
        <v>0</v>
      </c>
      <c r="X307" s="499" t="str">
        <f aca="false">IFERROR(__xludf.dummyfunction("if(isna(SUM(FILTER(MatchSource!$H:$K,MatchSource!$H:$H=$B307))),0,SUM(FILTER(MatchSource!$H:$K,MatchSource!$H:$H=$B307)))"),"0")</f>
        <v>0</v>
      </c>
      <c r="Y307" s="499" t="str">
        <f aca="false">IFERROR(__xludf.dummyfunction("if(isna(ABS(MINUS(SUM(FILTER(MatchSource!$A:$E,MatchSource!$A:$A=$B307)),SUM($W307)))),0,ABS(MINUS(SUM(FILTER(MatchSource!$A:$E,MatchSource!$A:$A=$B307)),SUM($W307))))"),"0")</f>
        <v>0</v>
      </c>
      <c r="Z307" s="499" t="str">
        <f aca="false">IFERROR(__xludf.dummyfunction("if(isna(ABS(MINUS(SUM(FILTER(MatchSource!$H:$L,MatchSource!$H:$H=$B307)),SUM($X307)))),0,ABS(MINUS(SUM(FILTER(MatchSource!$H:$L,MatchSource!$H:$H=$B307)),SUM($X307))))"),"0")</f>
        <v>0</v>
      </c>
      <c r="AA307" s="499" t="str">
        <f aca="false">IFERROR(__xludf.dummyfunction("if(isna(ABS(MINUS(SUM(FILTER(MatchSource!$A:$F,MatchSource!$A:$A=$B307)),SUM($W307,$Y307)))),0,ABS(MINUS(SUM(FILTER(MatchSource!$A:$F,MatchSource!$A:$A=$B307)),SUM($W307, $Y307,))))"),"0")</f>
        <v>0</v>
      </c>
      <c r="AB307" s="501" t="str">
        <f aca="false">IFERROR(__xludf.dummyfunction("if(isna(ABS(MINUS(SUM(FILTER(MatchSource!$H:$M,MatchSource!$H:$H=$B307)),SUM($X307,$Z307)))),0,ABS(MINUS(SUM(FILTER(MatchSource!$H:$M,MatchSource!$H:$H=$B307)),SUM($X307,$Z307))))"),"0")</f>
        <v>0</v>
      </c>
      <c r="AC307" s="507" t="n">
        <f aca="false">SUM(IF(OR($R307="Grass",$R307="Psychic",$R307="Dark"),0-1,IF(OR($R307="Fighting",$R307="Flying",$R307="Fire",$R307="Ghost",$R307="Poison",$R307="Steel",$R307="Fairy"),1,0)),IF(OR($S307="Grass",$S307="Psychic",$S307="Dark"),0-1,IF(OR($S307="Fighting",$S307="Flying",$S307="Fire",$S307="Ghost",$S307="Poison",$S307="Steel",$S307="Fairy"),1,0)))</f>
        <v>1</v>
      </c>
      <c r="AD307" s="507" t="n">
        <f aca="false">SUM(IF(OR($R307="Ghost",$R307="Psychic"),0-1,IF(OR($R307="Fighting",$R307="Dark",$R307="Fairy"),1,0)),IF(OR($S307="Ghost",$S307="Psychic"),0-1,IF(OR($S307="Fighting",$S307="Dark",$S307="Fairy"),1,0)))</f>
        <v>-1</v>
      </c>
      <c r="AE307" s="507" t="n">
        <f aca="false">IF(OR($R307="Fairy",$S307="Fairy"),4,SUM(IF($R307="Dragon",0-1,IF($R307="Steel",1,0)),IF($S307="Dragon",0-1,IF($S307="Steel",1,0))))</f>
        <v>0</v>
      </c>
      <c r="AF307" s="507" t="n">
        <f aca="false">IF(OR($R307="Ground",$S307="Ground"),4,SUM(IF(OR($R307="Flying",$R307="Water"),0-1,IF(OR($R307="Dragon",$R307="Electric",$R307="Grass"),1,0)),IF(OR($S307="Flying",$S307="Water"),0-1,IF(OR($S307="Dragon",$S307="Electric",$S307="Grass"),1,0))))</f>
        <v>0</v>
      </c>
      <c r="AG307" s="507" t="n">
        <f aca="false">SUM(IF(OR($R307="Dark",$R307="Dragon",$R307="Fighting"),0-1,IF(OR($R307="Steel",$R307="Poison",$R307="Fire"),1,0)),IF(OR($S307="Dark",$S307="Dragon",$S307="Fighting"),0-1,IF(OR($S307="Steel",$S307="Poison",$S307="Fire"),1,0)))</f>
        <v>0</v>
      </c>
      <c r="AH307" s="507" t="n">
        <f aca="false">IF(OR($R307="Ghost",$S307="Ghost"),4,SUM(IF(OR($R307="Dark",$R307="Ice",$R307="Normal",$R307="Rock",$R307="Steel"),0-1,IF(OR($R307="Bug",$R307="Fairy",$R307="Flying",$R307="Poison",$R307="Psychic"),1,0)),IF(OR($S307="Dark",$S307="Ice",$S307="Normal",$S307="Rock",$S307="Steel"),0-1,IF(OR($S307="Bug",$S307="Fairy",$S307="Flying",$S307="Poison",$S307="Psychic"),1,0))))</f>
        <v>4</v>
      </c>
      <c r="AI307" s="507" t="n">
        <f aca="false">SUM(IF(OR($R307="Bug",$R307="Grass",$R307="Ice",$R307="Steel"),0-1,IF(OR($R307="Dragon",$R307="Fire",$R307="Rock",$R307="Water"),1,0)),IF(OR($S307="Bug",$S307="Grass",$S307="Ice",$S307="Steel"),0-1,IF(OR($S307="Dragon",$S307="Fire",$S307="Rock",$S307="Water"),1,0)))</f>
        <v>0</v>
      </c>
      <c r="AJ307" s="507" t="n">
        <f aca="false">SUM(IF(OR($R307="Bug",$R307="Grass",$R307="Fighting"),0-1,IF(OR($R307="Electric",$R307="Rock",$R307="Steel"),1,0)),IF(OR($S307="Bug",$S307="Grass",$S307="Fighting"),0-1,IF(OR($S307="Electric",$S307="Rock",$S307="Steel"),1,0)))</f>
        <v>0</v>
      </c>
      <c r="AK307" s="507" t="n">
        <f aca="false">IF(OR($R307="Normal",$S307="Normal"),4,SUM(IF(OR($R307="Ghost",$R307="Psychic"),0-1,IF($R307="Dark",1,0)),IF(OR($S307="Ghost",$S307="Psychic"),0-1,IF($S307="Dark",1,0))))</f>
        <v>-1</v>
      </c>
      <c r="AL307" s="507" t="n">
        <f aca="false">SUM(IF(OR($R307="Ground",$R307="Rock",$R307="Water"),0-1,IF(OR($R307="Bug",$R307="Flying",$R307="Fire",$R307="Dragon",$R307="Poison",$R307="Steel",$R307="Grass"),1,0)),IF(OR($S307="Ground",$S307="Rock",$S307="Water"),0-1,IF(OR($S307="Bug",$S307="Flying",$S307="Fire",$S307="Dragon",$S307="Poison",$S307="Steel",$S307="Grass"),1,0)))</f>
        <v>0</v>
      </c>
      <c r="AM307" s="507" t="n">
        <f aca="false">IF(OR($R307="Flying",$S307="Flying"),4,SUM(IF(OR($R307="Electric",$R307="Fire",$R307="Rock",$R307="Steel",$R307="Poison"),0-1,IF(OR($R307="Bug",$R307="Grass"),1,0)),IF(OR($S307="Electric",$S307="Fire",$S307="Rock",$S307="Steel",$S307="Poison"),0-1,IF(OR($S307="Bug",$S307="Grass"),1,0))))</f>
        <v>0</v>
      </c>
      <c r="AN307" s="507" t="n">
        <f aca="false">SUM(IF(OR($R307="Flying",$R307="Dragon",$R307="Grass",$R307="Ground"),0-1,IF(OR($R307="Steel",$R307="Ice",$R307="Fire",$R307="Water"),1,0)),IF(OR($S307="Flying",$S307="Dragon",$S307="Grass",$S307="Ground"),0-1,IF(OR($S307="Steel",$S307="Ice",$S307="Fire",$S307="Water"),1,0)))</f>
        <v>0</v>
      </c>
      <c r="AO307" s="507" t="n">
        <f aca="false">IF(OR($R307="Ghost",$S307="Ghost"),4,SUM(IF(OR($R307="Steel",$R307="Rock"),1,0),IF(OR($S307="Steel",$S307="Rock"),1,0)))</f>
        <v>4</v>
      </c>
      <c r="AP307" s="507" t="n">
        <f aca="false">IF(OR($R307="Steel",$S307="Steel"),4,SUM(IF(OR($R307="Fairy",$R307="Grass"),0-1,IF(OR($R307="Ghost",$R307="Rock",$R307="Ground",$R307="Poison"),1,0)),IF(OR($S307="Fairy",$S307="Grass"),0-1,IF(OR($S307="Ghost",$S307="Rock",$S307="Ground",$S307="Poison"),1,0))))</f>
        <v>1</v>
      </c>
      <c r="AQ307" s="507" t="n">
        <f aca="false">IF(OR($R307="Dark",$S307="Dark"),4,SUM(IF(OR($R307="Fighting",$R307="Poison"),0-1,IF(OR($R307="Psychic",$R307="Steel"),1,0)),IF(OR($S307="Fighting",$S307="Poison"),0-1,IF(OR($S307="Psychic",$S307="Steel"),1,0))))</f>
        <v>0</v>
      </c>
      <c r="AR307" s="507" t="n">
        <f aca="false">SUM(IF(OR($R307="Bug",$R307="Fire",$R307="Flying",$R307="Ice"),0-1,IF(OR($R307="Steel",$R307="Fighting",$R307="Ground"),1,0)),IF(OR($S307="Bug",$S307="Fire",$S307="Flying",$S307="Ice"),0-1,IF(OR($S307="Steel",$S307="Fighting",$S307="Ground"),1,0)))</f>
        <v>0</v>
      </c>
      <c r="AS307" s="507" t="n">
        <f aca="false">SUM(IF(OR($R307="Fairy",$R307="Ice",$R307="Rock"),0-1,IF(OR($R307="Steel",$R307="Electric",$R307="Fire",$R307="Water"),1,0)),IF(OR($S307="Fairy",$S307="Ice",$S307="Rock"),0-1,IF(OR($S307="Steel",$S307="Electric",$S307="Fire",$S307="Water"),1,0)))</f>
        <v>0</v>
      </c>
      <c r="AT307" s="508" t="n">
        <f aca="false">SUM(IF(OR($R307="Fire",$R307="Ground",$R307="Rock"),0-1,IF(OR($R307="Dragon",$R307="Grass",$R307="Water"),1,0)),IF(OR($S307="Fire",$S307="Ground",$S307="Rock"),0-1,IF(OR($S307="Dragon",$S307="Grass",$S307="Water"),1,0)))</f>
        <v>0</v>
      </c>
      <c r="AU307" s="518"/>
    </row>
    <row r="308" customFormat="false" ht="15.75" hidden="false" customHeight="false" outlineLevel="0" collapsed="false">
      <c r="A308" s="510" t="str">
        <f aca="false" t="array" ref="A308:A308">IF(ISNA(INDEX(Source!$U$7:$U$95,MATCH(B308,Source!$V$7:$V$95,0))),"FREE",INDEX(Source!$U$7:$U$95,MATCH(B308,Source!$V$7:$V$95,0)))</f>
        <v>FREE</v>
      </c>
      <c r="B308" s="511" t="s">
        <v>587</v>
      </c>
      <c r="C308" s="511"/>
      <c r="D308" s="511"/>
      <c r="E308" s="499" t="str">
        <f aca="false">IF(SUM($W308:$X308)&gt;0,SUM($W308:$X308),IF($H308&gt;0,0,IF($H308&gt;0,0,"-")))</f>
        <v>-</v>
      </c>
      <c r="F308" s="499" t="str">
        <f aca="false">IF(SUM($Y308:$Z308)&gt;0,SUM($Y308:$Z308),IF($H308&gt;0,0,"-"))</f>
        <v>-</v>
      </c>
      <c r="G308" s="499" t="str">
        <f aca="false">IF($H308&gt;0,minus(E308,F308),"-")</f>
        <v>-</v>
      </c>
      <c r="H308" s="500" t="n">
        <f aca="false">SUM(COUNTIF(MatchSource!$A:$A,$B308),COUNTIF(MatchSource!$H:$H,$B308))</f>
        <v>0</v>
      </c>
      <c r="I308" s="501" t="n">
        <f aca="false">SUM($AA308:$AB308)</f>
        <v>0</v>
      </c>
      <c r="J308" s="501" t="s">
        <v>701</v>
      </c>
      <c r="K308" s="512" t="str">
        <f aca="false" t="array" ref="K308:K308">IF(ISNA(INDEX(DraftRosters!$AA$3:$AA$199,MATCH($B308,DraftRosters!$AB$3:$AB$199,0))),"FA",IF(INDEX(DraftRosters!$AA$3:$AA$199,MATCH($B308,DraftRosters!$AB$3:$AB$199,0))="Franchise","Franch",INDEX(DraftRosters!$AA$3:$AA$199,MATCH($B308,DraftRosters!$AB$3:$AB$199,0))))</f>
        <v>FA</v>
      </c>
      <c r="L308" s="499" t="n">
        <v>90</v>
      </c>
      <c r="M308" s="499" t="n">
        <v>100</v>
      </c>
      <c r="N308" s="499" t="n">
        <v>90</v>
      </c>
      <c r="O308" s="499" t="n">
        <v>125</v>
      </c>
      <c r="P308" s="499" t="n">
        <v>85</v>
      </c>
      <c r="Q308" s="501" t="n">
        <v>90</v>
      </c>
      <c r="R308" s="499" t="s">
        <v>800</v>
      </c>
      <c r="S308" s="501" t="s">
        <v>801</v>
      </c>
      <c r="T308" s="504" t="s">
        <v>816</v>
      </c>
      <c r="U308" s="505" t="s">
        <v>913</v>
      </c>
      <c r="V308" s="506"/>
      <c r="W308" s="500" t="str">
        <f aca="false">IFERROR(__xludf.dummyfunction("if(isna(SUM(FILTER(MatchSource!$A:$D,MatchSource!$A:$A=$B308))),0,SUM(FILTER(MatchSource!$A:$D,MatchSource!$A:$A=$B308)))"),"0")</f>
        <v>0</v>
      </c>
      <c r="X308" s="499" t="str">
        <f aca="false">IFERROR(__xludf.dummyfunction("if(isna(SUM(FILTER(MatchSource!$H:$K,MatchSource!$H:$H=$B308))),0,SUM(FILTER(MatchSource!$H:$K,MatchSource!$H:$H=$B308)))"),"0")</f>
        <v>0</v>
      </c>
      <c r="Y308" s="499" t="str">
        <f aca="false">IFERROR(__xludf.dummyfunction("if(isna(ABS(MINUS(SUM(FILTER(MatchSource!$A:$E,MatchSource!$A:$A=$B308)),SUM($W308)))),0,ABS(MINUS(SUM(FILTER(MatchSource!$A:$E,MatchSource!$A:$A=$B308)),SUM($W308))))"),"0")</f>
        <v>0</v>
      </c>
      <c r="Z308" s="499" t="str">
        <f aca="false">IFERROR(__xludf.dummyfunction("if(isna(ABS(MINUS(SUM(FILTER(MatchSource!$H:$L,MatchSource!$H:$H=$B308)),SUM($X308)))),0,ABS(MINUS(SUM(FILTER(MatchSource!$H:$L,MatchSource!$H:$H=$B308)),SUM($X308))))"),"0")</f>
        <v>0</v>
      </c>
      <c r="AA308" s="499" t="str">
        <f aca="false">IFERROR(__xludf.dummyfunction("if(isna(ABS(MINUS(SUM(FILTER(MatchSource!$A:$F,MatchSource!$A:$A=$B308)),SUM($W308,$Y308)))),0,ABS(MINUS(SUM(FILTER(MatchSource!$A:$F,MatchSource!$A:$A=$B308)),SUM($W308, $Y308,))))"),"0")</f>
        <v>0</v>
      </c>
      <c r="AB308" s="501" t="str">
        <f aca="false">IFERROR(__xludf.dummyfunction("if(isna(ABS(MINUS(SUM(FILTER(MatchSource!$H:$M,MatchSource!$H:$H=$B308)),SUM($X308,$Z308)))),0,ABS(MINUS(SUM(FILTER(MatchSource!$H:$M,MatchSource!$H:$H=$B308)),SUM($X308,$Z308))))"),"0")</f>
        <v>0</v>
      </c>
      <c r="AC308" s="507" t="n">
        <f aca="false">SUM(IF(OR($R308="Grass",$R308="Psychic",$R308="Dark"),0-1,IF(OR($R308="Fighting",$R308="Flying",$R308="Fire",$R308="Ghost",$R308="Poison",$R308="Steel",$R308="Fairy"),1,0)),IF(OR($S308="Grass",$S308="Psychic",$S308="Dark"),0-1,IF(OR($S308="Fighting",$S308="Flying",$S308="Fire",$S308="Ghost",$S308="Poison",$S308="Steel",$S308="Fairy"),1,0)))</f>
        <v>2</v>
      </c>
      <c r="AD308" s="507" t="n">
        <f aca="false">SUM(IF(OR($R308="Ghost",$R308="Psychic"),0-1,IF(OR($R308="Fighting",$R308="Dark",$R308="Fairy"),1,0)),IF(OR($S308="Ghost",$S308="Psychic"),0-1,IF(OR($S308="Fighting",$S308="Dark",$S308="Fairy"),1,0)))</f>
        <v>0</v>
      </c>
      <c r="AE308" s="507" t="n">
        <f aca="false">IF(OR($R308="Fairy",$S308="Fairy"),4,SUM(IF($R308="Dragon",0-1,IF($R308="Steel",1,0)),IF($S308="Dragon",0-1,IF($S308="Steel",1,0))))</f>
        <v>0</v>
      </c>
      <c r="AF308" s="507" t="n">
        <f aca="false">IF(OR($R308="Ground",$S308="Ground"),4,SUM(IF(OR($R308="Flying",$R308="Water"),0-1,IF(OR($R308="Dragon",$R308="Electric",$R308="Grass"),1,0)),IF(OR($S308="Flying",$S308="Water"),0-1,IF(OR($S308="Dragon",$S308="Electric",$S308="Grass"),1,0))))</f>
        <v>-1</v>
      </c>
      <c r="AG308" s="507" t="n">
        <f aca="false">SUM(IF(OR($R308="Dark",$R308="Dragon",$R308="Fighting"),0-1,IF(OR($R308="Steel",$R308="Poison",$R308="Fire"),1,0)),IF(OR($S308="Dark",$S308="Dragon",$S308="Fighting"),0-1,IF(OR($S308="Steel",$S308="Poison",$S308="Fire"),1,0)))</f>
        <v>1</v>
      </c>
      <c r="AH308" s="507" t="n">
        <f aca="false">IF(OR($R308="Ghost",$S308="Ghost"),4,SUM(IF(OR($R308="Dark",$R308="Ice",$R308="Normal",$R308="Rock",$R308="Steel"),0-1,IF(OR($R308="Bug",$R308="Fairy",$R308="Flying",$R308="Poison",$R308="Psychic"),1,0)),IF(OR($S308="Dark",$S308="Ice",$S308="Normal",$S308="Rock",$S308="Steel"),0-1,IF(OR($S308="Bug",$S308="Fairy",$S308="Flying",$S308="Poison",$S308="Psychic"),1,0))))</f>
        <v>1</v>
      </c>
      <c r="AI308" s="507" t="n">
        <f aca="false">SUM(IF(OR($R308="Bug",$R308="Grass",$R308="Ice",$R308="Steel"),0-1,IF(OR($R308="Dragon",$R308="Fire",$R308="Rock",$R308="Water"),1,0)),IF(OR($S308="Bug",$S308="Grass",$S308="Ice",$S308="Steel"),0-1,IF(OR($S308="Dragon",$S308="Fire",$S308="Rock",$S308="Water"),1,0)))</f>
        <v>1</v>
      </c>
      <c r="AJ308" s="507" t="n">
        <f aca="false">SUM(IF(OR($R308="Bug",$R308="Grass",$R308="Fighting"),0-1,IF(OR($R308="Electric",$R308="Rock",$R308="Steel"),1,0)),IF(OR($S308="Bug",$S308="Grass",$S308="Fighting"),0-1,IF(OR($S308="Electric",$S308="Rock",$S308="Steel"),1,0)))</f>
        <v>0</v>
      </c>
      <c r="AK308" s="507" t="n">
        <f aca="false">IF(OR($R308="Normal",$S308="Normal"),4,SUM(IF(OR($R308="Ghost",$R308="Psychic"),0-1,IF($R308="Dark",1,0)),IF(OR($S308="Ghost",$S308="Psychic"),0-1,IF($S308="Dark",1,0))))</f>
        <v>0</v>
      </c>
      <c r="AL308" s="507" t="n">
        <f aca="false">SUM(IF(OR($R308="Ground",$R308="Rock",$R308="Water"),0-1,IF(OR($R308="Bug",$R308="Flying",$R308="Fire",$R308="Dragon",$R308="Poison",$R308="Steel",$R308="Grass"),1,0)),IF(OR($S308="Ground",$S308="Rock",$S308="Water"),0-1,IF(OR($S308="Bug",$S308="Flying",$S308="Fire",$S308="Dragon",$S308="Poison",$S308="Steel",$S308="Grass"),1,0)))</f>
        <v>2</v>
      </c>
      <c r="AM308" s="507" t="n">
        <f aca="false">IF(OR($R308="Flying",$S308="Flying"),4,SUM(IF(OR($R308="Electric",$R308="Fire",$R308="Rock",$R308="Steel",$R308="Poison"),0-1,IF(OR($R308="Bug",$R308="Grass"),1,0)),IF(OR($S308="Electric",$S308="Fire",$S308="Rock",$S308="Steel",$S308="Poison"),0-1,IF(OR($S308="Bug",$S308="Grass"),1,0))))</f>
        <v>4</v>
      </c>
      <c r="AN308" s="507" t="n">
        <f aca="false">SUM(IF(OR($R308="Flying",$R308="Dragon",$R308="Grass",$R308="Ground"),0-1,IF(OR($R308="Steel",$R308="Ice",$R308="Fire",$R308="Water"),1,0)),IF(OR($S308="Flying",$S308="Dragon",$S308="Grass",$S308="Ground"),0-1,IF(OR($S308="Steel",$S308="Ice",$S308="Fire",$S308="Water"),1,0)))</f>
        <v>0</v>
      </c>
      <c r="AO308" s="507" t="n">
        <f aca="false">IF(OR($R308="Ghost",$S308="Ghost"),4,SUM(IF(OR($R308="Steel",$R308="Rock"),1,0),IF(OR($S308="Steel",$S308="Rock"),1,0)))</f>
        <v>0</v>
      </c>
      <c r="AP308" s="507" t="n">
        <f aca="false">IF(OR($R308="Steel",$S308="Steel"),4,SUM(IF(OR($R308="Fairy",$R308="Grass"),0-1,IF(OR($R308="Ghost",$R308="Rock",$R308="Ground",$R308="Poison"),1,0)),IF(OR($S308="Fairy",$S308="Grass"),0-1,IF(OR($S308="Ghost",$S308="Rock",$S308="Ground",$S308="Poison"),1,0))))</f>
        <v>0</v>
      </c>
      <c r="AQ308" s="507" t="n">
        <f aca="false">IF(OR($R308="Dark",$S308="Dark"),4,SUM(IF(OR($R308="Fighting",$R308="Poison"),0-1,IF(OR($R308="Psychic",$R308="Steel"),1,0)),IF(OR($S308="Fighting",$S308="Poison"),0-1,IF(OR($S308="Psychic",$S308="Steel"),1,0))))</f>
        <v>0</v>
      </c>
      <c r="AR308" s="507" t="n">
        <f aca="false">SUM(IF(OR($R308="Bug",$R308="Fire",$R308="Flying",$R308="Ice"),0-1,IF(OR($R308="Steel",$R308="Fighting",$R308="Ground"),1,0)),IF(OR($S308="Bug",$S308="Fire",$S308="Flying",$S308="Ice"),0-1,IF(OR($S308="Steel",$S308="Fighting",$S308="Ground"),1,0)))</f>
        <v>-2</v>
      </c>
      <c r="AS308" s="507" t="n">
        <f aca="false">SUM(IF(OR($R308="Fairy",$R308="Ice",$R308="Rock"),0-1,IF(OR($R308="Steel",$R308="Electric",$R308="Fire",$R308="Water"),1,0)),IF(OR($S308="Fairy",$S308="Ice",$S308="Rock"),0-1,IF(OR($S308="Steel",$S308="Electric",$S308="Fire",$S308="Water"),1,0)))</f>
        <v>1</v>
      </c>
      <c r="AT308" s="508" t="n">
        <f aca="false">SUM(IF(OR($R308="Fire",$R308="Ground",$R308="Rock"),0-1,IF(OR($R308="Dragon",$R308="Grass",$R308="Water"),1,0)),IF(OR($S308="Fire",$S308="Ground",$S308="Rock"),0-1,IF(OR($S308="Dragon",$S308="Grass",$S308="Water"),1,0)))</f>
        <v>-1</v>
      </c>
      <c r="AU308" s="518"/>
    </row>
    <row r="309" customFormat="false" ht="15.75" hidden="false" customHeight="false" outlineLevel="0" collapsed="false">
      <c r="A309" s="515" t="str">
        <f aca="false" t="array" ref="A309:A309">IF(ISNA(INDEX(Source!$U$7:$U$95,MATCH(B309,Source!$V$7:$V$95,0))),"FREE",INDEX(Source!$U$7:$U$95,MATCH(B309,Source!$V$7:$V$95,0)))</f>
        <v>FREE</v>
      </c>
      <c r="B309" s="511" t="s">
        <v>759</v>
      </c>
      <c r="C309" s="511"/>
      <c r="D309" s="511"/>
      <c r="E309" s="499" t="str">
        <f aca="false">IF(SUM($W309:$X309)&gt;0,SUM($W309:$X309),IF($H309&gt;0,0,IF($H309&gt;0,0,"-")))</f>
        <v>-</v>
      </c>
      <c r="F309" s="499" t="str">
        <f aca="false">IF(SUM($Y309:$Z309)&gt;0,SUM($Y309:$Z309),IF($H309&gt;0,0,"-"))</f>
        <v>-</v>
      </c>
      <c r="G309" s="499" t="str">
        <f aca="false">IF($H309&gt;0,minus(E309,F309),"-")</f>
        <v>-</v>
      </c>
      <c r="H309" s="500" t="n">
        <f aca="false">SUM(COUNTIF(MatchSource!$A:$A,$B309),COUNTIF(MatchSource!$H:$H,$B309))</f>
        <v>0</v>
      </c>
      <c r="I309" s="501" t="n">
        <f aca="false">SUM($AA309:$AB309)</f>
        <v>0</v>
      </c>
      <c r="J309" s="501" t="s">
        <v>702</v>
      </c>
      <c r="K309" s="512" t="str">
        <f aca="false" t="array" ref="K309:K309">IF(ISNA(INDEX(DraftRosters!$AA$3:$AA$199,MATCH($B309,DraftRosters!$AB$3:$AB$199,0))),"FA",IF(INDEX(DraftRosters!$AA$3:$AA$199,MATCH($B309,DraftRosters!$AB$3:$AB$199,0))="Franchise","Franch",INDEX(DraftRosters!$AA$3:$AA$199,MATCH($B309,DraftRosters!$AB$3:$AB$199,0))))</f>
        <v>FA</v>
      </c>
      <c r="L309" s="499" t="n">
        <v>64</v>
      </c>
      <c r="M309" s="499" t="n">
        <v>78</v>
      </c>
      <c r="N309" s="499" t="n">
        <v>52</v>
      </c>
      <c r="O309" s="499" t="n">
        <v>78</v>
      </c>
      <c r="P309" s="499" t="n">
        <v>52</v>
      </c>
      <c r="Q309" s="501" t="n">
        <v>81</v>
      </c>
      <c r="R309" s="499" t="s">
        <v>800</v>
      </c>
      <c r="S309" s="501"/>
      <c r="T309" s="504" t="s">
        <v>893</v>
      </c>
      <c r="U309" s="505" t="s">
        <v>931</v>
      </c>
      <c r="V309" s="506"/>
      <c r="W309" s="500" t="str">
        <f aca="false">IFERROR(__xludf.dummyfunction("if(isna(SUM(FILTER(MatchSource!$A:$D,MatchSource!$A:$A=$B309))),0,SUM(FILTER(MatchSource!$A:$D,MatchSource!$A:$A=$B309)))"),"0")</f>
        <v>0</v>
      </c>
      <c r="X309" s="499" t="str">
        <f aca="false">IFERROR(__xludf.dummyfunction("if(isna(SUM(FILTER(MatchSource!$H:$K,MatchSource!$H:$H=$B309))),0,SUM(FILTER(MatchSource!$H:$K,MatchSource!$H:$H=$B309)))"),"0")</f>
        <v>0</v>
      </c>
      <c r="Y309" s="499" t="str">
        <f aca="false">IFERROR(__xludf.dummyfunction("if(isna(ABS(MINUS(SUM(FILTER(MatchSource!$A:$E,MatchSource!$A:$A=$B309)),SUM($W309)))),0,ABS(MINUS(SUM(FILTER(MatchSource!$A:$E,MatchSource!$A:$A=$B309)),SUM($W309))))"),"0")</f>
        <v>0</v>
      </c>
      <c r="Z309" s="499" t="str">
        <f aca="false">IFERROR(__xludf.dummyfunction("if(isna(ABS(MINUS(SUM(FILTER(MatchSource!$H:$L,MatchSource!$H:$H=$B309)),SUM($X309)))),0,ABS(MINUS(SUM(FILTER(MatchSource!$H:$L,MatchSource!$H:$H=$B309)),SUM($X309))))"),"0")</f>
        <v>0</v>
      </c>
      <c r="AA309" s="499" t="str">
        <f aca="false">IFERROR(__xludf.dummyfunction("if(isna(ABS(MINUS(SUM(FILTER(MatchSource!$A:$F,MatchSource!$A:$A=$B309)),SUM($W309,$Y309)))),0,ABS(MINUS(SUM(FILTER(MatchSource!$A:$F,MatchSource!$A:$A=$B309)),SUM($W309, $Y309,))))"),"0")</f>
        <v>0</v>
      </c>
      <c r="AB309" s="501" t="str">
        <f aca="false">IFERROR(__xludf.dummyfunction("if(isna(ABS(MINUS(SUM(FILTER(MatchSource!$H:$M,MatchSource!$H:$H=$B309)),SUM($X309,$Z309)))),0,ABS(MINUS(SUM(FILTER(MatchSource!$H:$M,MatchSource!$H:$H=$B309)),SUM($X309,$Z309))))"),"0")</f>
        <v>0</v>
      </c>
      <c r="AC309" s="507" t="n">
        <f aca="false">SUM(IF(OR($R309="Grass",$R309="Psychic",$R309="Dark"),0-1,IF(OR($R309="Fighting",$R309="Flying",$R309="Fire",$R309="Ghost",$R309="Poison",$R309="Steel",$R309="Fairy"),1,0)),IF(OR($S309="Grass",$S309="Psychic",$S309="Dark"),0-1,IF(OR($S309="Fighting",$S309="Flying",$S309="Fire",$S309="Ghost",$S309="Poison",$S309="Steel",$S309="Fairy"),1,0)))</f>
        <v>1</v>
      </c>
      <c r="AD309" s="507" t="n">
        <f aca="false">SUM(IF(OR($R309="Ghost",$R309="Psychic"),0-1,IF(OR($R309="Fighting",$R309="Dark",$R309="Fairy"),1,0)),IF(OR($S309="Ghost",$S309="Psychic"),0-1,IF(OR($S309="Fighting",$S309="Dark",$S309="Fairy"),1,0)))</f>
        <v>0</v>
      </c>
      <c r="AE309" s="507" t="n">
        <f aca="false">IF(OR($R309="Fairy",$S309="Fairy"),4,SUM(IF($R309="Dragon",0-1,IF($R309="Steel",1,0)),IF($S309="Dragon",0-1,IF($S309="Steel",1,0))))</f>
        <v>0</v>
      </c>
      <c r="AF309" s="507" t="n">
        <f aca="false">IF(OR($R309="Ground",$S309="Ground"),4,SUM(IF(OR($R309="Flying",$R309="Water"),0-1,IF(OR($R309="Dragon",$R309="Electric",$R309="Grass"),1,0)),IF(OR($S309="Flying",$S309="Water"),0-1,IF(OR($S309="Dragon",$S309="Electric",$S309="Grass"),1,0))))</f>
        <v>0</v>
      </c>
      <c r="AG309" s="507" t="n">
        <f aca="false">SUM(IF(OR($R309="Dark",$R309="Dragon",$R309="Fighting"),0-1,IF(OR($R309="Steel",$R309="Poison",$R309="Fire"),1,0)),IF(OR($S309="Dark",$S309="Dragon",$S309="Fighting"),0-1,IF(OR($S309="Steel",$S309="Poison",$S309="Fire"),1,0)))</f>
        <v>1</v>
      </c>
      <c r="AH309" s="507" t="n">
        <f aca="false">IF(OR($R309="Ghost",$S309="Ghost"),4,SUM(IF(OR($R309="Dark",$R309="Ice",$R309="Normal",$R309="Rock",$R309="Steel"),0-1,IF(OR($R309="Bug",$R309="Fairy",$R309="Flying",$R309="Poison",$R309="Psychic"),1,0)),IF(OR($S309="Dark",$S309="Ice",$S309="Normal",$S309="Rock",$S309="Steel"),0-1,IF(OR($S309="Bug",$S309="Fairy",$S309="Flying",$S309="Poison",$S309="Psychic"),1,0))))</f>
        <v>0</v>
      </c>
      <c r="AI309" s="507" t="n">
        <f aca="false">SUM(IF(OR($R309="Bug",$R309="Grass",$R309="Ice",$R309="Steel"),0-1,IF(OR($R309="Dragon",$R309="Fire",$R309="Rock",$R309="Water"),1,0)),IF(OR($S309="Bug",$S309="Grass",$S309="Ice",$S309="Steel"),0-1,IF(OR($S309="Dragon",$S309="Fire",$S309="Rock",$S309="Water"),1,0)))</f>
        <v>1</v>
      </c>
      <c r="AJ309" s="507" t="n">
        <f aca="false">SUM(IF(OR($R309="Bug",$R309="Grass",$R309="Fighting"),0-1,IF(OR($R309="Electric",$R309="Rock",$R309="Steel"),1,0)),IF(OR($S309="Bug",$S309="Grass",$S309="Fighting"),0-1,IF(OR($S309="Electric",$S309="Rock",$S309="Steel"),1,0)))</f>
        <v>0</v>
      </c>
      <c r="AK309" s="507" t="n">
        <f aca="false">IF(OR($R309="Normal",$S309="Normal"),4,SUM(IF(OR($R309="Ghost",$R309="Psychic"),0-1,IF($R309="Dark",1,0)),IF(OR($S309="Ghost",$S309="Psychic"),0-1,IF($S309="Dark",1,0))))</f>
        <v>0</v>
      </c>
      <c r="AL309" s="507" t="n">
        <f aca="false">SUM(IF(OR($R309="Ground",$R309="Rock",$R309="Water"),0-1,IF(OR($R309="Bug",$R309="Flying",$R309="Fire",$R309="Dragon",$R309="Poison",$R309="Steel",$R309="Grass"),1,0)),IF(OR($S309="Ground",$S309="Rock",$S309="Water"),0-1,IF(OR($S309="Bug",$S309="Flying",$S309="Fire",$S309="Dragon",$S309="Poison",$S309="Steel",$S309="Grass"),1,0)))</f>
        <v>1</v>
      </c>
      <c r="AM309" s="507" t="n">
        <f aca="false">IF(OR($R309="Flying",$S309="Flying"),4,SUM(IF(OR($R309="Electric",$R309="Fire",$R309="Rock",$R309="Steel",$R309="Poison"),0-1,IF(OR($R309="Bug",$R309="Grass"),1,0)),IF(OR($S309="Electric",$S309="Fire",$S309="Rock",$S309="Steel",$S309="Poison"),0-1,IF(OR($S309="Bug",$S309="Grass"),1,0))))</f>
        <v>-1</v>
      </c>
      <c r="AN309" s="507" t="n">
        <f aca="false">SUM(IF(OR($R309="Flying",$R309="Dragon",$R309="Grass",$R309="Ground"),0-1,IF(OR($R309="Steel",$R309="Ice",$R309="Fire",$R309="Water"),1,0)),IF(OR($S309="Flying",$S309="Dragon",$S309="Grass",$S309="Ground"),0-1,IF(OR($S309="Steel",$S309="Ice",$S309="Fire",$S309="Water"),1,0)))</f>
        <v>1</v>
      </c>
      <c r="AO309" s="507" t="n">
        <f aca="false">IF(OR($R309="Ghost",$S309="Ghost"),4,SUM(IF(OR($R309="Steel",$R309="Rock"),1,0),IF(OR($S309="Steel",$S309="Rock"),1,0)))</f>
        <v>0</v>
      </c>
      <c r="AP309" s="507" t="n">
        <f aca="false">IF(OR($R309="Steel",$S309="Steel"),4,SUM(IF(OR($R309="Fairy",$R309="Grass"),0-1,IF(OR($R309="Ghost",$R309="Rock",$R309="Ground",$R309="Poison"),1,0)),IF(OR($S309="Fairy",$S309="Grass"),0-1,IF(OR($S309="Ghost",$S309="Rock",$S309="Ground",$S309="Poison"),1,0))))</f>
        <v>0</v>
      </c>
      <c r="AQ309" s="507" t="n">
        <f aca="false">IF(OR($R309="Dark",$S309="Dark"),4,SUM(IF(OR($R309="Fighting",$R309="Poison"),0-1,IF(OR($R309="Psychic",$R309="Steel"),1,0)),IF(OR($S309="Fighting",$S309="Poison"),0-1,IF(OR($S309="Psychic",$S309="Steel"),1,0))))</f>
        <v>0</v>
      </c>
      <c r="AR309" s="507" t="n">
        <f aca="false">SUM(IF(OR($R309="Bug",$R309="Fire",$R309="Flying",$R309="Ice"),0-1,IF(OR($R309="Steel",$R309="Fighting",$R309="Ground"),1,0)),IF(OR($S309="Bug",$S309="Fire",$S309="Flying",$S309="Ice"),0-1,IF(OR($S309="Steel",$S309="Fighting",$S309="Ground"),1,0)))</f>
        <v>-1</v>
      </c>
      <c r="AS309" s="507" t="n">
        <f aca="false">SUM(IF(OR($R309="Fairy",$R309="Ice",$R309="Rock"),0-1,IF(OR($R309="Steel",$R309="Electric",$R309="Fire",$R309="Water"),1,0)),IF(OR($S309="Fairy",$S309="Ice",$S309="Rock"),0-1,IF(OR($S309="Steel",$S309="Electric",$S309="Fire",$S309="Water"),1,0)))</f>
        <v>1</v>
      </c>
      <c r="AT309" s="508" t="n">
        <f aca="false">SUM(IF(OR($R309="Fire",$R309="Ground",$R309="Rock"),0-1,IF(OR($R309="Dragon",$R309="Grass",$R309="Water"),1,0)),IF(OR($S309="Fire",$S309="Ground",$S309="Rock"),0-1,IF(OR($S309="Dragon",$S309="Grass",$S309="Water"),1,0)))</f>
        <v>-1</v>
      </c>
      <c r="AU309" s="518"/>
    </row>
    <row r="310" customFormat="false" ht="15.75" hidden="false" customHeight="false" outlineLevel="0" collapsed="false">
      <c r="A310" s="515" t="str">
        <f aca="false" t="array" ref="A310:A310">IF(ISNA(INDEX(Source!$U$7:$U$95,MATCH(B310,Source!$V$7:$V$95,0))),"FREE",INDEX(Source!$U$7:$U$95,MATCH(B310,Source!$V$7:$V$95,0)))</f>
        <v>FREE</v>
      </c>
      <c r="B310" s="511" t="s">
        <v>371</v>
      </c>
      <c r="C310" s="511"/>
      <c r="D310" s="511"/>
      <c r="E310" s="499" t="str">
        <f aca="false">IF(SUM($W310:$X310)&gt;0,SUM($W310:$X310),IF($H310&gt;0,0,IF($H310&gt;0,0,"-")))</f>
        <v>-</v>
      </c>
      <c r="F310" s="499" t="str">
        <f aca="false">IF(SUM($Y310:$Z310)&gt;0,SUM($Y310:$Z310),IF($H310&gt;0,0,"-"))</f>
        <v>-</v>
      </c>
      <c r="G310" s="499" t="str">
        <f aca="false">IF($H310&gt;0,minus(E310,F310),"-")</f>
        <v>-</v>
      </c>
      <c r="H310" s="500" t="n">
        <f aca="false">SUM(COUNTIF(MatchSource!$A:$A,$B310),COUNTIF(MatchSource!$H:$H,$B310))</f>
        <v>0</v>
      </c>
      <c r="I310" s="501" t="n">
        <f aca="false">SUM($AA310:$AB310)</f>
        <v>0</v>
      </c>
      <c r="J310" s="501" t="s">
        <v>702</v>
      </c>
      <c r="K310" s="512" t="str">
        <f aca="false" t="array" ref="K310:K310">IF(ISNA(INDEX(DraftRosters!$AA$3:$AA$199,MATCH($B310,DraftRosters!$AB$3:$AB$199,0))),"FA",IF(INDEX(DraftRosters!$AA$3:$AA$199,MATCH($B310,DraftRosters!$AB$3:$AB$199,0))="Franchise","Franch",INDEX(DraftRosters!$AA$3:$AA$199,MATCH($B310,DraftRosters!$AB$3:$AB$199,0))))</f>
        <v>FA</v>
      </c>
      <c r="L310" s="499" t="n">
        <v>70</v>
      </c>
      <c r="M310" s="499" t="n">
        <v>94</v>
      </c>
      <c r="N310" s="499" t="n">
        <v>50</v>
      </c>
      <c r="O310" s="499" t="n">
        <v>94</v>
      </c>
      <c r="P310" s="499" t="n">
        <v>50</v>
      </c>
      <c r="Q310" s="501" t="n">
        <v>66</v>
      </c>
      <c r="R310" s="499" t="s">
        <v>794</v>
      </c>
      <c r="S310" s="501" t="s">
        <v>843</v>
      </c>
      <c r="T310" s="504" t="s">
        <v>857</v>
      </c>
      <c r="U310" s="505" t="s">
        <v>905</v>
      </c>
      <c r="V310" s="506"/>
      <c r="W310" s="500" t="str">
        <f aca="false">IFERROR(__xludf.dummyfunction("if(isna(SUM(FILTER(MatchSource!$A:$D,MatchSource!$A:$A=$B310))),0,SUM(FILTER(MatchSource!$A:$D,MatchSource!$A:$A=$B310)))"),"0")</f>
        <v>0</v>
      </c>
      <c r="X310" s="499" t="str">
        <f aca="false">IFERROR(__xludf.dummyfunction("if(isna(SUM(FILTER(MatchSource!$H:$K,MatchSource!$H:$H=$B310))),0,SUM(FILTER(MatchSource!$H:$K,MatchSource!$H:$H=$B310)))"),"0")</f>
        <v>0</v>
      </c>
      <c r="Y310" s="499" t="str">
        <f aca="false">IFERROR(__xludf.dummyfunction("if(isna(ABS(MINUS(SUM(FILTER(MatchSource!$A:$E,MatchSource!$A:$A=$B310)),SUM($W310)))),0,ABS(MINUS(SUM(FILTER(MatchSource!$A:$E,MatchSource!$A:$A=$B310)),SUM($W310))))"),"0")</f>
        <v>0</v>
      </c>
      <c r="Z310" s="499" t="str">
        <f aca="false">IFERROR(__xludf.dummyfunction("if(isna(ABS(MINUS(SUM(FILTER(MatchSource!$H:$L,MatchSource!$H:$H=$B310)),SUM($X310)))),0,ABS(MINUS(SUM(FILTER(MatchSource!$H:$L,MatchSource!$H:$H=$B310)),SUM($X310))))"),"0")</f>
        <v>0</v>
      </c>
      <c r="AA310" s="499" t="str">
        <f aca="false">IFERROR(__xludf.dummyfunction("if(isna(ABS(MINUS(SUM(FILTER(MatchSource!$A:$F,MatchSource!$A:$A=$B310)),SUM($W310,$Y310)))),0,ABS(MINUS(SUM(FILTER(MatchSource!$A:$F,MatchSource!$A:$A=$B310)),SUM($W310, $Y310,))))"),"0")</f>
        <v>0</v>
      </c>
      <c r="AB310" s="501" t="str">
        <f aca="false">IFERROR(__xludf.dummyfunction("if(isna(ABS(MINUS(SUM(FILTER(MatchSource!$H:$M,MatchSource!$H:$H=$B310)),SUM($X310,$Z310)))),0,ABS(MINUS(SUM(FILTER(MatchSource!$H:$M,MatchSource!$H:$H=$B310)),SUM($X310,$Z310))))"),"0")</f>
        <v>0</v>
      </c>
      <c r="AC310" s="507" t="n">
        <f aca="false">SUM(IF(OR($R310="Grass",$R310="Psychic",$R310="Dark"),0-1,IF(OR($R310="Fighting",$R310="Flying",$R310="Fire",$R310="Ghost",$R310="Poison",$R310="Steel",$R310="Fairy"),1,0)),IF(OR($S310="Grass",$S310="Psychic",$S310="Dark"),0-1,IF(OR($S310="Fighting",$S310="Flying",$S310="Fire",$S310="Ghost",$S310="Poison",$S310="Steel",$S310="Fairy"),1,0)))</f>
        <v>1</v>
      </c>
      <c r="AD310" s="507" t="n">
        <f aca="false">SUM(IF(OR($R310="Ghost",$R310="Psychic"),0-1,IF(OR($R310="Fighting",$R310="Dark",$R310="Fairy"),1,0)),IF(OR($S310="Ghost",$S310="Psychic"),0-1,IF(OR($S310="Fighting",$S310="Dark",$S310="Fairy"),1,0)))</f>
        <v>0</v>
      </c>
      <c r="AE310" s="507" t="n">
        <f aca="false">IF(OR($R310="Fairy",$S310="Fairy"),4,SUM(IF($R310="Dragon",0-1,IF($R310="Steel",1,0)),IF($S310="Dragon",0-1,IF($S310="Steel",1,0))))</f>
        <v>0</v>
      </c>
      <c r="AF310" s="507" t="n">
        <f aca="false">IF(OR($R310="Ground",$S310="Ground"),4,SUM(IF(OR($R310="Flying",$R310="Water"),0-1,IF(OR($R310="Dragon",$R310="Electric",$R310="Grass"),1,0)),IF(OR($S310="Flying",$S310="Water"),0-1,IF(OR($S310="Dragon",$S310="Electric",$S310="Grass"),1,0))))</f>
        <v>0</v>
      </c>
      <c r="AG310" s="507" t="n">
        <f aca="false">SUM(IF(OR($R310="Dark",$R310="Dragon",$R310="Fighting"),0-1,IF(OR($R310="Steel",$R310="Poison",$R310="Fire"),1,0)),IF(OR($S310="Dark",$S310="Dragon",$S310="Fighting"),0-1,IF(OR($S310="Steel",$S310="Poison",$S310="Fire"),1,0)))</f>
        <v>1</v>
      </c>
      <c r="AH310" s="507" t="n">
        <f aca="false">IF(OR($R310="Ghost",$S310="Ghost"),4,SUM(IF(OR($R310="Dark",$R310="Ice",$R310="Normal",$R310="Rock",$R310="Steel"),0-1,IF(OR($R310="Bug",$R310="Fairy",$R310="Flying",$R310="Poison",$R310="Psychic"),1,0)),IF(OR($S310="Dark",$S310="Ice",$S310="Normal",$S310="Rock",$S310="Steel"),0-1,IF(OR($S310="Bug",$S310="Fairy",$S310="Flying",$S310="Poison",$S310="Psychic"),1,0))))</f>
        <v>2</v>
      </c>
      <c r="AI310" s="507" t="n">
        <f aca="false">SUM(IF(OR($R310="Bug",$R310="Grass",$R310="Ice",$R310="Steel"),0-1,IF(OR($R310="Dragon",$R310="Fire",$R310="Rock",$R310="Water"),1,0)),IF(OR($S310="Bug",$S310="Grass",$S310="Ice",$S310="Steel"),0-1,IF(OR($S310="Dragon",$S310="Fire",$S310="Rock",$S310="Water"),1,0)))</f>
        <v>-1</v>
      </c>
      <c r="AJ310" s="507" t="n">
        <f aca="false">SUM(IF(OR($R310="Bug",$R310="Grass",$R310="Fighting"),0-1,IF(OR($R310="Electric",$R310="Rock",$R310="Steel"),1,0)),IF(OR($S310="Bug",$S310="Grass",$S310="Fighting"),0-1,IF(OR($S310="Electric",$S310="Rock",$S310="Steel"),1,0)))</f>
        <v>-1</v>
      </c>
      <c r="AK310" s="507" t="n">
        <f aca="false">IF(OR($R310="Normal",$S310="Normal"),4,SUM(IF(OR($R310="Ghost",$R310="Psychic"),0-1,IF($R310="Dark",1,0)),IF(OR($S310="Ghost",$S310="Psychic"),0-1,IF($S310="Dark",1,0))))</f>
        <v>0</v>
      </c>
      <c r="AL310" s="507" t="n">
        <f aca="false">SUM(IF(OR($R310="Ground",$R310="Rock",$R310="Water"),0-1,IF(OR($R310="Bug",$R310="Flying",$R310="Fire",$R310="Dragon",$R310="Poison",$R310="Steel",$R310="Grass"),1,0)),IF(OR($S310="Ground",$S310="Rock",$S310="Water"),0-1,IF(OR($S310="Bug",$S310="Flying",$S310="Fire",$S310="Dragon",$S310="Poison",$S310="Steel",$S310="Grass"),1,0)))</f>
        <v>2</v>
      </c>
      <c r="AM310" s="507" t="n">
        <f aca="false">IF(OR($R310="Flying",$S310="Flying"),4,SUM(IF(OR($R310="Electric",$R310="Fire",$R310="Rock",$R310="Steel",$R310="Poison"),0-1,IF(OR($R310="Bug",$R310="Grass"),1,0)),IF(OR($S310="Electric",$S310="Fire",$S310="Rock",$S310="Steel",$S310="Poison"),0-1,IF(OR($S310="Bug",$S310="Grass"),1,0))))</f>
        <v>0</v>
      </c>
      <c r="AN310" s="507" t="n">
        <f aca="false">SUM(IF(OR($R310="Flying",$R310="Dragon",$R310="Grass",$R310="Ground"),0-1,IF(OR($R310="Steel",$R310="Ice",$R310="Fire",$R310="Water"),1,0)),IF(OR($S310="Flying",$S310="Dragon",$S310="Grass",$S310="Ground"),0-1,IF(OR($S310="Steel",$S310="Ice",$S310="Fire",$S310="Water"),1,0)))</f>
        <v>0</v>
      </c>
      <c r="AO310" s="507" t="n">
        <f aca="false">IF(OR($R310="Ghost",$S310="Ghost"),4,SUM(IF(OR($R310="Steel",$R310="Rock"),1,0),IF(OR($S310="Steel",$S310="Rock"),1,0)))</f>
        <v>0</v>
      </c>
      <c r="AP310" s="507" t="n">
        <f aca="false">IF(OR($R310="Steel",$S310="Steel"),4,SUM(IF(OR($R310="Fairy",$R310="Grass"),0-1,IF(OR($R310="Ghost",$R310="Rock",$R310="Ground",$R310="Poison"),1,0)),IF(OR($S310="Fairy",$S310="Grass"),0-1,IF(OR($S310="Ghost",$S310="Rock",$S310="Ground",$S310="Poison"),1,0))))</f>
        <v>1</v>
      </c>
      <c r="AQ310" s="507" t="n">
        <f aca="false">IF(OR($R310="Dark",$S310="Dark"),4,SUM(IF(OR($R310="Fighting",$R310="Poison"),0-1,IF(OR($R310="Psychic",$R310="Steel"),1,0)),IF(OR($S310="Fighting",$S310="Poison"),0-1,IF(OR($S310="Psychic",$S310="Steel"),1,0))))</f>
        <v>-1</v>
      </c>
      <c r="AR310" s="507" t="n">
        <f aca="false">SUM(IF(OR($R310="Bug",$R310="Fire",$R310="Flying",$R310="Ice"),0-1,IF(OR($R310="Steel",$R310="Fighting",$R310="Ground"),1,0)),IF(OR($S310="Bug",$S310="Fire",$S310="Flying",$S310="Ice"),0-1,IF(OR($S310="Steel",$S310="Fighting",$S310="Ground"),1,0)))</f>
        <v>-1</v>
      </c>
      <c r="AS310" s="507" t="n">
        <f aca="false">SUM(IF(OR($R310="Fairy",$R310="Ice",$R310="Rock"),0-1,IF(OR($R310="Steel",$R310="Electric",$R310="Fire",$R310="Water"),1,0)),IF(OR($S310="Fairy",$S310="Ice",$S310="Rock"),0-1,IF(OR($S310="Steel",$S310="Electric",$S310="Fire",$S310="Water"),1,0)))</f>
        <v>0</v>
      </c>
      <c r="AT310" s="508" t="n">
        <f aca="false">SUM(IF(OR($R310="Fire",$R310="Ground",$R310="Rock"),0-1,IF(OR($R310="Dragon",$R310="Grass",$R310="Water"),1,0)),IF(OR($S310="Fire",$S310="Ground",$S310="Rock"),0-1,IF(OR($S310="Dragon",$S310="Grass",$S310="Water"),1,0)))</f>
        <v>0</v>
      </c>
      <c r="AU310" s="518"/>
    </row>
    <row r="311" customFormat="false" ht="15.75" hidden="false" customHeight="false" outlineLevel="0" collapsed="false">
      <c r="A311" s="515" t="str">
        <f aca="false" t="array" ref="A311:A311">IF(ISNA(INDEX(Source!$U$7:$U$95,MATCH(B311,Source!$V$7:$V$95,0))),"FREE",INDEX(Source!$U$7:$U$95,MATCH(B311,Source!$V$7:$V$95,0)))</f>
        <v>FREE</v>
      </c>
      <c r="B311" s="511" t="s">
        <v>376</v>
      </c>
      <c r="C311" s="511"/>
      <c r="D311" s="511"/>
      <c r="E311" s="499" t="str">
        <f aca="false">IF(SUM($W311:$X311)&gt;0,SUM($W311:$X311),IF($H311&gt;0,0,IF($H311&gt;0,0,"-")))</f>
        <v>-</v>
      </c>
      <c r="F311" s="499" t="str">
        <f aca="false">IF(SUM($Y311:$Z311)&gt;0,SUM($Y311:$Z311),IF($H311&gt;0,0,"-"))</f>
        <v>-</v>
      </c>
      <c r="G311" s="499" t="str">
        <f aca="false">IF($H311&gt;0,minus(E311,F311),"-")</f>
        <v>-</v>
      </c>
      <c r="H311" s="500" t="n">
        <f aca="false">SUM(COUNTIF(MatchSource!$A:$A,$B311),COUNTIF(MatchSource!$H:$H,$B311))</f>
        <v>0</v>
      </c>
      <c r="I311" s="501" t="n">
        <f aca="false">SUM($AA311:$AB311)</f>
        <v>0</v>
      </c>
      <c r="J311" s="501" t="s">
        <v>702</v>
      </c>
      <c r="K311" s="512" t="str">
        <f aca="false" t="array" ref="K311:K311">IF(ISNA(INDEX(DraftRosters!$AA$3:$AA$199,MATCH($B311,DraftRosters!$AB$3:$AB$199,0))),"FA",IF(INDEX(DraftRosters!$AA$3:$AA$199,MATCH($B311,DraftRosters!$AB$3:$AB$199,0))="Franchise","Franch",INDEX(DraftRosters!$AA$3:$AA$199,MATCH($B311,DraftRosters!$AB$3:$AB$199,0))))</f>
        <v>FA</v>
      </c>
      <c r="L311" s="499" t="n">
        <v>40</v>
      </c>
      <c r="M311" s="499" t="n">
        <v>45</v>
      </c>
      <c r="N311" s="499" t="n">
        <v>65</v>
      </c>
      <c r="O311" s="499" t="n">
        <v>100</v>
      </c>
      <c r="P311" s="499" t="n">
        <v>120</v>
      </c>
      <c r="Q311" s="501" t="n">
        <v>90</v>
      </c>
      <c r="R311" s="499" t="s">
        <v>798</v>
      </c>
      <c r="S311" s="501" t="s">
        <v>828</v>
      </c>
      <c r="T311" s="504" t="s">
        <v>827</v>
      </c>
      <c r="U311" s="505" t="s">
        <v>842</v>
      </c>
      <c r="V311" s="506" t="s">
        <v>814</v>
      </c>
      <c r="W311" s="500" t="str">
        <f aca="false">IFERROR(__xludf.dummyfunction("if(isna(SUM(FILTER(MatchSource!$A:$D,MatchSource!$A:$A=$B311))),0,SUM(FILTER(MatchSource!$A:$D,MatchSource!$A:$A=$B311)))"),"0")</f>
        <v>0</v>
      </c>
      <c r="X311" s="499" t="str">
        <f aca="false">IFERROR(__xludf.dummyfunction("if(isna(SUM(FILTER(MatchSource!$H:$K,MatchSource!$H:$H=$B311))),0,SUM(FILTER(MatchSource!$H:$K,MatchSource!$H:$H=$B311)))"),"0")</f>
        <v>0</v>
      </c>
      <c r="Y311" s="499" t="str">
        <f aca="false">IFERROR(__xludf.dummyfunction("if(isna(ABS(MINUS(SUM(FILTER(MatchSource!$A:$E,MatchSource!$A:$A=$B311)),SUM($W311)))),0,ABS(MINUS(SUM(FILTER(MatchSource!$A:$E,MatchSource!$A:$A=$B311)),SUM($W311))))"),"0")</f>
        <v>0</v>
      </c>
      <c r="Z311" s="499" t="str">
        <f aca="false">IFERROR(__xludf.dummyfunction("if(isna(ABS(MINUS(SUM(FILTER(MatchSource!$H:$L,MatchSource!$H:$H=$B311)),SUM($X311)))),0,ABS(MINUS(SUM(FILTER(MatchSource!$H:$L,MatchSource!$H:$H=$B311)),SUM($X311))))"),"0")</f>
        <v>0</v>
      </c>
      <c r="AA311" s="499" t="str">
        <f aca="false">IFERROR(__xludf.dummyfunction("if(isna(ABS(MINUS(SUM(FILTER(MatchSource!$A:$F,MatchSource!$A:$A=$B311)),SUM($W311,$Y311)))),0,ABS(MINUS(SUM(FILTER(MatchSource!$A:$F,MatchSource!$A:$A=$B311)),SUM($W311, $Y311,))))"),"0")</f>
        <v>0</v>
      </c>
      <c r="AB311" s="501" t="str">
        <f aca="false">IFERROR(__xludf.dummyfunction("if(isna(ABS(MINUS(SUM(FILTER(MatchSource!$H:$M,MatchSource!$H:$H=$B311)),SUM($X311,$Z311)))),0,ABS(MINUS(SUM(FILTER(MatchSource!$H:$M,MatchSource!$H:$H=$B311)),SUM($X311,$Z311))))"),"0")</f>
        <v>0</v>
      </c>
      <c r="AC311" s="507" t="n">
        <f aca="false">SUM(IF(OR($R311="Grass",$R311="Psychic",$R311="Dark"),0-1,IF(OR($R311="Fighting",$R311="Flying",$R311="Fire",$R311="Ghost",$R311="Poison",$R311="Steel",$R311="Fairy"),1,0)),IF(OR($S311="Grass",$S311="Psychic",$S311="Dark"),0-1,IF(OR($S311="Fighting",$S311="Flying",$S311="Fire",$S311="Ghost",$S311="Poison",$S311="Steel",$S311="Fairy"),1,0)))</f>
        <v>0</v>
      </c>
      <c r="AD311" s="507" t="n">
        <f aca="false">SUM(IF(OR($R311="Ghost",$R311="Psychic"),0-1,IF(OR($R311="Fighting",$R311="Dark",$R311="Fairy"),1,0)),IF(OR($S311="Ghost",$S311="Psychic"),0-1,IF(OR($S311="Fighting",$S311="Dark",$S311="Fairy"),1,0)))</f>
        <v>0</v>
      </c>
      <c r="AE311" s="507" t="n">
        <f aca="false">IF(OR($R311="Fairy",$S311="Fairy"),4,SUM(IF($R311="Dragon",0-1,IF($R311="Steel",1,0)),IF($S311="Dragon",0-1,IF($S311="Steel",1,0))))</f>
        <v>4</v>
      </c>
      <c r="AF311" s="507" t="n">
        <f aca="false">IF(OR($R311="Ground",$S311="Ground"),4,SUM(IF(OR($R311="Flying",$R311="Water"),0-1,IF(OR($R311="Dragon",$R311="Electric",$R311="Grass"),1,0)),IF(OR($S311="Flying",$S311="Water"),0-1,IF(OR($S311="Dragon",$S311="Electric",$S311="Grass"),1,0))))</f>
        <v>0</v>
      </c>
      <c r="AG311" s="507" t="n">
        <f aca="false">SUM(IF(OR($R311="Dark",$R311="Dragon",$R311="Fighting"),0-1,IF(OR($R311="Steel",$R311="Poison",$R311="Fire"),1,0)),IF(OR($S311="Dark",$S311="Dragon",$S311="Fighting"),0-1,IF(OR($S311="Steel",$S311="Poison",$S311="Fire"),1,0)))</f>
        <v>0</v>
      </c>
      <c r="AH311" s="507" t="n">
        <f aca="false">IF(OR($R311="Ghost",$S311="Ghost"),4,SUM(IF(OR($R311="Dark",$R311="Ice",$R311="Normal",$R311="Rock",$R311="Steel"),0-1,IF(OR($R311="Bug",$R311="Fairy",$R311="Flying",$R311="Poison",$R311="Psychic"),1,0)),IF(OR($S311="Dark",$S311="Ice",$S311="Normal",$S311="Rock",$S311="Steel"),0-1,IF(OR($S311="Bug",$S311="Fairy",$S311="Flying",$S311="Poison",$S311="Psychic"),1,0))))</f>
        <v>2</v>
      </c>
      <c r="AI311" s="507" t="n">
        <f aca="false">SUM(IF(OR($R311="Bug",$R311="Grass",$R311="Ice",$R311="Steel"),0-1,IF(OR($R311="Dragon",$R311="Fire",$R311="Rock",$R311="Water"),1,0)),IF(OR($S311="Bug",$S311="Grass",$S311="Ice",$S311="Steel"),0-1,IF(OR($S311="Dragon",$S311="Fire",$S311="Rock",$S311="Water"),1,0)))</f>
        <v>0</v>
      </c>
      <c r="AJ311" s="507" t="n">
        <f aca="false">SUM(IF(OR($R311="Bug",$R311="Grass",$R311="Fighting"),0-1,IF(OR($R311="Electric",$R311="Rock",$R311="Steel"),1,0)),IF(OR($S311="Bug",$S311="Grass",$S311="Fighting"),0-1,IF(OR($S311="Electric",$S311="Rock",$S311="Steel"),1,0)))</f>
        <v>0</v>
      </c>
      <c r="AK311" s="507" t="n">
        <f aca="false">IF(OR($R311="Normal",$S311="Normal"),4,SUM(IF(OR($R311="Ghost",$R311="Psychic"),0-1,IF($R311="Dark",1,0)),IF(OR($S311="Ghost",$S311="Psychic"),0-1,IF($S311="Dark",1,0))))</f>
        <v>-1</v>
      </c>
      <c r="AL311" s="507" t="n">
        <f aca="false">SUM(IF(OR($R311="Ground",$R311="Rock",$R311="Water"),0-1,IF(OR($R311="Bug",$R311="Flying",$R311="Fire",$R311="Dragon",$R311="Poison",$R311="Steel",$R311="Grass"),1,0)),IF(OR($S311="Ground",$S311="Rock",$S311="Water"),0-1,IF(OR($S311="Bug",$S311="Flying",$S311="Fire",$S311="Dragon",$S311="Poison",$S311="Steel",$S311="Grass"),1,0)))</f>
        <v>0</v>
      </c>
      <c r="AM311" s="507" t="n">
        <f aca="false">IF(OR($R311="Flying",$S311="Flying"),4,SUM(IF(OR($R311="Electric",$R311="Fire",$R311="Rock",$R311="Steel",$R311="Poison"),0-1,IF(OR($R311="Bug",$R311="Grass"),1,0)),IF(OR($S311="Electric",$S311="Fire",$S311="Rock",$S311="Steel",$S311="Poison"),0-1,IF(OR($S311="Bug",$S311="Grass"),1,0))))</f>
        <v>0</v>
      </c>
      <c r="AN311" s="507" t="n">
        <f aca="false">SUM(IF(OR($R311="Flying",$R311="Dragon",$R311="Grass",$R311="Ground"),0-1,IF(OR($R311="Steel",$R311="Ice",$R311="Fire",$R311="Water"),1,0)),IF(OR($S311="Flying",$S311="Dragon",$S311="Grass",$S311="Ground"),0-1,IF(OR($S311="Steel",$S311="Ice",$S311="Fire",$S311="Water"),1,0)))</f>
        <v>0</v>
      </c>
      <c r="AO311" s="507" t="n">
        <f aca="false">IF(OR($R311="Ghost",$S311="Ghost"),4,SUM(IF(OR($R311="Steel",$R311="Rock"),1,0),IF(OR($S311="Steel",$S311="Rock"),1,0)))</f>
        <v>0</v>
      </c>
      <c r="AP311" s="507" t="n">
        <f aca="false">IF(OR($R311="Steel",$S311="Steel"),4,SUM(IF(OR($R311="Fairy",$R311="Grass"),0-1,IF(OR($R311="Ghost",$R311="Rock",$R311="Ground",$R311="Poison"),1,0)),IF(OR($S311="Fairy",$S311="Grass"),0-1,IF(OR($S311="Ghost",$S311="Rock",$S311="Ground",$S311="Poison"),1,0))))</f>
        <v>-1</v>
      </c>
      <c r="AQ311" s="507" t="n">
        <f aca="false">IF(OR($R311="Dark",$S311="Dark"),4,SUM(IF(OR($R311="Fighting",$R311="Poison"),0-1,IF(OR($R311="Psychic",$R311="Steel"),1,0)),IF(OR($S311="Fighting",$S311="Poison"),0-1,IF(OR($S311="Psychic",$S311="Steel"),1,0))))</f>
        <v>1</v>
      </c>
      <c r="AR311" s="507" t="n">
        <f aca="false">SUM(IF(OR($R311="Bug",$R311="Fire",$R311="Flying",$R311="Ice"),0-1,IF(OR($R311="Steel",$R311="Fighting",$R311="Ground"),1,0)),IF(OR($S311="Bug",$S311="Fire",$S311="Flying",$S311="Ice"),0-1,IF(OR($S311="Steel",$S311="Fighting",$S311="Ground"),1,0)))</f>
        <v>0</v>
      </c>
      <c r="AS311" s="507" t="n">
        <f aca="false">SUM(IF(OR($R311="Fairy",$R311="Ice",$R311="Rock"),0-1,IF(OR($R311="Steel",$R311="Electric",$R311="Fire",$R311="Water"),1,0)),IF(OR($S311="Fairy",$S311="Ice",$S311="Rock"),0-1,IF(OR($S311="Steel",$S311="Electric",$S311="Fire",$S311="Water"),1,0)))</f>
        <v>-1</v>
      </c>
      <c r="AT311" s="508" t="n">
        <f aca="false">SUM(IF(OR($R311="Fire",$R311="Ground",$R311="Rock"),0-1,IF(OR($R311="Dragon",$R311="Grass",$R311="Water"),1,0)),IF(OR($S311="Fire",$S311="Ground",$S311="Rock"),0-1,IF(OR($S311="Dragon",$S311="Grass",$S311="Water"),1,0)))</f>
        <v>0</v>
      </c>
      <c r="AU311" s="518"/>
    </row>
    <row r="312" customFormat="false" ht="15.75" hidden="false" customHeight="false" outlineLevel="0" collapsed="false">
      <c r="A312" s="515" t="str">
        <f aca="false" t="array" ref="A312:A312">IF(ISNA(INDEX(Source!$U$7:$U$95,MATCH(B312,Source!$V$7:$V$95,0))),"FREE",INDEX(Source!$U$7:$U$95,MATCH(B312,Source!$V$7:$V$95,0)))</f>
        <v>FREE</v>
      </c>
      <c r="B312" s="511" t="s">
        <v>590</v>
      </c>
      <c r="C312" s="511"/>
      <c r="D312" s="511"/>
      <c r="E312" s="499" t="str">
        <f aca="false">IF(SUM($W312:$X312)&gt;0,SUM($W312:$X312),IF($H312&gt;0,0,IF($H312&gt;0,0,"-")))</f>
        <v>-</v>
      </c>
      <c r="F312" s="499" t="str">
        <f aca="false">IF(SUM($Y312:$Z312)&gt;0,SUM($Y312:$Z312),IF($H312&gt;0,0,"-"))</f>
        <v>-</v>
      </c>
      <c r="G312" s="499" t="str">
        <f aca="false">IF($H312&gt;0,minus(E312,F312),"-")</f>
        <v>-</v>
      </c>
      <c r="H312" s="500" t="n">
        <f aca="false">SUM(COUNTIF(MatchSource!$A:$A,$B312),COUNTIF(MatchSource!$H:$H,$B312))</f>
        <v>0</v>
      </c>
      <c r="I312" s="501" t="n">
        <f aca="false">SUM($AA312:$AB312)</f>
        <v>0</v>
      </c>
      <c r="J312" s="501" t="s">
        <v>701</v>
      </c>
      <c r="K312" s="512" t="str">
        <f aca="false" t="array" ref="K312:K312">IF(ISNA(INDEX(DraftRosters!$AA$3:$AA$199,MATCH($B312,DraftRosters!$AB$3:$AB$199,0))),"FA",IF(INDEX(DraftRosters!$AA$3:$AA$199,MATCH($B312,DraftRosters!$AB$3:$AB$199,0))="Franchise","Franch",INDEX(DraftRosters!$AA$3:$AA$199,MATCH($B312,DraftRosters!$AB$3:$AB$199,0))))</f>
        <v>FA</v>
      </c>
      <c r="L312" s="499" t="n">
        <v>100</v>
      </c>
      <c r="M312" s="499" t="n">
        <v>125</v>
      </c>
      <c r="N312" s="499" t="n">
        <v>100</v>
      </c>
      <c r="O312" s="499" t="n">
        <v>55</v>
      </c>
      <c r="P312" s="499" t="n">
        <v>85</v>
      </c>
      <c r="Q312" s="501" t="n">
        <v>35</v>
      </c>
      <c r="R312" s="499" t="s">
        <v>907</v>
      </c>
      <c r="S312" s="501"/>
      <c r="T312" s="504" t="s">
        <v>1035</v>
      </c>
      <c r="U312" s="505" t="s">
        <v>829</v>
      </c>
      <c r="V312" s="506" t="s">
        <v>865</v>
      </c>
      <c r="W312" s="500" t="str">
        <f aca="false">IFERROR(__xludf.dummyfunction("if(isna(SUM(FILTER(MatchSource!$A:$D,MatchSource!$A:$A=$B312))),0,SUM(FILTER(MatchSource!$A:$D,MatchSource!$A:$A=$B312)))"),"0")</f>
        <v>0</v>
      </c>
      <c r="X312" s="499" t="str">
        <f aca="false">IFERROR(__xludf.dummyfunction("if(isna(SUM(FILTER(MatchSource!$H:$K,MatchSource!$H:$H=$B312))),0,SUM(FILTER(MatchSource!$H:$K,MatchSource!$H:$H=$B312)))"),"0")</f>
        <v>0</v>
      </c>
      <c r="Y312" s="499" t="str">
        <f aca="false">IFERROR(__xludf.dummyfunction("if(isna(ABS(MINUS(SUM(FILTER(MatchSource!$A:$E,MatchSource!$A:$A=$B312)),SUM($W312)))),0,ABS(MINUS(SUM(FILTER(MatchSource!$A:$E,MatchSource!$A:$A=$B312)),SUM($W312))))"),"0")</f>
        <v>0</v>
      </c>
      <c r="Z312" s="499" t="str">
        <f aca="false">IFERROR(__xludf.dummyfunction("if(isna(ABS(MINUS(SUM(FILTER(MatchSource!$H:$L,MatchSource!$H:$H=$B312)),SUM($X312)))),0,ABS(MINUS(SUM(FILTER(MatchSource!$H:$L,MatchSource!$H:$H=$B312)),SUM($X312))))"),"0")</f>
        <v>0</v>
      </c>
      <c r="AA312" s="499" t="str">
        <f aca="false">IFERROR(__xludf.dummyfunction("if(isna(ABS(MINUS(SUM(FILTER(MatchSource!$A:$F,MatchSource!$A:$A=$B312)),SUM($W312,$Y312)))),0,ABS(MINUS(SUM(FILTER(MatchSource!$A:$F,MatchSource!$A:$A=$B312)),SUM($W312, $Y312,))))"),"0")</f>
        <v>0</v>
      </c>
      <c r="AB312" s="501" t="str">
        <f aca="false">IFERROR(__xludf.dummyfunction("if(isna(ABS(MINUS(SUM(FILTER(MatchSource!$H:$M,MatchSource!$H:$H=$B312)),SUM($X312,$Z312)))),0,ABS(MINUS(SUM(FILTER(MatchSource!$H:$M,MatchSource!$H:$H=$B312)),SUM($X312,$Z312))))"),"0")</f>
        <v>0</v>
      </c>
      <c r="AC312" s="507" t="n">
        <f aca="false">SUM(IF(OR($R312="Grass",$R312="Psychic",$R312="Dark"),0-1,IF(OR($R312="Fighting",$R312="Flying",$R312="Fire",$R312="Ghost",$R312="Poison",$R312="Steel",$R312="Fairy"),1,0)),IF(OR($S312="Grass",$S312="Psychic",$S312="Dark"),0-1,IF(OR($S312="Fighting",$S312="Flying",$S312="Fire",$S312="Ghost",$S312="Poison",$S312="Steel",$S312="Fairy"),1,0)))</f>
        <v>0</v>
      </c>
      <c r="AD312" s="507" t="n">
        <f aca="false">SUM(IF(OR($R312="Ghost",$R312="Psychic"),0-1,IF(OR($R312="Fighting",$R312="Dark",$R312="Fairy"),1,0)),IF(OR($S312="Ghost",$S312="Psychic"),0-1,IF(OR($S312="Fighting",$S312="Dark",$S312="Fairy"),1,0)))</f>
        <v>0</v>
      </c>
      <c r="AE312" s="507" t="n">
        <f aca="false">IF(OR($R312="Fairy",$S312="Fairy"),4,SUM(IF($R312="Dragon",0-1,IF($R312="Steel",1,0)),IF($S312="Dragon",0-1,IF($S312="Steel",1,0))))</f>
        <v>0</v>
      </c>
      <c r="AF312" s="507" t="n">
        <f aca="false">IF(OR($R312="Ground",$S312="Ground"),4,SUM(IF(OR($R312="Flying",$R312="Water"),0-1,IF(OR($R312="Dragon",$R312="Electric",$R312="Grass"),1,0)),IF(OR($S312="Flying",$S312="Water"),0-1,IF(OR($S312="Dragon",$S312="Electric",$S312="Grass"),1,0))))</f>
        <v>4</v>
      </c>
      <c r="AG312" s="507" t="n">
        <f aca="false">SUM(IF(OR($R312="Dark",$R312="Dragon",$R312="Fighting"),0-1,IF(OR($R312="Steel",$R312="Poison",$R312="Fire"),1,0)),IF(OR($S312="Dark",$S312="Dragon",$S312="Fighting"),0-1,IF(OR($S312="Steel",$S312="Poison",$S312="Fire"),1,0)))</f>
        <v>0</v>
      </c>
      <c r="AH312" s="507" t="n">
        <f aca="false">IF(OR($R312="Ghost",$S312="Ghost"),4,SUM(IF(OR($R312="Dark",$R312="Ice",$R312="Normal",$R312="Rock",$R312="Steel"),0-1,IF(OR($R312="Bug",$R312="Fairy",$R312="Flying",$R312="Poison",$R312="Psychic"),1,0)),IF(OR($S312="Dark",$S312="Ice",$S312="Normal",$S312="Rock",$S312="Steel"),0-1,IF(OR($S312="Bug",$S312="Fairy",$S312="Flying",$S312="Poison",$S312="Psychic"),1,0))))</f>
        <v>0</v>
      </c>
      <c r="AI312" s="507" t="n">
        <f aca="false">SUM(IF(OR($R312="Bug",$R312="Grass",$R312="Ice",$R312="Steel"),0-1,IF(OR($R312="Dragon",$R312="Fire",$R312="Rock",$R312="Water"),1,0)),IF(OR($S312="Bug",$S312="Grass",$S312="Ice",$S312="Steel"),0-1,IF(OR($S312="Dragon",$S312="Fire",$S312="Rock",$S312="Water"),1,0)))</f>
        <v>0</v>
      </c>
      <c r="AJ312" s="507" t="n">
        <f aca="false">SUM(IF(OR($R312="Bug",$R312="Grass",$R312="Fighting"),0-1,IF(OR($R312="Electric",$R312="Rock",$R312="Steel"),1,0)),IF(OR($S312="Bug",$S312="Grass",$S312="Fighting"),0-1,IF(OR($S312="Electric",$S312="Rock",$S312="Steel"),1,0)))</f>
        <v>0</v>
      </c>
      <c r="AK312" s="507" t="n">
        <f aca="false">IF(OR($R312="Normal",$S312="Normal"),4,SUM(IF(OR($R312="Ghost",$R312="Psychic"),0-1,IF($R312="Dark",1,0)),IF(OR($S312="Ghost",$S312="Psychic"),0-1,IF($S312="Dark",1,0))))</f>
        <v>0</v>
      </c>
      <c r="AL312" s="507" t="n">
        <f aca="false">SUM(IF(OR($R312="Ground",$R312="Rock",$R312="Water"),0-1,IF(OR($R312="Bug",$R312="Flying",$R312="Fire",$R312="Dragon",$R312="Poison",$R312="Steel",$R312="Grass"),1,0)),IF(OR($S312="Ground",$S312="Rock",$S312="Water"),0-1,IF(OR($S312="Bug",$S312="Flying",$S312="Fire",$S312="Dragon",$S312="Poison",$S312="Steel",$S312="Grass"),1,0)))</f>
        <v>-1</v>
      </c>
      <c r="AM312" s="507" t="n">
        <f aca="false">IF(OR($R312="Flying",$S312="Flying"),4,SUM(IF(OR($R312="Electric",$R312="Fire",$R312="Rock",$R312="Steel",$R312="Poison"),0-1,IF(OR($R312="Bug",$R312="Grass"),1,0)),IF(OR($S312="Electric",$S312="Fire",$S312="Rock",$S312="Steel",$S312="Poison"),0-1,IF(OR($S312="Bug",$S312="Grass"),1,0))))</f>
        <v>0</v>
      </c>
      <c r="AN312" s="507" t="n">
        <f aca="false">SUM(IF(OR($R312="Flying",$R312="Dragon",$R312="Grass",$R312="Ground"),0-1,IF(OR($R312="Steel",$R312="Ice",$R312="Fire",$R312="Water"),1,0)),IF(OR($S312="Flying",$S312="Dragon",$S312="Grass",$S312="Ground"),0-1,IF(OR($S312="Steel",$S312="Ice",$S312="Fire",$S312="Water"),1,0)))</f>
        <v>-1</v>
      </c>
      <c r="AO312" s="507" t="n">
        <f aca="false">IF(OR($R312="Ghost",$S312="Ghost"),4,SUM(IF(OR($R312="Steel",$R312="Rock"),1,0),IF(OR($S312="Steel",$S312="Rock"),1,0)))</f>
        <v>0</v>
      </c>
      <c r="AP312" s="507" t="n">
        <f aca="false">IF(OR($R312="Steel",$S312="Steel"),4,SUM(IF(OR($R312="Fairy",$R312="Grass"),0-1,IF(OR($R312="Ghost",$R312="Rock",$R312="Ground",$R312="Poison"),1,0)),IF(OR($S312="Fairy",$S312="Grass"),0-1,IF(OR($S312="Ghost",$S312="Rock",$S312="Ground",$S312="Poison"),1,0))))</f>
        <v>1</v>
      </c>
      <c r="AQ312" s="507" t="n">
        <f aca="false">IF(OR($R312="Dark",$S312="Dark"),4,SUM(IF(OR($R312="Fighting",$R312="Poison"),0-1,IF(OR($R312="Psychic",$R312="Steel"),1,0)),IF(OR($S312="Fighting",$S312="Poison"),0-1,IF(OR($S312="Psychic",$S312="Steel"),1,0))))</f>
        <v>0</v>
      </c>
      <c r="AR312" s="507" t="n">
        <f aca="false">SUM(IF(OR($R312="Bug",$R312="Fire",$R312="Flying",$R312="Ice"),0-1,IF(OR($R312="Steel",$R312="Fighting",$R312="Ground"),1,0)),IF(OR($S312="Bug",$S312="Fire",$S312="Flying",$S312="Ice"),0-1,IF(OR($S312="Steel",$S312="Fighting",$S312="Ground"),1,0)))</f>
        <v>1</v>
      </c>
      <c r="AS312" s="507" t="n">
        <f aca="false">SUM(IF(OR($R312="Fairy",$R312="Ice",$R312="Rock"),0-1,IF(OR($R312="Steel",$R312="Electric",$R312="Fire",$R312="Water"),1,0)),IF(OR($S312="Fairy",$S312="Ice",$S312="Rock"),0-1,IF(OR($S312="Steel",$S312="Electric",$S312="Fire",$S312="Water"),1,0)))</f>
        <v>0</v>
      </c>
      <c r="AT312" s="508" t="n">
        <f aca="false">SUM(IF(OR($R312="Fire",$R312="Ground",$R312="Rock"),0-1,IF(OR($R312="Dragon",$R312="Grass",$R312="Water"),1,0)),IF(OR($S312="Fire",$S312="Ground",$S312="Rock"),0-1,IF(OR($S312="Dragon",$S312="Grass",$S312="Water"),1,0)))</f>
        <v>-1</v>
      </c>
      <c r="AU312" s="518"/>
    </row>
    <row r="313" customFormat="false" ht="15.75" hidden="false" customHeight="false" outlineLevel="0" collapsed="false">
      <c r="A313" s="510" t="str">
        <f aca="false" t="array" ref="A313:A313">IF(ISNA(INDEX(Source!$U$7:$U$95,MATCH(B313,Source!$V$7:$V$95,0))),"FREE",INDEX(Source!$U$7:$U$95,MATCH(B313,Source!$V$7:$V$95,0)))</f>
        <v>FREE</v>
      </c>
      <c r="B313" s="511" t="s">
        <v>382</v>
      </c>
      <c r="C313" s="511"/>
      <c r="D313" s="511"/>
      <c r="E313" s="499" t="str">
        <f aca="false">IF(SUM($W313:$X313)&gt;0,SUM($W313:$X313),IF($H313&gt;0,0,IF($H313&gt;0,0,"-")))</f>
        <v>-</v>
      </c>
      <c r="F313" s="499" t="str">
        <f aca="false">IF(SUM($Y313:$Z313)&gt;0,SUM($Y313:$Z313),IF($H313&gt;0,0,"-"))</f>
        <v>-</v>
      </c>
      <c r="G313" s="499" t="str">
        <f aca="false">IF($H313&gt;0,minus(E313,F313),"-")</f>
        <v>-</v>
      </c>
      <c r="H313" s="500" t="n">
        <f aca="false">SUM(COUNTIF(MatchSource!$A:$A,$B313),COUNTIF(MatchSource!$H:$H,$B313))</f>
        <v>0</v>
      </c>
      <c r="I313" s="501" t="n">
        <f aca="false">SUM($AA313:$AB313)</f>
        <v>0</v>
      </c>
      <c r="J313" s="501" t="s">
        <v>702</v>
      </c>
      <c r="K313" s="512" t="str">
        <f aca="false" t="array" ref="K313:K313">IF(ISNA(INDEX(DraftRosters!$AA$3:$AA$199,MATCH($B313,DraftRosters!$AB$3:$AB$199,0))),"FA",IF(INDEX(DraftRosters!$AA$3:$AA$199,MATCH($B313,DraftRosters!$AB$3:$AB$199,0))="Franchise","Franch",INDEX(DraftRosters!$AA$3:$AA$199,MATCH($B313,DraftRosters!$AB$3:$AB$199,0))))</f>
        <v>FA</v>
      </c>
      <c r="L313" s="499" t="n">
        <v>105</v>
      </c>
      <c r="M313" s="499" t="n">
        <v>105</v>
      </c>
      <c r="N313" s="499" t="n">
        <v>75</v>
      </c>
      <c r="O313" s="499" t="n">
        <v>65</v>
      </c>
      <c r="P313" s="499" t="n">
        <v>100</v>
      </c>
      <c r="Q313" s="501" t="n">
        <v>50</v>
      </c>
      <c r="R313" s="499" t="s">
        <v>843</v>
      </c>
      <c r="S313" s="501"/>
      <c r="T313" s="504" t="s">
        <v>951</v>
      </c>
      <c r="U313" s="505" t="s">
        <v>820</v>
      </c>
      <c r="V313" s="506" t="s">
        <v>977</v>
      </c>
      <c r="W313" s="500" t="str">
        <f aca="false">IFERROR(__xludf.dummyfunction("if(isna(SUM(FILTER(MatchSource!$A:$D,MatchSource!$A:$A=$B313))),0,SUM(FILTER(MatchSource!$A:$D,MatchSource!$A:$A=$B313)))"),"0")</f>
        <v>0</v>
      </c>
      <c r="X313" s="499" t="str">
        <f aca="false">IFERROR(__xludf.dummyfunction("if(isna(SUM(FILTER(MatchSource!$H:$K,MatchSource!$H:$H=$B313))),0,SUM(FILTER(MatchSource!$H:$K,MatchSource!$H:$H=$B313)))"),"0")</f>
        <v>0</v>
      </c>
      <c r="Y313" s="499" t="str">
        <f aca="false">IFERROR(__xludf.dummyfunction("if(isna(ABS(MINUS(SUM(FILTER(MatchSource!$A:$E,MatchSource!$A:$A=$B313)),SUM($W313)))),0,ABS(MINUS(SUM(FILTER(MatchSource!$A:$E,MatchSource!$A:$A=$B313)),SUM($W313))))"),"0")</f>
        <v>0</v>
      </c>
      <c r="Z313" s="499" t="str">
        <f aca="false">IFERROR(__xludf.dummyfunction("if(isna(ABS(MINUS(SUM(FILTER(MatchSource!$H:$L,MatchSource!$H:$H=$B313)),SUM($X313)))),0,ABS(MINUS(SUM(FILTER(MatchSource!$H:$L,MatchSource!$H:$H=$B313)),SUM($X313))))"),"0")</f>
        <v>0</v>
      </c>
      <c r="AA313" s="499" t="str">
        <f aca="false">IFERROR(__xludf.dummyfunction("if(isna(ABS(MINUS(SUM(FILTER(MatchSource!$A:$F,MatchSource!$A:$A=$B313)),SUM($W313,$Y313)))),0,ABS(MINUS(SUM(FILTER(MatchSource!$A:$F,MatchSource!$A:$A=$B313)),SUM($W313, $Y313,))))"),"0")</f>
        <v>0</v>
      </c>
      <c r="AB313" s="501" t="str">
        <f aca="false">IFERROR(__xludf.dummyfunction("if(isna(ABS(MINUS(SUM(FILTER(MatchSource!$H:$M,MatchSource!$H:$H=$B313)),SUM($X313,$Z313)))),0,ABS(MINUS(SUM(FILTER(MatchSource!$H:$M,MatchSource!$H:$H=$B313)),SUM($X313,$Z313))))"),"0")</f>
        <v>0</v>
      </c>
      <c r="AC313" s="507" t="n">
        <f aca="false">SUM(IF(OR($R313="Grass",$R313="Psychic",$R313="Dark"),0-1,IF(OR($R313="Fighting",$R313="Flying",$R313="Fire",$R313="Ghost",$R313="Poison",$R313="Steel",$R313="Fairy"),1,0)),IF(OR($S313="Grass",$S313="Psychic",$S313="Dark"),0-1,IF(OR($S313="Fighting",$S313="Flying",$S313="Fire",$S313="Ghost",$S313="Poison",$S313="Steel",$S313="Fairy"),1,0)))</f>
        <v>1</v>
      </c>
      <c r="AD313" s="507" t="n">
        <f aca="false">SUM(IF(OR($R313="Ghost",$R313="Psychic"),0-1,IF(OR($R313="Fighting",$R313="Dark",$R313="Fairy"),1,0)),IF(OR($S313="Ghost",$S313="Psychic"),0-1,IF(OR($S313="Fighting",$S313="Dark",$S313="Fairy"),1,0)))</f>
        <v>0</v>
      </c>
      <c r="AE313" s="507" t="n">
        <f aca="false">IF(OR($R313="Fairy",$S313="Fairy"),4,SUM(IF($R313="Dragon",0-1,IF($R313="Steel",1,0)),IF($S313="Dragon",0-1,IF($S313="Steel",1,0))))</f>
        <v>0</v>
      </c>
      <c r="AF313" s="507" t="n">
        <f aca="false">IF(OR($R313="Ground",$S313="Ground"),4,SUM(IF(OR($R313="Flying",$R313="Water"),0-1,IF(OR($R313="Dragon",$R313="Electric",$R313="Grass"),1,0)),IF(OR($S313="Flying",$S313="Water"),0-1,IF(OR($S313="Dragon",$S313="Electric",$S313="Grass"),1,0))))</f>
        <v>0</v>
      </c>
      <c r="AG313" s="507" t="n">
        <f aca="false">SUM(IF(OR($R313="Dark",$R313="Dragon",$R313="Fighting"),0-1,IF(OR($R313="Steel",$R313="Poison",$R313="Fire"),1,0)),IF(OR($S313="Dark",$S313="Dragon",$S313="Fighting"),0-1,IF(OR($S313="Steel",$S313="Poison",$S313="Fire"),1,0)))</f>
        <v>1</v>
      </c>
      <c r="AH313" s="507" t="n">
        <f aca="false">IF(OR($R313="Ghost",$S313="Ghost"),4,SUM(IF(OR($R313="Dark",$R313="Ice",$R313="Normal",$R313="Rock",$R313="Steel"),0-1,IF(OR($R313="Bug",$R313="Fairy",$R313="Flying",$R313="Poison",$R313="Psychic"),1,0)),IF(OR($S313="Dark",$S313="Ice",$S313="Normal",$S313="Rock",$S313="Steel"),0-1,IF(OR($S313="Bug",$S313="Fairy",$S313="Flying",$S313="Poison",$S313="Psychic"),1,0))))</f>
        <v>1</v>
      </c>
      <c r="AI313" s="507" t="n">
        <f aca="false">SUM(IF(OR($R313="Bug",$R313="Grass",$R313="Ice",$R313="Steel"),0-1,IF(OR($R313="Dragon",$R313="Fire",$R313="Rock",$R313="Water"),1,0)),IF(OR($S313="Bug",$S313="Grass",$S313="Ice",$S313="Steel"),0-1,IF(OR($S313="Dragon",$S313="Fire",$S313="Rock",$S313="Water"),1,0)))</f>
        <v>0</v>
      </c>
      <c r="AJ313" s="507" t="n">
        <f aca="false">SUM(IF(OR($R313="Bug",$R313="Grass",$R313="Fighting"),0-1,IF(OR($R313="Electric",$R313="Rock",$R313="Steel"),1,0)),IF(OR($S313="Bug",$S313="Grass",$S313="Fighting"),0-1,IF(OR($S313="Electric",$S313="Rock",$S313="Steel"),1,0)))</f>
        <v>0</v>
      </c>
      <c r="AK313" s="507" t="n">
        <f aca="false">IF(OR($R313="Normal",$S313="Normal"),4,SUM(IF(OR($R313="Ghost",$R313="Psychic"),0-1,IF($R313="Dark",1,0)),IF(OR($S313="Ghost",$S313="Psychic"),0-1,IF($S313="Dark",1,0))))</f>
        <v>0</v>
      </c>
      <c r="AL313" s="507" t="n">
        <f aca="false">SUM(IF(OR($R313="Ground",$R313="Rock",$R313="Water"),0-1,IF(OR($R313="Bug",$R313="Flying",$R313="Fire",$R313="Dragon",$R313="Poison",$R313="Steel",$R313="Grass"),1,0)),IF(OR($S313="Ground",$S313="Rock",$S313="Water"),0-1,IF(OR($S313="Bug",$S313="Flying",$S313="Fire",$S313="Dragon",$S313="Poison",$S313="Steel",$S313="Grass"),1,0)))</f>
        <v>1</v>
      </c>
      <c r="AM313" s="507" t="n">
        <f aca="false">IF(OR($R313="Flying",$S313="Flying"),4,SUM(IF(OR($R313="Electric",$R313="Fire",$R313="Rock",$R313="Steel",$R313="Poison"),0-1,IF(OR($R313="Bug",$R313="Grass"),1,0)),IF(OR($S313="Electric",$S313="Fire",$S313="Rock",$S313="Steel",$S313="Poison"),0-1,IF(OR($S313="Bug",$S313="Grass"),1,0))))</f>
        <v>-1</v>
      </c>
      <c r="AN313" s="507" t="n">
        <f aca="false">SUM(IF(OR($R313="Flying",$R313="Dragon",$R313="Grass",$R313="Ground"),0-1,IF(OR($R313="Steel",$R313="Ice",$R313="Fire",$R313="Water"),1,0)),IF(OR($S313="Flying",$S313="Dragon",$S313="Grass",$S313="Ground"),0-1,IF(OR($S313="Steel",$S313="Ice",$S313="Fire",$S313="Water"),1,0)))</f>
        <v>0</v>
      </c>
      <c r="AO313" s="507" t="n">
        <f aca="false">IF(OR($R313="Ghost",$S313="Ghost"),4,SUM(IF(OR($R313="Steel",$R313="Rock"),1,0),IF(OR($S313="Steel",$S313="Rock"),1,0)))</f>
        <v>0</v>
      </c>
      <c r="AP313" s="507" t="n">
        <f aca="false">IF(OR($R313="Steel",$S313="Steel"),4,SUM(IF(OR($R313="Fairy",$R313="Grass"),0-1,IF(OR($R313="Ghost",$R313="Rock",$R313="Ground",$R313="Poison"),1,0)),IF(OR($S313="Fairy",$S313="Grass"),0-1,IF(OR($S313="Ghost",$S313="Rock",$S313="Ground",$S313="Poison"),1,0))))</f>
        <v>1</v>
      </c>
      <c r="AQ313" s="507" t="n">
        <f aca="false">IF(OR($R313="Dark",$S313="Dark"),4,SUM(IF(OR($R313="Fighting",$R313="Poison"),0-1,IF(OR($R313="Psychic",$R313="Steel"),1,0)),IF(OR($S313="Fighting",$S313="Poison"),0-1,IF(OR($S313="Psychic",$S313="Steel"),1,0))))</f>
        <v>-1</v>
      </c>
      <c r="AR313" s="507" t="n">
        <f aca="false">SUM(IF(OR($R313="Bug",$R313="Fire",$R313="Flying",$R313="Ice"),0-1,IF(OR($R313="Steel",$R313="Fighting",$R313="Ground"),1,0)),IF(OR($S313="Bug",$S313="Fire",$S313="Flying",$S313="Ice"),0-1,IF(OR($S313="Steel",$S313="Fighting",$S313="Ground"),1,0)))</f>
        <v>0</v>
      </c>
      <c r="AS313" s="507" t="n">
        <f aca="false">SUM(IF(OR($R313="Fairy",$R313="Ice",$R313="Rock"),0-1,IF(OR($R313="Steel",$R313="Electric",$R313="Fire",$R313="Water"),1,0)),IF(OR($S313="Fairy",$S313="Ice",$S313="Rock"),0-1,IF(OR($S313="Steel",$S313="Electric",$S313="Fire",$S313="Water"),1,0)))</f>
        <v>0</v>
      </c>
      <c r="AT313" s="508" t="n">
        <f aca="false">SUM(IF(OR($R313="Fire",$R313="Ground",$R313="Rock"),0-1,IF(OR($R313="Dragon",$R313="Grass",$R313="Water"),1,0)),IF(OR($S313="Fire",$S313="Ground",$S313="Rock"),0-1,IF(OR($S313="Dragon",$S313="Grass",$S313="Water"),1,0)))</f>
        <v>0</v>
      </c>
      <c r="AU313" s="518"/>
    </row>
    <row r="314" customFormat="false" ht="15.75" hidden="false" customHeight="false" outlineLevel="0" collapsed="false">
      <c r="A314" s="515" t="str">
        <f aca="false" t="array" ref="A314:A314">IF(ISNA(INDEX(Source!$U$7:$U$95,MATCH(B314,Source!$V$7:$V$95,0))),"FREE",INDEX(Source!$U$7:$U$95,MATCH(B314,Source!$V$7:$V$95,0)))</f>
        <v>KKS</v>
      </c>
      <c r="B314" s="511" t="s">
        <v>118</v>
      </c>
      <c r="C314" s="511"/>
      <c r="D314" s="511"/>
      <c r="E314" s="499" t="n">
        <f aca="false">IF(SUM($W314:$X314)&gt;0,SUM($W314:$X314),IF($H314&gt;0,0,IF($H314&gt;0,0,"-")))</f>
        <v>0</v>
      </c>
      <c r="F314" s="499" t="n">
        <f aca="false">IF(SUM($Y314:$Z314)&gt;0,SUM($Y314:$Z314),IF($H314&gt;0,0,"-"))</f>
        <v>0</v>
      </c>
      <c r="G314" s="499" t="e">
        <f aca="false">IF($H314&gt;0,minus(E314,F314),"-")</f>
        <v>#NAME?</v>
      </c>
      <c r="H314" s="500" t="n">
        <f aca="false">SUM(COUNTIF(MatchSource!$A:$A,$B314),COUNTIF(MatchSource!$H:$H,$B314))</f>
        <v>2</v>
      </c>
      <c r="I314" s="501" t="n">
        <f aca="false">SUM($AA314:$AB314)</f>
        <v>0</v>
      </c>
      <c r="J314" s="501" t="s">
        <v>700</v>
      </c>
      <c r="K314" s="512" t="n">
        <f aca="false" t="array" ref="K314:K314">IF(ISNA(INDEX(DraftRosters!$AA$3:$AA$199,MATCH($B314,DraftRosters!$AB$3:$AB$199,0))),"FA",IF(INDEX(DraftRosters!$AA$3:$AA$199,MATCH($B314,DraftRosters!$AB$3:$AB$199,0))="Franchise","Franch",INDEX(DraftRosters!$AA$3:$AA$199,MATCH($B314,DraftRosters!$AB$3:$AB$199,0))))</f>
        <v>37</v>
      </c>
      <c r="L314" s="499" t="n">
        <v>105</v>
      </c>
      <c r="M314" s="499" t="n">
        <v>105</v>
      </c>
      <c r="N314" s="499" t="n">
        <v>75</v>
      </c>
      <c r="O314" s="499" t="n">
        <v>55</v>
      </c>
      <c r="P314" s="499" t="n">
        <v>100</v>
      </c>
      <c r="Q314" s="501" t="n">
        <v>50</v>
      </c>
      <c r="R314" s="499" t="s">
        <v>795</v>
      </c>
      <c r="S314" s="501" t="s">
        <v>843</v>
      </c>
      <c r="T314" s="504" t="s">
        <v>1036</v>
      </c>
      <c r="U314" s="505" t="s">
        <v>995</v>
      </c>
      <c r="V314" s="506" t="s">
        <v>951</v>
      </c>
      <c r="W314" s="500" t="str">
        <f aca="false">IFERROR(__xludf.dummyfunction("if(isna(SUM(FILTER(MatchSource!$A:$D,MatchSource!$A:$A=$B314))),0,SUM(FILTER(MatchSource!$A:$D,MatchSource!$A:$A=$B314)))"),"0")</f>
        <v>0</v>
      </c>
      <c r="X314" s="499" t="str">
        <f aca="false">IFERROR(__xludf.dummyfunction("if(isna(SUM(FILTER(MatchSource!$H:$K,MatchSource!$H:$H=$B314))),0,SUM(FILTER(MatchSource!$H:$K,MatchSource!$H:$H=$B314)))"),"1")</f>
        <v>1</v>
      </c>
      <c r="Y314" s="499" t="str">
        <f aca="false">IFERROR(__xludf.dummyfunction("if(isna(ABS(MINUS(SUM(FILTER(MatchSource!$A:$E,MatchSource!$A:$A=$B314)),SUM($W314)))),0,ABS(MINUS(SUM(FILTER(MatchSource!$A:$E,MatchSource!$A:$A=$B314)),SUM($W314))))"),"0")</f>
        <v>0</v>
      </c>
      <c r="Z314" s="499" t="str">
        <f aca="false">IFERROR(__xludf.dummyfunction("if(isna(ABS(MINUS(SUM(FILTER(MatchSource!$H:$L,MatchSource!$H:$H=$B314)),SUM($X314)))),0,ABS(MINUS(SUM(FILTER(MatchSource!$H:$L,MatchSource!$H:$H=$B314)),SUM($X314))))"),"2")</f>
        <v>2</v>
      </c>
      <c r="AA314" s="499" t="str">
        <f aca="false">IFERROR(__xludf.dummyfunction("if(isna(ABS(MINUS(SUM(FILTER(MatchSource!$A:$F,MatchSource!$A:$A=$B314)),SUM($W314,$Y314)))),0,ABS(MINUS(SUM(FILTER(MatchSource!$A:$F,MatchSource!$A:$A=$B314)),SUM($W314, $Y314,))))"),"0")</f>
        <v>0</v>
      </c>
      <c r="AB314" s="501" t="str">
        <f aca="false">IFERROR(__xludf.dummyfunction("if(isna(ABS(MINUS(SUM(FILTER(MatchSource!$H:$M,MatchSource!$H:$H=$B314)),SUM($X314,$Z314)))),0,ABS(MINUS(SUM(FILTER(MatchSource!$H:$M,MatchSource!$H:$H=$B314)),SUM($X314,$Z314))))"),"2")</f>
        <v>2</v>
      </c>
      <c r="AC314" s="507" t="n">
        <f aca="false">SUM(IF(OR($R314="Grass",$R314="Psychic",$R314="Dark"),0-1,IF(OR($R314="Fighting",$R314="Flying",$R314="Fire",$R314="Ghost",$R314="Poison",$R314="Steel",$R314="Fairy"),1,0)),IF(OR($S314="Grass",$S314="Psychic",$S314="Dark"),0-1,IF(OR($S314="Fighting",$S314="Flying",$S314="Fire",$S314="Ghost",$S314="Poison",$S314="Steel",$S314="Fairy"),1,0)))</f>
        <v>0</v>
      </c>
      <c r="AD314" s="507" t="n">
        <f aca="false">SUM(IF(OR($R314="Ghost",$R314="Psychic"),0-1,IF(OR($R314="Fighting",$R314="Dark",$R314="Fairy"),1,0)),IF(OR($S314="Ghost",$S314="Psychic"),0-1,IF(OR($S314="Fighting",$S314="Dark",$S314="Fairy"),1,0)))</f>
        <v>1</v>
      </c>
      <c r="AE314" s="507" t="n">
        <f aca="false">IF(OR($R314="Fairy",$S314="Fairy"),4,SUM(IF($R314="Dragon",0-1,IF($R314="Steel",1,0)),IF($S314="Dragon",0-1,IF($S314="Steel",1,0))))</f>
        <v>0</v>
      </c>
      <c r="AF314" s="507" t="n">
        <f aca="false">IF(OR($R314="Ground",$S314="Ground"),4,SUM(IF(OR($R314="Flying",$R314="Water"),0-1,IF(OR($R314="Dragon",$R314="Electric",$R314="Grass"),1,0)),IF(OR($S314="Flying",$S314="Water"),0-1,IF(OR($S314="Dragon",$S314="Electric",$S314="Grass"),1,0))))</f>
        <v>0</v>
      </c>
      <c r="AG314" s="507" t="n">
        <f aca="false">SUM(IF(OR($R314="Dark",$R314="Dragon",$R314="Fighting"),0-1,IF(OR($R314="Steel",$R314="Poison",$R314="Fire"),1,0)),IF(OR($S314="Dark",$S314="Dragon",$S314="Fighting"),0-1,IF(OR($S314="Steel",$S314="Poison",$S314="Fire"),1,0)))</f>
        <v>0</v>
      </c>
      <c r="AH314" s="507" t="n">
        <f aca="false">IF(OR($R314="Ghost",$S314="Ghost"),4,SUM(IF(OR($R314="Dark",$R314="Ice",$R314="Normal",$R314="Rock",$R314="Steel"),0-1,IF(OR($R314="Bug",$R314="Fairy",$R314="Flying",$R314="Poison",$R314="Psychic"),1,0)),IF(OR($S314="Dark",$S314="Ice",$S314="Normal",$S314="Rock",$S314="Steel"),0-1,IF(OR($S314="Bug",$S314="Fairy",$S314="Flying",$S314="Poison",$S314="Psychic"),1,0))))</f>
        <v>0</v>
      </c>
      <c r="AI314" s="507" t="n">
        <f aca="false">SUM(IF(OR($R314="Bug",$R314="Grass",$R314="Ice",$R314="Steel"),0-1,IF(OR($R314="Dragon",$R314="Fire",$R314="Rock",$R314="Water"),1,0)),IF(OR($S314="Bug",$S314="Grass",$S314="Ice",$S314="Steel"),0-1,IF(OR($S314="Dragon",$S314="Fire",$S314="Rock",$S314="Water"),1,0)))</f>
        <v>0</v>
      </c>
      <c r="AJ314" s="507" t="n">
        <f aca="false">SUM(IF(OR($R314="Bug",$R314="Grass",$R314="Fighting"),0-1,IF(OR($R314="Electric",$R314="Rock",$R314="Steel"),1,0)),IF(OR($S314="Bug",$S314="Grass",$S314="Fighting"),0-1,IF(OR($S314="Electric",$S314="Rock",$S314="Steel"),1,0)))</f>
        <v>0</v>
      </c>
      <c r="AK314" s="507" t="n">
        <f aca="false">IF(OR($R314="Normal",$S314="Normal"),4,SUM(IF(OR($R314="Ghost",$R314="Psychic"),0-1,IF($R314="Dark",1,0)),IF(OR($S314="Ghost",$S314="Psychic"),0-1,IF($S314="Dark",1,0))))</f>
        <v>1</v>
      </c>
      <c r="AL314" s="507" t="n">
        <f aca="false">SUM(IF(OR($R314="Ground",$R314="Rock",$R314="Water"),0-1,IF(OR($R314="Bug",$R314="Flying",$R314="Fire",$R314="Dragon",$R314="Poison",$R314="Steel",$R314="Grass"),1,0)),IF(OR($S314="Ground",$S314="Rock",$S314="Water"),0-1,IF(OR($S314="Bug",$S314="Flying",$S314="Fire",$S314="Dragon",$S314="Poison",$S314="Steel",$S314="Grass"),1,0)))</f>
        <v>1</v>
      </c>
      <c r="AM314" s="507" t="n">
        <f aca="false">IF(OR($R314="Flying",$S314="Flying"),4,SUM(IF(OR($R314="Electric",$R314="Fire",$R314="Rock",$R314="Steel",$R314="Poison"),0-1,IF(OR($R314="Bug",$R314="Grass"),1,0)),IF(OR($S314="Electric",$S314="Fire",$S314="Rock",$S314="Steel",$S314="Poison"),0-1,IF(OR($S314="Bug",$S314="Grass"),1,0))))</f>
        <v>-1</v>
      </c>
      <c r="AN314" s="507" t="n">
        <f aca="false">SUM(IF(OR($R314="Flying",$R314="Dragon",$R314="Grass",$R314="Ground"),0-1,IF(OR($R314="Steel",$R314="Ice",$R314="Fire",$R314="Water"),1,0)),IF(OR($S314="Flying",$S314="Dragon",$S314="Grass",$S314="Ground"),0-1,IF(OR($S314="Steel",$S314="Ice",$S314="Fire",$S314="Water"),1,0)))</f>
        <v>0</v>
      </c>
      <c r="AO314" s="507" t="n">
        <f aca="false">IF(OR($R314="Ghost",$S314="Ghost"),4,SUM(IF(OR($R314="Steel",$R314="Rock"),1,0),IF(OR($S314="Steel",$S314="Rock"),1,0)))</f>
        <v>0</v>
      </c>
      <c r="AP314" s="507" t="n">
        <f aca="false">IF(OR($R314="Steel",$S314="Steel"),4,SUM(IF(OR($R314="Fairy",$R314="Grass"),0-1,IF(OR($R314="Ghost",$R314="Rock",$R314="Ground",$R314="Poison"),1,0)),IF(OR($S314="Fairy",$S314="Grass"),0-1,IF(OR($S314="Ghost",$S314="Rock",$S314="Ground",$S314="Poison"),1,0))))</f>
        <v>1</v>
      </c>
      <c r="AQ314" s="507" t="n">
        <f aca="false">IF(OR($R314="Dark",$S314="Dark"),4,SUM(IF(OR($R314="Fighting",$R314="Poison"),0-1,IF(OR($R314="Psychic",$R314="Steel"),1,0)),IF(OR($S314="Fighting",$S314="Poison"),0-1,IF(OR($S314="Psychic",$S314="Steel"),1,0))))</f>
        <v>4</v>
      </c>
      <c r="AR314" s="507" t="n">
        <f aca="false">SUM(IF(OR($R314="Bug",$R314="Fire",$R314="Flying",$R314="Ice"),0-1,IF(OR($R314="Steel",$R314="Fighting",$R314="Ground"),1,0)),IF(OR($S314="Bug",$S314="Fire",$S314="Flying",$S314="Ice"),0-1,IF(OR($S314="Steel",$S314="Fighting",$S314="Ground"),1,0)))</f>
        <v>0</v>
      </c>
      <c r="AS314" s="507" t="n">
        <f aca="false">SUM(IF(OR($R314="Fairy",$R314="Ice",$R314="Rock"),0-1,IF(OR($R314="Steel",$R314="Electric",$R314="Fire",$R314="Water"),1,0)),IF(OR($S314="Fairy",$S314="Ice",$S314="Rock"),0-1,IF(OR($S314="Steel",$S314="Electric",$S314="Fire",$S314="Water"),1,0)))</f>
        <v>0</v>
      </c>
      <c r="AT314" s="508" t="n">
        <f aca="false">SUM(IF(OR($R314="Fire",$R314="Ground",$R314="Rock"),0-1,IF(OR($R314="Dragon",$R314="Grass",$R314="Water"),1,0)),IF(OR($S314="Fire",$S314="Ground",$S314="Rock"),0-1,IF(OR($S314="Dragon",$S314="Grass",$S314="Water"),1,0)))</f>
        <v>0</v>
      </c>
      <c r="AU314" s="518"/>
    </row>
    <row r="315" customFormat="false" ht="15.75" hidden="false" customHeight="false" outlineLevel="0" collapsed="false">
      <c r="A315" s="510" t="str">
        <f aca="false" t="array" ref="A315:A315">IF(ISNA(INDEX(Source!$U$7:$U$95,MATCH(B315,Source!$V$7:$V$95,0))),"FREE",INDEX(Source!$U$7:$U$95,MATCH(B315,Source!$V$7:$V$95,0)))</f>
        <v>FREE</v>
      </c>
      <c r="B315" s="511" t="s">
        <v>387</v>
      </c>
      <c r="C315" s="511"/>
      <c r="D315" s="511"/>
      <c r="E315" s="499" t="str">
        <f aca="false">IF(SUM($W315:$X315)&gt;0,SUM($W315:$X315),IF($H315&gt;0,0,IF($H315&gt;0,0,"-")))</f>
        <v>-</v>
      </c>
      <c r="F315" s="499" t="str">
        <f aca="false">IF(SUM($Y315:$Z315)&gt;0,SUM($Y315:$Z315),IF($H315&gt;0,0,"-"))</f>
        <v>-</v>
      </c>
      <c r="G315" s="499" t="str">
        <f aca="false">IF($H315&gt;0,minus(E315,F315),"-")</f>
        <v>-</v>
      </c>
      <c r="H315" s="500" t="n">
        <f aca="false">SUM(COUNTIF(MatchSource!$A:$A,$B315),COUNTIF(MatchSource!$H:$H,$B315))</f>
        <v>0</v>
      </c>
      <c r="I315" s="501" t="n">
        <f aca="false">SUM($AA315:$AB315)</f>
        <v>0</v>
      </c>
      <c r="J315" s="501" t="s">
        <v>702</v>
      </c>
      <c r="K315" s="512" t="str">
        <f aca="false" t="array" ref="K315:K315">IF(ISNA(INDEX(DraftRosters!$AA$3:$AA$199,MATCH($B315,DraftRosters!$AB$3:$AB$199,0))),"FA",IF(INDEX(DraftRosters!$AA$3:$AA$199,MATCH($B315,DraftRosters!$AB$3:$AB$199,0))="Franchise","Franch",INDEX(DraftRosters!$AA$3:$AA$199,MATCH($B315,DraftRosters!$AB$3:$AB$199,0))))</f>
        <v>FA</v>
      </c>
      <c r="L315" s="499" t="n">
        <v>60</v>
      </c>
      <c r="M315" s="499" t="n">
        <v>85</v>
      </c>
      <c r="N315" s="499" t="n">
        <v>42</v>
      </c>
      <c r="O315" s="499" t="n">
        <v>85</v>
      </c>
      <c r="P315" s="499" t="n">
        <v>42</v>
      </c>
      <c r="Q315" s="501" t="n">
        <v>91</v>
      </c>
      <c r="R315" s="499" t="s">
        <v>795</v>
      </c>
      <c r="S315" s="501" t="s">
        <v>801</v>
      </c>
      <c r="T315" s="504" t="s">
        <v>855</v>
      </c>
      <c r="U315" s="505" t="s">
        <v>817</v>
      </c>
      <c r="V315" s="506" t="s">
        <v>872</v>
      </c>
      <c r="W315" s="500" t="str">
        <f aca="false">IFERROR(__xludf.dummyfunction("if(isna(SUM(FILTER(MatchSource!$A:$D,MatchSource!$A:$A=$B315))),0,SUM(FILTER(MatchSource!$A:$D,MatchSource!$A:$A=$B315)))"),"0")</f>
        <v>0</v>
      </c>
      <c r="X315" s="499" t="str">
        <f aca="false">IFERROR(__xludf.dummyfunction("if(isna(SUM(FILTER(MatchSource!$H:$K,MatchSource!$H:$H=$B315))),0,SUM(FILTER(MatchSource!$H:$K,MatchSource!$H:$H=$B315)))"),"0")</f>
        <v>0</v>
      </c>
      <c r="Y315" s="499" t="str">
        <f aca="false">IFERROR(__xludf.dummyfunction("if(isna(ABS(MINUS(SUM(FILTER(MatchSource!$A:$E,MatchSource!$A:$A=$B315)),SUM($W315)))),0,ABS(MINUS(SUM(FILTER(MatchSource!$A:$E,MatchSource!$A:$A=$B315)),SUM($W315))))"),"0")</f>
        <v>0</v>
      </c>
      <c r="Z315" s="499" t="str">
        <f aca="false">IFERROR(__xludf.dummyfunction("if(isna(ABS(MINUS(SUM(FILTER(MatchSource!$H:$L,MatchSource!$H:$H=$B315)),SUM($X315)))),0,ABS(MINUS(SUM(FILTER(MatchSource!$H:$L,MatchSource!$H:$H=$B315)),SUM($X315))))"),"0")</f>
        <v>0</v>
      </c>
      <c r="AA315" s="499" t="str">
        <f aca="false">IFERROR(__xludf.dummyfunction("if(isna(ABS(MINUS(SUM(FILTER(MatchSource!$A:$F,MatchSource!$A:$A=$B315)),SUM($W315,$Y315)))),0,ABS(MINUS(SUM(FILTER(MatchSource!$A:$F,MatchSource!$A:$A=$B315)),SUM($W315, $Y315,))))"),"0")</f>
        <v>0</v>
      </c>
      <c r="AB315" s="501" t="str">
        <f aca="false">IFERROR(__xludf.dummyfunction("if(isna(ABS(MINUS(SUM(FILTER(MatchSource!$H:$M,MatchSource!$H:$H=$B315)),SUM($X315,$Z315)))),0,ABS(MINUS(SUM(FILTER(MatchSource!$H:$M,MatchSource!$H:$H=$B315)),SUM($X315,$Z315))))"),"0")</f>
        <v>0</v>
      </c>
      <c r="AC315" s="507" t="n">
        <f aca="false">SUM(IF(OR($R315="Grass",$R315="Psychic",$R315="Dark"),0-1,IF(OR($R315="Fighting",$R315="Flying",$R315="Fire",$R315="Ghost",$R315="Poison",$R315="Steel",$R315="Fairy"),1,0)),IF(OR($S315="Grass",$S315="Psychic",$S315="Dark"),0-1,IF(OR($S315="Fighting",$S315="Flying",$S315="Fire",$S315="Ghost",$S315="Poison",$S315="Steel",$S315="Fairy"),1,0)))</f>
        <v>0</v>
      </c>
      <c r="AD315" s="507" t="n">
        <f aca="false">SUM(IF(OR($R315="Ghost",$R315="Psychic"),0-1,IF(OR($R315="Fighting",$R315="Dark",$R315="Fairy"),1,0)),IF(OR($S315="Ghost",$S315="Psychic"),0-1,IF(OR($S315="Fighting",$S315="Dark",$S315="Fairy"),1,0)))</f>
        <v>1</v>
      </c>
      <c r="AE315" s="507" t="n">
        <f aca="false">IF(OR($R315="Fairy",$S315="Fairy"),4,SUM(IF($R315="Dragon",0-1,IF($R315="Steel",1,0)),IF($S315="Dragon",0-1,IF($S315="Steel",1,0))))</f>
        <v>0</v>
      </c>
      <c r="AF315" s="507" t="n">
        <f aca="false">IF(OR($R315="Ground",$S315="Ground"),4,SUM(IF(OR($R315="Flying",$R315="Water"),0-1,IF(OR($R315="Dragon",$R315="Electric",$R315="Grass"),1,0)),IF(OR($S315="Flying",$S315="Water"),0-1,IF(OR($S315="Dragon",$S315="Electric",$S315="Grass"),1,0))))</f>
        <v>-1</v>
      </c>
      <c r="AG315" s="507" t="n">
        <f aca="false">SUM(IF(OR($R315="Dark",$R315="Dragon",$R315="Fighting"),0-1,IF(OR($R315="Steel",$R315="Poison",$R315="Fire"),1,0)),IF(OR($S315="Dark",$S315="Dragon",$S315="Fighting"),0-1,IF(OR($S315="Steel",$S315="Poison",$S315="Fire"),1,0)))</f>
        <v>-1</v>
      </c>
      <c r="AH315" s="507" t="n">
        <f aca="false">IF(OR($R315="Ghost",$S315="Ghost"),4,SUM(IF(OR($R315="Dark",$R315="Ice",$R315="Normal",$R315="Rock",$R315="Steel"),0-1,IF(OR($R315="Bug",$R315="Fairy",$R315="Flying",$R315="Poison",$R315="Psychic"),1,0)),IF(OR($S315="Dark",$S315="Ice",$S315="Normal",$S315="Rock",$S315="Steel"),0-1,IF(OR($S315="Bug",$S315="Fairy",$S315="Flying",$S315="Poison",$S315="Psychic"),1,0))))</f>
        <v>0</v>
      </c>
      <c r="AI315" s="507" t="n">
        <f aca="false">SUM(IF(OR($R315="Bug",$R315="Grass",$R315="Ice",$R315="Steel"),0-1,IF(OR($R315="Dragon",$R315="Fire",$R315="Rock",$R315="Water"),1,0)),IF(OR($S315="Bug",$S315="Grass",$S315="Ice",$S315="Steel"),0-1,IF(OR($S315="Dragon",$S315="Fire",$S315="Rock",$S315="Water"),1,0)))</f>
        <v>0</v>
      </c>
      <c r="AJ315" s="507" t="n">
        <f aca="false">SUM(IF(OR($R315="Bug",$R315="Grass",$R315="Fighting"),0-1,IF(OR($R315="Electric",$R315="Rock",$R315="Steel"),1,0)),IF(OR($S315="Bug",$S315="Grass",$S315="Fighting"),0-1,IF(OR($S315="Electric",$S315="Rock",$S315="Steel"),1,0)))</f>
        <v>0</v>
      </c>
      <c r="AK315" s="507" t="n">
        <f aca="false">IF(OR($R315="Normal",$S315="Normal"),4,SUM(IF(OR($R315="Ghost",$R315="Psychic"),0-1,IF($R315="Dark",1,0)),IF(OR($S315="Ghost",$S315="Psychic"),0-1,IF($S315="Dark",1,0))))</f>
        <v>1</v>
      </c>
      <c r="AL315" s="507" t="n">
        <f aca="false">SUM(IF(OR($R315="Ground",$R315="Rock",$R315="Water"),0-1,IF(OR($R315="Bug",$R315="Flying",$R315="Fire",$R315="Dragon",$R315="Poison",$R315="Steel",$R315="Grass"),1,0)),IF(OR($S315="Ground",$S315="Rock",$S315="Water"),0-1,IF(OR($S315="Bug",$S315="Flying",$S315="Fire",$S315="Dragon",$S315="Poison",$S315="Steel",$S315="Grass"),1,0)))</f>
        <v>1</v>
      </c>
      <c r="AM315" s="507" t="n">
        <f aca="false">IF(OR($R315="Flying",$S315="Flying"),4,SUM(IF(OR($R315="Electric",$R315="Fire",$R315="Rock",$R315="Steel",$R315="Poison"),0-1,IF(OR($R315="Bug",$R315="Grass"),1,0)),IF(OR($S315="Electric",$S315="Fire",$S315="Rock",$S315="Steel",$S315="Poison"),0-1,IF(OR($S315="Bug",$S315="Grass"),1,0))))</f>
        <v>4</v>
      </c>
      <c r="AN315" s="507" t="n">
        <f aca="false">SUM(IF(OR($R315="Flying",$R315="Dragon",$R315="Grass",$R315="Ground"),0-1,IF(OR($R315="Steel",$R315="Ice",$R315="Fire",$R315="Water"),1,0)),IF(OR($S315="Flying",$S315="Dragon",$S315="Grass",$S315="Ground"),0-1,IF(OR($S315="Steel",$S315="Ice",$S315="Fire",$S315="Water"),1,0)))</f>
        <v>-1</v>
      </c>
      <c r="AO315" s="507" t="n">
        <f aca="false">IF(OR($R315="Ghost",$S315="Ghost"),4,SUM(IF(OR($R315="Steel",$R315="Rock"),1,0),IF(OR($S315="Steel",$S315="Rock"),1,0)))</f>
        <v>0</v>
      </c>
      <c r="AP315" s="507" t="n">
        <f aca="false">IF(OR($R315="Steel",$S315="Steel"),4,SUM(IF(OR($R315="Fairy",$R315="Grass"),0-1,IF(OR($R315="Ghost",$R315="Rock",$R315="Ground",$R315="Poison"),1,0)),IF(OR($S315="Fairy",$S315="Grass"),0-1,IF(OR($S315="Ghost",$S315="Rock",$S315="Ground",$S315="Poison"),1,0))))</f>
        <v>0</v>
      </c>
      <c r="AQ315" s="507" t="n">
        <f aca="false">IF(OR($R315="Dark",$S315="Dark"),4,SUM(IF(OR($R315="Fighting",$R315="Poison"),0-1,IF(OR($R315="Psychic",$R315="Steel"),1,0)),IF(OR($S315="Fighting",$S315="Poison"),0-1,IF(OR($S315="Psychic",$S315="Steel"),1,0))))</f>
        <v>4</v>
      </c>
      <c r="AR315" s="507" t="n">
        <f aca="false">SUM(IF(OR($R315="Bug",$R315="Fire",$R315="Flying",$R315="Ice"),0-1,IF(OR($R315="Steel",$R315="Fighting",$R315="Ground"),1,0)),IF(OR($S315="Bug",$S315="Fire",$S315="Flying",$S315="Ice"),0-1,IF(OR($S315="Steel",$S315="Fighting",$S315="Ground"),1,0)))</f>
        <v>-1</v>
      </c>
      <c r="AS315" s="507" t="n">
        <f aca="false">SUM(IF(OR($R315="Fairy",$R315="Ice",$R315="Rock"),0-1,IF(OR($R315="Steel",$R315="Electric",$R315="Fire",$R315="Water"),1,0)),IF(OR($S315="Fairy",$S315="Ice",$S315="Rock"),0-1,IF(OR($S315="Steel",$S315="Electric",$S315="Fire",$S315="Water"),1,0)))</f>
        <v>0</v>
      </c>
      <c r="AT315" s="508" t="n">
        <f aca="false">SUM(IF(OR($R315="Fire",$R315="Ground",$R315="Rock"),0-1,IF(OR($R315="Dragon",$R315="Grass",$R315="Water"),1,0)),IF(OR($S315="Fire",$S315="Ground",$S315="Rock"),0-1,IF(OR($S315="Dragon",$S315="Grass",$S315="Water"),1,0)))</f>
        <v>0</v>
      </c>
      <c r="AU315" s="518"/>
    </row>
    <row r="316" customFormat="false" ht="15.75" hidden="false" customHeight="false" outlineLevel="0" collapsed="false">
      <c r="A316" s="510" t="str">
        <f aca="false" t="array" ref="A316:A316">IF(ISNA(INDEX(Source!$U$7:$U$95,MATCH(B316,Source!$V$7:$V$95,0))),"FREE",INDEX(Source!$U$7:$U$95,MATCH(B316,Source!$V$7:$V$95,0)))</f>
        <v>FREE</v>
      </c>
      <c r="B316" s="511" t="s">
        <v>390</v>
      </c>
      <c r="C316" s="511"/>
      <c r="D316" s="511"/>
      <c r="E316" s="499" t="str">
        <f aca="false">IF(SUM($W316:$X316)&gt;0,SUM($W316:$X316),IF($H316&gt;0,0,IF($H316&gt;0,0,"-")))</f>
        <v>-</v>
      </c>
      <c r="F316" s="499" t="str">
        <f aca="false">IF(SUM($Y316:$Z316)&gt;0,SUM($Y316:$Z316),IF($H316&gt;0,0,"-"))</f>
        <v>-</v>
      </c>
      <c r="G316" s="499" t="str">
        <f aca="false">IF($H316&gt;0,minus(E316,F316),"-")</f>
        <v>-</v>
      </c>
      <c r="H316" s="500" t="n">
        <f aca="false">SUM(COUNTIF(MatchSource!$A:$A,$B316),COUNTIF(MatchSource!$H:$H,$B316))</f>
        <v>0</v>
      </c>
      <c r="I316" s="501" t="n">
        <f aca="false">SUM($AA316:$AB316)</f>
        <v>0</v>
      </c>
      <c r="J316" s="501" t="s">
        <v>702</v>
      </c>
      <c r="K316" s="512" t="str">
        <f aca="false" t="array" ref="K316:K316">IF(ISNA(INDEX(DraftRosters!$AA$3:$AA$199,MATCH($B316,DraftRosters!$AB$3:$AB$199,0))),"FA",IF(INDEX(DraftRosters!$AA$3:$AA$199,MATCH($B316,DraftRosters!$AB$3:$AB$199,0))="Franchise","Franch",INDEX(DraftRosters!$AA$3:$AA$199,MATCH($B316,DraftRosters!$AB$3:$AB$199,0))))</f>
        <v>FA</v>
      </c>
      <c r="L316" s="499" t="n">
        <v>116</v>
      </c>
      <c r="M316" s="499" t="n">
        <v>55</v>
      </c>
      <c r="N316" s="499" t="n">
        <v>85</v>
      </c>
      <c r="O316" s="499" t="n">
        <v>107</v>
      </c>
      <c r="P316" s="499" t="n">
        <v>95</v>
      </c>
      <c r="Q316" s="501" t="n">
        <v>29</v>
      </c>
      <c r="R316" s="499" t="s">
        <v>828</v>
      </c>
      <c r="S316" s="501"/>
      <c r="T316" s="504" t="s">
        <v>1001</v>
      </c>
      <c r="U316" s="505" t="s">
        <v>879</v>
      </c>
      <c r="V316" s="506" t="s">
        <v>831</v>
      </c>
      <c r="W316" s="500" t="str">
        <f aca="false">IFERROR(__xludf.dummyfunction("if(isna(SUM(FILTER(MatchSource!$A:$D,MatchSource!$A:$A=$B316))),0,SUM(FILTER(MatchSource!$A:$D,MatchSource!$A:$A=$B316)))"),"0")</f>
        <v>0</v>
      </c>
      <c r="X316" s="499" t="str">
        <f aca="false">IFERROR(__xludf.dummyfunction("if(isna(SUM(FILTER(MatchSource!$H:$K,MatchSource!$H:$H=$B316))),0,SUM(FILTER(MatchSource!$H:$K,MatchSource!$H:$H=$B316)))"),"0")</f>
        <v>0</v>
      </c>
      <c r="Y316" s="499" t="str">
        <f aca="false">IFERROR(__xludf.dummyfunction("if(isna(ABS(MINUS(SUM(FILTER(MatchSource!$A:$E,MatchSource!$A:$A=$B316)),SUM($W316)))),0,ABS(MINUS(SUM(FILTER(MatchSource!$A:$E,MatchSource!$A:$A=$B316)),SUM($W316))))"),"0")</f>
        <v>0</v>
      </c>
      <c r="Z316" s="499" t="str">
        <f aca="false">IFERROR(__xludf.dummyfunction("if(isna(ABS(MINUS(SUM(FILTER(MatchSource!$H:$L,MatchSource!$H:$H=$B316)),SUM($X316)))),0,ABS(MINUS(SUM(FILTER(MatchSource!$H:$L,MatchSource!$H:$H=$B316)),SUM($X316))))"),"0")</f>
        <v>0</v>
      </c>
      <c r="AA316" s="499" t="str">
        <f aca="false">IFERROR(__xludf.dummyfunction("if(isna(ABS(MINUS(SUM(FILTER(MatchSource!$A:$F,MatchSource!$A:$A=$B316)),SUM($W316,$Y316)))),0,ABS(MINUS(SUM(FILTER(MatchSource!$A:$F,MatchSource!$A:$A=$B316)),SUM($W316, $Y316,))))"),"0")</f>
        <v>0</v>
      </c>
      <c r="AB316" s="501" t="str">
        <f aca="false">IFERROR(__xludf.dummyfunction("if(isna(ABS(MINUS(SUM(FILTER(MatchSource!$H:$M,MatchSource!$H:$H=$B316)),SUM($X316,$Z316)))),0,ABS(MINUS(SUM(FILTER(MatchSource!$H:$M,MatchSource!$H:$H=$B316)),SUM($X316,$Z316))))"),"0")</f>
        <v>0</v>
      </c>
      <c r="AC316" s="507" t="n">
        <f aca="false">SUM(IF(OR($R316="Grass",$R316="Psychic",$R316="Dark"),0-1,IF(OR($R316="Fighting",$R316="Flying",$R316="Fire",$R316="Ghost",$R316="Poison",$R316="Steel",$R316="Fairy"),1,0)),IF(OR($S316="Grass",$S316="Psychic",$S316="Dark"),0-1,IF(OR($S316="Fighting",$S316="Flying",$S316="Fire",$S316="Ghost",$S316="Poison",$S316="Steel",$S316="Fairy"),1,0)))</f>
        <v>-1</v>
      </c>
      <c r="AD316" s="507" t="n">
        <f aca="false">SUM(IF(OR($R316="Ghost",$R316="Psychic"),0-1,IF(OR($R316="Fighting",$R316="Dark",$R316="Fairy"),1,0)),IF(OR($S316="Ghost",$S316="Psychic"),0-1,IF(OR($S316="Fighting",$S316="Dark",$S316="Fairy"),1,0)))</f>
        <v>-1</v>
      </c>
      <c r="AE316" s="507" t="n">
        <f aca="false">IF(OR($R316="Fairy",$S316="Fairy"),4,SUM(IF($R316="Dragon",0-1,IF($R316="Steel",1,0)),IF($S316="Dragon",0-1,IF($S316="Steel",1,0))))</f>
        <v>0</v>
      </c>
      <c r="AF316" s="507" t="n">
        <f aca="false">IF(OR($R316="Ground",$S316="Ground"),4,SUM(IF(OR($R316="Flying",$R316="Water"),0-1,IF(OR($R316="Dragon",$R316="Electric",$R316="Grass"),1,0)),IF(OR($S316="Flying",$S316="Water"),0-1,IF(OR($S316="Dragon",$S316="Electric",$S316="Grass"),1,0))))</f>
        <v>0</v>
      </c>
      <c r="AG316" s="507" t="n">
        <f aca="false">SUM(IF(OR($R316="Dark",$R316="Dragon",$R316="Fighting"),0-1,IF(OR($R316="Steel",$R316="Poison",$R316="Fire"),1,0)),IF(OR($S316="Dark",$S316="Dragon",$S316="Fighting"),0-1,IF(OR($S316="Steel",$S316="Poison",$S316="Fire"),1,0)))</f>
        <v>0</v>
      </c>
      <c r="AH316" s="507" t="n">
        <f aca="false">IF(OR($R316="Ghost",$S316="Ghost"),4,SUM(IF(OR($R316="Dark",$R316="Ice",$R316="Normal",$R316="Rock",$R316="Steel"),0-1,IF(OR($R316="Bug",$R316="Fairy",$R316="Flying",$R316="Poison",$R316="Psychic"),1,0)),IF(OR($S316="Dark",$S316="Ice",$S316="Normal",$S316="Rock",$S316="Steel"),0-1,IF(OR($S316="Bug",$S316="Fairy",$S316="Flying",$S316="Poison",$S316="Psychic"),1,0))))</f>
        <v>1</v>
      </c>
      <c r="AI316" s="507" t="n">
        <f aca="false">SUM(IF(OR($R316="Bug",$R316="Grass",$R316="Ice",$R316="Steel"),0-1,IF(OR($R316="Dragon",$R316="Fire",$R316="Rock",$R316="Water"),1,0)),IF(OR($S316="Bug",$S316="Grass",$S316="Ice",$S316="Steel"),0-1,IF(OR($S316="Dragon",$S316="Fire",$S316="Rock",$S316="Water"),1,0)))</f>
        <v>0</v>
      </c>
      <c r="AJ316" s="507" t="n">
        <f aca="false">SUM(IF(OR($R316="Bug",$R316="Grass",$R316="Fighting"),0-1,IF(OR($R316="Electric",$R316="Rock",$R316="Steel"),1,0)),IF(OR($S316="Bug",$S316="Grass",$S316="Fighting"),0-1,IF(OR($S316="Electric",$S316="Rock",$S316="Steel"),1,0)))</f>
        <v>0</v>
      </c>
      <c r="AK316" s="507" t="n">
        <f aca="false">IF(OR($R316="Normal",$S316="Normal"),4,SUM(IF(OR($R316="Ghost",$R316="Psychic"),0-1,IF($R316="Dark",1,0)),IF(OR($S316="Ghost",$S316="Psychic"),0-1,IF($S316="Dark",1,0))))</f>
        <v>-1</v>
      </c>
      <c r="AL316" s="507" t="n">
        <f aca="false">SUM(IF(OR($R316="Ground",$R316="Rock",$R316="Water"),0-1,IF(OR($R316="Bug",$R316="Flying",$R316="Fire",$R316="Dragon",$R316="Poison",$R316="Steel",$R316="Grass"),1,0)),IF(OR($S316="Ground",$S316="Rock",$S316="Water"),0-1,IF(OR($S316="Bug",$S316="Flying",$S316="Fire",$S316="Dragon",$S316="Poison",$S316="Steel",$S316="Grass"),1,0)))</f>
        <v>0</v>
      </c>
      <c r="AM316" s="507" t="n">
        <f aca="false">IF(OR($R316="Flying",$S316="Flying"),4,SUM(IF(OR($R316="Electric",$R316="Fire",$R316="Rock",$R316="Steel",$R316="Poison"),0-1,IF(OR($R316="Bug",$R316="Grass"),1,0)),IF(OR($S316="Electric",$S316="Fire",$S316="Rock",$S316="Steel",$S316="Poison"),0-1,IF(OR($S316="Bug",$S316="Grass"),1,0))))</f>
        <v>0</v>
      </c>
      <c r="AN316" s="507" t="n">
        <f aca="false">SUM(IF(OR($R316="Flying",$R316="Dragon",$R316="Grass",$R316="Ground"),0-1,IF(OR($R316="Steel",$R316="Ice",$R316="Fire",$R316="Water"),1,0)),IF(OR($S316="Flying",$S316="Dragon",$S316="Grass",$S316="Ground"),0-1,IF(OR($S316="Steel",$S316="Ice",$S316="Fire",$S316="Water"),1,0)))</f>
        <v>0</v>
      </c>
      <c r="AO316" s="507" t="n">
        <f aca="false">IF(OR($R316="Ghost",$S316="Ghost"),4,SUM(IF(OR($R316="Steel",$R316="Rock"),1,0),IF(OR($S316="Steel",$S316="Rock"),1,0)))</f>
        <v>0</v>
      </c>
      <c r="AP316" s="507" t="n">
        <f aca="false">IF(OR($R316="Steel",$S316="Steel"),4,SUM(IF(OR($R316="Fairy",$R316="Grass"),0-1,IF(OR($R316="Ghost",$R316="Rock",$R316="Ground",$R316="Poison"),1,0)),IF(OR($S316="Fairy",$S316="Grass"),0-1,IF(OR($S316="Ghost",$S316="Rock",$S316="Ground",$S316="Poison"),1,0))))</f>
        <v>0</v>
      </c>
      <c r="AQ316" s="507" t="n">
        <f aca="false">IF(OR($R316="Dark",$S316="Dark"),4,SUM(IF(OR($R316="Fighting",$R316="Poison"),0-1,IF(OR($R316="Psychic",$R316="Steel"),1,0)),IF(OR($S316="Fighting",$S316="Poison"),0-1,IF(OR($S316="Psychic",$S316="Steel"),1,0))))</f>
        <v>1</v>
      </c>
      <c r="AR316" s="507" t="n">
        <f aca="false">SUM(IF(OR($R316="Bug",$R316="Fire",$R316="Flying",$R316="Ice"),0-1,IF(OR($R316="Steel",$R316="Fighting",$R316="Ground"),1,0)),IF(OR($S316="Bug",$S316="Fire",$S316="Flying",$S316="Ice"),0-1,IF(OR($S316="Steel",$S316="Fighting",$S316="Ground"),1,0)))</f>
        <v>0</v>
      </c>
      <c r="AS316" s="507" t="n">
        <f aca="false">SUM(IF(OR($R316="Fairy",$R316="Ice",$R316="Rock"),0-1,IF(OR($R316="Steel",$R316="Electric",$R316="Fire",$R316="Water"),1,0)),IF(OR($S316="Fairy",$S316="Ice",$S316="Rock"),0-1,IF(OR($S316="Steel",$S316="Electric",$S316="Fire",$S316="Water"),1,0)))</f>
        <v>0</v>
      </c>
      <c r="AT316" s="508" t="n">
        <f aca="false">SUM(IF(OR($R316="Fire",$R316="Ground",$R316="Rock"),0-1,IF(OR($R316="Dragon",$R316="Grass",$R316="Water"),1,0)),IF(OR($S316="Fire",$S316="Ground",$S316="Rock"),0-1,IF(OR($S316="Dragon",$S316="Grass",$S316="Water"),1,0)))</f>
        <v>0</v>
      </c>
      <c r="AU316" s="518"/>
    </row>
    <row r="317" customFormat="false" ht="15.75" hidden="false" customHeight="false" outlineLevel="0" collapsed="false">
      <c r="A317" s="510" t="str">
        <f aca="false" t="array" ref="A317:A317">IF(ISNA(INDEX(Source!$U$7:$U$95,MATCH(B317,Source!$V$7:$V$95,0))),"FREE",INDEX(Source!$U$7:$U$95,MATCH(B317,Source!$V$7:$V$95,0)))</f>
        <v>FREE</v>
      </c>
      <c r="B317" s="511" t="s">
        <v>1037</v>
      </c>
      <c r="C317" s="511"/>
      <c r="D317" s="511"/>
      <c r="E317" s="499" t="str">
        <f aca="false">IF(SUM($W317:$X317)&gt;0,SUM($W317:$X317),IF($H317&gt;0,0,IF($H317&gt;0,0,"-")))</f>
        <v>-</v>
      </c>
      <c r="F317" s="499" t="str">
        <f aca="false">IF(SUM($Y317:$Z317)&gt;0,SUM($Y317:$Z317),IF($H317&gt;0,0,"-"))</f>
        <v>-</v>
      </c>
      <c r="G317" s="499" t="str">
        <f aca="false">IF($H317&gt;0,minus(E317,F317),"-")</f>
        <v>-</v>
      </c>
      <c r="H317" s="500" t="n">
        <f aca="false">SUM(COUNTIF(MatchSource!$A:$A,$B317),COUNTIF(MatchSource!$H:$H,$B317))</f>
        <v>0</v>
      </c>
      <c r="I317" s="501" t="n">
        <f aca="false">SUM($AA317:$AB317)</f>
        <v>0</v>
      </c>
      <c r="J317" s="501" t="s">
        <v>888</v>
      </c>
      <c r="K317" s="512" t="str">
        <f aca="false" t="array" ref="K317:K317">IF(ISNA(INDEX(DraftRosters!$AA$3:$AA$199,MATCH($B317,DraftRosters!$AB$3:$AB$199,0))),"FA",IF(INDEX(DraftRosters!$AA$3:$AA$199,MATCH($B317,DraftRosters!$AB$3:$AB$199,0))="Franchise","Franch",INDEX(DraftRosters!$AA$3:$AA$199,MATCH($B317,DraftRosters!$AB$3:$AB$199,0))))</f>
        <v>FA</v>
      </c>
      <c r="L317" s="499" t="n">
        <v>73</v>
      </c>
      <c r="M317" s="499" t="n">
        <v>73</v>
      </c>
      <c r="N317" s="499" t="n">
        <v>73</v>
      </c>
      <c r="O317" s="499" t="n">
        <v>127</v>
      </c>
      <c r="P317" s="499" t="n">
        <v>73</v>
      </c>
      <c r="Q317" s="501" t="n">
        <v>127</v>
      </c>
      <c r="R317" s="499" t="s">
        <v>843</v>
      </c>
      <c r="S317" s="501" t="s">
        <v>835</v>
      </c>
      <c r="T317" s="504" t="s">
        <v>889</v>
      </c>
      <c r="U317" s="505"/>
      <c r="V317" s="506"/>
      <c r="W317" s="500" t="str">
        <f aca="false">IFERROR(__xludf.dummyfunction("if(isna(SUM(FILTER(MatchSource!$A:$D,MatchSource!$A:$A=$B317))),0,SUM(FILTER(MatchSource!$A:$D,MatchSource!$A:$A=$B317)))"),"0")</f>
        <v>0</v>
      </c>
      <c r="X317" s="499" t="str">
        <f aca="false">IFERROR(__xludf.dummyfunction("if(isna(SUM(FILTER(MatchSource!$H:$K,MatchSource!$H:$H=$B317))),0,SUM(FILTER(MatchSource!$H:$K,MatchSource!$H:$H=$B317)))"),"0")</f>
        <v>0</v>
      </c>
      <c r="Y317" s="499" t="str">
        <f aca="false">IFERROR(__xludf.dummyfunction("if(isna(ABS(MINUS(SUM(FILTER(MatchSource!$A:$E,MatchSource!$A:$A=$B317)),SUM($W317)))),0,ABS(MINUS(SUM(FILTER(MatchSource!$A:$E,MatchSource!$A:$A=$B317)),SUM($W317))))"),"0")</f>
        <v>0</v>
      </c>
      <c r="Z317" s="499" t="str">
        <f aca="false">IFERROR(__xludf.dummyfunction("if(isna(ABS(MINUS(SUM(FILTER(MatchSource!$H:$L,MatchSource!$H:$H=$B317)),SUM($X317)))),0,ABS(MINUS(SUM(FILTER(MatchSource!$H:$L,MatchSource!$H:$H=$B317)),SUM($X317))))"),"0")</f>
        <v>0</v>
      </c>
      <c r="AA317" s="499" t="str">
        <f aca="false">IFERROR(__xludf.dummyfunction("if(isna(ABS(MINUS(SUM(FILTER(MatchSource!$A:$F,MatchSource!$A:$A=$B317)),SUM($W317,$Y317)))),0,ABS(MINUS(SUM(FILTER(MatchSource!$A:$F,MatchSource!$A:$A=$B317)),SUM($W317, $Y317,))))"),"0")</f>
        <v>0</v>
      </c>
      <c r="AB317" s="501" t="str">
        <f aca="false">IFERROR(__xludf.dummyfunction("if(isna(ABS(MINUS(SUM(FILTER(MatchSource!$H:$M,MatchSource!$H:$H=$B317)),SUM($X317,$Z317)))),0,ABS(MINUS(SUM(FILTER(MatchSource!$H:$M,MatchSource!$H:$H=$B317)),SUM($X317,$Z317))))"),"0")</f>
        <v>0</v>
      </c>
      <c r="AC317" s="507" t="n">
        <f aca="false">SUM(IF(OR($R317="Grass",$R317="Psychic",$R317="Dark"),0-1,IF(OR($R317="Fighting",$R317="Flying",$R317="Fire",$R317="Ghost",$R317="Poison",$R317="Steel",$R317="Fairy"),1,0)),IF(OR($S317="Grass",$S317="Psychic",$S317="Dark"),0-1,IF(OR($S317="Fighting",$S317="Flying",$S317="Fire",$S317="Ghost",$S317="Poison",$S317="Steel",$S317="Fairy"),1,0)))</f>
        <v>1</v>
      </c>
      <c r="AD317" s="507" t="n">
        <f aca="false">SUM(IF(OR($R317="Ghost",$R317="Psychic"),0-1,IF(OR($R317="Fighting",$R317="Dark",$R317="Fairy"),1,0)),IF(OR($S317="Ghost",$S317="Psychic"),0-1,IF(OR($S317="Fighting",$S317="Dark",$S317="Fairy"),1,0)))</f>
        <v>0</v>
      </c>
      <c r="AE317" s="507" t="n">
        <f aca="false">IF(OR($R317="Fairy",$S317="Fairy"),4,SUM(IF($R317="Dragon",0-1,IF($R317="Steel",1,0)),IF($S317="Dragon",0-1,IF($S317="Steel",1,0))))</f>
        <v>-1</v>
      </c>
      <c r="AF317" s="507" t="n">
        <f aca="false">IF(OR($R317="Ground",$S317="Ground"),4,SUM(IF(OR($R317="Flying",$R317="Water"),0-1,IF(OR($R317="Dragon",$R317="Electric",$R317="Grass"),1,0)),IF(OR($S317="Flying",$S317="Water"),0-1,IF(OR($S317="Dragon",$S317="Electric",$S317="Grass"),1,0))))</f>
        <v>1</v>
      </c>
      <c r="AG317" s="507" t="n">
        <f aca="false">SUM(IF(OR($R317="Dark",$R317="Dragon",$R317="Fighting"),0-1,IF(OR($R317="Steel",$R317="Poison",$R317="Fire"),1,0)),IF(OR($S317="Dark",$S317="Dragon",$S317="Fighting"),0-1,IF(OR($S317="Steel",$S317="Poison",$S317="Fire"),1,0)))</f>
        <v>0</v>
      </c>
      <c r="AH317" s="507" t="n">
        <f aca="false">IF(OR($R317="Ghost",$S317="Ghost"),4,SUM(IF(OR($R317="Dark",$R317="Ice",$R317="Normal",$R317="Rock",$R317="Steel"),0-1,IF(OR($R317="Bug",$R317="Fairy",$R317="Flying",$R317="Poison",$R317="Psychic"),1,0)),IF(OR($S317="Dark",$S317="Ice",$S317="Normal",$S317="Rock",$S317="Steel"),0-1,IF(OR($S317="Bug",$S317="Fairy",$S317="Flying",$S317="Poison",$S317="Psychic"),1,0))))</f>
        <v>1</v>
      </c>
      <c r="AI317" s="507" t="n">
        <f aca="false">SUM(IF(OR($R317="Bug",$R317="Grass",$R317="Ice",$R317="Steel"),0-1,IF(OR($R317="Dragon",$R317="Fire",$R317="Rock",$R317="Water"),1,0)),IF(OR($S317="Bug",$S317="Grass",$S317="Ice",$S317="Steel"),0-1,IF(OR($S317="Dragon",$S317="Fire",$S317="Rock",$S317="Water"),1,0)))</f>
        <v>1</v>
      </c>
      <c r="AJ317" s="507" t="n">
        <f aca="false">SUM(IF(OR($R317="Bug",$R317="Grass",$R317="Fighting"),0-1,IF(OR($R317="Electric",$R317="Rock",$R317="Steel"),1,0)),IF(OR($S317="Bug",$S317="Grass",$S317="Fighting"),0-1,IF(OR($S317="Electric",$S317="Rock",$S317="Steel"),1,0)))</f>
        <v>0</v>
      </c>
      <c r="AK317" s="507" t="n">
        <f aca="false">IF(OR($R317="Normal",$S317="Normal"),4,SUM(IF(OR($R317="Ghost",$R317="Psychic"),0-1,IF($R317="Dark",1,0)),IF(OR($S317="Ghost",$S317="Psychic"),0-1,IF($S317="Dark",1,0))))</f>
        <v>0</v>
      </c>
      <c r="AL317" s="507" t="n">
        <f aca="false">SUM(IF(OR($R317="Ground",$R317="Rock",$R317="Water"),0-1,IF(OR($R317="Bug",$R317="Flying",$R317="Fire",$R317="Dragon",$R317="Poison",$R317="Steel",$R317="Grass"),1,0)),IF(OR($S317="Ground",$S317="Rock",$S317="Water"),0-1,IF(OR($S317="Bug",$S317="Flying",$S317="Fire",$S317="Dragon",$S317="Poison",$S317="Steel",$S317="Grass"),1,0)))</f>
        <v>2</v>
      </c>
      <c r="AM317" s="507" t="n">
        <f aca="false">IF(OR($R317="Flying",$S317="Flying"),4,SUM(IF(OR($R317="Electric",$R317="Fire",$R317="Rock",$R317="Steel",$R317="Poison"),0-1,IF(OR($R317="Bug",$R317="Grass"),1,0)),IF(OR($S317="Electric",$S317="Fire",$S317="Rock",$S317="Steel",$S317="Poison"),0-1,IF(OR($S317="Bug",$S317="Grass"),1,0))))</f>
        <v>-1</v>
      </c>
      <c r="AN317" s="507" t="n">
        <f aca="false">SUM(IF(OR($R317="Flying",$R317="Dragon",$R317="Grass",$R317="Ground"),0-1,IF(OR($R317="Steel",$R317="Ice",$R317="Fire",$R317="Water"),1,0)),IF(OR($S317="Flying",$S317="Dragon",$S317="Grass",$S317="Ground"),0-1,IF(OR($S317="Steel",$S317="Ice",$S317="Fire",$S317="Water"),1,0)))</f>
        <v>-1</v>
      </c>
      <c r="AO317" s="507" t="n">
        <f aca="false">IF(OR($R317="Ghost",$S317="Ghost"),4,SUM(IF(OR($R317="Steel",$R317="Rock"),1,0),IF(OR($S317="Steel",$S317="Rock"),1,0)))</f>
        <v>0</v>
      </c>
      <c r="AP317" s="507" t="n">
        <f aca="false">IF(OR($R317="Steel",$S317="Steel"),4,SUM(IF(OR($R317="Fairy",$R317="Grass"),0-1,IF(OR($R317="Ghost",$R317="Rock",$R317="Ground",$R317="Poison"),1,0)),IF(OR($S317="Fairy",$S317="Grass"),0-1,IF(OR($S317="Ghost",$S317="Rock",$S317="Ground",$S317="Poison"),1,0))))</f>
        <v>1</v>
      </c>
      <c r="AQ317" s="507" t="n">
        <f aca="false">IF(OR($R317="Dark",$S317="Dark"),4,SUM(IF(OR($R317="Fighting",$R317="Poison"),0-1,IF(OR($R317="Psychic",$R317="Steel"),1,0)),IF(OR($S317="Fighting",$S317="Poison"),0-1,IF(OR($S317="Psychic",$S317="Steel"),1,0))))</f>
        <v>-1</v>
      </c>
      <c r="AR317" s="507" t="n">
        <f aca="false">SUM(IF(OR($R317="Bug",$R317="Fire",$R317="Flying",$R317="Ice"),0-1,IF(OR($R317="Steel",$R317="Fighting",$R317="Ground"),1,0)),IF(OR($S317="Bug",$S317="Fire",$S317="Flying",$S317="Ice"),0-1,IF(OR($S317="Steel",$S317="Fighting",$S317="Ground"),1,0)))</f>
        <v>0</v>
      </c>
      <c r="AS317" s="507" t="n">
        <f aca="false">SUM(IF(OR($R317="Fairy",$R317="Ice",$R317="Rock"),0-1,IF(OR($R317="Steel",$R317="Electric",$R317="Fire",$R317="Water"),1,0)),IF(OR($S317="Fairy",$S317="Ice",$S317="Rock"),0-1,IF(OR($S317="Steel",$S317="Electric",$S317="Fire",$S317="Water"),1,0)))</f>
        <v>0</v>
      </c>
      <c r="AT317" s="508" t="n">
        <f aca="false">SUM(IF(OR($R317="Fire",$R317="Ground",$R317="Rock"),0-1,IF(OR($R317="Dragon",$R317="Grass",$R317="Water"),1,0)),IF(OR($S317="Fire",$S317="Ground",$S317="Rock"),0-1,IF(OR($S317="Dragon",$S317="Grass",$S317="Water"),1,0)))</f>
        <v>1</v>
      </c>
      <c r="AU317" s="518"/>
    </row>
    <row r="318" customFormat="false" ht="15.75" hidden="false" customHeight="false" outlineLevel="0" collapsed="false">
      <c r="A318" s="510" t="str">
        <f aca="false" t="array" ref="A318:A318">IF(ISNA(INDEX(Source!$U$7:$U$95,MATCH(B318,Source!$V$7:$V$95,0))),"FREE",INDEX(Source!$U$7:$U$95,MATCH(B318,Source!$V$7:$V$95,0)))</f>
        <v>FTT</v>
      </c>
      <c r="B318" s="511" t="s">
        <v>76</v>
      </c>
      <c r="C318" s="511"/>
      <c r="D318" s="511"/>
      <c r="E318" s="499" t="n">
        <f aca="false">IF(SUM($W318:$X318)&gt;0,SUM($W318:$X318),IF($H318&gt;0,0,IF($H318&gt;0,0,"-")))</f>
        <v>0</v>
      </c>
      <c r="F318" s="499" t="n">
        <f aca="false">IF(SUM($Y318:$Z318)&gt;0,SUM($Y318:$Z318),IF($H318&gt;0,0,"-"))</f>
        <v>0</v>
      </c>
      <c r="G318" s="499" t="e">
        <f aca="false">IF($H318&gt;0,minus(E318,F318),"-")</f>
        <v>#NAME?</v>
      </c>
      <c r="H318" s="500" t="n">
        <f aca="false">SUM(COUNTIF(MatchSource!$A:$A,$B318),COUNTIF(MatchSource!$H:$H,$B318))</f>
        <v>6</v>
      </c>
      <c r="I318" s="501" t="n">
        <f aca="false">SUM($AA318:$AB318)</f>
        <v>0</v>
      </c>
      <c r="J318" s="501" t="s">
        <v>699</v>
      </c>
      <c r="K318" s="512" t="n">
        <f aca="false" t="array" ref="K318:K318">IF(ISNA(INDEX(DraftRosters!$AA$3:$AA$199,MATCH($B318,DraftRosters!$AB$3:$AB$199,0))),"FA",IF(INDEX(DraftRosters!$AA$3:$AA$199,MATCH($B318,DraftRosters!$AB$3:$AB$199,0))="Franchise","Franch",INDEX(DraftRosters!$AA$3:$AA$199,MATCH($B318,DraftRosters!$AB$3:$AB$199,0))))</f>
        <v>80</v>
      </c>
      <c r="L318" s="499" t="n">
        <v>97</v>
      </c>
      <c r="M318" s="499" t="n">
        <v>107</v>
      </c>
      <c r="N318" s="499" t="n">
        <v>101</v>
      </c>
      <c r="O318" s="499" t="n">
        <v>127</v>
      </c>
      <c r="P318" s="499" t="n">
        <v>89</v>
      </c>
      <c r="Q318" s="501" t="n">
        <v>79</v>
      </c>
      <c r="R318" s="499" t="s">
        <v>828</v>
      </c>
      <c r="S318" s="501"/>
      <c r="T318" s="504" t="s">
        <v>1038</v>
      </c>
      <c r="U318" s="505"/>
      <c r="V318" s="506"/>
      <c r="W318" s="500" t="str">
        <f aca="false">IFERROR(__xludf.dummyfunction("if(isna(SUM(FILTER(MatchSource!$A:$D,MatchSource!$A:$A=$B318))),0,SUM(FILTER(MatchSource!$A:$D,MatchSource!$A:$A=$B318)))"),"0")</f>
        <v>0</v>
      </c>
      <c r="X318" s="499" t="str">
        <f aca="false">IFERROR(__xludf.dummyfunction("if(isna(SUM(FILTER(MatchSource!$H:$K,MatchSource!$H:$H=$B318))),0,SUM(FILTER(MatchSource!$H:$K,MatchSource!$H:$H=$B318)))"),"1")</f>
        <v>1</v>
      </c>
      <c r="Y318" s="499" t="str">
        <f aca="false">IFERROR(__xludf.dummyfunction("if(isna(ABS(MINUS(SUM(FILTER(MatchSource!$A:$E,MatchSource!$A:$A=$B318)),SUM($W318)))),0,ABS(MINUS(SUM(FILTER(MatchSource!$A:$E,MatchSource!$A:$A=$B318)),SUM($W318))))"),"2")</f>
        <v>2</v>
      </c>
      <c r="Z318" s="499" t="str">
        <f aca="false">IFERROR(__xludf.dummyfunction("if(isna(ABS(MINUS(SUM(FILTER(MatchSource!$H:$L,MatchSource!$H:$H=$B318)),SUM($X318)))),0,ABS(MINUS(SUM(FILTER(MatchSource!$H:$L,MatchSource!$H:$H=$B318)),SUM($X318))))"),"4")</f>
        <v>4</v>
      </c>
      <c r="AA318" s="499" t="str">
        <f aca="false">IFERROR(__xludf.dummyfunction("if(isna(ABS(MINUS(SUM(FILTER(MatchSource!$A:$F,MatchSource!$A:$A=$B318)),SUM($W318,$Y318)))),0,ABS(MINUS(SUM(FILTER(MatchSource!$A:$F,MatchSource!$A:$A=$B318)),SUM($W318, $Y318,))))"),"0")</f>
        <v>0</v>
      </c>
      <c r="AB318" s="501" t="str">
        <f aca="false">IFERROR(__xludf.dummyfunction("if(isna(ABS(MINUS(SUM(FILTER(MatchSource!$H:$M,MatchSource!$H:$H=$B318)),SUM($X318,$Z318)))),0,ABS(MINUS(SUM(FILTER(MatchSource!$H:$M,MatchSource!$H:$H=$B318)),SUM($X318,$Z318))))"),"1")</f>
        <v>1</v>
      </c>
      <c r="AC318" s="507" t="n">
        <f aca="false">SUM(IF(OR($R318="Grass",$R318="Psychic",$R318="Dark"),0-1,IF(OR($R318="Fighting",$R318="Flying",$R318="Fire",$R318="Ghost",$R318="Poison",$R318="Steel",$R318="Fairy"),1,0)),IF(OR($S318="Grass",$S318="Psychic",$S318="Dark"),0-1,IF(OR($S318="Fighting",$S318="Flying",$S318="Fire",$S318="Ghost",$S318="Poison",$S318="Steel",$S318="Fairy"),1,0)))</f>
        <v>-1</v>
      </c>
      <c r="AD318" s="507" t="n">
        <f aca="false">SUM(IF(OR($R318="Ghost",$R318="Psychic"),0-1,IF(OR($R318="Fighting",$R318="Dark",$R318="Fairy"),1,0)),IF(OR($S318="Ghost",$S318="Psychic"),0-1,IF(OR($S318="Fighting",$S318="Dark",$S318="Fairy"),1,0)))</f>
        <v>-1</v>
      </c>
      <c r="AE318" s="507" t="n">
        <f aca="false">IF(OR($R318="Fairy",$S318="Fairy"),4,SUM(IF($R318="Dragon",0-1,IF($R318="Steel",1,0)),IF($S318="Dragon",0-1,IF($S318="Steel",1,0))))</f>
        <v>0</v>
      </c>
      <c r="AF318" s="507" t="n">
        <f aca="false">IF(OR($R318="Ground",$S318="Ground"),4,SUM(IF(OR($R318="Flying",$R318="Water"),0-1,IF(OR($R318="Dragon",$R318="Electric",$R318="Grass"),1,0)),IF(OR($S318="Flying",$S318="Water"),0-1,IF(OR($S318="Dragon",$S318="Electric",$S318="Grass"),1,0))))</f>
        <v>0</v>
      </c>
      <c r="AG318" s="507" t="n">
        <f aca="false">SUM(IF(OR($R318="Dark",$R318="Dragon",$R318="Fighting"),0-1,IF(OR($R318="Steel",$R318="Poison",$R318="Fire"),1,0)),IF(OR($S318="Dark",$S318="Dragon",$S318="Fighting"),0-1,IF(OR($S318="Steel",$S318="Poison",$S318="Fire"),1,0)))</f>
        <v>0</v>
      </c>
      <c r="AH318" s="507" t="n">
        <f aca="false">IF(OR($R318="Ghost",$S318="Ghost"),4,SUM(IF(OR($R318="Dark",$R318="Ice",$R318="Normal",$R318="Rock",$R318="Steel"),0-1,IF(OR($R318="Bug",$R318="Fairy",$R318="Flying",$R318="Poison",$R318="Psychic"),1,0)),IF(OR($S318="Dark",$S318="Ice",$S318="Normal",$S318="Rock",$S318="Steel"),0-1,IF(OR($S318="Bug",$S318="Fairy",$S318="Flying",$S318="Poison",$S318="Psychic"),1,0))))</f>
        <v>1</v>
      </c>
      <c r="AI318" s="507" t="n">
        <f aca="false">SUM(IF(OR($R318="Bug",$R318="Grass",$R318="Ice",$R318="Steel"),0-1,IF(OR($R318="Dragon",$R318="Fire",$R318="Rock",$R318="Water"),1,0)),IF(OR($S318="Bug",$S318="Grass",$S318="Ice",$S318="Steel"),0-1,IF(OR($S318="Dragon",$S318="Fire",$S318="Rock",$S318="Water"),1,0)))</f>
        <v>0</v>
      </c>
      <c r="AJ318" s="507" t="n">
        <f aca="false">SUM(IF(OR($R318="Bug",$R318="Grass",$R318="Fighting"),0-1,IF(OR($R318="Electric",$R318="Rock",$R318="Steel"),1,0)),IF(OR($S318="Bug",$S318="Grass",$S318="Fighting"),0-1,IF(OR($S318="Electric",$S318="Rock",$S318="Steel"),1,0)))</f>
        <v>0</v>
      </c>
      <c r="AK318" s="507" t="n">
        <f aca="false">IF(OR($R318="Normal",$S318="Normal"),4,SUM(IF(OR($R318="Ghost",$R318="Psychic"),0-1,IF($R318="Dark",1,0)),IF(OR($S318="Ghost",$S318="Psychic"),0-1,IF($S318="Dark",1,0))))</f>
        <v>-1</v>
      </c>
      <c r="AL318" s="507" t="n">
        <f aca="false">SUM(IF(OR($R318="Ground",$R318="Rock",$R318="Water"),0-1,IF(OR($R318="Bug",$R318="Flying",$R318="Fire",$R318="Dragon",$R318="Poison",$R318="Steel",$R318="Grass"),1,0)),IF(OR($S318="Ground",$S318="Rock",$S318="Water"),0-1,IF(OR($S318="Bug",$S318="Flying",$S318="Fire",$S318="Dragon",$S318="Poison",$S318="Steel",$S318="Grass"),1,0)))</f>
        <v>0</v>
      </c>
      <c r="AM318" s="507" t="n">
        <f aca="false">IF(OR($R318="Flying",$S318="Flying"),4,SUM(IF(OR($R318="Electric",$R318="Fire",$R318="Rock",$R318="Steel",$R318="Poison"),0-1,IF(OR($R318="Bug",$R318="Grass"),1,0)),IF(OR($S318="Electric",$S318="Fire",$S318="Rock",$S318="Steel",$S318="Poison"),0-1,IF(OR($S318="Bug",$S318="Grass"),1,0))))</f>
        <v>0</v>
      </c>
      <c r="AN318" s="507" t="n">
        <f aca="false">SUM(IF(OR($R318="Flying",$R318="Dragon",$R318="Grass",$R318="Ground"),0-1,IF(OR($R318="Steel",$R318="Ice",$R318="Fire",$R318="Water"),1,0)),IF(OR($S318="Flying",$S318="Dragon",$S318="Grass",$S318="Ground"),0-1,IF(OR($S318="Steel",$S318="Ice",$S318="Fire",$S318="Water"),1,0)))</f>
        <v>0</v>
      </c>
      <c r="AO318" s="507" t="n">
        <f aca="false">IF(OR($R318="Ghost",$S318="Ghost"),4,SUM(IF(OR($R318="Steel",$R318="Rock"),1,0),IF(OR($S318="Steel",$S318="Rock"),1,0)))</f>
        <v>0</v>
      </c>
      <c r="AP318" s="507" t="n">
        <f aca="false">IF(OR($R318="Steel",$S318="Steel"),4,SUM(IF(OR($R318="Fairy",$R318="Grass"),0-1,IF(OR($R318="Ghost",$R318="Rock",$R318="Ground",$R318="Poison"),1,0)),IF(OR($S318="Fairy",$S318="Grass"),0-1,IF(OR($S318="Ghost",$S318="Rock",$S318="Ground",$S318="Poison"),1,0))))</f>
        <v>0</v>
      </c>
      <c r="AQ318" s="507" t="n">
        <f aca="false">IF(OR($R318="Dark",$S318="Dark"),4,SUM(IF(OR($R318="Fighting",$R318="Poison"),0-1,IF(OR($R318="Psychic",$R318="Steel"),1,0)),IF(OR($S318="Fighting",$S318="Poison"),0-1,IF(OR($S318="Psychic",$S318="Steel"),1,0))))</f>
        <v>1</v>
      </c>
      <c r="AR318" s="507" t="n">
        <f aca="false">SUM(IF(OR($R318="Bug",$R318="Fire",$R318="Flying",$R318="Ice"),0-1,IF(OR($R318="Steel",$R318="Fighting",$R318="Ground"),1,0)),IF(OR($S318="Bug",$S318="Fire",$S318="Flying",$S318="Ice"),0-1,IF(OR($S318="Steel",$S318="Fighting",$S318="Ground"),1,0)))</f>
        <v>0</v>
      </c>
      <c r="AS318" s="507" t="n">
        <f aca="false">SUM(IF(OR($R318="Fairy",$R318="Ice",$R318="Rock"),0-1,IF(OR($R318="Steel",$R318="Electric",$R318="Fire",$R318="Water"),1,0)),IF(OR($S318="Fairy",$S318="Ice",$S318="Rock"),0-1,IF(OR($S318="Steel",$S318="Electric",$S318="Fire",$S318="Water"),1,0)))</f>
        <v>0</v>
      </c>
      <c r="AT318" s="508" t="n">
        <f aca="false">SUM(IF(OR($R318="Fire",$R318="Ground",$R318="Rock"),0-1,IF(OR($R318="Dragon",$R318="Grass",$R318="Water"),1,0)),IF(OR($S318="Fire",$S318="Ground",$S318="Rock"),0-1,IF(OR($S318="Dragon",$S318="Grass",$S318="Water"),1,0)))</f>
        <v>0</v>
      </c>
      <c r="AU318" s="518"/>
    </row>
    <row r="319" customFormat="false" ht="15.75" hidden="false" customHeight="false" outlineLevel="0" collapsed="false">
      <c r="A319" s="510" t="str">
        <f aca="false" t="array" ref="A319:A319">IF(ISNA(INDEX(Source!$U$7:$U$95,MATCH(B319,Source!$V$7:$V$95,0))),"FREE",INDEX(Source!$U$7:$U$95,MATCH(B319,Source!$V$7:$V$95,0)))</f>
        <v>FREE</v>
      </c>
      <c r="B319" s="511" t="s">
        <v>1039</v>
      </c>
      <c r="C319" s="511"/>
      <c r="D319" s="511"/>
      <c r="E319" s="499" t="str">
        <f aca="false">IF(SUM($W319:$X319)&gt;0,SUM($W319:$X319),IF($H319&gt;0,0,IF($H319&gt;0,0,"-")))</f>
        <v>-</v>
      </c>
      <c r="F319" s="499" t="str">
        <f aca="false">IF(SUM($Y319:$Z319)&gt;0,SUM($Y319:$Z319),IF($H319&gt;0,0,"-"))</f>
        <v>-</v>
      </c>
      <c r="G319" s="499" t="str">
        <f aca="false">IF($H319&gt;0,minus(E319,F319),"-")</f>
        <v>-</v>
      </c>
      <c r="H319" s="500" t="n">
        <f aca="false">SUM(COUNTIF(MatchSource!$A:$A,$B319),COUNTIF(MatchSource!$H:$H,$B319))</f>
        <v>0</v>
      </c>
      <c r="I319" s="501" t="n">
        <f aca="false">SUM($AA319:$AB319)</f>
        <v>0</v>
      </c>
      <c r="J319" s="501" t="s">
        <v>888</v>
      </c>
      <c r="K319" s="512" t="str">
        <f aca="false" t="array" ref="K319:K319">IF(ISNA(INDEX(DraftRosters!$AA$3:$AA$199,MATCH($B319,DraftRosters!$AB$3:$AB$199,0))),"FA",IF(INDEX(DraftRosters!$AA$3:$AA$199,MATCH($B319,DraftRosters!$AB$3:$AB$199,0))="Franchise","Franch",INDEX(DraftRosters!$AA$3:$AA$199,MATCH($B319,DraftRosters!$AB$3:$AB$199,0))))</f>
        <v>FA</v>
      </c>
      <c r="L319" s="499" t="n">
        <v>97</v>
      </c>
      <c r="M319" s="499" t="n">
        <v>113</v>
      </c>
      <c r="N319" s="499" t="n">
        <v>109</v>
      </c>
      <c r="O319" s="499" t="n">
        <v>157</v>
      </c>
      <c r="P319" s="499" t="n">
        <v>127</v>
      </c>
      <c r="Q319" s="501" t="n">
        <v>77</v>
      </c>
      <c r="R319" s="499" t="s">
        <v>828</v>
      </c>
      <c r="S319" s="501" t="s">
        <v>802</v>
      </c>
      <c r="T319" s="504" t="s">
        <v>1038</v>
      </c>
      <c r="U319" s="505"/>
      <c r="V319" s="506"/>
      <c r="W319" s="500" t="str">
        <f aca="false">IFERROR(__xludf.dummyfunction("if(isna(SUM(FILTER(MatchSource!$A:$D,MatchSource!$A:$A=$B319))),0,SUM(FILTER(MatchSource!$A:$D,MatchSource!$A:$A=$B319)))"),"0")</f>
        <v>0</v>
      </c>
      <c r="X319" s="499" t="str">
        <f aca="false">IFERROR(__xludf.dummyfunction("if(isna(SUM(FILTER(MatchSource!$H:$K,MatchSource!$H:$H=$B319))),0,SUM(FILTER(MatchSource!$H:$K,MatchSource!$H:$H=$B319)))"),"0")</f>
        <v>0</v>
      </c>
      <c r="Y319" s="499" t="str">
        <f aca="false">IFERROR(__xludf.dummyfunction("if(isna(ABS(MINUS(SUM(FILTER(MatchSource!$A:$E,MatchSource!$A:$A=$B319)),SUM($W319)))),0,ABS(MINUS(SUM(FILTER(MatchSource!$A:$E,MatchSource!$A:$A=$B319)),SUM($W319))))"),"0")</f>
        <v>0</v>
      </c>
      <c r="Z319" s="499" t="str">
        <f aca="false">IFERROR(__xludf.dummyfunction("if(isna(ABS(MINUS(SUM(FILTER(MatchSource!$H:$L,MatchSource!$H:$H=$B319)),SUM($X319)))),0,ABS(MINUS(SUM(FILTER(MatchSource!$H:$L,MatchSource!$H:$H=$B319)),SUM($X319))))"),"0")</f>
        <v>0</v>
      </c>
      <c r="AA319" s="499" t="str">
        <f aca="false">IFERROR(__xludf.dummyfunction("if(isna(ABS(MINUS(SUM(FILTER(MatchSource!$A:$F,MatchSource!$A:$A=$B319)),SUM($W319,$Y319)))),0,ABS(MINUS(SUM(FILTER(MatchSource!$A:$F,MatchSource!$A:$A=$B319)),SUM($W319, $Y319,))))"),"0")</f>
        <v>0</v>
      </c>
      <c r="AB319" s="501" t="str">
        <f aca="false">IFERROR(__xludf.dummyfunction("if(isna(ABS(MINUS(SUM(FILTER(MatchSource!$H:$M,MatchSource!$H:$H=$B319)),SUM($X319,$Z319)))),0,ABS(MINUS(SUM(FILTER(MatchSource!$H:$M,MatchSource!$H:$H=$B319)),SUM($X319,$Z319))))"),"0")</f>
        <v>0</v>
      </c>
      <c r="AC319" s="507" t="n">
        <f aca="false">SUM(IF(OR($R319="Grass",$R319="Psychic",$R319="Dark"),0-1,IF(OR($R319="Fighting",$R319="Flying",$R319="Fire",$R319="Ghost",$R319="Poison",$R319="Steel",$R319="Fairy"),1,0)),IF(OR($S319="Grass",$S319="Psychic",$S319="Dark"),0-1,IF(OR($S319="Fighting",$S319="Flying",$S319="Fire",$S319="Ghost",$S319="Poison",$S319="Steel",$S319="Fairy"),1,0)))</f>
        <v>0</v>
      </c>
      <c r="AD319" s="507" t="n">
        <f aca="false">SUM(IF(OR($R319="Ghost",$R319="Psychic"),0-1,IF(OR($R319="Fighting",$R319="Dark",$R319="Fairy"),1,0)),IF(OR($S319="Ghost",$S319="Psychic"),0-1,IF(OR($S319="Fighting",$S319="Dark",$S319="Fairy"),1,0)))</f>
        <v>-2</v>
      </c>
      <c r="AE319" s="507" t="n">
        <f aca="false">IF(OR($R319="Fairy",$S319="Fairy"),4,SUM(IF($R319="Dragon",0-1,IF($R319="Steel",1,0)),IF($S319="Dragon",0-1,IF($S319="Steel",1,0))))</f>
        <v>0</v>
      </c>
      <c r="AF319" s="507" t="n">
        <f aca="false">IF(OR($R319="Ground",$S319="Ground"),4,SUM(IF(OR($R319="Flying",$R319="Water"),0-1,IF(OR($R319="Dragon",$R319="Electric",$R319="Grass"),1,0)),IF(OR($S319="Flying",$S319="Water"),0-1,IF(OR($S319="Dragon",$S319="Electric",$S319="Grass"),1,0))))</f>
        <v>0</v>
      </c>
      <c r="AG319" s="507" t="n">
        <f aca="false">SUM(IF(OR($R319="Dark",$R319="Dragon",$R319="Fighting"),0-1,IF(OR($R319="Steel",$R319="Poison",$R319="Fire"),1,0)),IF(OR($S319="Dark",$S319="Dragon",$S319="Fighting"),0-1,IF(OR($S319="Steel",$S319="Poison",$S319="Fire"),1,0)))</f>
        <v>0</v>
      </c>
      <c r="AH319" s="507" t="n">
        <f aca="false">IF(OR($R319="Ghost",$S319="Ghost"),4,SUM(IF(OR($R319="Dark",$R319="Ice",$R319="Normal",$R319="Rock",$R319="Steel"),0-1,IF(OR($R319="Bug",$R319="Fairy",$R319="Flying",$R319="Poison",$R319="Psychic"),1,0)),IF(OR($S319="Dark",$S319="Ice",$S319="Normal",$S319="Rock",$S319="Steel"),0-1,IF(OR($S319="Bug",$S319="Fairy",$S319="Flying",$S319="Poison",$S319="Psychic"),1,0))))</f>
        <v>4</v>
      </c>
      <c r="AI319" s="507" t="n">
        <f aca="false">SUM(IF(OR($R319="Bug",$R319="Grass",$R319="Ice",$R319="Steel"),0-1,IF(OR($R319="Dragon",$R319="Fire",$R319="Rock",$R319="Water"),1,0)),IF(OR($S319="Bug",$S319="Grass",$S319="Ice",$S319="Steel"),0-1,IF(OR($S319="Dragon",$S319="Fire",$S319="Rock",$S319="Water"),1,0)))</f>
        <v>0</v>
      </c>
      <c r="AJ319" s="507" t="n">
        <f aca="false">SUM(IF(OR($R319="Bug",$R319="Grass",$R319="Fighting"),0-1,IF(OR($R319="Electric",$R319="Rock",$R319="Steel"),1,0)),IF(OR($S319="Bug",$S319="Grass",$S319="Fighting"),0-1,IF(OR($S319="Electric",$S319="Rock",$S319="Steel"),1,0)))</f>
        <v>0</v>
      </c>
      <c r="AK319" s="507" t="n">
        <f aca="false">IF(OR($R319="Normal",$S319="Normal"),4,SUM(IF(OR($R319="Ghost",$R319="Psychic"),0-1,IF($R319="Dark",1,0)),IF(OR($S319="Ghost",$S319="Psychic"),0-1,IF($S319="Dark",1,0))))</f>
        <v>-2</v>
      </c>
      <c r="AL319" s="507" t="n">
        <f aca="false">SUM(IF(OR($R319="Ground",$R319="Rock",$R319="Water"),0-1,IF(OR($R319="Bug",$R319="Flying",$R319="Fire",$R319="Dragon",$R319="Poison",$R319="Steel",$R319="Grass"),1,0)),IF(OR($S319="Ground",$S319="Rock",$S319="Water"),0-1,IF(OR($S319="Bug",$S319="Flying",$S319="Fire",$S319="Dragon",$S319="Poison",$S319="Steel",$S319="Grass"),1,0)))</f>
        <v>0</v>
      </c>
      <c r="AM319" s="507" t="n">
        <f aca="false">IF(OR($R319="Flying",$S319="Flying"),4,SUM(IF(OR($R319="Electric",$R319="Fire",$R319="Rock",$R319="Steel",$R319="Poison"),0-1,IF(OR($R319="Bug",$R319="Grass"),1,0)),IF(OR($S319="Electric",$S319="Fire",$S319="Rock",$S319="Steel",$S319="Poison"),0-1,IF(OR($S319="Bug",$S319="Grass"),1,0))))</f>
        <v>0</v>
      </c>
      <c r="AN319" s="507" t="n">
        <f aca="false">SUM(IF(OR($R319="Flying",$R319="Dragon",$R319="Grass",$R319="Ground"),0-1,IF(OR($R319="Steel",$R319="Ice",$R319="Fire",$R319="Water"),1,0)),IF(OR($S319="Flying",$S319="Dragon",$S319="Grass",$S319="Ground"),0-1,IF(OR($S319="Steel",$S319="Ice",$S319="Fire",$S319="Water"),1,0)))</f>
        <v>0</v>
      </c>
      <c r="AO319" s="507" t="n">
        <f aca="false">IF(OR($R319="Ghost",$S319="Ghost"),4,SUM(IF(OR($R319="Steel",$R319="Rock"),1,0),IF(OR($S319="Steel",$S319="Rock"),1,0)))</f>
        <v>4</v>
      </c>
      <c r="AP319" s="507" t="n">
        <f aca="false">IF(OR($R319="Steel",$S319="Steel"),4,SUM(IF(OR($R319="Fairy",$R319="Grass"),0-1,IF(OR($R319="Ghost",$R319="Rock",$R319="Ground",$R319="Poison"),1,0)),IF(OR($S319="Fairy",$S319="Grass"),0-1,IF(OR($S319="Ghost",$S319="Rock",$S319="Ground",$S319="Poison"),1,0))))</f>
        <v>1</v>
      </c>
      <c r="AQ319" s="507" t="n">
        <f aca="false">IF(OR($R319="Dark",$S319="Dark"),4,SUM(IF(OR($R319="Fighting",$R319="Poison"),0-1,IF(OR($R319="Psychic",$R319="Steel"),1,0)),IF(OR($S319="Fighting",$S319="Poison"),0-1,IF(OR($S319="Psychic",$S319="Steel"),1,0))))</f>
        <v>1</v>
      </c>
      <c r="AR319" s="507" t="n">
        <f aca="false">SUM(IF(OR($R319="Bug",$R319="Fire",$R319="Flying",$R319="Ice"),0-1,IF(OR($R319="Steel",$R319="Fighting",$R319="Ground"),1,0)),IF(OR($S319="Bug",$S319="Fire",$S319="Flying",$S319="Ice"),0-1,IF(OR($S319="Steel",$S319="Fighting",$S319="Ground"),1,0)))</f>
        <v>0</v>
      </c>
      <c r="AS319" s="507" t="n">
        <f aca="false">SUM(IF(OR($R319="Fairy",$R319="Ice",$R319="Rock"),0-1,IF(OR($R319="Steel",$R319="Electric",$R319="Fire",$R319="Water"),1,0)),IF(OR($S319="Fairy",$S319="Ice",$S319="Rock"),0-1,IF(OR($S319="Steel",$S319="Electric",$S319="Fire",$S319="Water"),1,0)))</f>
        <v>0</v>
      </c>
      <c r="AT319" s="508" t="n">
        <f aca="false">SUM(IF(OR($R319="Fire",$R319="Ground",$R319="Rock"),0-1,IF(OR($R319="Dragon",$R319="Grass",$R319="Water"),1,0)),IF(OR($S319="Fire",$S319="Ground",$S319="Rock"),0-1,IF(OR($S319="Dragon",$S319="Grass",$S319="Water"),1,0)))</f>
        <v>0</v>
      </c>
      <c r="AU319" s="518"/>
    </row>
    <row r="320" customFormat="false" ht="15.75" hidden="false" customHeight="false" outlineLevel="0" collapsed="false">
      <c r="A320" s="510" t="str">
        <f aca="false" t="array" ref="A320:A320">IF(ISNA(INDEX(Source!$U$7:$U$95,MATCH(B320,Source!$V$7:$V$95,0))),"FREE",INDEX(Source!$U$7:$U$95,MATCH(B320,Source!$V$7:$V$95,0)))</f>
        <v>FREE</v>
      </c>
      <c r="B320" s="511" t="s">
        <v>1040</v>
      </c>
      <c r="C320" s="511"/>
      <c r="D320" s="511"/>
      <c r="E320" s="499" t="str">
        <f aca="false">IF(SUM($W320:$X320)&gt;0,SUM($W320:$X320),IF($H320&gt;0,0,IF($H320&gt;0,0,"-")))</f>
        <v>-</v>
      </c>
      <c r="F320" s="499" t="str">
        <f aca="false">IF(SUM($Y320:$Z320)&gt;0,SUM($Y320:$Z320),IF($H320&gt;0,0,"-"))</f>
        <v>-</v>
      </c>
      <c r="G320" s="499" t="str">
        <f aca="false">IF($H320&gt;0,minus(E320,F320),"-")</f>
        <v>-</v>
      </c>
      <c r="H320" s="500" t="n">
        <f aca="false">SUM(COUNTIF(MatchSource!$A:$A,$B320),COUNTIF(MatchSource!$H:$H,$B320))</f>
        <v>0</v>
      </c>
      <c r="I320" s="501" t="n">
        <f aca="false">SUM($AA320:$AB320)</f>
        <v>0</v>
      </c>
      <c r="J320" s="501" t="s">
        <v>888</v>
      </c>
      <c r="K320" s="512" t="str">
        <f aca="false" t="array" ref="K320:K320">IF(ISNA(INDEX(DraftRosters!$AA$3:$AA$199,MATCH($B320,DraftRosters!$AB$3:$AB$199,0))),"FA",IF(INDEX(DraftRosters!$AA$3:$AA$199,MATCH($B320,DraftRosters!$AB$3:$AB$199,0))="Franchise","Franch",INDEX(DraftRosters!$AA$3:$AA$199,MATCH($B320,DraftRosters!$AB$3:$AB$199,0))))</f>
        <v>FA</v>
      </c>
      <c r="L320" s="499" t="n">
        <v>97</v>
      </c>
      <c r="M320" s="499" t="n">
        <v>157</v>
      </c>
      <c r="N320" s="499" t="n">
        <v>127</v>
      </c>
      <c r="O320" s="499" t="n">
        <v>113</v>
      </c>
      <c r="P320" s="499" t="n">
        <v>109</v>
      </c>
      <c r="Q320" s="501" t="n">
        <v>77</v>
      </c>
      <c r="R320" s="499" t="s">
        <v>828</v>
      </c>
      <c r="S320" s="501" t="s">
        <v>810</v>
      </c>
      <c r="T320" s="504" t="s">
        <v>1038</v>
      </c>
      <c r="U320" s="505"/>
      <c r="V320" s="506"/>
      <c r="W320" s="500" t="str">
        <f aca="false">IFERROR(__xludf.dummyfunction("if(isna(SUM(FILTER(MatchSource!$A:$D,MatchSource!$A:$A=$B320))),0,SUM(FILTER(MatchSource!$A:$D,MatchSource!$A:$A=$B320)))"),"0")</f>
        <v>0</v>
      </c>
      <c r="X320" s="499" t="str">
        <f aca="false">IFERROR(__xludf.dummyfunction("if(isna(SUM(FILTER(MatchSource!$H:$K,MatchSource!$H:$H=$B320))),0,SUM(FILTER(MatchSource!$H:$K,MatchSource!$H:$H=$B320)))"),"0")</f>
        <v>0</v>
      </c>
      <c r="Y320" s="499" t="str">
        <f aca="false">IFERROR(__xludf.dummyfunction("if(isna(ABS(MINUS(SUM(FILTER(MatchSource!$A:$E,MatchSource!$A:$A=$B320)),SUM($W320)))),0,ABS(MINUS(SUM(FILTER(MatchSource!$A:$E,MatchSource!$A:$A=$B320)),SUM($W320))))"),"0")</f>
        <v>0</v>
      </c>
      <c r="Z320" s="499" t="str">
        <f aca="false">IFERROR(__xludf.dummyfunction("if(isna(ABS(MINUS(SUM(FILTER(MatchSource!$H:$L,MatchSource!$H:$H=$B320)),SUM($X320)))),0,ABS(MINUS(SUM(FILTER(MatchSource!$H:$L,MatchSource!$H:$H=$B320)),SUM($X320))))"),"0")</f>
        <v>0</v>
      </c>
      <c r="AA320" s="499" t="str">
        <f aca="false">IFERROR(__xludf.dummyfunction("if(isna(ABS(MINUS(SUM(FILTER(MatchSource!$A:$F,MatchSource!$A:$A=$B320)),SUM($W320,$Y320)))),0,ABS(MINUS(SUM(FILTER(MatchSource!$A:$F,MatchSource!$A:$A=$B320)),SUM($W320, $Y320,))))"),"0")</f>
        <v>0</v>
      </c>
      <c r="AB320" s="501" t="str">
        <f aca="false">IFERROR(__xludf.dummyfunction("if(isna(ABS(MINUS(SUM(FILTER(MatchSource!$H:$M,MatchSource!$H:$H=$B320)),SUM($X320,$Z320)))),0,ABS(MINUS(SUM(FILTER(MatchSource!$H:$M,MatchSource!$H:$H=$B320)),SUM($X320,$Z320))))"),"0")</f>
        <v>0</v>
      </c>
      <c r="AC320" s="507" t="n">
        <f aca="false">SUM(IF(OR($R320="Grass",$R320="Psychic",$R320="Dark"),0-1,IF(OR($R320="Fighting",$R320="Flying",$R320="Fire",$R320="Ghost",$R320="Poison",$R320="Steel",$R320="Fairy"),1,0)),IF(OR($S320="Grass",$S320="Psychic",$S320="Dark"),0-1,IF(OR($S320="Fighting",$S320="Flying",$S320="Fire",$S320="Ghost",$S320="Poison",$S320="Steel",$S320="Fairy"),1,0)))</f>
        <v>0</v>
      </c>
      <c r="AD320" s="507" t="n">
        <f aca="false">SUM(IF(OR($R320="Ghost",$R320="Psychic"),0-1,IF(OR($R320="Fighting",$R320="Dark",$R320="Fairy"),1,0)),IF(OR($S320="Ghost",$S320="Psychic"),0-1,IF(OR($S320="Fighting",$S320="Dark",$S320="Fairy"),1,0)))</f>
        <v>-1</v>
      </c>
      <c r="AE320" s="507" t="n">
        <f aca="false">IF(OR($R320="Fairy",$S320="Fairy"),4,SUM(IF($R320="Dragon",0-1,IF($R320="Steel",1,0)),IF($S320="Dragon",0-1,IF($S320="Steel",1,0))))</f>
        <v>1</v>
      </c>
      <c r="AF320" s="507" t="n">
        <f aca="false">IF(OR($R320="Ground",$S320="Ground"),4,SUM(IF(OR($R320="Flying",$R320="Water"),0-1,IF(OR($R320="Dragon",$R320="Electric",$R320="Grass"),1,0)),IF(OR($S320="Flying",$S320="Water"),0-1,IF(OR($S320="Dragon",$S320="Electric",$S320="Grass"),1,0))))</f>
        <v>0</v>
      </c>
      <c r="AG320" s="507" t="n">
        <f aca="false">SUM(IF(OR($R320="Dark",$R320="Dragon",$R320="Fighting"),0-1,IF(OR($R320="Steel",$R320="Poison",$R320="Fire"),1,0)),IF(OR($S320="Dark",$S320="Dragon",$S320="Fighting"),0-1,IF(OR($S320="Steel",$S320="Poison",$S320="Fire"),1,0)))</f>
        <v>1</v>
      </c>
      <c r="AH320" s="507" t="n">
        <f aca="false">IF(OR($R320="Ghost",$S320="Ghost"),4,SUM(IF(OR($R320="Dark",$R320="Ice",$R320="Normal",$R320="Rock",$R320="Steel"),0-1,IF(OR($R320="Bug",$R320="Fairy",$R320="Flying",$R320="Poison",$R320="Psychic"),1,0)),IF(OR($S320="Dark",$S320="Ice",$S320="Normal",$S320="Rock",$S320="Steel"),0-1,IF(OR($S320="Bug",$S320="Fairy",$S320="Flying",$S320="Poison",$S320="Psychic"),1,0))))</f>
        <v>0</v>
      </c>
      <c r="AI320" s="507" t="n">
        <f aca="false">SUM(IF(OR($R320="Bug",$R320="Grass",$R320="Ice",$R320="Steel"),0-1,IF(OR($R320="Dragon",$R320="Fire",$R320="Rock",$R320="Water"),1,0)),IF(OR($S320="Bug",$S320="Grass",$S320="Ice",$S320="Steel"),0-1,IF(OR($S320="Dragon",$S320="Fire",$S320="Rock",$S320="Water"),1,0)))</f>
        <v>-1</v>
      </c>
      <c r="AJ320" s="507" t="n">
        <f aca="false">SUM(IF(OR($R320="Bug",$R320="Grass",$R320="Fighting"),0-1,IF(OR($R320="Electric",$R320="Rock",$R320="Steel"),1,0)),IF(OR($S320="Bug",$S320="Grass",$S320="Fighting"),0-1,IF(OR($S320="Electric",$S320="Rock",$S320="Steel"),1,0)))</f>
        <v>1</v>
      </c>
      <c r="AK320" s="507" t="n">
        <f aca="false">IF(OR($R320="Normal",$S320="Normal"),4,SUM(IF(OR($R320="Ghost",$R320="Psychic"),0-1,IF($R320="Dark",1,0)),IF(OR($S320="Ghost",$S320="Psychic"),0-1,IF($S320="Dark",1,0))))</f>
        <v>-1</v>
      </c>
      <c r="AL320" s="507" t="n">
        <f aca="false">SUM(IF(OR($R320="Ground",$R320="Rock",$R320="Water"),0-1,IF(OR($R320="Bug",$R320="Flying",$R320="Fire",$R320="Dragon",$R320="Poison",$R320="Steel",$R320="Grass"),1,0)),IF(OR($S320="Ground",$S320="Rock",$S320="Water"),0-1,IF(OR($S320="Bug",$S320="Flying",$S320="Fire",$S320="Dragon",$S320="Poison",$S320="Steel",$S320="Grass"),1,0)))</f>
        <v>1</v>
      </c>
      <c r="AM320" s="507" t="n">
        <f aca="false">IF(OR($R320="Flying",$S320="Flying"),4,SUM(IF(OR($R320="Electric",$R320="Fire",$R320="Rock",$R320="Steel",$R320="Poison"),0-1,IF(OR($R320="Bug",$R320="Grass"),1,0)),IF(OR($S320="Electric",$S320="Fire",$S320="Rock",$S320="Steel",$S320="Poison"),0-1,IF(OR($S320="Bug",$S320="Grass"),1,0))))</f>
        <v>-1</v>
      </c>
      <c r="AN320" s="507" t="n">
        <f aca="false">SUM(IF(OR($R320="Flying",$R320="Dragon",$R320="Grass",$R320="Ground"),0-1,IF(OR($R320="Steel",$R320="Ice",$R320="Fire",$R320="Water"),1,0)),IF(OR($S320="Flying",$S320="Dragon",$S320="Grass",$S320="Ground"),0-1,IF(OR($S320="Steel",$S320="Ice",$S320="Fire",$S320="Water"),1,0)))</f>
        <v>1</v>
      </c>
      <c r="AO320" s="507" t="n">
        <f aca="false">IF(OR($R320="Ghost",$S320="Ghost"),4,SUM(IF(OR($R320="Steel",$R320="Rock"),1,0),IF(OR($S320="Steel",$S320="Rock"),1,0)))</f>
        <v>1</v>
      </c>
      <c r="AP320" s="507" t="n">
        <f aca="false">IF(OR($R320="Steel",$S320="Steel"),4,SUM(IF(OR($R320="Fairy",$R320="Grass"),0-1,IF(OR($R320="Ghost",$R320="Rock",$R320="Ground",$R320="Poison"),1,0)),IF(OR($S320="Fairy",$S320="Grass"),0-1,IF(OR($S320="Ghost",$S320="Rock",$S320="Ground",$S320="Poison"),1,0))))</f>
        <v>4</v>
      </c>
      <c r="AQ320" s="507" t="n">
        <f aca="false">IF(OR($R320="Dark",$S320="Dark"),4,SUM(IF(OR($R320="Fighting",$R320="Poison"),0-1,IF(OR($R320="Psychic",$R320="Steel"),1,0)),IF(OR($S320="Fighting",$S320="Poison"),0-1,IF(OR($S320="Psychic",$S320="Steel"),1,0))))</f>
        <v>2</v>
      </c>
      <c r="AR320" s="507" t="n">
        <f aca="false">SUM(IF(OR($R320="Bug",$R320="Fire",$R320="Flying",$R320="Ice"),0-1,IF(OR($R320="Steel",$R320="Fighting",$R320="Ground"),1,0)),IF(OR($S320="Bug",$S320="Fire",$S320="Flying",$S320="Ice"),0-1,IF(OR($S320="Steel",$S320="Fighting",$S320="Ground"),1,0)))</f>
        <v>1</v>
      </c>
      <c r="AS320" s="507" t="n">
        <f aca="false">SUM(IF(OR($R320="Fairy",$R320="Ice",$R320="Rock"),0-1,IF(OR($R320="Steel",$R320="Electric",$R320="Fire",$R320="Water"),1,0)),IF(OR($S320="Fairy",$S320="Ice",$S320="Rock"),0-1,IF(OR($S320="Steel",$S320="Electric",$S320="Fire",$S320="Water"),1,0)))</f>
        <v>1</v>
      </c>
      <c r="AT320" s="508" t="n">
        <f aca="false">SUM(IF(OR($R320="Fire",$R320="Ground",$R320="Rock"),0-1,IF(OR($R320="Dragon",$R320="Grass",$R320="Water"),1,0)),IF(OR($S320="Fire",$S320="Ground",$S320="Rock"),0-1,IF(OR($S320="Dragon",$S320="Grass",$S320="Water"),1,0)))</f>
        <v>0</v>
      </c>
      <c r="AU320" s="518"/>
    </row>
    <row r="321" customFormat="false" ht="15.75" hidden="false" customHeight="false" outlineLevel="0" collapsed="false">
      <c r="A321" s="510" t="str">
        <f aca="false" t="array" ref="A321:A321">IF(ISNA(INDEX(Source!$U$7:$U$95,MATCH(B321,Source!$V$7:$V$95,0))),"FREE",INDEX(Source!$U$7:$U$95,MATCH(B321,Source!$V$7:$V$95,0)))</f>
        <v>FREE</v>
      </c>
      <c r="B321" s="511" t="s">
        <v>1041</v>
      </c>
      <c r="C321" s="511"/>
      <c r="D321" s="511"/>
      <c r="E321" s="499" t="str">
        <f aca="false">IF(SUM($W321:$X321)&gt;0,SUM($W321:$X321),IF($H321&gt;0,0,IF($H321&gt;0,0,"-")))</f>
        <v>-</v>
      </c>
      <c r="F321" s="499" t="str">
        <f aca="false">IF(SUM($Y321:$Z321)&gt;0,SUM($Y321:$Z321),IF($H321&gt;0,0,"-"))</f>
        <v>-</v>
      </c>
      <c r="G321" s="499" t="str">
        <f aca="false">IF($H321&gt;0,minus(E321,F321),"-")</f>
        <v>-</v>
      </c>
      <c r="H321" s="500" t="n">
        <f aca="false">SUM(COUNTIF(MatchSource!$A:$A,$B321),COUNTIF(MatchSource!$H:$H,$B321))</f>
        <v>0</v>
      </c>
      <c r="I321" s="501" t="n">
        <f aca="false">SUM($AA321:$AB321)</f>
        <v>0</v>
      </c>
      <c r="J321" s="501" t="s">
        <v>888</v>
      </c>
      <c r="K321" s="512" t="str">
        <f aca="false" t="array" ref="K321:K321">IF(ISNA(INDEX(DraftRosters!$AA$3:$AA$199,MATCH($B321,DraftRosters!$AB$3:$AB$199,0))),"FA",IF(INDEX(DraftRosters!$AA$3:$AA$199,MATCH($B321,DraftRosters!$AB$3:$AB$199,0))="Franchise","Franch",INDEX(DraftRosters!$AA$3:$AA$199,MATCH($B321,DraftRosters!$AB$3:$AB$199,0))))</f>
        <v>FA</v>
      </c>
      <c r="L321" s="499" t="n">
        <v>97</v>
      </c>
      <c r="M321" s="499" t="n">
        <v>167</v>
      </c>
      <c r="N321" s="499" t="n">
        <v>97</v>
      </c>
      <c r="O321" s="499" t="n">
        <v>167</v>
      </c>
      <c r="P321" s="499" t="n">
        <v>97</v>
      </c>
      <c r="Q321" s="501" t="n">
        <v>129</v>
      </c>
      <c r="R321" s="499" t="s">
        <v>828</v>
      </c>
      <c r="S321" s="501" t="s">
        <v>835</v>
      </c>
      <c r="T321" s="504" t="s">
        <v>1042</v>
      </c>
      <c r="U321" s="505"/>
      <c r="V321" s="506"/>
      <c r="W321" s="500" t="str">
        <f aca="false">IFERROR(__xludf.dummyfunction("if(isna(SUM(FILTER(MatchSource!$A:$D,MatchSource!$A:$A=$B321))),0,SUM(FILTER(MatchSource!$A:$D,MatchSource!$A:$A=$B321)))"),"0")</f>
        <v>0</v>
      </c>
      <c r="X321" s="499" t="str">
        <f aca="false">IFERROR(__xludf.dummyfunction("if(isna(SUM(FILTER(MatchSource!$H:$K,MatchSource!$H:$H=$B321))),0,SUM(FILTER(MatchSource!$H:$K,MatchSource!$H:$H=$B321)))"),"0")</f>
        <v>0</v>
      </c>
      <c r="Y321" s="499" t="str">
        <f aca="false">IFERROR(__xludf.dummyfunction("if(isna(ABS(MINUS(SUM(FILTER(MatchSource!$A:$E,MatchSource!$A:$A=$B321)),SUM($W321)))),0,ABS(MINUS(SUM(FILTER(MatchSource!$A:$E,MatchSource!$A:$A=$B321)),SUM($W321))))"),"0")</f>
        <v>0</v>
      </c>
      <c r="Z321" s="499" t="str">
        <f aca="false">IFERROR(__xludf.dummyfunction("if(isna(ABS(MINUS(SUM(FILTER(MatchSource!$H:$L,MatchSource!$H:$H=$B321)),SUM($X321)))),0,ABS(MINUS(SUM(FILTER(MatchSource!$H:$L,MatchSource!$H:$H=$B321)),SUM($X321))))"),"0")</f>
        <v>0</v>
      </c>
      <c r="AA321" s="499" t="str">
        <f aca="false">IFERROR(__xludf.dummyfunction("if(isna(ABS(MINUS(SUM(FILTER(MatchSource!$A:$F,MatchSource!$A:$A=$B321)),SUM($W321,$Y321)))),0,ABS(MINUS(SUM(FILTER(MatchSource!$A:$F,MatchSource!$A:$A=$B321)),SUM($W321, $Y321,))))"),"0")</f>
        <v>0</v>
      </c>
      <c r="AB321" s="501" t="str">
        <f aca="false">IFERROR(__xludf.dummyfunction("if(isna(ABS(MINUS(SUM(FILTER(MatchSource!$H:$M,MatchSource!$H:$H=$B321)),SUM($X321,$Z321)))),0,ABS(MINUS(SUM(FILTER(MatchSource!$H:$M,MatchSource!$H:$H=$B321)),SUM($X321,$Z321))))"),"0")</f>
        <v>0</v>
      </c>
      <c r="AC321" s="507" t="n">
        <f aca="false">SUM(IF(OR($R321="Grass",$R321="Psychic",$R321="Dark"),0-1,IF(OR($R321="Fighting",$R321="Flying",$R321="Fire",$R321="Ghost",$R321="Poison",$R321="Steel",$R321="Fairy"),1,0)),IF(OR($S321="Grass",$S321="Psychic",$S321="Dark"),0-1,IF(OR($S321="Fighting",$S321="Flying",$S321="Fire",$S321="Ghost",$S321="Poison",$S321="Steel",$S321="Fairy"),1,0)))</f>
        <v>-1</v>
      </c>
      <c r="AD321" s="507" t="n">
        <f aca="false">SUM(IF(OR($R321="Ghost",$R321="Psychic"),0-1,IF(OR($R321="Fighting",$R321="Dark",$R321="Fairy"),1,0)),IF(OR($S321="Ghost",$S321="Psychic"),0-1,IF(OR($S321="Fighting",$S321="Dark",$S321="Fairy"),1,0)))</f>
        <v>-1</v>
      </c>
      <c r="AE321" s="507" t="n">
        <f aca="false">IF(OR($R321="Fairy",$S321="Fairy"),4,SUM(IF($R321="Dragon",0-1,IF($R321="Steel",1,0)),IF($S321="Dragon",0-1,IF($S321="Steel",1,0))))</f>
        <v>-1</v>
      </c>
      <c r="AF321" s="507" t="n">
        <f aca="false">IF(OR($R321="Ground",$S321="Ground"),4,SUM(IF(OR($R321="Flying",$R321="Water"),0-1,IF(OR($R321="Dragon",$R321="Electric",$R321="Grass"),1,0)),IF(OR($S321="Flying",$S321="Water"),0-1,IF(OR($S321="Dragon",$S321="Electric",$S321="Grass"),1,0))))</f>
        <v>1</v>
      </c>
      <c r="AG321" s="507" t="n">
        <f aca="false">SUM(IF(OR($R321="Dark",$R321="Dragon",$R321="Fighting"),0-1,IF(OR($R321="Steel",$R321="Poison",$R321="Fire"),1,0)),IF(OR($S321="Dark",$S321="Dragon",$S321="Fighting"),0-1,IF(OR($S321="Steel",$S321="Poison",$S321="Fire"),1,0)))</f>
        <v>-1</v>
      </c>
      <c r="AH321" s="507" t="n">
        <f aca="false">IF(OR($R321="Ghost",$S321="Ghost"),4,SUM(IF(OR($R321="Dark",$R321="Ice",$R321="Normal",$R321="Rock",$R321="Steel"),0-1,IF(OR($R321="Bug",$R321="Fairy",$R321="Flying",$R321="Poison",$R321="Psychic"),1,0)),IF(OR($S321="Dark",$S321="Ice",$S321="Normal",$S321="Rock",$S321="Steel"),0-1,IF(OR($S321="Bug",$S321="Fairy",$S321="Flying",$S321="Poison",$S321="Psychic"),1,0))))</f>
        <v>1</v>
      </c>
      <c r="AI321" s="507" t="n">
        <f aca="false">SUM(IF(OR($R321="Bug",$R321="Grass",$R321="Ice",$R321="Steel"),0-1,IF(OR($R321="Dragon",$R321="Fire",$R321="Rock",$R321="Water"),1,0)),IF(OR($S321="Bug",$S321="Grass",$S321="Ice",$S321="Steel"),0-1,IF(OR($S321="Dragon",$S321="Fire",$S321="Rock",$S321="Water"),1,0)))</f>
        <v>1</v>
      </c>
      <c r="AJ321" s="507" t="n">
        <f aca="false">SUM(IF(OR($R321="Bug",$R321="Grass",$R321="Fighting"),0-1,IF(OR($R321="Electric",$R321="Rock",$R321="Steel"),1,0)),IF(OR($S321="Bug",$S321="Grass",$S321="Fighting"),0-1,IF(OR($S321="Electric",$S321="Rock",$S321="Steel"),1,0)))</f>
        <v>0</v>
      </c>
      <c r="AK321" s="507" t="n">
        <f aca="false">IF(OR($R321="Normal",$S321="Normal"),4,SUM(IF(OR($R321="Ghost",$R321="Psychic"),0-1,IF($R321="Dark",1,0)),IF(OR($S321="Ghost",$S321="Psychic"),0-1,IF($S321="Dark",1,0))))</f>
        <v>-1</v>
      </c>
      <c r="AL321" s="507" t="n">
        <f aca="false">SUM(IF(OR($R321="Ground",$R321="Rock",$R321="Water"),0-1,IF(OR($R321="Bug",$R321="Flying",$R321="Fire",$R321="Dragon",$R321="Poison",$R321="Steel",$R321="Grass"),1,0)),IF(OR($S321="Ground",$S321="Rock",$S321="Water"),0-1,IF(OR($S321="Bug",$S321="Flying",$S321="Fire",$S321="Dragon",$S321="Poison",$S321="Steel",$S321="Grass"),1,0)))</f>
        <v>1</v>
      </c>
      <c r="AM321" s="507" t="n">
        <f aca="false">IF(OR($R321="Flying",$S321="Flying"),4,SUM(IF(OR($R321="Electric",$R321="Fire",$R321="Rock",$R321="Steel",$R321="Poison"),0-1,IF(OR($R321="Bug",$R321="Grass"),1,0)),IF(OR($S321="Electric",$S321="Fire",$S321="Rock",$S321="Steel",$S321="Poison"),0-1,IF(OR($S321="Bug",$S321="Grass"),1,0))))</f>
        <v>0</v>
      </c>
      <c r="AN321" s="507" t="n">
        <f aca="false">SUM(IF(OR($R321="Flying",$R321="Dragon",$R321="Grass",$R321="Ground"),0-1,IF(OR($R321="Steel",$R321="Ice",$R321="Fire",$R321="Water"),1,0)),IF(OR($S321="Flying",$S321="Dragon",$S321="Grass",$S321="Ground"),0-1,IF(OR($S321="Steel",$S321="Ice",$S321="Fire",$S321="Water"),1,0)))</f>
        <v>-1</v>
      </c>
      <c r="AO321" s="507" t="n">
        <f aca="false">IF(OR($R321="Ghost",$S321="Ghost"),4,SUM(IF(OR($R321="Steel",$R321="Rock"),1,0),IF(OR($S321="Steel",$S321="Rock"),1,0)))</f>
        <v>0</v>
      </c>
      <c r="AP321" s="507" t="n">
        <f aca="false">IF(OR($R321="Steel",$S321="Steel"),4,SUM(IF(OR($R321="Fairy",$R321="Grass"),0-1,IF(OR($R321="Ghost",$R321="Rock",$R321="Ground",$R321="Poison"),1,0)),IF(OR($S321="Fairy",$S321="Grass"),0-1,IF(OR($S321="Ghost",$S321="Rock",$S321="Ground",$S321="Poison"),1,0))))</f>
        <v>0</v>
      </c>
      <c r="AQ321" s="507" t="n">
        <f aca="false">IF(OR($R321="Dark",$S321="Dark"),4,SUM(IF(OR($R321="Fighting",$R321="Poison"),0-1,IF(OR($R321="Psychic",$R321="Steel"),1,0)),IF(OR($S321="Fighting",$S321="Poison"),0-1,IF(OR($S321="Psychic",$S321="Steel"),1,0))))</f>
        <v>1</v>
      </c>
      <c r="AR321" s="507" t="n">
        <f aca="false">SUM(IF(OR($R321="Bug",$R321="Fire",$R321="Flying",$R321="Ice"),0-1,IF(OR($R321="Steel",$R321="Fighting",$R321="Ground"),1,0)),IF(OR($S321="Bug",$S321="Fire",$S321="Flying",$S321="Ice"),0-1,IF(OR($S321="Steel",$S321="Fighting",$S321="Ground"),1,0)))</f>
        <v>0</v>
      </c>
      <c r="AS321" s="507" t="n">
        <f aca="false">SUM(IF(OR($R321="Fairy",$R321="Ice",$R321="Rock"),0-1,IF(OR($R321="Steel",$R321="Electric",$R321="Fire",$R321="Water"),1,0)),IF(OR($S321="Fairy",$S321="Ice",$S321="Rock"),0-1,IF(OR($S321="Steel",$S321="Electric",$S321="Fire",$S321="Water"),1,0)))</f>
        <v>0</v>
      </c>
      <c r="AT321" s="508" t="n">
        <f aca="false">SUM(IF(OR($R321="Fire",$R321="Ground",$R321="Rock"),0-1,IF(OR($R321="Dragon",$R321="Grass",$R321="Water"),1,0)),IF(OR($S321="Fire",$S321="Ground",$S321="Rock"),0-1,IF(OR($S321="Dragon",$S321="Grass",$S321="Water"),1,0)))</f>
        <v>1</v>
      </c>
      <c r="AU321" s="518"/>
    </row>
    <row r="322" customFormat="false" ht="15.75" hidden="false" customHeight="false" outlineLevel="0" collapsed="false">
      <c r="A322" s="510" t="str">
        <f aca="false" t="array" ref="A322:A322">IF(ISNA(INDEX(Source!$U$7:$U$95,MATCH(B322,Source!$V$7:$V$95,0))),"FREE",INDEX(Source!$U$7:$U$95,MATCH(B322,Source!$V$7:$V$95,0)))</f>
        <v>FREE</v>
      </c>
      <c r="B322" s="511" t="s">
        <v>514</v>
      </c>
      <c r="C322" s="511"/>
      <c r="D322" s="511"/>
      <c r="E322" s="499" t="str">
        <f aca="false">IF(SUM($W322:$X322)&gt;0,SUM($W322:$X322),IF($H322&gt;0,0,IF($H322&gt;0,0,"-")))</f>
        <v>-</v>
      </c>
      <c r="F322" s="499" t="str">
        <f aca="false">IF(SUM($Y322:$Z322)&gt;0,SUM($Y322:$Z322),IF($H322&gt;0,0,"-"))</f>
        <v>-</v>
      </c>
      <c r="G322" s="499" t="str">
        <f aca="false">IF($H322&gt;0,minus(E322,F322),"-")</f>
        <v>-</v>
      </c>
      <c r="H322" s="500" t="n">
        <f aca="false">SUM(COUNTIF(MatchSource!$A:$A,$B322),COUNTIF(MatchSource!$H:$H,$B322))</f>
        <v>0</v>
      </c>
      <c r="I322" s="501" t="n">
        <f aca="false">SUM($AA322:$AB322)</f>
        <v>0</v>
      </c>
      <c r="J322" s="501" t="s">
        <v>700</v>
      </c>
      <c r="K322" s="512" t="str">
        <f aca="false" t="array" ref="K322:K322">IF(ISNA(INDEX(DraftRosters!$AA$3:$AA$199,MATCH($B322,DraftRosters!$AB$3:$AB$199,0))),"FA",IF(INDEX(DraftRosters!$AA$3:$AA$199,MATCH($B322,DraftRosters!$AB$3:$AB$199,0))="Franchise","Franch",INDEX(DraftRosters!$AA$3:$AA$199,MATCH($B322,DraftRosters!$AB$3:$AB$199,0))))</f>
        <v>FA</v>
      </c>
      <c r="L322" s="507" t="n">
        <v>81</v>
      </c>
      <c r="M322" s="507" t="n">
        <v>102</v>
      </c>
      <c r="N322" s="507" t="n">
        <v>77</v>
      </c>
      <c r="O322" s="507" t="n">
        <v>85</v>
      </c>
      <c r="P322" s="507" t="n">
        <v>75</v>
      </c>
      <c r="Q322" s="508" t="n">
        <v>85</v>
      </c>
      <c r="R322" s="499" t="s">
        <v>907</v>
      </c>
      <c r="S322" s="501" t="s">
        <v>843</v>
      </c>
      <c r="T322" s="504" t="s">
        <v>952</v>
      </c>
      <c r="U322" s="505" t="s">
        <v>898</v>
      </c>
      <c r="V322" s="506" t="s">
        <v>877</v>
      </c>
      <c r="W322" s="500" t="str">
        <f aca="false">IFERROR(__xludf.dummyfunction("if(isna(SUM(FILTER(MatchSource!$A:$D,MatchSource!$A:$A=$B322))),0,SUM(FILTER(MatchSource!$A:$D,MatchSource!$A:$A=$B322)))"),"0")</f>
        <v>0</v>
      </c>
      <c r="X322" s="499" t="str">
        <f aca="false">IFERROR(__xludf.dummyfunction("if(isna(SUM(FILTER(MatchSource!$H:$K,MatchSource!$H:$H=$B322))),0,SUM(FILTER(MatchSource!$H:$K,MatchSource!$H:$H=$B322)))"),"0")</f>
        <v>0</v>
      </c>
      <c r="Y322" s="499" t="str">
        <f aca="false">IFERROR(__xludf.dummyfunction("if(isna(ABS(MINUS(SUM(FILTER(MatchSource!$A:$E,MatchSource!$A:$A=$B322)),SUM($W322)))),0,ABS(MINUS(SUM(FILTER(MatchSource!$A:$E,MatchSource!$A:$A=$B322)),SUM($W322))))"),"0")</f>
        <v>0</v>
      </c>
      <c r="Z322" s="499" t="str">
        <f aca="false">IFERROR(__xludf.dummyfunction("if(isna(ABS(MINUS(SUM(FILTER(MatchSource!$H:$L,MatchSource!$H:$H=$B322)),SUM($X322)))),0,ABS(MINUS(SUM(FILTER(MatchSource!$H:$L,MatchSource!$H:$H=$B322)),SUM($X322))))"),"0")</f>
        <v>0</v>
      </c>
      <c r="AA322" s="499" t="str">
        <f aca="false">IFERROR(__xludf.dummyfunction("if(isna(ABS(MINUS(SUM(FILTER(MatchSource!$A:$F,MatchSource!$A:$A=$B322)),SUM($W322,$Y322)))),0,ABS(MINUS(SUM(FILTER(MatchSource!$A:$F,MatchSource!$A:$A=$B322)),SUM($W322, $Y322,))))"),"0")</f>
        <v>0</v>
      </c>
      <c r="AB322" s="501" t="str">
        <f aca="false">IFERROR(__xludf.dummyfunction("if(isna(ABS(MINUS(SUM(FILTER(MatchSource!$H:$M,MatchSource!$H:$H=$B322)),SUM($X322,$Z322)))),0,ABS(MINUS(SUM(FILTER(MatchSource!$H:$M,MatchSource!$H:$H=$B322)),SUM($X322,$Z322))))"),"0")</f>
        <v>0</v>
      </c>
      <c r="AC322" s="507" t="n">
        <f aca="false">SUM(IF(OR($R322="Grass",$R322="Psychic",$R322="Dark"),0-1,IF(OR($R322="Fighting",$R322="Flying",$R322="Fire",$R322="Ghost",$R322="Poison",$R322="Steel",$R322="Fairy"),1,0)),IF(OR($S322="Grass",$S322="Psychic",$S322="Dark"),0-1,IF(OR($S322="Fighting",$S322="Flying",$S322="Fire",$S322="Ghost",$S322="Poison",$S322="Steel",$S322="Fairy"),1,0)))</f>
        <v>1</v>
      </c>
      <c r="AD322" s="507" t="n">
        <f aca="false">SUM(IF(OR($R322="Ghost",$R322="Psychic"),0-1,IF(OR($R322="Fighting",$R322="Dark",$R322="Fairy"),1,0)),IF(OR($S322="Ghost",$S322="Psychic"),0-1,IF(OR($S322="Fighting",$S322="Dark",$S322="Fairy"),1,0)))</f>
        <v>0</v>
      </c>
      <c r="AE322" s="507" t="n">
        <f aca="false">IF(OR($R322="Fairy",$S322="Fairy"),4,SUM(IF($R322="Dragon",0-1,IF($R322="Steel",1,0)),IF($S322="Dragon",0-1,IF($S322="Steel",1,0))))</f>
        <v>0</v>
      </c>
      <c r="AF322" s="507" t="n">
        <f aca="false">IF(OR($R322="Ground",$S322="Ground"),4,SUM(IF(OR($R322="Flying",$R322="Water"),0-1,IF(OR($R322="Dragon",$R322="Electric",$R322="Grass"),1,0)),IF(OR($S322="Flying",$S322="Water"),0-1,IF(OR($S322="Dragon",$S322="Electric",$S322="Grass"),1,0))))</f>
        <v>4</v>
      </c>
      <c r="AG322" s="507" t="n">
        <f aca="false">SUM(IF(OR($R322="Dark",$R322="Dragon",$R322="Fighting"),0-1,IF(OR($R322="Steel",$R322="Poison",$R322="Fire"),1,0)),IF(OR($S322="Dark",$S322="Dragon",$S322="Fighting"),0-1,IF(OR($S322="Steel",$S322="Poison",$S322="Fire"),1,0)))</f>
        <v>1</v>
      </c>
      <c r="AH322" s="507" t="n">
        <f aca="false">IF(OR($R322="Ghost",$S322="Ghost"),4,SUM(IF(OR($R322="Dark",$R322="Ice",$R322="Normal",$R322="Rock",$R322="Steel"),0-1,IF(OR($R322="Bug",$R322="Fairy",$R322="Flying",$R322="Poison",$R322="Psychic"),1,0)),IF(OR($S322="Dark",$S322="Ice",$S322="Normal",$S322="Rock",$S322="Steel"),0-1,IF(OR($S322="Bug",$S322="Fairy",$S322="Flying",$S322="Poison",$S322="Psychic"),1,0))))</f>
        <v>1</v>
      </c>
      <c r="AI322" s="507" t="n">
        <f aca="false">SUM(IF(OR($R322="Bug",$R322="Grass",$R322="Ice",$R322="Steel"),0-1,IF(OR($R322="Dragon",$R322="Fire",$R322="Rock",$R322="Water"),1,0)),IF(OR($S322="Bug",$S322="Grass",$S322="Ice",$S322="Steel"),0-1,IF(OR($S322="Dragon",$S322="Fire",$S322="Rock",$S322="Water"),1,0)))</f>
        <v>0</v>
      </c>
      <c r="AJ322" s="507" t="n">
        <f aca="false">SUM(IF(OR($R322="Bug",$R322="Grass",$R322="Fighting"),0-1,IF(OR($R322="Electric",$R322="Rock",$R322="Steel"),1,0)),IF(OR($S322="Bug",$S322="Grass",$S322="Fighting"),0-1,IF(OR($S322="Electric",$S322="Rock",$S322="Steel"),1,0)))</f>
        <v>0</v>
      </c>
      <c r="AK322" s="507" t="n">
        <f aca="false">IF(OR($R322="Normal",$S322="Normal"),4,SUM(IF(OR($R322="Ghost",$R322="Psychic"),0-1,IF($R322="Dark",1,0)),IF(OR($S322="Ghost",$S322="Psychic"),0-1,IF($S322="Dark",1,0))))</f>
        <v>0</v>
      </c>
      <c r="AL322" s="507" t="n">
        <f aca="false">SUM(IF(OR($R322="Ground",$R322="Rock",$R322="Water"),0-1,IF(OR($R322="Bug",$R322="Flying",$R322="Fire",$R322="Dragon",$R322="Poison",$R322="Steel",$R322="Grass"),1,0)),IF(OR($S322="Ground",$S322="Rock",$S322="Water"),0-1,IF(OR($S322="Bug",$S322="Flying",$S322="Fire",$S322="Dragon",$S322="Poison",$S322="Steel",$S322="Grass"),1,0)))</f>
        <v>0</v>
      </c>
      <c r="AM322" s="507" t="n">
        <f aca="false">IF(OR($R322="Flying",$S322="Flying"),4,SUM(IF(OR($R322="Electric",$R322="Fire",$R322="Rock",$R322="Steel",$R322="Poison"),0-1,IF(OR($R322="Bug",$R322="Grass"),1,0)),IF(OR($S322="Electric",$S322="Fire",$S322="Rock",$S322="Steel",$S322="Poison"),0-1,IF(OR($S322="Bug",$S322="Grass"),1,0))))</f>
        <v>-1</v>
      </c>
      <c r="AN322" s="507" t="n">
        <f aca="false">SUM(IF(OR($R322="Flying",$R322="Dragon",$R322="Grass",$R322="Ground"),0-1,IF(OR($R322="Steel",$R322="Ice",$R322="Fire",$R322="Water"),1,0)),IF(OR($S322="Flying",$S322="Dragon",$S322="Grass",$S322="Ground"),0-1,IF(OR($S322="Steel",$S322="Ice",$S322="Fire",$S322="Water"),1,0)))</f>
        <v>-1</v>
      </c>
      <c r="AO322" s="507" t="n">
        <f aca="false">IF(OR($R322="Ghost",$S322="Ghost"),4,SUM(IF(OR($R322="Steel",$R322="Rock"),1,0),IF(OR($S322="Steel",$S322="Rock"),1,0)))</f>
        <v>0</v>
      </c>
      <c r="AP322" s="507" t="n">
        <f aca="false">IF(OR($R322="Steel",$S322="Steel"),4,SUM(IF(OR($R322="Fairy",$R322="Grass"),0-1,IF(OR($R322="Ghost",$R322="Rock",$R322="Ground",$R322="Poison"),1,0)),IF(OR($S322="Fairy",$S322="Grass"),0-1,IF(OR($S322="Ghost",$S322="Rock",$S322="Ground",$S322="Poison"),1,0))))</f>
        <v>2</v>
      </c>
      <c r="AQ322" s="507" t="n">
        <f aca="false">IF(OR($R322="Dark",$S322="Dark"),4,SUM(IF(OR($R322="Fighting",$R322="Poison"),0-1,IF(OR($R322="Psychic",$R322="Steel"),1,0)),IF(OR($S322="Fighting",$S322="Poison"),0-1,IF(OR($S322="Psychic",$S322="Steel"),1,0))))</f>
        <v>-1</v>
      </c>
      <c r="AR322" s="507" t="n">
        <f aca="false">SUM(IF(OR($R322="Bug",$R322="Fire",$R322="Flying",$R322="Ice"),0-1,IF(OR($R322="Steel",$R322="Fighting",$R322="Ground"),1,0)),IF(OR($S322="Bug",$S322="Fire",$S322="Flying",$S322="Ice"),0-1,IF(OR($S322="Steel",$S322="Fighting",$S322="Ground"),1,0)))</f>
        <v>1</v>
      </c>
      <c r="AS322" s="507" t="n">
        <f aca="false">SUM(IF(OR($R322="Fairy",$R322="Ice",$R322="Rock"),0-1,IF(OR($R322="Steel",$R322="Electric",$R322="Fire",$R322="Water"),1,0)),IF(OR($S322="Fairy",$S322="Ice",$S322="Rock"),0-1,IF(OR($S322="Steel",$S322="Electric",$S322="Fire",$S322="Water"),1,0)))</f>
        <v>0</v>
      </c>
      <c r="AT322" s="508" t="n">
        <f aca="false">SUM(IF(OR($R322="Fire",$R322="Ground",$R322="Rock"),0-1,IF(OR($R322="Dragon",$R322="Grass",$R322="Water"),1,0)),IF(OR($S322="Fire",$S322="Ground",$S322="Rock"),0-1,IF(OR($S322="Dragon",$S322="Grass",$S322="Water"),1,0)))</f>
        <v>-1</v>
      </c>
      <c r="AU322" s="518"/>
    </row>
    <row r="323" customFormat="false" ht="15.75" hidden="false" customHeight="false" outlineLevel="0" collapsed="false">
      <c r="A323" s="510" t="str">
        <f aca="false" t="array" ref="A323:A323">IF(ISNA(INDEX(Source!$U$7:$U$95,MATCH(B323,Source!$V$7:$V$95,0))),"FREE",INDEX(Source!$U$7:$U$95,MATCH(B323,Source!$V$7:$V$95,0)))</f>
        <v>FTT</v>
      </c>
      <c r="B323" s="511" t="s">
        <v>82</v>
      </c>
      <c r="C323" s="511"/>
      <c r="D323" s="511"/>
      <c r="E323" s="499" t="n">
        <f aca="false">IF(SUM($W323:$X323)&gt;0,SUM($W323:$X323),IF($H323&gt;0,0,IF($H323&gt;0,0,"-")))</f>
        <v>0</v>
      </c>
      <c r="F323" s="499" t="n">
        <f aca="false">IF(SUM($Y323:$Z323)&gt;0,SUM($Y323:$Z323),IF($H323&gt;0,0,"-"))</f>
        <v>0</v>
      </c>
      <c r="G323" s="499" t="e">
        <f aca="false">IF($H323&gt;0,minus(E323,F323),"-")</f>
        <v>#NAME?</v>
      </c>
      <c r="H323" s="500" t="n">
        <f aca="false">SUM(COUNTIF(MatchSource!$A:$A,$B323),COUNTIF(MatchSource!$H:$H,$B323))</f>
        <v>5</v>
      </c>
      <c r="I323" s="501" t="n">
        <f aca="false">SUM($AA323:$AB323)</f>
        <v>0</v>
      </c>
      <c r="J323" s="501" t="s">
        <v>699</v>
      </c>
      <c r="K323" s="512" t="n">
        <f aca="false" t="array" ref="K323:K323">IF(ISNA(INDEX(DraftRosters!$AA$3:$AA$199,MATCH($B323,DraftRosters!$AB$3:$AB$199,0))),"FA",IF(INDEX(DraftRosters!$AA$3:$AA$199,MATCH($B323,DraftRosters!$AB$3:$AB$199,0))="Franchise","Franch",INDEX(DraftRosters!$AA$3:$AA$199,MATCH($B323,DraftRosters!$AB$3:$AB$199,0))))</f>
        <v>82</v>
      </c>
      <c r="L323" s="499" t="n">
        <v>90</v>
      </c>
      <c r="M323" s="499" t="n">
        <v>92</v>
      </c>
      <c r="N323" s="499" t="n">
        <v>87</v>
      </c>
      <c r="O323" s="499" t="n">
        <v>75</v>
      </c>
      <c r="P323" s="499" t="n">
        <v>85</v>
      </c>
      <c r="Q323" s="501" t="n">
        <v>76</v>
      </c>
      <c r="R323" s="499" t="s">
        <v>907</v>
      </c>
      <c r="S323" s="501" t="s">
        <v>843</v>
      </c>
      <c r="T323" s="504" t="s">
        <v>952</v>
      </c>
      <c r="U323" s="505" t="s">
        <v>898</v>
      </c>
      <c r="V323" s="506" t="s">
        <v>877</v>
      </c>
      <c r="W323" s="500" t="str">
        <f aca="false">IFERROR(__xludf.dummyfunction("if(isna(SUM(FILTER(MatchSource!$A:$D,MatchSource!$A:$A=$B323))),0,SUM(FILTER(MatchSource!$A:$D,MatchSource!$A:$A=$B323)))"),"0")</f>
        <v>0</v>
      </c>
      <c r="X323" s="499" t="str">
        <f aca="false">IFERROR(__xludf.dummyfunction("if(isna(SUM(FILTER(MatchSource!$H:$K,MatchSource!$H:$H=$B323))),0,SUM(FILTER(MatchSource!$H:$K,MatchSource!$H:$H=$B323)))"),"0")</f>
        <v>0</v>
      </c>
      <c r="Y323" s="499" t="str">
        <f aca="false">IFERROR(__xludf.dummyfunction("if(isna(ABS(MINUS(SUM(FILTER(MatchSource!$A:$E,MatchSource!$A:$A=$B323)),SUM($W323)))),0,ABS(MINUS(SUM(FILTER(MatchSource!$A:$E,MatchSource!$A:$A=$B323)),SUM($W323))))"),"1")</f>
        <v>1</v>
      </c>
      <c r="Z323" s="499" t="str">
        <f aca="false">IFERROR(__xludf.dummyfunction("if(isna(ABS(MINUS(SUM(FILTER(MatchSource!$H:$L,MatchSource!$H:$H=$B323)),SUM($X323)))),0,ABS(MINUS(SUM(FILTER(MatchSource!$H:$L,MatchSource!$H:$H=$B323)),SUM($X323))))"),"3")</f>
        <v>3</v>
      </c>
      <c r="AA323" s="499" t="str">
        <f aca="false">IFERROR(__xludf.dummyfunction("if(isna(ABS(MINUS(SUM(FILTER(MatchSource!$A:$F,MatchSource!$A:$A=$B323)),SUM($W323,$Y323)))),0,ABS(MINUS(SUM(FILTER(MatchSource!$A:$F,MatchSource!$A:$A=$B323)),SUM($W323, $Y323,))))"),"0")</f>
        <v>0</v>
      </c>
      <c r="AB323" s="501" t="str">
        <f aca="false">IFERROR(__xludf.dummyfunction("if(isna(ABS(MINUS(SUM(FILTER(MatchSource!$H:$M,MatchSource!$H:$H=$B323)),SUM($X323,$Z323)))),0,ABS(MINUS(SUM(FILTER(MatchSource!$H:$M,MatchSource!$H:$H=$B323)),SUM($X323,$Z323))))"),"1")</f>
        <v>1</v>
      </c>
      <c r="AC323" s="507" t="n">
        <f aca="false">SUM(IF(OR($R323="Grass",$R323="Psychic",$R323="Dark"),0-1,IF(OR($R323="Fighting",$R323="Flying",$R323="Fire",$R323="Ghost",$R323="Poison",$R323="Steel",$R323="Fairy"),1,0)),IF(OR($S323="Grass",$S323="Psychic",$S323="Dark"),0-1,IF(OR($S323="Fighting",$S323="Flying",$S323="Fire",$S323="Ghost",$S323="Poison",$S323="Steel",$S323="Fairy"),1,0)))</f>
        <v>1</v>
      </c>
      <c r="AD323" s="507" t="n">
        <f aca="false">SUM(IF(OR($R323="Ghost",$R323="Psychic"),0-1,IF(OR($R323="Fighting",$R323="Dark",$R323="Fairy"),1,0)),IF(OR($S323="Ghost",$S323="Psychic"),0-1,IF(OR($S323="Fighting",$S323="Dark",$S323="Fairy"),1,0)))</f>
        <v>0</v>
      </c>
      <c r="AE323" s="507" t="n">
        <f aca="false">IF(OR($R323="Fairy",$S323="Fairy"),4,SUM(IF($R323="Dragon",0-1,IF($R323="Steel",1,0)),IF($S323="Dragon",0-1,IF($S323="Steel",1,0))))</f>
        <v>0</v>
      </c>
      <c r="AF323" s="507" t="n">
        <f aca="false">IF(OR($R323="Ground",$S323="Ground"),4,SUM(IF(OR($R323="Flying",$R323="Water"),0-1,IF(OR($R323="Dragon",$R323="Electric",$R323="Grass"),1,0)),IF(OR($S323="Flying",$S323="Water"),0-1,IF(OR($S323="Dragon",$S323="Electric",$S323="Grass"),1,0))))</f>
        <v>4</v>
      </c>
      <c r="AG323" s="507" t="n">
        <f aca="false">SUM(IF(OR($R323="Dark",$R323="Dragon",$R323="Fighting"),0-1,IF(OR($R323="Steel",$R323="Poison",$R323="Fire"),1,0)),IF(OR($S323="Dark",$S323="Dragon",$S323="Fighting"),0-1,IF(OR($S323="Steel",$S323="Poison",$S323="Fire"),1,0)))</f>
        <v>1</v>
      </c>
      <c r="AH323" s="507" t="n">
        <f aca="false">IF(OR($R323="Ghost",$S323="Ghost"),4,SUM(IF(OR($R323="Dark",$R323="Ice",$R323="Normal",$R323="Rock",$R323="Steel"),0-1,IF(OR($R323="Bug",$R323="Fairy",$R323="Flying",$R323="Poison",$R323="Psychic"),1,0)),IF(OR($S323="Dark",$S323="Ice",$S323="Normal",$S323="Rock",$S323="Steel"),0-1,IF(OR($S323="Bug",$S323="Fairy",$S323="Flying",$S323="Poison",$S323="Psychic"),1,0))))</f>
        <v>1</v>
      </c>
      <c r="AI323" s="507" t="n">
        <f aca="false">SUM(IF(OR($R323="Bug",$R323="Grass",$R323="Ice",$R323="Steel"),0-1,IF(OR($R323="Dragon",$R323="Fire",$R323="Rock",$R323="Water"),1,0)),IF(OR($S323="Bug",$S323="Grass",$S323="Ice",$S323="Steel"),0-1,IF(OR($S323="Dragon",$S323="Fire",$S323="Rock",$S323="Water"),1,0)))</f>
        <v>0</v>
      </c>
      <c r="AJ323" s="507" t="n">
        <f aca="false">SUM(IF(OR($R323="Bug",$R323="Grass",$R323="Fighting"),0-1,IF(OR($R323="Electric",$R323="Rock",$R323="Steel"),1,0)),IF(OR($S323="Bug",$S323="Grass",$S323="Fighting"),0-1,IF(OR($S323="Electric",$S323="Rock",$S323="Steel"),1,0)))</f>
        <v>0</v>
      </c>
      <c r="AK323" s="507" t="n">
        <f aca="false">IF(OR($R323="Normal",$S323="Normal"),4,SUM(IF(OR($R323="Ghost",$R323="Psychic"),0-1,IF($R323="Dark",1,0)),IF(OR($S323="Ghost",$S323="Psychic"),0-1,IF($S323="Dark",1,0))))</f>
        <v>0</v>
      </c>
      <c r="AL323" s="507" t="n">
        <f aca="false">SUM(IF(OR($R323="Ground",$R323="Rock",$R323="Water"),0-1,IF(OR($R323="Bug",$R323="Flying",$R323="Fire",$R323="Dragon",$R323="Poison",$R323="Steel",$R323="Grass"),1,0)),IF(OR($S323="Ground",$S323="Rock",$S323="Water"),0-1,IF(OR($S323="Bug",$S323="Flying",$S323="Fire",$S323="Dragon",$S323="Poison",$S323="Steel",$S323="Grass"),1,0)))</f>
        <v>0</v>
      </c>
      <c r="AM323" s="507" t="n">
        <f aca="false">IF(OR($R323="Flying",$S323="Flying"),4,SUM(IF(OR($R323="Electric",$R323="Fire",$R323="Rock",$R323="Steel",$R323="Poison"),0-1,IF(OR($R323="Bug",$R323="Grass"),1,0)),IF(OR($S323="Electric",$S323="Fire",$S323="Rock",$S323="Steel",$S323="Poison"),0-1,IF(OR($S323="Bug",$S323="Grass"),1,0))))</f>
        <v>-1</v>
      </c>
      <c r="AN323" s="507" t="n">
        <f aca="false">SUM(IF(OR($R323="Flying",$R323="Dragon",$R323="Grass",$R323="Ground"),0-1,IF(OR($R323="Steel",$R323="Ice",$R323="Fire",$R323="Water"),1,0)),IF(OR($S323="Flying",$S323="Dragon",$S323="Grass",$S323="Ground"),0-1,IF(OR($S323="Steel",$S323="Ice",$S323="Fire",$S323="Water"),1,0)))</f>
        <v>-1</v>
      </c>
      <c r="AO323" s="507" t="n">
        <f aca="false">IF(OR($R323="Ghost",$S323="Ghost"),4,SUM(IF(OR($R323="Steel",$R323="Rock"),1,0),IF(OR($S323="Steel",$S323="Rock"),1,0)))</f>
        <v>0</v>
      </c>
      <c r="AP323" s="507" t="n">
        <f aca="false">IF(OR($R323="Steel",$S323="Steel"),4,SUM(IF(OR($R323="Fairy",$R323="Grass"),0-1,IF(OR($R323="Ghost",$R323="Rock",$R323="Ground",$R323="Poison"),1,0)),IF(OR($S323="Fairy",$S323="Grass"),0-1,IF(OR($S323="Ghost",$S323="Rock",$S323="Ground",$S323="Poison"),1,0))))</f>
        <v>2</v>
      </c>
      <c r="AQ323" s="507" t="n">
        <f aca="false">IF(OR($R323="Dark",$S323="Dark"),4,SUM(IF(OR($R323="Fighting",$R323="Poison"),0-1,IF(OR($R323="Psychic",$R323="Steel"),1,0)),IF(OR($S323="Fighting",$S323="Poison"),0-1,IF(OR($S323="Psychic",$S323="Steel"),1,0))))</f>
        <v>-1</v>
      </c>
      <c r="AR323" s="507" t="n">
        <f aca="false">SUM(IF(OR($R323="Bug",$R323="Fire",$R323="Flying",$R323="Ice"),0-1,IF(OR($R323="Steel",$R323="Fighting",$R323="Ground"),1,0)),IF(OR($S323="Bug",$S323="Fire",$S323="Flying",$S323="Ice"),0-1,IF(OR($S323="Steel",$S323="Fighting",$S323="Ground"),1,0)))</f>
        <v>1</v>
      </c>
      <c r="AS323" s="507" t="n">
        <f aca="false">SUM(IF(OR($R323="Fairy",$R323="Ice",$R323="Rock"),0-1,IF(OR($R323="Steel",$R323="Electric",$R323="Fire",$R323="Water"),1,0)),IF(OR($S323="Fairy",$S323="Ice",$S323="Rock"),0-1,IF(OR($S323="Steel",$S323="Electric",$S323="Fire",$S323="Water"),1,0)))</f>
        <v>0</v>
      </c>
      <c r="AT323" s="508" t="n">
        <f aca="false">SUM(IF(OR($R323="Fire",$R323="Ground",$R323="Rock"),0-1,IF(OR($R323="Dragon",$R323="Grass",$R323="Water"),1,0)),IF(OR($S323="Fire",$S323="Ground",$S323="Rock"),0-1,IF(OR($S323="Dragon",$S323="Grass",$S323="Water"),1,0)))</f>
        <v>-1</v>
      </c>
      <c r="AU323" s="518"/>
    </row>
    <row r="324" customFormat="false" ht="15.75" hidden="false" customHeight="false" outlineLevel="0" collapsed="false">
      <c r="A324" s="510" t="str">
        <f aca="false" t="array" ref="A324:A324">IF(ISNA(INDEX(Source!$U$7:$U$95,MATCH(B324,Source!$V$7:$V$95,0))),"FREE",INDEX(Source!$U$7:$U$95,MATCH(B324,Source!$V$7:$V$95,0)))</f>
        <v>FREE</v>
      </c>
      <c r="B324" s="511" t="s">
        <v>471</v>
      </c>
      <c r="C324" s="511"/>
      <c r="D324" s="511"/>
      <c r="E324" s="499" t="str">
        <f aca="false">IF(SUM($W324:$X324)&gt;0,SUM($W324:$X324),IF($H324&gt;0,0,IF($H324&gt;0,0,"-")))</f>
        <v>-</v>
      </c>
      <c r="F324" s="499" t="str">
        <f aca="false">IF(SUM($Y324:$Z324)&gt;0,SUM($Y324:$Z324),IF($H324&gt;0,0,"-"))</f>
        <v>-</v>
      </c>
      <c r="G324" s="499" t="str">
        <f aca="false">IF($H324&gt;0,minus(E324,F324),"-")</f>
        <v>-</v>
      </c>
      <c r="H324" s="500" t="n">
        <f aca="false">SUM(COUNTIF(MatchSource!$A:$A,$B324),COUNTIF(MatchSource!$H:$H,$B324))</f>
        <v>0</v>
      </c>
      <c r="I324" s="501" t="n">
        <f aca="false">SUM($AA324:$AB324)</f>
        <v>0</v>
      </c>
      <c r="J324" s="501" t="s">
        <v>699</v>
      </c>
      <c r="K324" s="512" t="str">
        <f aca="false" t="array" ref="K324:K324">IF(ISNA(INDEX(DraftRosters!$AA$3:$AA$199,MATCH($B324,DraftRosters!$AB$3:$AB$199,0))),"FA",IF(INDEX(DraftRosters!$AA$3:$AA$199,MATCH($B324,DraftRosters!$AB$3:$AB$199,0))="Franchise","Franch",INDEX(DraftRosters!$AA$3:$AA$199,MATCH($B324,DraftRosters!$AB$3:$AB$199,0))))</f>
        <v>FA</v>
      </c>
      <c r="L324" s="499" t="n">
        <v>109</v>
      </c>
      <c r="M324" s="499" t="n">
        <v>53</v>
      </c>
      <c r="N324" s="499" t="n">
        <v>47</v>
      </c>
      <c r="O324" s="499" t="n">
        <v>127</v>
      </c>
      <c r="P324" s="499" t="n">
        <v>131</v>
      </c>
      <c r="Q324" s="501" t="n">
        <v>103</v>
      </c>
      <c r="R324" s="499" t="s">
        <v>843</v>
      </c>
      <c r="S324" s="501" t="s">
        <v>809</v>
      </c>
      <c r="T324" s="504" t="s">
        <v>889</v>
      </c>
      <c r="U324" s="505"/>
      <c r="V324" s="506"/>
      <c r="W324" s="500" t="str">
        <f aca="false">IFERROR(__xludf.dummyfunction("if(isna(SUM(FILTER(MatchSource!$A:$D,MatchSource!$A:$A=$B324))),0,SUM(FILTER(MatchSource!$A:$D,MatchSource!$A:$A=$B324)))"),"0")</f>
        <v>0</v>
      </c>
      <c r="X324" s="499" t="str">
        <f aca="false">IFERROR(__xludf.dummyfunction("if(isna(SUM(FILTER(MatchSource!$H:$K,MatchSource!$H:$H=$B324))),0,SUM(FILTER(MatchSource!$H:$K,MatchSource!$H:$H=$B324)))"),"0")</f>
        <v>0</v>
      </c>
      <c r="Y324" s="499" t="str">
        <f aca="false">IFERROR(__xludf.dummyfunction("if(isna(ABS(MINUS(SUM(FILTER(MatchSource!$A:$E,MatchSource!$A:$A=$B324)),SUM($W324)))),0,ABS(MINUS(SUM(FILTER(MatchSource!$A:$E,MatchSource!$A:$A=$B324)),SUM($W324))))"),"0")</f>
        <v>0</v>
      </c>
      <c r="Z324" s="499" t="str">
        <f aca="false">IFERROR(__xludf.dummyfunction("if(isna(ABS(MINUS(SUM(FILTER(MatchSource!$H:$L,MatchSource!$H:$H=$B324)),SUM($X324)))),0,ABS(MINUS(SUM(FILTER(MatchSource!$H:$L,MatchSource!$H:$H=$B324)),SUM($X324))))"),"0")</f>
        <v>0</v>
      </c>
      <c r="AA324" s="499" t="str">
        <f aca="false">IFERROR(__xludf.dummyfunction("if(isna(ABS(MINUS(SUM(FILTER(MatchSource!$A:$F,MatchSource!$A:$A=$B324)),SUM($W324,$Y324)))),0,ABS(MINUS(SUM(FILTER(MatchSource!$A:$F,MatchSource!$A:$A=$B324)),SUM($W324, $Y324,))))"),"0")</f>
        <v>0</v>
      </c>
      <c r="AB324" s="501" t="str">
        <f aca="false">IFERROR(__xludf.dummyfunction("if(isna(ABS(MINUS(SUM(FILTER(MatchSource!$H:$M,MatchSource!$H:$H=$B324)),SUM($X324,$Z324)))),0,ABS(MINUS(SUM(FILTER(MatchSource!$H:$M,MatchSource!$H:$H=$B324)),SUM($X324,$Z324))))"),"0")</f>
        <v>0</v>
      </c>
      <c r="AC324" s="507" t="n">
        <f aca="false">SUM(IF(OR($R324="Grass",$R324="Psychic",$R324="Dark"),0-1,IF(OR($R324="Fighting",$R324="Flying",$R324="Fire",$R324="Ghost",$R324="Poison",$R324="Steel",$R324="Fairy"),1,0)),IF(OR($S324="Grass",$S324="Psychic",$S324="Dark"),0-1,IF(OR($S324="Fighting",$S324="Flying",$S324="Fire",$S324="Ghost",$S324="Poison",$S324="Steel",$S324="Fairy"),1,0)))</f>
        <v>1</v>
      </c>
      <c r="AD324" s="507" t="n">
        <f aca="false">SUM(IF(OR($R324="Ghost",$R324="Psychic"),0-1,IF(OR($R324="Fighting",$R324="Dark",$R324="Fairy"),1,0)),IF(OR($S324="Ghost",$S324="Psychic"),0-1,IF(OR($S324="Fighting",$S324="Dark",$S324="Fairy"),1,0)))</f>
        <v>0</v>
      </c>
      <c r="AE324" s="507" t="n">
        <f aca="false">IF(OR($R324="Fairy",$S324="Fairy"),4,SUM(IF($R324="Dragon",0-1,IF($R324="Steel",1,0)),IF($S324="Dragon",0-1,IF($S324="Steel",1,0))))</f>
        <v>0</v>
      </c>
      <c r="AF324" s="507" t="n">
        <f aca="false">IF(OR($R324="Ground",$S324="Ground"),4,SUM(IF(OR($R324="Flying",$R324="Water"),0-1,IF(OR($R324="Dragon",$R324="Electric",$R324="Grass"),1,0)),IF(OR($S324="Flying",$S324="Water"),0-1,IF(OR($S324="Dragon",$S324="Electric",$S324="Grass"),1,0))))</f>
        <v>0</v>
      </c>
      <c r="AG324" s="507" t="n">
        <f aca="false">SUM(IF(OR($R324="Dark",$R324="Dragon",$R324="Fighting"),0-1,IF(OR($R324="Steel",$R324="Poison",$R324="Fire"),1,0)),IF(OR($S324="Dark",$S324="Dragon",$S324="Fighting"),0-1,IF(OR($S324="Steel",$S324="Poison",$S324="Fire"),1,0)))</f>
        <v>1</v>
      </c>
      <c r="AH324" s="507" t="n">
        <f aca="false">IF(OR($R324="Ghost",$S324="Ghost"),4,SUM(IF(OR($R324="Dark",$R324="Ice",$R324="Normal",$R324="Rock",$R324="Steel"),0-1,IF(OR($R324="Bug",$R324="Fairy",$R324="Flying",$R324="Poison",$R324="Psychic"),1,0)),IF(OR($S324="Dark",$S324="Ice",$S324="Normal",$S324="Rock",$S324="Steel"),0-1,IF(OR($S324="Bug",$S324="Fairy",$S324="Flying",$S324="Poison",$S324="Psychic"),1,0))))</f>
        <v>0</v>
      </c>
      <c r="AI324" s="507" t="n">
        <f aca="false">SUM(IF(OR($R324="Bug",$R324="Grass",$R324="Ice",$R324="Steel"),0-1,IF(OR($R324="Dragon",$R324="Fire",$R324="Rock",$R324="Water"),1,0)),IF(OR($S324="Bug",$S324="Grass",$S324="Ice",$S324="Steel"),0-1,IF(OR($S324="Dragon",$S324="Fire",$S324="Rock",$S324="Water"),1,0)))</f>
        <v>1</v>
      </c>
      <c r="AJ324" s="507" t="n">
        <f aca="false">SUM(IF(OR($R324="Bug",$R324="Grass",$R324="Fighting"),0-1,IF(OR($R324="Electric",$R324="Rock",$R324="Steel"),1,0)),IF(OR($S324="Bug",$S324="Grass",$S324="Fighting"),0-1,IF(OR($S324="Electric",$S324="Rock",$S324="Steel"),1,0)))</f>
        <v>1</v>
      </c>
      <c r="AK324" s="507" t="n">
        <f aca="false">IF(OR($R324="Normal",$S324="Normal"),4,SUM(IF(OR($R324="Ghost",$R324="Psychic"),0-1,IF($R324="Dark",1,0)),IF(OR($S324="Ghost",$S324="Psychic"),0-1,IF($S324="Dark",1,0))))</f>
        <v>0</v>
      </c>
      <c r="AL324" s="507" t="n">
        <f aca="false">SUM(IF(OR($R324="Ground",$R324="Rock",$R324="Water"),0-1,IF(OR($R324="Bug",$R324="Flying",$R324="Fire",$R324="Dragon",$R324="Poison",$R324="Steel",$R324="Grass"),1,0)),IF(OR($S324="Ground",$S324="Rock",$S324="Water"),0-1,IF(OR($S324="Bug",$S324="Flying",$S324="Fire",$S324="Dragon",$S324="Poison",$S324="Steel",$S324="Grass"),1,0)))</f>
        <v>0</v>
      </c>
      <c r="AM324" s="507" t="n">
        <f aca="false">IF(OR($R324="Flying",$S324="Flying"),4,SUM(IF(OR($R324="Electric",$R324="Fire",$R324="Rock",$R324="Steel",$R324="Poison"),0-1,IF(OR($R324="Bug",$R324="Grass"),1,0)),IF(OR($S324="Electric",$S324="Fire",$S324="Rock",$S324="Steel",$S324="Poison"),0-1,IF(OR($S324="Bug",$S324="Grass"),1,0))))</f>
        <v>-2</v>
      </c>
      <c r="AN324" s="507" t="n">
        <f aca="false">SUM(IF(OR($R324="Flying",$R324="Dragon",$R324="Grass",$R324="Ground"),0-1,IF(OR($R324="Steel",$R324="Ice",$R324="Fire",$R324="Water"),1,0)),IF(OR($S324="Flying",$S324="Dragon",$S324="Grass",$S324="Ground"),0-1,IF(OR($S324="Steel",$S324="Ice",$S324="Fire",$S324="Water"),1,0)))</f>
        <v>0</v>
      </c>
      <c r="AO324" s="507" t="n">
        <f aca="false">IF(OR($R324="Ghost",$S324="Ghost"),4,SUM(IF(OR($R324="Steel",$R324="Rock"),1,0),IF(OR($S324="Steel",$S324="Rock"),1,0)))</f>
        <v>1</v>
      </c>
      <c r="AP324" s="507" t="n">
        <f aca="false">IF(OR($R324="Steel",$S324="Steel"),4,SUM(IF(OR($R324="Fairy",$R324="Grass"),0-1,IF(OR($R324="Ghost",$R324="Rock",$R324="Ground",$R324="Poison"),1,0)),IF(OR($S324="Fairy",$S324="Grass"),0-1,IF(OR($S324="Ghost",$S324="Rock",$S324="Ground",$S324="Poison"),1,0))))</f>
        <v>2</v>
      </c>
      <c r="AQ324" s="507" t="n">
        <f aca="false">IF(OR($R324="Dark",$S324="Dark"),4,SUM(IF(OR($R324="Fighting",$R324="Poison"),0-1,IF(OR($R324="Psychic",$R324="Steel"),1,0)),IF(OR($S324="Fighting",$S324="Poison"),0-1,IF(OR($S324="Psychic",$S324="Steel"),1,0))))</f>
        <v>-1</v>
      </c>
      <c r="AR324" s="507" t="n">
        <f aca="false">SUM(IF(OR($R324="Bug",$R324="Fire",$R324="Flying",$R324="Ice"),0-1,IF(OR($R324="Steel",$R324="Fighting",$R324="Ground"),1,0)),IF(OR($S324="Bug",$S324="Fire",$S324="Flying",$S324="Ice"),0-1,IF(OR($S324="Steel",$S324="Fighting",$S324="Ground"),1,0)))</f>
        <v>0</v>
      </c>
      <c r="AS324" s="507" t="n">
        <f aca="false">SUM(IF(OR($R324="Fairy",$R324="Ice",$R324="Rock"),0-1,IF(OR($R324="Steel",$R324="Electric",$R324="Fire",$R324="Water"),1,0)),IF(OR($S324="Fairy",$S324="Ice",$S324="Rock"),0-1,IF(OR($S324="Steel",$S324="Electric",$S324="Fire",$S324="Water"),1,0)))</f>
        <v>-1</v>
      </c>
      <c r="AT324" s="508" t="n">
        <f aca="false">SUM(IF(OR($R324="Fire",$R324="Ground",$R324="Rock"),0-1,IF(OR($R324="Dragon",$R324="Grass",$R324="Water"),1,0)),IF(OR($S324="Fire",$S324="Ground",$S324="Rock"),0-1,IF(OR($S324="Dragon",$S324="Grass",$S324="Water"),1,0)))</f>
        <v>-1</v>
      </c>
      <c r="AU324" s="518"/>
    </row>
    <row r="325" customFormat="false" ht="15.75" hidden="false" customHeight="false" outlineLevel="0" collapsed="false">
      <c r="A325" s="510" t="str">
        <f aca="false" t="array" ref="A325:A325">IF(ISNA(INDEX(Source!$U$7:$U$95,MATCH(B325,Source!$V$7:$V$95,0))),"FREE",INDEX(Source!$U$7:$U$95,MATCH(B325,Source!$V$7:$V$95,0)))</f>
        <v>FREE</v>
      </c>
      <c r="B325" s="511" t="s">
        <v>519</v>
      </c>
      <c r="C325" s="511"/>
      <c r="D325" s="511"/>
      <c r="E325" s="499" t="str">
        <f aca="false">IF(SUM($W325:$X325)&gt;0,SUM($W325:$X325),IF($H325&gt;0,0,IF($H325&gt;0,0,"-")))</f>
        <v>-</v>
      </c>
      <c r="F325" s="499" t="str">
        <f aca="false">IF(SUM($Y325:$Z325)&gt;0,SUM($Y325:$Z325),IF($H325&gt;0,0,"-"))</f>
        <v>-</v>
      </c>
      <c r="G325" s="499" t="str">
        <f aca="false">IF($H325&gt;0,minus(E325,F325),"-")</f>
        <v>-</v>
      </c>
      <c r="H325" s="500" t="n">
        <f aca="false">SUM(COUNTIF(MatchSource!$A:$A,$B325),COUNTIF(MatchSource!$H:$H,$B325))</f>
        <v>0</v>
      </c>
      <c r="I325" s="501" t="n">
        <f aca="false">SUM($AA325:$AB325)</f>
        <v>0</v>
      </c>
      <c r="J325" s="501" t="s">
        <v>700</v>
      </c>
      <c r="K325" s="512" t="str">
        <f aca="false" t="array" ref="K325:K325">IF(ISNA(INDEX(DraftRosters!$AA$3:$AA$199,MATCH($B325,DraftRosters!$AB$3:$AB$199,0))),"FA",IF(INDEX(DraftRosters!$AA$3:$AA$199,MATCH($B325,DraftRosters!$AB$3:$AB$199,0))="Franchise","Franch",INDEX(DraftRosters!$AA$3:$AA$199,MATCH($B325,DraftRosters!$AB$3:$AB$199,0))))</f>
        <v>FA</v>
      </c>
      <c r="L325" s="499" t="n">
        <v>73</v>
      </c>
      <c r="M325" s="499" t="n">
        <v>76</v>
      </c>
      <c r="N325" s="499" t="n">
        <v>75</v>
      </c>
      <c r="O325" s="499" t="n">
        <v>81</v>
      </c>
      <c r="P325" s="499" t="n">
        <v>100</v>
      </c>
      <c r="Q325" s="501" t="n">
        <v>100</v>
      </c>
      <c r="R325" s="499" t="s">
        <v>800</v>
      </c>
      <c r="S325" s="501"/>
      <c r="T325" s="504" t="s">
        <v>916</v>
      </c>
      <c r="U325" s="505" t="s">
        <v>853</v>
      </c>
      <c r="V325" s="506"/>
      <c r="W325" s="500" t="str">
        <f aca="false">IFERROR(__xludf.dummyfunction("if(isna(SUM(FILTER(MatchSource!$A:$D,MatchSource!$A:$A=$B325))),0,SUM(FILTER(MatchSource!$A:$D,MatchSource!$A:$A=$B325)))"),"0")</f>
        <v>0</v>
      </c>
      <c r="X325" s="499" t="str">
        <f aca="false">IFERROR(__xludf.dummyfunction("if(isna(SUM(FILTER(MatchSource!$H:$K,MatchSource!$H:$H=$B325))),0,SUM(FILTER(MatchSource!$H:$K,MatchSource!$H:$H=$B325)))"),"0")</f>
        <v>0</v>
      </c>
      <c r="Y325" s="499" t="str">
        <f aca="false">IFERROR(__xludf.dummyfunction("if(isna(ABS(MINUS(SUM(FILTER(MatchSource!$A:$E,MatchSource!$A:$A=$B325)),SUM($W325)))),0,ABS(MINUS(SUM(FILTER(MatchSource!$A:$E,MatchSource!$A:$A=$B325)),SUM($W325))))"),"0")</f>
        <v>0</v>
      </c>
      <c r="Z325" s="499" t="str">
        <f aca="false">IFERROR(__xludf.dummyfunction("if(isna(ABS(MINUS(SUM(FILTER(MatchSource!$H:$L,MatchSource!$H:$H=$B325)),SUM($X325)))),0,ABS(MINUS(SUM(FILTER(MatchSource!$H:$L,MatchSource!$H:$H=$B325)),SUM($X325))))"),"0")</f>
        <v>0</v>
      </c>
      <c r="AA325" s="499" t="str">
        <f aca="false">IFERROR(__xludf.dummyfunction("if(isna(ABS(MINUS(SUM(FILTER(MatchSource!$A:$F,MatchSource!$A:$A=$B325)),SUM($W325,$Y325)))),0,ABS(MINUS(SUM(FILTER(MatchSource!$A:$F,MatchSource!$A:$A=$B325)),SUM($W325, $Y325,))))"),"0")</f>
        <v>0</v>
      </c>
      <c r="AB325" s="501" t="str">
        <f aca="false">IFERROR(__xludf.dummyfunction("if(isna(ABS(MINUS(SUM(FILTER(MatchSource!$H:$M,MatchSource!$H:$H=$B325)),SUM($X325,$Z325)))),0,ABS(MINUS(SUM(FILTER(MatchSource!$H:$M,MatchSource!$H:$H=$B325)),SUM($X325,$Z325))))"),"0")</f>
        <v>0</v>
      </c>
      <c r="AC325" s="507" t="n">
        <f aca="false">SUM(IF(OR($R325="Grass",$R325="Psychic",$R325="Dark"),0-1,IF(OR($R325="Fighting",$R325="Flying",$R325="Fire",$R325="Ghost",$R325="Poison",$R325="Steel",$R325="Fairy"),1,0)),IF(OR($S325="Grass",$S325="Psychic",$S325="Dark"),0-1,IF(OR($S325="Fighting",$S325="Flying",$S325="Fire",$S325="Ghost",$S325="Poison",$S325="Steel",$S325="Fairy"),1,0)))</f>
        <v>1</v>
      </c>
      <c r="AD325" s="507" t="n">
        <f aca="false">SUM(IF(OR($R325="Ghost",$R325="Psychic"),0-1,IF(OR($R325="Fighting",$R325="Dark",$R325="Fairy"),1,0)),IF(OR($S325="Ghost",$S325="Psychic"),0-1,IF(OR($S325="Fighting",$S325="Dark",$S325="Fairy"),1,0)))</f>
        <v>0</v>
      </c>
      <c r="AE325" s="507" t="n">
        <f aca="false">IF(OR($R325="Fairy",$S325="Fairy"),4,SUM(IF($R325="Dragon",0-1,IF($R325="Steel",1,0)),IF($S325="Dragon",0-1,IF($S325="Steel",1,0))))</f>
        <v>0</v>
      </c>
      <c r="AF325" s="507" t="n">
        <f aca="false">IF(OR($R325="Ground",$S325="Ground"),4,SUM(IF(OR($R325="Flying",$R325="Water"),0-1,IF(OR($R325="Dragon",$R325="Electric",$R325="Grass"),1,0)),IF(OR($S325="Flying",$S325="Water"),0-1,IF(OR($S325="Dragon",$S325="Electric",$S325="Grass"),1,0))))</f>
        <v>0</v>
      </c>
      <c r="AG325" s="507" t="n">
        <f aca="false">SUM(IF(OR($R325="Dark",$R325="Dragon",$R325="Fighting"),0-1,IF(OR($R325="Steel",$R325="Poison",$R325="Fire"),1,0)),IF(OR($S325="Dark",$S325="Dragon",$S325="Fighting"),0-1,IF(OR($S325="Steel",$S325="Poison",$S325="Fire"),1,0)))</f>
        <v>1</v>
      </c>
      <c r="AH325" s="507" t="n">
        <f aca="false">IF(OR($R325="Ghost",$S325="Ghost"),4,SUM(IF(OR($R325="Dark",$R325="Ice",$R325="Normal",$R325="Rock",$R325="Steel"),0-1,IF(OR($R325="Bug",$R325="Fairy",$R325="Flying",$R325="Poison",$R325="Psychic"),1,0)),IF(OR($S325="Dark",$S325="Ice",$S325="Normal",$S325="Rock",$S325="Steel"),0-1,IF(OR($S325="Bug",$S325="Fairy",$S325="Flying",$S325="Poison",$S325="Psychic"),1,0))))</f>
        <v>0</v>
      </c>
      <c r="AI325" s="507" t="n">
        <f aca="false">SUM(IF(OR($R325="Bug",$R325="Grass",$R325="Ice",$R325="Steel"),0-1,IF(OR($R325="Dragon",$R325="Fire",$R325="Rock",$R325="Water"),1,0)),IF(OR($S325="Bug",$S325="Grass",$S325="Ice",$S325="Steel"),0-1,IF(OR($S325="Dragon",$S325="Fire",$S325="Rock",$S325="Water"),1,0)))</f>
        <v>1</v>
      </c>
      <c r="AJ325" s="507" t="n">
        <f aca="false">SUM(IF(OR($R325="Bug",$R325="Grass",$R325="Fighting"),0-1,IF(OR($R325="Electric",$R325="Rock",$R325="Steel"),1,0)),IF(OR($S325="Bug",$S325="Grass",$S325="Fighting"),0-1,IF(OR($S325="Electric",$S325="Rock",$S325="Steel"),1,0)))</f>
        <v>0</v>
      </c>
      <c r="AK325" s="507" t="n">
        <f aca="false">IF(OR($R325="Normal",$S325="Normal"),4,SUM(IF(OR($R325="Ghost",$R325="Psychic"),0-1,IF($R325="Dark",1,0)),IF(OR($S325="Ghost",$S325="Psychic"),0-1,IF($S325="Dark",1,0))))</f>
        <v>0</v>
      </c>
      <c r="AL325" s="507" t="n">
        <f aca="false">SUM(IF(OR($R325="Ground",$R325="Rock",$R325="Water"),0-1,IF(OR($R325="Bug",$R325="Flying",$R325="Fire",$R325="Dragon",$R325="Poison",$R325="Steel",$R325="Grass"),1,0)),IF(OR($S325="Ground",$S325="Rock",$S325="Water"),0-1,IF(OR($S325="Bug",$S325="Flying",$S325="Fire",$S325="Dragon",$S325="Poison",$S325="Steel",$S325="Grass"),1,0)))</f>
        <v>1</v>
      </c>
      <c r="AM325" s="507" t="n">
        <f aca="false">IF(OR($R325="Flying",$S325="Flying"),4,SUM(IF(OR($R325="Electric",$R325="Fire",$R325="Rock",$R325="Steel",$R325="Poison"),0-1,IF(OR($R325="Bug",$R325="Grass"),1,0)),IF(OR($S325="Electric",$S325="Fire",$S325="Rock",$S325="Steel",$S325="Poison"),0-1,IF(OR($S325="Bug",$S325="Grass"),1,0))))</f>
        <v>-1</v>
      </c>
      <c r="AN325" s="507" t="n">
        <f aca="false">SUM(IF(OR($R325="Flying",$R325="Dragon",$R325="Grass",$R325="Ground"),0-1,IF(OR($R325="Steel",$R325="Ice",$R325="Fire",$R325="Water"),1,0)),IF(OR($S325="Flying",$S325="Dragon",$S325="Grass",$S325="Ground"),0-1,IF(OR($S325="Steel",$S325="Ice",$S325="Fire",$S325="Water"),1,0)))</f>
        <v>1</v>
      </c>
      <c r="AO325" s="507" t="n">
        <f aca="false">IF(OR($R325="Ghost",$S325="Ghost"),4,SUM(IF(OR($R325="Steel",$R325="Rock"),1,0),IF(OR($S325="Steel",$S325="Rock"),1,0)))</f>
        <v>0</v>
      </c>
      <c r="AP325" s="507" t="n">
        <f aca="false">IF(OR($R325="Steel",$S325="Steel"),4,SUM(IF(OR($R325="Fairy",$R325="Grass"),0-1,IF(OR($R325="Ghost",$R325="Rock",$R325="Ground",$R325="Poison"),1,0)),IF(OR($S325="Fairy",$S325="Grass"),0-1,IF(OR($S325="Ghost",$S325="Rock",$S325="Ground",$S325="Poison"),1,0))))</f>
        <v>0</v>
      </c>
      <c r="AQ325" s="507" t="n">
        <f aca="false">IF(OR($R325="Dark",$S325="Dark"),4,SUM(IF(OR($R325="Fighting",$R325="Poison"),0-1,IF(OR($R325="Psychic",$R325="Steel"),1,0)),IF(OR($S325="Fighting",$S325="Poison"),0-1,IF(OR($S325="Psychic",$S325="Steel"),1,0))))</f>
        <v>0</v>
      </c>
      <c r="AR325" s="507" t="n">
        <f aca="false">SUM(IF(OR($R325="Bug",$R325="Fire",$R325="Flying",$R325="Ice"),0-1,IF(OR($R325="Steel",$R325="Fighting",$R325="Ground"),1,0)),IF(OR($S325="Bug",$S325="Fire",$S325="Flying",$S325="Ice"),0-1,IF(OR($S325="Steel",$S325="Fighting",$S325="Ground"),1,0)))</f>
        <v>-1</v>
      </c>
      <c r="AS325" s="507" t="n">
        <f aca="false">SUM(IF(OR($R325="Fairy",$R325="Ice",$R325="Rock"),0-1,IF(OR($R325="Steel",$R325="Electric",$R325="Fire",$R325="Water"),1,0)),IF(OR($S325="Fairy",$S325="Ice",$S325="Rock"),0-1,IF(OR($S325="Steel",$S325="Electric",$S325="Fire",$S325="Water"),1,0)))</f>
        <v>1</v>
      </c>
      <c r="AT325" s="508" t="n">
        <f aca="false">SUM(IF(OR($R325="Fire",$R325="Ground",$R325="Rock"),0-1,IF(OR($R325="Dragon",$R325="Grass",$R325="Water"),1,0)),IF(OR($S325="Fire",$S325="Ground",$S325="Rock"),0-1,IF(OR($S325="Dragon",$S325="Grass",$S325="Water"),1,0)))</f>
        <v>-1</v>
      </c>
      <c r="AU325" s="518"/>
    </row>
    <row r="326" customFormat="false" ht="15.75" hidden="false" customHeight="false" outlineLevel="0" collapsed="false">
      <c r="A326" s="510" t="str">
        <f aca="false" t="array" ref="A326:A326">IF(ISNA(INDEX(Source!$U$7:$U$95,MATCH(B326,Source!$V$7:$V$95,0))),"FREE",INDEX(Source!$U$7:$U$95,MATCH(B326,Source!$V$7:$V$95,0)))</f>
        <v>FREE</v>
      </c>
      <c r="B326" s="511" t="s">
        <v>747</v>
      </c>
      <c r="C326" s="511"/>
      <c r="D326" s="511"/>
      <c r="E326" s="499" t="str">
        <f aca="false">IF(SUM($W326:$X326)&gt;0,SUM($W326:$X326),IF($H326&gt;0,0,IF($H326&gt;0,0,"-")))</f>
        <v>-</v>
      </c>
      <c r="F326" s="499" t="str">
        <f aca="false">IF(SUM($Y326:$Z326)&gt;0,SUM($Y326:$Z326),IF($H326&gt;0,0,"-"))</f>
        <v>-</v>
      </c>
      <c r="G326" s="499" t="str">
        <f aca="false">IF($H326&gt;0,minus(E326,F326),"-")</f>
        <v>-</v>
      </c>
      <c r="H326" s="500" t="n">
        <f aca="false">SUM(COUNTIF(MatchSource!$A:$A,$B326),COUNTIF(MatchSource!$H:$H,$B326))</f>
        <v>0</v>
      </c>
      <c r="I326" s="501" t="n">
        <f aca="false">SUM($AA326:$AB326)</f>
        <v>0</v>
      </c>
      <c r="J326" s="501" t="s">
        <v>700</v>
      </c>
      <c r="K326" s="512" t="str">
        <f aca="false" t="array" ref="K326:K326">IF(ISNA(INDEX(DraftRosters!$AA$3:$AA$199,MATCH($B326,DraftRosters!$AB$3:$AB$199,0))),"FA",IF(INDEX(DraftRosters!$AA$3:$AA$199,MATCH($B326,DraftRosters!$AB$3:$AB$199,0))="Franchise","Franch",INDEX(DraftRosters!$AA$3:$AA$199,MATCH($B326,DraftRosters!$AB$3:$AB$199,0))))</f>
        <v>FA</v>
      </c>
      <c r="L326" s="499" t="n">
        <v>73</v>
      </c>
      <c r="M326" s="499" t="n">
        <v>67</v>
      </c>
      <c r="N326" s="499" t="n">
        <v>75</v>
      </c>
      <c r="O326" s="499" t="n">
        <v>81</v>
      </c>
      <c r="P326" s="499" t="n">
        <v>100</v>
      </c>
      <c r="Q326" s="501" t="n">
        <v>109</v>
      </c>
      <c r="R326" s="499" t="s">
        <v>798</v>
      </c>
      <c r="S326" s="501" t="s">
        <v>805</v>
      </c>
      <c r="T326" s="504" t="s">
        <v>813</v>
      </c>
      <c r="U326" s="505" t="s">
        <v>861</v>
      </c>
      <c r="V326" s="506"/>
      <c r="W326" s="500" t="str">
        <f aca="false">IFERROR(__xludf.dummyfunction("if(isna(SUM(FILTER(MatchSource!$A:$D,MatchSource!$A:$A=$B326))),0,SUM(FILTER(MatchSource!$A:$D,MatchSource!$A:$A=$B326)))"),"0")</f>
        <v>0</v>
      </c>
      <c r="X326" s="499" t="str">
        <f aca="false">IFERROR(__xludf.dummyfunction("if(isna(SUM(FILTER(MatchSource!$H:$K,MatchSource!$H:$H=$B326))),0,SUM(FILTER(MatchSource!$H:$K,MatchSource!$H:$H=$B326)))"),"0")</f>
        <v>0</v>
      </c>
      <c r="Y326" s="499" t="str">
        <f aca="false">IFERROR(__xludf.dummyfunction("if(isna(ABS(MINUS(SUM(FILTER(MatchSource!$A:$E,MatchSource!$A:$A=$B326)),SUM($W326)))),0,ABS(MINUS(SUM(FILTER(MatchSource!$A:$E,MatchSource!$A:$A=$B326)),SUM($W326))))"),"0")</f>
        <v>0</v>
      </c>
      <c r="Z326" s="499" t="str">
        <f aca="false">IFERROR(__xludf.dummyfunction("if(isna(ABS(MINUS(SUM(FILTER(MatchSource!$H:$L,MatchSource!$H:$H=$B326)),SUM($X326)))),0,ABS(MINUS(SUM(FILTER(MatchSource!$H:$L,MatchSource!$H:$H=$B326)),SUM($X326))))"),"0")</f>
        <v>0</v>
      </c>
      <c r="AA326" s="499" t="str">
        <f aca="false">IFERROR(__xludf.dummyfunction("if(isna(ABS(MINUS(SUM(FILTER(MatchSource!$A:$F,MatchSource!$A:$A=$B326)),SUM($W326,$Y326)))),0,ABS(MINUS(SUM(FILTER(MatchSource!$A:$F,MatchSource!$A:$A=$B326)),SUM($W326, $Y326,))))"),"0")</f>
        <v>0</v>
      </c>
      <c r="AB326" s="501" t="str">
        <f aca="false">IFERROR(__xludf.dummyfunction("if(isna(ABS(MINUS(SUM(FILTER(MatchSource!$H:$M,MatchSource!$H:$H=$B326)),SUM($X326,$Z326)))),0,ABS(MINUS(SUM(FILTER(MatchSource!$H:$M,MatchSource!$H:$H=$B326)),SUM($X326,$Z326))))"),"0")</f>
        <v>0</v>
      </c>
      <c r="AC326" s="507" t="n">
        <f aca="false">SUM(IF(OR($R326="Grass",$R326="Psychic",$R326="Dark"),0-1,IF(OR($R326="Fighting",$R326="Flying",$R326="Fire",$R326="Ghost",$R326="Poison",$R326="Steel",$R326="Fairy"),1,0)),IF(OR($S326="Grass",$S326="Psychic",$S326="Dark"),0-1,IF(OR($S326="Fighting",$S326="Flying",$S326="Fire",$S326="Ghost",$S326="Poison",$S326="Steel",$S326="Fairy"),1,0)))</f>
        <v>1</v>
      </c>
      <c r="AD326" s="507" t="n">
        <f aca="false">SUM(IF(OR($R326="Ghost",$R326="Psychic"),0-1,IF(OR($R326="Fighting",$R326="Dark",$R326="Fairy"),1,0)),IF(OR($S326="Ghost",$S326="Psychic"),0-1,IF(OR($S326="Fighting",$S326="Dark",$S326="Fairy"),1,0)))</f>
        <v>1</v>
      </c>
      <c r="AE326" s="507" t="n">
        <f aca="false">IF(OR($R326="Fairy",$S326="Fairy"),4,SUM(IF($R326="Dragon",0-1,IF($R326="Steel",1,0)),IF($S326="Dragon",0-1,IF($S326="Steel",1,0))))</f>
        <v>4</v>
      </c>
      <c r="AF326" s="507" t="n">
        <f aca="false">IF(OR($R326="Ground",$S326="Ground"),4,SUM(IF(OR($R326="Flying",$R326="Water"),0-1,IF(OR($R326="Dragon",$R326="Electric",$R326="Grass"),1,0)),IF(OR($S326="Flying",$S326="Water"),0-1,IF(OR($S326="Dragon",$S326="Electric",$S326="Grass"),1,0))))</f>
        <v>0</v>
      </c>
      <c r="AG326" s="507" t="n">
        <f aca="false">SUM(IF(OR($R326="Dark",$R326="Dragon",$R326="Fighting"),0-1,IF(OR($R326="Steel",$R326="Poison",$R326="Fire"),1,0)),IF(OR($S326="Dark",$S326="Dragon",$S326="Fighting"),0-1,IF(OR($S326="Steel",$S326="Poison",$S326="Fire"),1,0)))</f>
        <v>0</v>
      </c>
      <c r="AH326" s="507" t="n">
        <f aca="false">IF(OR($R326="Ghost",$S326="Ghost"),4,SUM(IF(OR($R326="Dark",$R326="Ice",$R326="Normal",$R326="Rock",$R326="Steel"),0-1,IF(OR($R326="Bug",$R326="Fairy",$R326="Flying",$R326="Poison",$R326="Psychic"),1,0)),IF(OR($S326="Dark",$S326="Ice",$S326="Normal",$S326="Rock",$S326="Steel"),0-1,IF(OR($S326="Bug",$S326="Fairy",$S326="Flying",$S326="Poison",$S326="Psychic"),1,0))))</f>
        <v>0</v>
      </c>
      <c r="AI326" s="507" t="n">
        <f aca="false">SUM(IF(OR($R326="Bug",$R326="Grass",$R326="Ice",$R326="Steel"),0-1,IF(OR($R326="Dragon",$R326="Fire",$R326="Rock",$R326="Water"),1,0)),IF(OR($S326="Bug",$S326="Grass",$S326="Ice",$S326="Steel"),0-1,IF(OR($S326="Dragon",$S326="Fire",$S326="Rock",$S326="Water"),1,0)))</f>
        <v>-1</v>
      </c>
      <c r="AJ326" s="507" t="n">
        <f aca="false">SUM(IF(OR($R326="Bug",$R326="Grass",$R326="Fighting"),0-1,IF(OR($R326="Electric",$R326="Rock",$R326="Steel"),1,0)),IF(OR($S326="Bug",$S326="Grass",$S326="Fighting"),0-1,IF(OR($S326="Electric",$S326="Rock",$S326="Steel"),1,0)))</f>
        <v>0</v>
      </c>
      <c r="AK326" s="507" t="n">
        <f aca="false">IF(OR($R326="Normal",$S326="Normal"),4,SUM(IF(OR($R326="Ghost",$R326="Psychic"),0-1,IF($R326="Dark",1,0)),IF(OR($S326="Ghost",$S326="Psychic"),0-1,IF($S326="Dark",1,0))))</f>
        <v>0</v>
      </c>
      <c r="AL326" s="507" t="n">
        <f aca="false">SUM(IF(OR($R326="Ground",$R326="Rock",$R326="Water"),0-1,IF(OR($R326="Bug",$R326="Flying",$R326="Fire",$R326="Dragon",$R326="Poison",$R326="Steel",$R326="Grass"),1,0)),IF(OR($S326="Ground",$S326="Rock",$S326="Water"),0-1,IF(OR($S326="Bug",$S326="Flying",$S326="Fire",$S326="Dragon",$S326="Poison",$S326="Steel",$S326="Grass"),1,0)))</f>
        <v>0</v>
      </c>
      <c r="AM326" s="507" t="n">
        <f aca="false">IF(OR($R326="Flying",$S326="Flying"),4,SUM(IF(OR($R326="Electric",$R326="Fire",$R326="Rock",$R326="Steel",$R326="Poison"),0-1,IF(OR($R326="Bug",$R326="Grass"),1,0)),IF(OR($S326="Electric",$S326="Fire",$S326="Rock",$S326="Steel",$S326="Poison"),0-1,IF(OR($S326="Bug",$S326="Grass"),1,0))))</f>
        <v>0</v>
      </c>
      <c r="AN326" s="507" t="n">
        <f aca="false">SUM(IF(OR($R326="Flying",$R326="Dragon",$R326="Grass",$R326="Ground"),0-1,IF(OR($R326="Steel",$R326="Ice",$R326="Fire",$R326="Water"),1,0)),IF(OR($S326="Flying",$S326="Dragon",$S326="Grass",$S326="Ground"),0-1,IF(OR($S326="Steel",$S326="Ice",$S326="Fire",$S326="Water"),1,0)))</f>
        <v>1</v>
      </c>
      <c r="AO326" s="507" t="n">
        <f aca="false">IF(OR($R326="Ghost",$S326="Ghost"),4,SUM(IF(OR($R326="Steel",$R326="Rock"),1,0),IF(OR($S326="Steel",$S326="Rock"),1,0)))</f>
        <v>0</v>
      </c>
      <c r="AP326" s="507" t="n">
        <f aca="false">IF(OR($R326="Steel",$S326="Steel"),4,SUM(IF(OR($R326="Fairy",$R326="Grass"),0-1,IF(OR($R326="Ghost",$R326="Rock",$R326="Ground",$R326="Poison"),1,0)),IF(OR($S326="Fairy",$S326="Grass"),0-1,IF(OR($S326="Ghost",$S326="Rock",$S326="Ground",$S326="Poison"),1,0))))</f>
        <v>-1</v>
      </c>
      <c r="AQ326" s="507" t="n">
        <f aca="false">IF(OR($R326="Dark",$S326="Dark"),4,SUM(IF(OR($R326="Fighting",$R326="Poison"),0-1,IF(OR($R326="Psychic",$R326="Steel"),1,0)),IF(OR($S326="Fighting",$S326="Poison"),0-1,IF(OR($S326="Psychic",$S326="Steel"),1,0))))</f>
        <v>0</v>
      </c>
      <c r="AR326" s="507" t="n">
        <f aca="false">SUM(IF(OR($R326="Bug",$R326="Fire",$R326="Flying",$R326="Ice"),0-1,IF(OR($R326="Steel",$R326="Fighting",$R326="Ground"),1,0)),IF(OR($S326="Bug",$S326="Fire",$S326="Flying",$S326="Ice"),0-1,IF(OR($S326="Steel",$S326="Fighting",$S326="Ground"),1,0)))</f>
        <v>-1</v>
      </c>
      <c r="AS326" s="507" t="n">
        <f aca="false">SUM(IF(OR($R326="Fairy",$R326="Ice",$R326="Rock"),0-1,IF(OR($R326="Steel",$R326="Electric",$R326="Fire",$R326="Water"),1,0)),IF(OR($S326="Fairy",$S326="Ice",$S326="Rock"),0-1,IF(OR($S326="Steel",$S326="Electric",$S326="Fire",$S326="Water"),1,0)))</f>
        <v>-2</v>
      </c>
      <c r="AT326" s="508" t="n">
        <f aca="false">SUM(IF(OR($R326="Fire",$R326="Ground",$R326="Rock"),0-1,IF(OR($R326="Dragon",$R326="Grass",$R326="Water"),1,0)),IF(OR($S326="Fire",$S326="Ground",$S326="Rock"),0-1,IF(OR($S326="Dragon",$S326="Grass",$S326="Water"),1,0)))</f>
        <v>0</v>
      </c>
      <c r="AU326" s="518"/>
    </row>
    <row r="327" customFormat="false" ht="15.75" hidden="false" customHeight="false" outlineLevel="0" collapsed="false">
      <c r="A327" s="510" t="str">
        <f aca="false" t="array" ref="A327:A327">IF(ISNA(INDEX(Source!$U$7:$U$95,MATCH(B327,Source!$V$7:$V$95,0))),"FREE",INDEX(Source!$U$7:$U$95,MATCH(B327,Source!$V$7:$V$95,0)))</f>
        <v>FREE</v>
      </c>
      <c r="B327" s="511" t="s">
        <v>394</v>
      </c>
      <c r="C327" s="511"/>
      <c r="D327" s="511"/>
      <c r="E327" s="499" t="str">
        <f aca="false">IF(SUM($W327:$X327)&gt;0,SUM($W327:$X327),IF($H327&gt;0,0,IF($H327&gt;0,0,"-")))</f>
        <v>-</v>
      </c>
      <c r="F327" s="499" t="str">
        <f aca="false">IF(SUM($Y327:$Z327)&gt;0,SUM($Y327:$Z327),IF($H327&gt;0,0,"-"))</f>
        <v>-</v>
      </c>
      <c r="G327" s="499" t="str">
        <f aca="false">IF($H327&gt;0,minus(E327,F327),"-")</f>
        <v>-</v>
      </c>
      <c r="H327" s="500" t="n">
        <f aca="false">SUM(COUNTIF(MatchSource!$A:$A,$B327),COUNTIF(MatchSource!$H:$H,$B327))</f>
        <v>0</v>
      </c>
      <c r="I327" s="501" t="n">
        <f aca="false">SUM($AA327:$AB327)</f>
        <v>0</v>
      </c>
      <c r="J327" s="501" t="s">
        <v>702</v>
      </c>
      <c r="K327" s="512" t="str">
        <f aca="false" t="array" ref="K327:K327">IF(ISNA(INDEX(DraftRosters!$AA$3:$AA$199,MATCH($B327,DraftRosters!$AB$3:$AB$199,0))),"FA",IF(INDEX(DraftRosters!$AA$3:$AA$199,MATCH($B327,DraftRosters!$AB$3:$AB$199,0))="Franchise","Franch",INDEX(DraftRosters!$AA$3:$AA$199,MATCH($B327,DraftRosters!$AB$3:$AB$199,0))))</f>
        <v>FA</v>
      </c>
      <c r="L327" s="499" t="n">
        <v>61</v>
      </c>
      <c r="M327" s="499" t="n">
        <v>90</v>
      </c>
      <c r="N327" s="499" t="n">
        <v>45</v>
      </c>
      <c r="O327" s="499" t="n">
        <v>50</v>
      </c>
      <c r="P327" s="499" t="n">
        <v>50</v>
      </c>
      <c r="Q327" s="501" t="n">
        <v>160</v>
      </c>
      <c r="R327" s="499" t="s">
        <v>794</v>
      </c>
      <c r="S327" s="501" t="s">
        <v>801</v>
      </c>
      <c r="T327" s="504" t="s">
        <v>914</v>
      </c>
      <c r="U327" s="505" t="s">
        <v>927</v>
      </c>
      <c r="V327" s="506"/>
      <c r="W327" s="500" t="str">
        <f aca="false">IFERROR(__xludf.dummyfunction("if(isna(SUM(FILTER(MatchSource!$A:$D,MatchSource!$A:$A=$B327))),0,SUM(FILTER(MatchSource!$A:$D,MatchSource!$A:$A=$B327)))"),"0")</f>
        <v>0</v>
      </c>
      <c r="X327" s="499" t="str">
        <f aca="false">IFERROR(__xludf.dummyfunction("if(isna(SUM(FILTER(MatchSource!$H:$K,MatchSource!$H:$H=$B327))),0,SUM(FILTER(MatchSource!$H:$K,MatchSource!$H:$H=$B327)))"),"0")</f>
        <v>0</v>
      </c>
      <c r="Y327" s="499" t="str">
        <f aca="false">IFERROR(__xludf.dummyfunction("if(isna(ABS(MINUS(SUM(FILTER(MatchSource!$A:$E,MatchSource!$A:$A=$B327)),SUM($W327)))),0,ABS(MINUS(SUM(FILTER(MatchSource!$A:$E,MatchSource!$A:$A=$B327)),SUM($W327))))"),"0")</f>
        <v>0</v>
      </c>
      <c r="Z327" s="499" t="str">
        <f aca="false">IFERROR(__xludf.dummyfunction("if(isna(ABS(MINUS(SUM(FILTER(MatchSource!$H:$L,MatchSource!$H:$H=$B327)),SUM($X327)))),0,ABS(MINUS(SUM(FILTER(MatchSource!$H:$L,MatchSource!$H:$H=$B327)),SUM($X327))))"),"0")</f>
        <v>0</v>
      </c>
      <c r="AA327" s="499" t="str">
        <f aca="false">IFERROR(__xludf.dummyfunction("if(isna(ABS(MINUS(SUM(FILTER(MatchSource!$A:$F,MatchSource!$A:$A=$B327)),SUM($W327,$Y327)))),0,ABS(MINUS(SUM(FILTER(MatchSource!$A:$F,MatchSource!$A:$A=$B327)),SUM($W327, $Y327,))))"),"0")</f>
        <v>0</v>
      </c>
      <c r="AB327" s="501" t="str">
        <f aca="false">IFERROR(__xludf.dummyfunction("if(isna(ABS(MINUS(SUM(FILTER(MatchSource!$H:$M,MatchSource!$H:$H=$B327)),SUM($X327,$Z327)))),0,ABS(MINUS(SUM(FILTER(MatchSource!$H:$M,MatchSource!$H:$H=$B327)),SUM($X327,$Z327))))"),"0")</f>
        <v>0</v>
      </c>
      <c r="AC327" s="507" t="n">
        <f aca="false">SUM(IF(OR($R327="Grass",$R327="Psychic",$R327="Dark"),0-1,IF(OR($R327="Fighting",$R327="Flying",$R327="Fire",$R327="Ghost",$R327="Poison",$R327="Steel",$R327="Fairy"),1,0)),IF(OR($S327="Grass",$S327="Psychic",$S327="Dark"),0-1,IF(OR($S327="Fighting",$S327="Flying",$S327="Fire",$S327="Ghost",$S327="Poison",$S327="Steel",$S327="Fairy"),1,0)))</f>
        <v>1</v>
      </c>
      <c r="AD327" s="507" t="n">
        <f aca="false">SUM(IF(OR($R327="Ghost",$R327="Psychic"),0-1,IF(OR($R327="Fighting",$R327="Dark",$R327="Fairy"),1,0)),IF(OR($S327="Ghost",$S327="Psychic"),0-1,IF(OR($S327="Fighting",$S327="Dark",$S327="Fairy"),1,0)))</f>
        <v>0</v>
      </c>
      <c r="AE327" s="507" t="n">
        <f aca="false">IF(OR($R327="Fairy",$S327="Fairy"),4,SUM(IF($R327="Dragon",0-1,IF($R327="Steel",1,0)),IF($S327="Dragon",0-1,IF($S327="Steel",1,0))))</f>
        <v>0</v>
      </c>
      <c r="AF327" s="507" t="n">
        <f aca="false">IF(OR($R327="Ground",$S327="Ground"),4,SUM(IF(OR($R327="Flying",$R327="Water"),0-1,IF(OR($R327="Dragon",$R327="Electric",$R327="Grass"),1,0)),IF(OR($S327="Flying",$S327="Water"),0-1,IF(OR($S327="Dragon",$S327="Electric",$S327="Grass"),1,0))))</f>
        <v>-1</v>
      </c>
      <c r="AG327" s="507" t="n">
        <f aca="false">SUM(IF(OR($R327="Dark",$R327="Dragon",$R327="Fighting"),0-1,IF(OR($R327="Steel",$R327="Poison",$R327="Fire"),1,0)),IF(OR($S327="Dark",$S327="Dragon",$S327="Fighting"),0-1,IF(OR($S327="Steel",$S327="Poison",$S327="Fire"),1,0)))</f>
        <v>0</v>
      </c>
      <c r="AH327" s="507" t="n">
        <f aca="false">IF(OR($R327="Ghost",$S327="Ghost"),4,SUM(IF(OR($R327="Dark",$R327="Ice",$R327="Normal",$R327="Rock",$R327="Steel"),0-1,IF(OR($R327="Bug",$R327="Fairy",$R327="Flying",$R327="Poison",$R327="Psychic"),1,0)),IF(OR($S327="Dark",$S327="Ice",$S327="Normal",$S327="Rock",$S327="Steel"),0-1,IF(OR($S327="Bug",$S327="Fairy",$S327="Flying",$S327="Poison",$S327="Psychic"),1,0))))</f>
        <v>2</v>
      </c>
      <c r="AI327" s="507" t="n">
        <f aca="false">SUM(IF(OR($R327="Bug",$R327="Grass",$R327="Ice",$R327="Steel"),0-1,IF(OR($R327="Dragon",$R327="Fire",$R327="Rock",$R327="Water"),1,0)),IF(OR($S327="Bug",$S327="Grass",$S327="Ice",$S327="Steel"),0-1,IF(OR($S327="Dragon",$S327="Fire",$S327="Rock",$S327="Water"),1,0)))</f>
        <v>-1</v>
      </c>
      <c r="AJ327" s="507" t="n">
        <f aca="false">SUM(IF(OR($R327="Bug",$R327="Grass",$R327="Fighting"),0-1,IF(OR($R327="Electric",$R327="Rock",$R327="Steel"),1,0)),IF(OR($S327="Bug",$S327="Grass",$S327="Fighting"),0-1,IF(OR($S327="Electric",$S327="Rock",$S327="Steel"),1,0)))</f>
        <v>-1</v>
      </c>
      <c r="AK327" s="507" t="n">
        <f aca="false">IF(OR($R327="Normal",$S327="Normal"),4,SUM(IF(OR($R327="Ghost",$R327="Psychic"),0-1,IF($R327="Dark",1,0)),IF(OR($S327="Ghost",$S327="Psychic"),0-1,IF($S327="Dark",1,0))))</f>
        <v>0</v>
      </c>
      <c r="AL327" s="507" t="n">
        <f aca="false">SUM(IF(OR($R327="Ground",$R327="Rock",$R327="Water"),0-1,IF(OR($R327="Bug",$R327="Flying",$R327="Fire",$R327="Dragon",$R327="Poison",$R327="Steel",$R327="Grass"),1,0)),IF(OR($S327="Ground",$S327="Rock",$S327="Water"),0-1,IF(OR($S327="Bug",$S327="Flying",$S327="Fire",$S327="Dragon",$S327="Poison",$S327="Steel",$S327="Grass"),1,0)))</f>
        <v>2</v>
      </c>
      <c r="AM327" s="507" t="n">
        <f aca="false">IF(OR($R327="Flying",$S327="Flying"),4,SUM(IF(OR($R327="Electric",$R327="Fire",$R327="Rock",$R327="Steel",$R327="Poison"),0-1,IF(OR($R327="Bug",$R327="Grass"),1,0)),IF(OR($S327="Electric",$S327="Fire",$S327="Rock",$S327="Steel",$S327="Poison"),0-1,IF(OR($S327="Bug",$S327="Grass"),1,0))))</f>
        <v>4</v>
      </c>
      <c r="AN327" s="507" t="n">
        <f aca="false">SUM(IF(OR($R327="Flying",$R327="Dragon",$R327="Grass",$R327="Ground"),0-1,IF(OR($R327="Steel",$R327="Ice",$R327="Fire",$R327="Water"),1,0)),IF(OR($S327="Flying",$S327="Dragon",$S327="Grass",$S327="Ground"),0-1,IF(OR($S327="Steel",$S327="Ice",$S327="Fire",$S327="Water"),1,0)))</f>
        <v>-1</v>
      </c>
      <c r="AO327" s="507" t="n">
        <f aca="false">IF(OR($R327="Ghost",$S327="Ghost"),4,SUM(IF(OR($R327="Steel",$R327="Rock"),1,0),IF(OR($S327="Steel",$S327="Rock"),1,0)))</f>
        <v>0</v>
      </c>
      <c r="AP327" s="507" t="n">
        <f aca="false">IF(OR($R327="Steel",$S327="Steel"),4,SUM(IF(OR($R327="Fairy",$R327="Grass"),0-1,IF(OR($R327="Ghost",$R327="Rock",$R327="Ground",$R327="Poison"),1,0)),IF(OR($S327="Fairy",$S327="Grass"),0-1,IF(OR($S327="Ghost",$S327="Rock",$S327="Ground",$S327="Poison"),1,0))))</f>
        <v>0</v>
      </c>
      <c r="AQ327" s="507" t="n">
        <f aca="false">IF(OR($R327="Dark",$S327="Dark"),4,SUM(IF(OR($R327="Fighting",$R327="Poison"),0-1,IF(OR($R327="Psychic",$R327="Steel"),1,0)),IF(OR($S327="Fighting",$S327="Poison"),0-1,IF(OR($S327="Psychic",$S327="Steel"),1,0))))</f>
        <v>0</v>
      </c>
      <c r="AR327" s="507" t="n">
        <f aca="false">SUM(IF(OR($R327="Bug",$R327="Fire",$R327="Flying",$R327="Ice"),0-1,IF(OR($R327="Steel",$R327="Fighting",$R327="Ground"),1,0)),IF(OR($S327="Bug",$S327="Fire",$S327="Flying",$S327="Ice"),0-1,IF(OR($S327="Steel",$S327="Fighting",$S327="Ground"),1,0)))</f>
        <v>-2</v>
      </c>
      <c r="AS327" s="507" t="n">
        <f aca="false">SUM(IF(OR($R327="Fairy",$R327="Ice",$R327="Rock"),0-1,IF(OR($R327="Steel",$R327="Electric",$R327="Fire",$R327="Water"),1,0)),IF(OR($S327="Fairy",$S327="Ice",$S327="Rock"),0-1,IF(OR($S327="Steel",$S327="Electric",$S327="Fire",$S327="Water"),1,0)))</f>
        <v>0</v>
      </c>
      <c r="AT327" s="508" t="n">
        <f aca="false">SUM(IF(OR($R327="Fire",$R327="Ground",$R327="Rock"),0-1,IF(OR($R327="Dragon",$R327="Grass",$R327="Water"),1,0)),IF(OR($S327="Fire",$S327="Ground",$S327="Rock"),0-1,IF(OR($S327="Dragon",$S327="Grass",$S327="Water"),1,0)))</f>
        <v>0</v>
      </c>
      <c r="AU327" s="518"/>
    </row>
    <row r="328" customFormat="false" ht="15.75" hidden="false" customHeight="false" outlineLevel="0" collapsed="false">
      <c r="A328" s="515" t="str">
        <f aca="false" t="array" ref="A328:A328">IF(ISNA(INDEX(Source!$U$7:$U$95,MATCH(B328,Source!$V$7:$V$95,0))),"FREE",INDEX(Source!$U$7:$U$95,MATCH(B328,Source!$V$7:$V$95,0)))</f>
        <v>FREE</v>
      </c>
      <c r="B328" s="511" t="s">
        <v>398</v>
      </c>
      <c r="C328" s="511"/>
      <c r="D328" s="511"/>
      <c r="E328" s="499" t="str">
        <f aca="false">IF(SUM($W328:$X328)&gt;0,SUM($W328:$X328),IF($H328&gt;0,0,IF($H328&gt;0,0,"-")))</f>
        <v>-</v>
      </c>
      <c r="F328" s="499" t="str">
        <f aca="false">IF(SUM($Y328:$Z328)&gt;0,SUM($Y328:$Z328),IF($H328&gt;0,0,"-"))</f>
        <v>-</v>
      </c>
      <c r="G328" s="499" t="str">
        <f aca="false">IF($H328&gt;0,minus(E328,F328),"-")</f>
        <v>-</v>
      </c>
      <c r="H328" s="500" t="n">
        <f aca="false">SUM(COUNTIF(MatchSource!$A:$A,$B328),COUNTIF(MatchSource!$H:$H,$B328))</f>
        <v>0</v>
      </c>
      <c r="I328" s="501" t="n">
        <f aca="false">SUM($AA328:$AB328)</f>
        <v>0</v>
      </c>
      <c r="J328" s="501" t="s">
        <v>702</v>
      </c>
      <c r="K328" s="512" t="str">
        <f aca="false" t="array" ref="K328:K328">IF(ISNA(INDEX(DraftRosters!$AA$3:$AA$199,MATCH($B328,DraftRosters!$AB$3:$AB$199,0))),"FA",IF(INDEX(DraftRosters!$AA$3:$AA$199,MATCH($B328,DraftRosters!$AB$3:$AB$199,0))="Franchise","Franch",INDEX(DraftRosters!$AA$3:$AA$199,MATCH($B328,DraftRosters!$AB$3:$AB$199,0))))</f>
        <v>FA</v>
      </c>
      <c r="L328" s="499" t="n">
        <v>100</v>
      </c>
      <c r="M328" s="499" t="n">
        <v>50</v>
      </c>
      <c r="N328" s="499" t="n">
        <v>50</v>
      </c>
      <c r="O328" s="499" t="n">
        <v>86</v>
      </c>
      <c r="P328" s="499" t="n">
        <v>96</v>
      </c>
      <c r="Q328" s="501" t="n">
        <v>70</v>
      </c>
      <c r="R328" s="499" t="s">
        <v>801</v>
      </c>
      <c r="S328" s="501" t="s">
        <v>839</v>
      </c>
      <c r="T328" s="504" t="s">
        <v>855</v>
      </c>
      <c r="U328" s="505" t="s">
        <v>905</v>
      </c>
      <c r="V328" s="506" t="s">
        <v>897</v>
      </c>
      <c r="W328" s="500" t="str">
        <f aca="false">IFERROR(__xludf.dummyfunction("if(isna(SUM(FILTER(MatchSource!$A:$D,MatchSource!$A:$A=$B328))),0,SUM(FILTER(MatchSource!$A:$D,MatchSource!$A:$A=$B328)))"),"0")</f>
        <v>0</v>
      </c>
      <c r="X328" s="499" t="str">
        <f aca="false">IFERROR(__xludf.dummyfunction("if(isna(SUM(FILTER(MatchSource!$H:$K,MatchSource!$H:$H=$B328))),0,SUM(FILTER(MatchSource!$H:$K,MatchSource!$H:$H=$B328)))"),"0")</f>
        <v>0</v>
      </c>
      <c r="Y328" s="499" t="str">
        <f aca="false">IFERROR(__xludf.dummyfunction("if(isna(ABS(MINUS(SUM(FILTER(MatchSource!$A:$E,MatchSource!$A:$A=$B328)),SUM($W328)))),0,ABS(MINUS(SUM(FILTER(MatchSource!$A:$E,MatchSource!$A:$A=$B328)),SUM($W328))))"),"0")</f>
        <v>0</v>
      </c>
      <c r="Z328" s="499" t="str">
        <f aca="false">IFERROR(__xludf.dummyfunction("if(isna(ABS(MINUS(SUM(FILTER(MatchSource!$H:$L,MatchSource!$H:$H=$B328)),SUM($X328)))),0,ABS(MINUS(SUM(FILTER(MatchSource!$H:$L,MatchSource!$H:$H=$B328)),SUM($X328))))"),"0")</f>
        <v>0</v>
      </c>
      <c r="AA328" s="499" t="str">
        <f aca="false">IFERROR(__xludf.dummyfunction("if(isna(ABS(MINUS(SUM(FILTER(MatchSource!$A:$F,MatchSource!$A:$A=$B328)),SUM($W328,$Y328)))),0,ABS(MINUS(SUM(FILTER(MatchSource!$A:$F,MatchSource!$A:$A=$B328)),SUM($W328, $Y328,))))"),"0")</f>
        <v>0</v>
      </c>
      <c r="AB328" s="501" t="str">
        <f aca="false">IFERROR(__xludf.dummyfunction("if(isna(ABS(MINUS(SUM(FILTER(MatchSource!$H:$M,MatchSource!$H:$H=$B328)),SUM($X328,$Z328)))),0,ABS(MINUS(SUM(FILTER(MatchSource!$H:$M,MatchSource!$H:$H=$B328)),SUM($X328,$Z328))))"),"0")</f>
        <v>0</v>
      </c>
      <c r="AC328" s="507" t="n">
        <f aca="false">SUM(IF(OR($R328="Grass",$R328="Psychic",$R328="Dark"),0-1,IF(OR($R328="Fighting",$R328="Flying",$R328="Fire",$R328="Ghost",$R328="Poison",$R328="Steel",$R328="Fairy"),1,0)),IF(OR($S328="Grass",$S328="Psychic",$S328="Dark"),0-1,IF(OR($S328="Fighting",$S328="Flying",$S328="Fire",$S328="Ghost",$S328="Poison",$S328="Steel",$S328="Fairy"),1,0)))</f>
        <v>1</v>
      </c>
      <c r="AD328" s="507" t="n">
        <f aca="false">SUM(IF(OR($R328="Ghost",$R328="Psychic"),0-1,IF(OR($R328="Fighting",$R328="Dark",$R328="Fairy"),1,0)),IF(OR($S328="Ghost",$S328="Psychic"),0-1,IF(OR($S328="Fighting",$S328="Dark",$S328="Fairy"),1,0)))</f>
        <v>0</v>
      </c>
      <c r="AE328" s="507" t="n">
        <f aca="false">IF(OR($R328="Fairy",$S328="Fairy"),4,SUM(IF($R328="Dragon",0-1,IF($R328="Steel",1,0)),IF($S328="Dragon",0-1,IF($S328="Steel",1,0))))</f>
        <v>0</v>
      </c>
      <c r="AF328" s="507" t="n">
        <f aca="false">IF(OR($R328="Ground",$S328="Ground"),4,SUM(IF(OR($R328="Flying",$R328="Water"),0-1,IF(OR($R328="Dragon",$R328="Electric",$R328="Grass"),1,0)),IF(OR($S328="Flying",$S328="Water"),0-1,IF(OR($S328="Dragon",$S328="Electric",$S328="Grass"),1,0))))</f>
        <v>-1</v>
      </c>
      <c r="AG328" s="507" t="n">
        <f aca="false">SUM(IF(OR($R328="Dark",$R328="Dragon",$R328="Fighting"),0-1,IF(OR($R328="Steel",$R328="Poison",$R328="Fire"),1,0)),IF(OR($S328="Dark",$S328="Dragon",$S328="Fighting"),0-1,IF(OR($S328="Steel",$S328="Poison",$S328="Fire"),1,0)))</f>
        <v>0</v>
      </c>
      <c r="AH328" s="507" t="n">
        <f aca="false">IF(OR($R328="Ghost",$S328="Ghost"),4,SUM(IF(OR($R328="Dark",$R328="Ice",$R328="Normal",$R328="Rock",$R328="Steel"),0-1,IF(OR($R328="Bug",$R328="Fairy",$R328="Flying",$R328="Poison",$R328="Psychic"),1,0)),IF(OR($S328="Dark",$S328="Ice",$S328="Normal",$S328="Rock",$S328="Steel"),0-1,IF(OR($S328="Bug",$S328="Fairy",$S328="Flying",$S328="Poison",$S328="Psychic"),1,0))))</f>
        <v>0</v>
      </c>
      <c r="AI328" s="507" t="n">
        <f aca="false">SUM(IF(OR($R328="Bug",$R328="Grass",$R328="Ice",$R328="Steel"),0-1,IF(OR($R328="Dragon",$R328="Fire",$R328="Rock",$R328="Water"),1,0)),IF(OR($S328="Bug",$S328="Grass",$S328="Ice",$S328="Steel"),0-1,IF(OR($S328="Dragon",$S328="Fire",$S328="Rock",$S328="Water"),1,0)))</f>
        <v>0</v>
      </c>
      <c r="AJ328" s="507" t="n">
        <f aca="false">SUM(IF(OR($R328="Bug",$R328="Grass",$R328="Fighting"),0-1,IF(OR($R328="Electric",$R328="Rock",$R328="Steel"),1,0)),IF(OR($S328="Bug",$S328="Grass",$S328="Fighting"),0-1,IF(OR($S328="Electric",$S328="Rock",$S328="Steel"),1,0)))</f>
        <v>0</v>
      </c>
      <c r="AK328" s="507" t="n">
        <f aca="false">IF(OR($R328="Normal",$S328="Normal"),4,SUM(IF(OR($R328="Ghost",$R328="Psychic"),0-1,IF($R328="Dark",1,0)),IF(OR($S328="Ghost",$S328="Psychic"),0-1,IF($S328="Dark",1,0))))</f>
        <v>4</v>
      </c>
      <c r="AL328" s="507" t="n">
        <f aca="false">SUM(IF(OR($R328="Ground",$R328="Rock",$R328="Water"),0-1,IF(OR($R328="Bug",$R328="Flying",$R328="Fire",$R328="Dragon",$R328="Poison",$R328="Steel",$R328="Grass"),1,0)),IF(OR($S328="Ground",$S328="Rock",$S328="Water"),0-1,IF(OR($S328="Bug",$S328="Flying",$S328="Fire",$S328="Dragon",$S328="Poison",$S328="Steel",$S328="Grass"),1,0)))</f>
        <v>1</v>
      </c>
      <c r="AM328" s="507" t="n">
        <f aca="false">IF(OR($R328="Flying",$S328="Flying"),4,SUM(IF(OR($R328="Electric",$R328="Fire",$R328="Rock",$R328="Steel",$R328="Poison"),0-1,IF(OR($R328="Bug",$R328="Grass"),1,0)),IF(OR($S328="Electric",$S328="Fire",$S328="Rock",$S328="Steel",$S328="Poison"),0-1,IF(OR($S328="Bug",$S328="Grass"),1,0))))</f>
        <v>4</v>
      </c>
      <c r="AN328" s="507" t="n">
        <f aca="false">SUM(IF(OR($R328="Flying",$R328="Dragon",$R328="Grass",$R328="Ground"),0-1,IF(OR($R328="Steel",$R328="Ice",$R328="Fire",$R328="Water"),1,0)),IF(OR($S328="Flying",$S328="Dragon",$S328="Grass",$S328="Ground"),0-1,IF(OR($S328="Steel",$S328="Ice",$S328="Fire",$S328="Water"),1,0)))</f>
        <v>-1</v>
      </c>
      <c r="AO328" s="507" t="n">
        <f aca="false">IF(OR($R328="Ghost",$S328="Ghost"),4,SUM(IF(OR($R328="Steel",$R328="Rock"),1,0),IF(OR($S328="Steel",$S328="Rock"),1,0)))</f>
        <v>0</v>
      </c>
      <c r="AP328" s="507" t="n">
        <f aca="false">IF(OR($R328="Steel",$S328="Steel"),4,SUM(IF(OR($R328="Fairy",$R328="Grass"),0-1,IF(OR($R328="Ghost",$R328="Rock",$R328="Ground",$R328="Poison"),1,0)),IF(OR($S328="Fairy",$S328="Grass"),0-1,IF(OR($S328="Ghost",$S328="Rock",$S328="Ground",$S328="Poison"),1,0))))</f>
        <v>0</v>
      </c>
      <c r="AQ328" s="507" t="n">
        <f aca="false">IF(OR($R328="Dark",$S328="Dark"),4,SUM(IF(OR($R328="Fighting",$R328="Poison"),0-1,IF(OR($R328="Psychic",$R328="Steel"),1,0)),IF(OR($S328="Fighting",$S328="Poison"),0-1,IF(OR($S328="Psychic",$S328="Steel"),1,0))))</f>
        <v>0</v>
      </c>
      <c r="AR328" s="507" t="n">
        <f aca="false">SUM(IF(OR($R328="Bug",$R328="Fire",$R328="Flying",$R328="Ice"),0-1,IF(OR($R328="Steel",$R328="Fighting",$R328="Ground"),1,0)),IF(OR($S328="Bug",$S328="Fire",$S328="Flying",$S328="Ice"),0-1,IF(OR($S328="Steel",$S328="Fighting",$S328="Ground"),1,0)))</f>
        <v>-1</v>
      </c>
      <c r="AS328" s="507" t="n">
        <f aca="false">SUM(IF(OR($R328="Fairy",$R328="Ice",$R328="Rock"),0-1,IF(OR($R328="Steel",$R328="Electric",$R328="Fire",$R328="Water"),1,0)),IF(OR($S328="Fairy",$S328="Ice",$S328="Rock"),0-1,IF(OR($S328="Steel",$S328="Electric",$S328="Fire",$S328="Water"),1,0)))</f>
        <v>0</v>
      </c>
      <c r="AT328" s="508" t="n">
        <f aca="false">SUM(IF(OR($R328="Fire",$R328="Ground",$R328="Rock"),0-1,IF(OR($R328="Dragon",$R328="Grass",$R328="Water"),1,0)),IF(OR($S328="Fire",$S328="Ground",$S328="Rock"),0-1,IF(OR($S328="Dragon",$S328="Grass",$S328="Water"),1,0)))</f>
        <v>0</v>
      </c>
      <c r="AU328" s="518"/>
    </row>
    <row r="329" customFormat="false" ht="15.75" hidden="false" customHeight="false" outlineLevel="0" collapsed="false">
      <c r="A329" s="515" t="str">
        <f aca="false" t="array" ref="A329:A329">IF(ISNA(INDEX(Source!$U$7:$U$95,MATCH(B329,Source!$V$7:$V$95,0))),"FREE",INDEX(Source!$U$7:$U$95,MATCH(B329,Source!$V$7:$V$95,0)))</f>
        <v>KKS</v>
      </c>
      <c r="B329" s="511" t="s">
        <v>103</v>
      </c>
      <c r="C329" s="511"/>
      <c r="D329" s="511"/>
      <c r="E329" s="499" t="n">
        <f aca="false">IF(SUM($W329:$X329)&gt;0,SUM($W329:$X329),IF($H329&gt;0,0,IF($H329&gt;0,0,"-")))</f>
        <v>0</v>
      </c>
      <c r="F329" s="499" t="n">
        <f aca="false">IF(SUM($Y329:$Z329)&gt;0,SUM($Y329:$Z329),IF($H329&gt;0,0,"-"))</f>
        <v>0</v>
      </c>
      <c r="G329" s="499" t="e">
        <f aca="false">IF($H329&gt;0,minus(E329,F329),"-")</f>
        <v>#NAME?</v>
      </c>
      <c r="H329" s="500" t="n">
        <f aca="false">SUM(COUNTIF(MatchSource!$A:$A,$B329),COUNTIF(MatchSource!$H:$H,$B329))</f>
        <v>6</v>
      </c>
      <c r="I329" s="501" t="n">
        <f aca="false">SUM($AA329:$AB329)</f>
        <v>0</v>
      </c>
      <c r="J329" s="501" t="s">
        <v>701</v>
      </c>
      <c r="K329" s="512" t="n">
        <f aca="false" t="array" ref="K329:K329">IF(ISNA(INDEX(DraftRosters!$AA$3:$AA$199,MATCH($B329,DraftRosters!$AB$3:$AB$199,0))),"FA",IF(INDEX(DraftRosters!$AA$3:$AA$199,MATCH($B329,DraftRosters!$AB$3:$AB$199,0))="Franchise","Franch",INDEX(DraftRosters!$AA$3:$AA$199,MATCH($B329,DraftRosters!$AB$3:$AB$199,0))))</f>
        <v>62</v>
      </c>
      <c r="L329" s="499" t="n">
        <v>85</v>
      </c>
      <c r="M329" s="499" t="n">
        <v>70</v>
      </c>
      <c r="N329" s="499" t="n">
        <v>80</v>
      </c>
      <c r="O329" s="499" t="n">
        <v>97</v>
      </c>
      <c r="P329" s="499" t="n">
        <v>80</v>
      </c>
      <c r="Q329" s="501" t="n">
        <v>123</v>
      </c>
      <c r="R329" s="499" t="s">
        <v>835</v>
      </c>
      <c r="S329" s="501" t="s">
        <v>801</v>
      </c>
      <c r="T329" s="504" t="s">
        <v>871</v>
      </c>
      <c r="U329" s="505" t="s">
        <v>879</v>
      </c>
      <c r="V329" s="506" t="s">
        <v>914</v>
      </c>
      <c r="W329" s="500" t="str">
        <f aca="false">IFERROR(__xludf.dummyfunction("if(isna(SUM(FILTER(MatchSource!$A:$D,MatchSource!$A:$A=$B329))),0,SUM(FILTER(MatchSource!$A:$D,MatchSource!$A:$A=$B329)))"),"5")</f>
        <v>5</v>
      </c>
      <c r="X329" s="499" t="str">
        <f aca="false">IFERROR(__xludf.dummyfunction("if(isna(SUM(FILTER(MatchSource!$H:$K,MatchSource!$H:$H=$B329))),0,SUM(FILTER(MatchSource!$H:$K,MatchSource!$H:$H=$B329)))"),"1")</f>
        <v>1</v>
      </c>
      <c r="Y329" s="499" t="str">
        <f aca="false">IFERROR(__xludf.dummyfunction("if(isna(ABS(MINUS(SUM(FILTER(MatchSource!$A:$E,MatchSource!$A:$A=$B329)),SUM($W329)))),0,ABS(MINUS(SUM(FILTER(MatchSource!$A:$E,MatchSource!$A:$A=$B329)),SUM($W329))))"),"4")</f>
        <v>4</v>
      </c>
      <c r="Z329" s="499" t="str">
        <f aca="false">IFERROR(__xludf.dummyfunction("if(isna(ABS(MINUS(SUM(FILTER(MatchSource!$H:$L,MatchSource!$H:$H=$B329)),SUM($X329)))),0,ABS(MINUS(SUM(FILTER(MatchSource!$H:$L,MatchSource!$H:$H=$B329)),SUM($X329))))"),"0")</f>
        <v>0</v>
      </c>
      <c r="AA329" s="499" t="str">
        <f aca="false">IFERROR(__xludf.dummyfunction("if(isna(ABS(MINUS(SUM(FILTER(MatchSource!$A:$F,MatchSource!$A:$A=$B329)),SUM($W329,$Y329)))),0,ABS(MINUS(SUM(FILTER(MatchSource!$A:$F,MatchSource!$A:$A=$B329)),SUM($W329, $Y329,))))"),"4")</f>
        <v>4</v>
      </c>
      <c r="AB329" s="501" t="str">
        <f aca="false">IFERROR(__xludf.dummyfunction("if(isna(ABS(MINUS(SUM(FILTER(MatchSource!$H:$M,MatchSource!$H:$H=$B329)),SUM($X329,$Z329)))),0,ABS(MINUS(SUM(FILTER(MatchSource!$H:$M,MatchSource!$H:$H=$B329)),SUM($X329,$Z329))))"),"1")</f>
        <v>1</v>
      </c>
      <c r="AC329" s="507" t="n">
        <f aca="false">SUM(IF(OR($R329="Grass",$R329="Psychic",$R329="Dark"),0-1,IF(OR($R329="Fighting",$R329="Flying",$R329="Fire",$R329="Ghost",$R329="Poison",$R329="Steel",$R329="Fairy"),1,0)),IF(OR($S329="Grass",$S329="Psychic",$S329="Dark"),0-1,IF(OR($S329="Fighting",$S329="Flying",$S329="Fire",$S329="Ghost",$S329="Poison",$S329="Steel",$S329="Fairy"),1,0)))</f>
        <v>1</v>
      </c>
      <c r="AD329" s="507" t="n">
        <f aca="false">SUM(IF(OR($R329="Ghost",$R329="Psychic"),0-1,IF(OR($R329="Fighting",$R329="Dark",$R329="Fairy"),1,0)),IF(OR($S329="Ghost",$S329="Psychic"),0-1,IF(OR($S329="Fighting",$S329="Dark",$S329="Fairy"),1,0)))</f>
        <v>0</v>
      </c>
      <c r="AE329" s="507" t="n">
        <f aca="false">IF(OR($R329="Fairy",$S329="Fairy"),4,SUM(IF($R329="Dragon",0-1,IF($R329="Steel",1,0)),IF($S329="Dragon",0-1,IF($S329="Steel",1,0))))</f>
        <v>-1</v>
      </c>
      <c r="AF329" s="507" t="n">
        <f aca="false">IF(OR($R329="Ground",$S329="Ground"),4,SUM(IF(OR($R329="Flying",$R329="Water"),0-1,IF(OR($R329="Dragon",$R329="Electric",$R329="Grass"),1,0)),IF(OR($S329="Flying",$S329="Water"),0-1,IF(OR($S329="Dragon",$S329="Electric",$S329="Grass"),1,0))))</f>
        <v>0</v>
      </c>
      <c r="AG329" s="507" t="n">
        <f aca="false">SUM(IF(OR($R329="Dark",$R329="Dragon",$R329="Fighting"),0-1,IF(OR($R329="Steel",$R329="Poison",$R329="Fire"),1,0)),IF(OR($S329="Dark",$S329="Dragon",$S329="Fighting"),0-1,IF(OR($S329="Steel",$S329="Poison",$S329="Fire"),1,0)))</f>
        <v>-1</v>
      </c>
      <c r="AH329" s="507" t="n">
        <f aca="false">IF(OR($R329="Ghost",$S329="Ghost"),4,SUM(IF(OR($R329="Dark",$R329="Ice",$R329="Normal",$R329="Rock",$R329="Steel"),0-1,IF(OR($R329="Bug",$R329="Fairy",$R329="Flying",$R329="Poison",$R329="Psychic"),1,0)),IF(OR($S329="Dark",$S329="Ice",$S329="Normal",$S329="Rock",$S329="Steel"),0-1,IF(OR($S329="Bug",$S329="Fairy",$S329="Flying",$S329="Poison",$S329="Psychic"),1,0))))</f>
        <v>1</v>
      </c>
      <c r="AI329" s="507" t="n">
        <f aca="false">SUM(IF(OR($R329="Bug",$R329="Grass",$R329="Ice",$R329="Steel"),0-1,IF(OR($R329="Dragon",$R329="Fire",$R329="Rock",$R329="Water"),1,0)),IF(OR($S329="Bug",$S329="Grass",$S329="Ice",$S329="Steel"),0-1,IF(OR($S329="Dragon",$S329="Fire",$S329="Rock",$S329="Water"),1,0)))</f>
        <v>1</v>
      </c>
      <c r="AJ329" s="507" t="n">
        <f aca="false">SUM(IF(OR($R329="Bug",$R329="Grass",$R329="Fighting"),0-1,IF(OR($R329="Electric",$R329="Rock",$R329="Steel"),1,0)),IF(OR($S329="Bug",$S329="Grass",$S329="Fighting"),0-1,IF(OR($S329="Electric",$S329="Rock",$S329="Steel"),1,0)))</f>
        <v>0</v>
      </c>
      <c r="AK329" s="507" t="n">
        <f aca="false">IF(OR($R329="Normal",$S329="Normal"),4,SUM(IF(OR($R329="Ghost",$R329="Psychic"),0-1,IF($R329="Dark",1,0)),IF(OR($S329="Ghost",$S329="Psychic"),0-1,IF($S329="Dark",1,0))))</f>
        <v>0</v>
      </c>
      <c r="AL329" s="507" t="n">
        <f aca="false">SUM(IF(OR($R329="Ground",$R329="Rock",$R329="Water"),0-1,IF(OR($R329="Bug",$R329="Flying",$R329="Fire",$R329="Dragon",$R329="Poison",$R329="Steel",$R329="Grass"),1,0)),IF(OR($S329="Ground",$S329="Rock",$S329="Water"),0-1,IF(OR($S329="Bug",$S329="Flying",$S329="Fire",$S329="Dragon",$S329="Poison",$S329="Steel",$S329="Grass"),1,0)))</f>
        <v>2</v>
      </c>
      <c r="AM329" s="507" t="n">
        <f aca="false">IF(OR($R329="Flying",$S329="Flying"),4,SUM(IF(OR($R329="Electric",$R329="Fire",$R329="Rock",$R329="Steel",$R329="Poison"),0-1,IF(OR($R329="Bug",$R329="Grass"),1,0)),IF(OR($S329="Electric",$S329="Fire",$S329="Rock",$S329="Steel",$S329="Poison"),0-1,IF(OR($S329="Bug",$S329="Grass"),1,0))))</f>
        <v>4</v>
      </c>
      <c r="AN329" s="507" t="n">
        <f aca="false">SUM(IF(OR($R329="Flying",$R329="Dragon",$R329="Grass",$R329="Ground"),0-1,IF(OR($R329="Steel",$R329="Ice",$R329="Fire",$R329="Water"),1,0)),IF(OR($S329="Flying",$S329="Dragon",$S329="Grass",$S329="Ground"),0-1,IF(OR($S329="Steel",$S329="Ice",$S329="Fire",$S329="Water"),1,0)))</f>
        <v>-2</v>
      </c>
      <c r="AO329" s="507" t="n">
        <f aca="false">IF(OR($R329="Ghost",$S329="Ghost"),4,SUM(IF(OR($R329="Steel",$R329="Rock"),1,0),IF(OR($S329="Steel",$S329="Rock"),1,0)))</f>
        <v>0</v>
      </c>
      <c r="AP329" s="507" t="n">
        <f aca="false">IF(OR($R329="Steel",$S329="Steel"),4,SUM(IF(OR($R329="Fairy",$R329="Grass"),0-1,IF(OR($R329="Ghost",$R329="Rock",$R329="Ground",$R329="Poison"),1,0)),IF(OR($S329="Fairy",$S329="Grass"),0-1,IF(OR($S329="Ghost",$S329="Rock",$S329="Ground",$S329="Poison"),1,0))))</f>
        <v>0</v>
      </c>
      <c r="AQ329" s="507" t="n">
        <f aca="false">IF(OR($R329="Dark",$S329="Dark"),4,SUM(IF(OR($R329="Fighting",$R329="Poison"),0-1,IF(OR($R329="Psychic",$R329="Steel"),1,0)),IF(OR($S329="Fighting",$S329="Poison"),0-1,IF(OR($S329="Psychic",$S329="Steel"),1,0))))</f>
        <v>0</v>
      </c>
      <c r="AR329" s="507" t="n">
        <f aca="false">SUM(IF(OR($R329="Bug",$R329="Fire",$R329="Flying",$R329="Ice"),0-1,IF(OR($R329="Steel",$R329="Fighting",$R329="Ground"),1,0)),IF(OR($S329="Bug",$S329="Fire",$S329="Flying",$S329="Ice"),0-1,IF(OR($S329="Steel",$S329="Fighting",$S329="Ground"),1,0)))</f>
        <v>-1</v>
      </c>
      <c r="AS329" s="507" t="n">
        <f aca="false">SUM(IF(OR($R329="Fairy",$R329="Ice",$R329="Rock"),0-1,IF(OR($R329="Steel",$R329="Electric",$R329="Fire",$R329="Water"),1,0)),IF(OR($S329="Fairy",$S329="Ice",$S329="Rock"),0-1,IF(OR($S329="Steel",$S329="Electric",$S329="Fire",$S329="Water"),1,0)))</f>
        <v>0</v>
      </c>
      <c r="AT329" s="508" t="n">
        <f aca="false">SUM(IF(OR($R329="Fire",$R329="Ground",$R329="Rock"),0-1,IF(OR($R329="Dragon",$R329="Grass",$R329="Water"),1,0)),IF(OR($S329="Fire",$S329="Ground",$S329="Rock"),0-1,IF(OR($S329="Dragon",$S329="Grass",$S329="Water"),1,0)))</f>
        <v>1</v>
      </c>
      <c r="AU329" s="518"/>
    </row>
    <row r="330" customFormat="false" ht="15.75" hidden="false" customHeight="false" outlineLevel="0" collapsed="false">
      <c r="A330" s="515" t="str">
        <f aca="false" t="array" ref="A330:A330">IF(ISNA(INDEX(Source!$U$7:$U$95,MATCH(B330,Source!$V$7:$V$95,0))),"FREE",INDEX(Source!$U$7:$U$95,MATCH(B330,Source!$V$7:$V$95,0)))</f>
        <v>FREE</v>
      </c>
      <c r="B330" s="511" t="s">
        <v>403</v>
      </c>
      <c r="C330" s="511"/>
      <c r="D330" s="511"/>
      <c r="E330" s="499" t="str">
        <f aca="false">IF(SUM($W330:$X330)&gt;0,SUM($W330:$X330),IF($H330&gt;0,0,IF($H330&gt;0,0,"-")))</f>
        <v>-</v>
      </c>
      <c r="F330" s="499" t="str">
        <f aca="false">IF(SUM($Y330:$Z330)&gt;0,SUM($Y330:$Z330),IF($H330&gt;0,0,"-"))</f>
        <v>-</v>
      </c>
      <c r="G330" s="499" t="str">
        <f aca="false">IF($H330&gt;0,minus(E330,F330),"-")</f>
        <v>-</v>
      </c>
      <c r="H330" s="500" t="n">
        <f aca="false">SUM(COUNTIF(MatchSource!$A:$A,$B330),COUNTIF(MatchSource!$H:$H,$B330))</f>
        <v>0</v>
      </c>
      <c r="I330" s="501" t="n">
        <f aca="false">SUM($AA330:$AB330)</f>
        <v>0</v>
      </c>
      <c r="J330" s="501" t="s">
        <v>702</v>
      </c>
      <c r="K330" s="512" t="str">
        <f aca="false" t="array" ref="K330:K330">IF(ISNA(INDEX(DraftRosters!$AA$3:$AA$199,MATCH($B330,DraftRosters!$AB$3:$AB$199,0))),"FA",IF(INDEX(DraftRosters!$AA$3:$AA$199,MATCH($B330,DraftRosters!$AB$3:$AB$199,0))="Franchise","Franch",INDEX(DraftRosters!$AA$3:$AA$199,MATCH($B330,DraftRosters!$AB$3:$AB$199,0))))</f>
        <v>FA</v>
      </c>
      <c r="L330" s="499" t="n">
        <v>75</v>
      </c>
      <c r="M330" s="499" t="n">
        <v>105</v>
      </c>
      <c r="N330" s="499" t="n">
        <v>75</v>
      </c>
      <c r="O330" s="499" t="n">
        <v>105</v>
      </c>
      <c r="P330" s="499" t="n">
        <v>75</v>
      </c>
      <c r="Q330" s="501" t="n">
        <v>45</v>
      </c>
      <c r="R330" s="499" t="s">
        <v>811</v>
      </c>
      <c r="S330" s="501"/>
      <c r="T330" s="504" t="s">
        <v>935</v>
      </c>
      <c r="U330" s="505" t="s">
        <v>856</v>
      </c>
      <c r="V330" s="506" t="s">
        <v>885</v>
      </c>
      <c r="W330" s="500" t="str">
        <f aca="false">IFERROR(__xludf.dummyfunction("if(isna(SUM(FILTER(MatchSource!$A:$D,MatchSource!$A:$A=$B330))),0,SUM(FILTER(MatchSource!$A:$D,MatchSource!$A:$A=$B330)))"),"0")</f>
        <v>0</v>
      </c>
      <c r="X330" s="499" t="str">
        <f aca="false">IFERROR(__xludf.dummyfunction("if(isna(SUM(FILTER(MatchSource!$H:$K,MatchSource!$H:$H=$B330))),0,SUM(FILTER(MatchSource!$H:$K,MatchSource!$H:$H=$B330)))"),"0")</f>
        <v>0</v>
      </c>
      <c r="Y330" s="499" t="str">
        <f aca="false">IFERROR(__xludf.dummyfunction("if(isna(ABS(MINUS(SUM(FILTER(MatchSource!$A:$E,MatchSource!$A:$A=$B330)),SUM($W330)))),0,ABS(MINUS(SUM(FILTER(MatchSource!$A:$E,MatchSource!$A:$A=$B330)),SUM($W330))))"),"0")</f>
        <v>0</v>
      </c>
      <c r="Z330" s="499" t="str">
        <f aca="false">IFERROR(__xludf.dummyfunction("if(isna(ABS(MINUS(SUM(FILTER(MatchSource!$H:$L,MatchSource!$H:$H=$B330)),SUM($X330)))),0,ABS(MINUS(SUM(FILTER(MatchSource!$H:$L,MatchSource!$H:$H=$B330)),SUM($X330))))"),"0")</f>
        <v>0</v>
      </c>
      <c r="AA330" s="499" t="str">
        <f aca="false">IFERROR(__xludf.dummyfunction("if(isna(ABS(MINUS(SUM(FILTER(MatchSource!$A:$F,MatchSource!$A:$A=$B330)),SUM($W330,$Y330)))),0,ABS(MINUS(SUM(FILTER(MatchSource!$A:$F,MatchSource!$A:$A=$B330)),SUM($W330, $Y330,))))"),"0")</f>
        <v>0</v>
      </c>
      <c r="AB330" s="501" t="str">
        <f aca="false">IFERROR(__xludf.dummyfunction("if(isna(ABS(MINUS(SUM(FILTER(MatchSource!$H:$M,MatchSource!$H:$H=$B330)),SUM($X330,$Z330)))),0,ABS(MINUS(SUM(FILTER(MatchSource!$H:$M,MatchSource!$H:$H=$B330)),SUM($X330,$Z330))))"),"0")</f>
        <v>0</v>
      </c>
      <c r="AC330" s="507" t="n">
        <f aca="false">SUM(IF(OR($R330="Grass",$R330="Psychic",$R330="Dark"),0-1,IF(OR($R330="Fighting",$R330="Flying",$R330="Fire",$R330="Ghost",$R330="Poison",$R330="Steel",$R330="Fairy"),1,0)),IF(OR($S330="Grass",$S330="Psychic",$S330="Dark"),0-1,IF(OR($S330="Fighting",$S330="Flying",$S330="Fire",$S330="Ghost",$S330="Poison",$S330="Steel",$S330="Fairy"),1,0)))</f>
        <v>0</v>
      </c>
      <c r="AD330" s="507" t="n">
        <f aca="false">SUM(IF(OR($R330="Ghost",$R330="Psychic"),0-1,IF(OR($R330="Fighting",$R330="Dark",$R330="Fairy"),1,0)),IF(OR($S330="Ghost",$S330="Psychic"),0-1,IF(OR($S330="Fighting",$S330="Dark",$S330="Fairy"),1,0)))</f>
        <v>0</v>
      </c>
      <c r="AE330" s="507" t="n">
        <f aca="false">IF(OR($R330="Fairy",$S330="Fairy"),4,SUM(IF($R330="Dragon",0-1,IF($R330="Steel",1,0)),IF($S330="Dragon",0-1,IF($S330="Steel",1,0))))</f>
        <v>0</v>
      </c>
      <c r="AF330" s="507" t="n">
        <f aca="false">IF(OR($R330="Ground",$S330="Ground"),4,SUM(IF(OR($R330="Flying",$R330="Water"),0-1,IF(OR($R330="Dragon",$R330="Electric",$R330="Grass"),1,0)),IF(OR($S330="Flying",$S330="Water"),0-1,IF(OR($S330="Dragon",$S330="Electric",$S330="Grass"),1,0))))</f>
        <v>-1</v>
      </c>
      <c r="AG330" s="507" t="n">
        <f aca="false">SUM(IF(OR($R330="Dark",$R330="Dragon",$R330="Fighting"),0-1,IF(OR($R330="Steel",$R330="Poison",$R330="Fire"),1,0)),IF(OR($S330="Dark",$S330="Dragon",$S330="Fighting"),0-1,IF(OR($S330="Steel",$S330="Poison",$S330="Fire"),1,0)))</f>
        <v>0</v>
      </c>
      <c r="AH330" s="507" t="n">
        <f aca="false">IF(OR($R330="Ghost",$S330="Ghost"),4,SUM(IF(OR($R330="Dark",$R330="Ice",$R330="Normal",$R330="Rock",$R330="Steel"),0-1,IF(OR($R330="Bug",$R330="Fairy",$R330="Flying",$R330="Poison",$R330="Psychic"),1,0)),IF(OR($S330="Dark",$S330="Ice",$S330="Normal",$S330="Rock",$S330="Steel"),0-1,IF(OR($S330="Bug",$S330="Fairy",$S330="Flying",$S330="Poison",$S330="Psychic"),1,0))))</f>
        <v>0</v>
      </c>
      <c r="AI330" s="507" t="n">
        <f aca="false">SUM(IF(OR($R330="Bug",$R330="Grass",$R330="Ice",$R330="Steel"),0-1,IF(OR($R330="Dragon",$R330="Fire",$R330="Rock",$R330="Water"),1,0)),IF(OR($S330="Bug",$S330="Grass",$S330="Ice",$S330="Steel"),0-1,IF(OR($S330="Dragon",$S330="Fire",$S330="Rock",$S330="Water"),1,0)))</f>
        <v>1</v>
      </c>
      <c r="AJ330" s="507" t="n">
        <f aca="false">SUM(IF(OR($R330="Bug",$R330="Grass",$R330="Fighting"),0-1,IF(OR($R330="Electric",$R330="Rock",$R330="Steel"),1,0)),IF(OR($S330="Bug",$S330="Grass",$S330="Fighting"),0-1,IF(OR($S330="Electric",$S330="Rock",$S330="Steel"),1,0)))</f>
        <v>0</v>
      </c>
      <c r="AK330" s="507" t="n">
        <f aca="false">IF(OR($R330="Normal",$S330="Normal"),4,SUM(IF(OR($R330="Ghost",$R330="Psychic"),0-1,IF($R330="Dark",1,0)),IF(OR($S330="Ghost",$S330="Psychic"),0-1,IF($S330="Dark",1,0))))</f>
        <v>0</v>
      </c>
      <c r="AL330" s="507" t="n">
        <f aca="false">SUM(IF(OR($R330="Ground",$R330="Rock",$R330="Water"),0-1,IF(OR($R330="Bug",$R330="Flying",$R330="Fire",$R330="Dragon",$R330="Poison",$R330="Steel",$R330="Grass"),1,0)),IF(OR($S330="Ground",$S330="Rock",$S330="Water"),0-1,IF(OR($S330="Bug",$S330="Flying",$S330="Fire",$S330="Dragon",$S330="Poison",$S330="Steel",$S330="Grass"),1,0)))</f>
        <v>-1</v>
      </c>
      <c r="AM330" s="507" t="n">
        <f aca="false">IF(OR($R330="Flying",$S330="Flying"),4,SUM(IF(OR($R330="Electric",$R330="Fire",$R330="Rock",$R330="Steel",$R330="Poison"),0-1,IF(OR($R330="Bug",$R330="Grass"),1,0)),IF(OR($S330="Electric",$S330="Fire",$S330="Rock",$S330="Steel",$S330="Poison"),0-1,IF(OR($S330="Bug",$S330="Grass"),1,0))))</f>
        <v>0</v>
      </c>
      <c r="AN330" s="507" t="n">
        <f aca="false">SUM(IF(OR($R330="Flying",$R330="Dragon",$R330="Grass",$R330="Ground"),0-1,IF(OR($R330="Steel",$R330="Ice",$R330="Fire",$R330="Water"),1,0)),IF(OR($S330="Flying",$S330="Dragon",$S330="Grass",$S330="Ground"),0-1,IF(OR($S330="Steel",$S330="Ice",$S330="Fire",$S330="Water"),1,0)))</f>
        <v>1</v>
      </c>
      <c r="AO330" s="507" t="n">
        <f aca="false">IF(OR($R330="Ghost",$S330="Ghost"),4,SUM(IF(OR($R330="Steel",$R330="Rock"),1,0),IF(OR($S330="Steel",$S330="Rock"),1,0)))</f>
        <v>0</v>
      </c>
      <c r="AP330" s="507" t="n">
        <f aca="false">IF(OR($R330="Steel",$S330="Steel"),4,SUM(IF(OR($R330="Fairy",$R330="Grass"),0-1,IF(OR($R330="Ghost",$R330="Rock",$R330="Ground",$R330="Poison"),1,0)),IF(OR($S330="Fairy",$S330="Grass"),0-1,IF(OR($S330="Ghost",$S330="Rock",$S330="Ground",$S330="Poison"),1,0))))</f>
        <v>0</v>
      </c>
      <c r="AQ330" s="507" t="n">
        <f aca="false">IF(OR($R330="Dark",$S330="Dark"),4,SUM(IF(OR($R330="Fighting",$R330="Poison"),0-1,IF(OR($R330="Psychic",$R330="Steel"),1,0)),IF(OR($S330="Fighting",$S330="Poison"),0-1,IF(OR($S330="Psychic",$S330="Steel"),1,0))))</f>
        <v>0</v>
      </c>
      <c r="AR330" s="507" t="n">
        <f aca="false">SUM(IF(OR($R330="Bug",$R330="Fire",$R330="Flying",$R330="Ice"),0-1,IF(OR($R330="Steel",$R330="Fighting",$R330="Ground"),1,0)),IF(OR($S330="Bug",$S330="Fire",$S330="Flying",$S330="Ice"),0-1,IF(OR($S330="Steel",$S330="Fighting",$S330="Ground"),1,0)))</f>
        <v>0</v>
      </c>
      <c r="AS330" s="507" t="n">
        <f aca="false">SUM(IF(OR($R330="Fairy",$R330="Ice",$R330="Rock"),0-1,IF(OR($R330="Steel",$R330="Electric",$R330="Fire",$R330="Water"),1,0)),IF(OR($S330="Fairy",$S330="Ice",$S330="Rock"),0-1,IF(OR($S330="Steel",$S330="Electric",$S330="Fire",$S330="Water"),1,0)))</f>
        <v>1</v>
      </c>
      <c r="AT330" s="508" t="n">
        <f aca="false">SUM(IF(OR($R330="Fire",$R330="Ground",$R330="Rock"),0-1,IF(OR($R330="Dragon",$R330="Grass",$R330="Water"),1,0)),IF(OR($S330="Fire",$S330="Ground",$S330="Rock"),0-1,IF(OR($S330="Dragon",$S330="Grass",$S330="Water"),1,0)))</f>
        <v>1</v>
      </c>
      <c r="AU330" s="518"/>
    </row>
    <row r="331" customFormat="false" ht="15.75" hidden="false" customHeight="false" outlineLevel="0" collapsed="false">
      <c r="A331" s="510" t="str">
        <f aca="false" t="array" ref="A331:A331">IF(ISNA(INDEX(Source!$U$7:$U$95,MATCH(B331,Source!$V$7:$V$95,0))),"FREE",INDEX(Source!$U$7:$U$95,MATCH(B331,Source!$V$7:$V$95,0)))</f>
        <v>FREE</v>
      </c>
      <c r="B331" s="511" t="s">
        <v>597</v>
      </c>
      <c r="C331" s="511"/>
      <c r="D331" s="511"/>
      <c r="E331" s="499" t="str">
        <f aca="false">IF(SUM($W331:$X331)&gt;0,SUM($W331:$X331),IF($H331&gt;0,0,IF($H331&gt;0,0,"-")))</f>
        <v>-</v>
      </c>
      <c r="F331" s="499" t="str">
        <f aca="false">IF(SUM($Y331:$Z331)&gt;0,SUM($Y331:$Z331),IF($H331&gt;0,0,"-"))</f>
        <v>-</v>
      </c>
      <c r="G331" s="499" t="str">
        <f aca="false">IF($H331&gt;0,minus(E331,F331),"-")</f>
        <v>-</v>
      </c>
      <c r="H331" s="500" t="n">
        <f aca="false">SUM(COUNTIF(MatchSource!$A:$A,$B331),COUNTIF(MatchSource!$H:$H,$B331))</f>
        <v>0</v>
      </c>
      <c r="I331" s="501" t="n">
        <f aca="false">SUM($AA331:$AB331)</f>
        <v>0</v>
      </c>
      <c r="J331" s="501" t="s">
        <v>701</v>
      </c>
      <c r="K331" s="512" t="str">
        <f aca="false" t="array" ref="K331:K331">IF(ISNA(INDEX(DraftRosters!$AA$3:$AA$199,MATCH($B331,DraftRosters!$AB$3:$AB$199,0))),"FA",IF(INDEX(DraftRosters!$AA$3:$AA$199,MATCH($B331,DraftRosters!$AB$3:$AB$199,0))="Franchise","Franch",INDEX(DraftRosters!$AA$3:$AA$199,MATCH($B331,DraftRosters!$AB$3:$AB$199,0))))</f>
        <v>FA</v>
      </c>
      <c r="L331" s="499" t="n">
        <v>70</v>
      </c>
      <c r="M331" s="499" t="n">
        <v>60</v>
      </c>
      <c r="N331" s="499" t="n">
        <v>125</v>
      </c>
      <c r="O331" s="499" t="n">
        <v>115</v>
      </c>
      <c r="P331" s="499" t="n">
        <v>70</v>
      </c>
      <c r="Q331" s="501" t="n">
        <v>55</v>
      </c>
      <c r="R331" s="499" t="s">
        <v>809</v>
      </c>
      <c r="S331" s="501" t="s">
        <v>811</v>
      </c>
      <c r="T331" s="504" t="s">
        <v>925</v>
      </c>
      <c r="U331" s="505" t="s">
        <v>937</v>
      </c>
      <c r="V331" s="506" t="s">
        <v>859</v>
      </c>
      <c r="W331" s="500" t="str">
        <f aca="false">IFERROR(__xludf.dummyfunction("if(isna(SUM(FILTER(MatchSource!$A:$D,MatchSource!$A:$A=$B331))),0,SUM(FILTER(MatchSource!$A:$D,MatchSource!$A:$A=$B331)))"),"0")</f>
        <v>0</v>
      </c>
      <c r="X331" s="499" t="str">
        <f aca="false">IFERROR(__xludf.dummyfunction("if(isna(SUM(FILTER(MatchSource!$H:$K,MatchSource!$H:$H=$B331))),0,SUM(FILTER(MatchSource!$H:$K,MatchSource!$H:$H=$B331)))"),"0")</f>
        <v>0</v>
      </c>
      <c r="Y331" s="499" t="str">
        <f aca="false">IFERROR(__xludf.dummyfunction("if(isna(ABS(MINUS(SUM(FILTER(MatchSource!$A:$E,MatchSource!$A:$A=$B331)),SUM($W331)))),0,ABS(MINUS(SUM(FILTER(MatchSource!$A:$E,MatchSource!$A:$A=$B331)),SUM($W331))))"),"0")</f>
        <v>0</v>
      </c>
      <c r="Z331" s="499" t="str">
        <f aca="false">IFERROR(__xludf.dummyfunction("if(isna(ABS(MINUS(SUM(FILTER(MatchSource!$H:$L,MatchSource!$H:$H=$B331)),SUM($X331)))),0,ABS(MINUS(SUM(FILTER(MatchSource!$H:$L,MatchSource!$H:$H=$B331)),SUM($X331))))"),"0")</f>
        <v>0</v>
      </c>
      <c r="AA331" s="499" t="str">
        <f aca="false">IFERROR(__xludf.dummyfunction("if(isna(ABS(MINUS(SUM(FILTER(MatchSource!$A:$F,MatchSource!$A:$A=$B331)),SUM($W331,$Y331)))),0,ABS(MINUS(SUM(FILTER(MatchSource!$A:$F,MatchSource!$A:$A=$B331)),SUM($W331, $Y331,))))"),"0")</f>
        <v>0</v>
      </c>
      <c r="AB331" s="501" t="str">
        <f aca="false">IFERROR(__xludf.dummyfunction("if(isna(ABS(MINUS(SUM(FILTER(MatchSource!$H:$M,MatchSource!$H:$H=$B331)),SUM($X331,$Z331)))),0,ABS(MINUS(SUM(FILTER(MatchSource!$H:$M,MatchSource!$H:$H=$B331)),SUM($X331,$Z331))))"),"0")</f>
        <v>0</v>
      </c>
      <c r="AC331" s="507" t="n">
        <f aca="false">SUM(IF(OR($R331="Grass",$R331="Psychic",$R331="Dark"),0-1,IF(OR($R331="Fighting",$R331="Flying",$R331="Fire",$R331="Ghost",$R331="Poison",$R331="Steel",$R331="Fairy"),1,0)),IF(OR($S331="Grass",$S331="Psychic",$S331="Dark"),0-1,IF(OR($S331="Fighting",$S331="Flying",$S331="Fire",$S331="Ghost",$S331="Poison",$S331="Steel",$S331="Fairy"),1,0)))</f>
        <v>0</v>
      </c>
      <c r="AD331" s="507" t="n">
        <f aca="false">SUM(IF(OR($R331="Ghost",$R331="Psychic"),0-1,IF(OR($R331="Fighting",$R331="Dark",$R331="Fairy"),1,0)),IF(OR($S331="Ghost",$S331="Psychic"),0-1,IF(OR($S331="Fighting",$S331="Dark",$S331="Fairy"),1,0)))</f>
        <v>0</v>
      </c>
      <c r="AE331" s="507" t="n">
        <f aca="false">IF(OR($R331="Fairy",$S331="Fairy"),4,SUM(IF($R331="Dragon",0-1,IF($R331="Steel",1,0)),IF($S331="Dragon",0-1,IF($S331="Steel",1,0))))</f>
        <v>0</v>
      </c>
      <c r="AF331" s="507" t="n">
        <f aca="false">IF(OR($R331="Ground",$S331="Ground"),4,SUM(IF(OR($R331="Flying",$R331="Water"),0-1,IF(OR($R331="Dragon",$R331="Electric",$R331="Grass"),1,0)),IF(OR($S331="Flying",$S331="Water"),0-1,IF(OR($S331="Dragon",$S331="Electric",$S331="Grass"),1,0))))</f>
        <v>-1</v>
      </c>
      <c r="AG331" s="507" t="n">
        <f aca="false">SUM(IF(OR($R331="Dark",$R331="Dragon",$R331="Fighting"),0-1,IF(OR($R331="Steel",$R331="Poison",$R331="Fire"),1,0)),IF(OR($S331="Dark",$S331="Dragon",$S331="Fighting"),0-1,IF(OR($S331="Steel",$S331="Poison",$S331="Fire"),1,0)))</f>
        <v>0</v>
      </c>
      <c r="AH331" s="507" t="n">
        <f aca="false">IF(OR($R331="Ghost",$S331="Ghost"),4,SUM(IF(OR($R331="Dark",$R331="Ice",$R331="Normal",$R331="Rock",$R331="Steel"),0-1,IF(OR($R331="Bug",$R331="Fairy",$R331="Flying",$R331="Poison",$R331="Psychic"),1,0)),IF(OR($S331="Dark",$S331="Ice",$S331="Normal",$S331="Rock",$S331="Steel"),0-1,IF(OR($S331="Bug",$S331="Fairy",$S331="Flying",$S331="Poison",$S331="Psychic"),1,0))))</f>
        <v>-1</v>
      </c>
      <c r="AI331" s="507" t="n">
        <f aca="false">SUM(IF(OR($R331="Bug",$R331="Grass",$R331="Ice",$R331="Steel"),0-1,IF(OR($R331="Dragon",$R331="Fire",$R331="Rock",$R331="Water"),1,0)),IF(OR($S331="Bug",$S331="Grass",$S331="Ice",$S331="Steel"),0-1,IF(OR($S331="Dragon",$S331="Fire",$S331="Rock",$S331="Water"),1,0)))</f>
        <v>2</v>
      </c>
      <c r="AJ331" s="507" t="n">
        <f aca="false">SUM(IF(OR($R331="Bug",$R331="Grass",$R331="Fighting"),0-1,IF(OR($R331="Electric",$R331="Rock",$R331="Steel"),1,0)),IF(OR($S331="Bug",$S331="Grass",$S331="Fighting"),0-1,IF(OR($S331="Electric",$S331="Rock",$S331="Steel"),1,0)))</f>
        <v>1</v>
      </c>
      <c r="AK331" s="507" t="n">
        <f aca="false">IF(OR($R331="Normal",$S331="Normal"),4,SUM(IF(OR($R331="Ghost",$R331="Psychic"),0-1,IF($R331="Dark",1,0)),IF(OR($S331="Ghost",$S331="Psychic"),0-1,IF($S331="Dark",1,0))))</f>
        <v>0</v>
      </c>
      <c r="AL331" s="507" t="n">
        <f aca="false">SUM(IF(OR($R331="Ground",$R331="Rock",$R331="Water"),0-1,IF(OR($R331="Bug",$R331="Flying",$R331="Fire",$R331="Dragon",$R331="Poison",$R331="Steel",$R331="Grass"),1,0)),IF(OR($S331="Ground",$S331="Rock",$S331="Water"),0-1,IF(OR($S331="Bug",$S331="Flying",$S331="Fire",$S331="Dragon",$S331="Poison",$S331="Steel",$S331="Grass"),1,0)))</f>
        <v>-2</v>
      </c>
      <c r="AM331" s="507" t="n">
        <f aca="false">IF(OR($R331="Flying",$S331="Flying"),4,SUM(IF(OR($R331="Electric",$R331="Fire",$R331="Rock",$R331="Steel",$R331="Poison"),0-1,IF(OR($R331="Bug",$R331="Grass"),1,0)),IF(OR($S331="Electric",$S331="Fire",$S331="Rock",$S331="Steel",$S331="Poison"),0-1,IF(OR($S331="Bug",$S331="Grass"),1,0))))</f>
        <v>-1</v>
      </c>
      <c r="AN331" s="507" t="n">
        <f aca="false">SUM(IF(OR($R331="Flying",$R331="Dragon",$R331="Grass",$R331="Ground"),0-1,IF(OR($R331="Steel",$R331="Ice",$R331="Fire",$R331="Water"),1,0)),IF(OR($S331="Flying",$S331="Dragon",$S331="Grass",$S331="Ground"),0-1,IF(OR($S331="Steel",$S331="Ice",$S331="Fire",$S331="Water"),1,0)))</f>
        <v>1</v>
      </c>
      <c r="AO331" s="507" t="n">
        <f aca="false">IF(OR($R331="Ghost",$S331="Ghost"),4,SUM(IF(OR($R331="Steel",$R331="Rock"),1,0),IF(OR($S331="Steel",$S331="Rock"),1,0)))</f>
        <v>1</v>
      </c>
      <c r="AP331" s="507" t="n">
        <f aca="false">IF(OR($R331="Steel",$S331="Steel"),4,SUM(IF(OR($R331="Fairy",$R331="Grass"),0-1,IF(OR($R331="Ghost",$R331="Rock",$R331="Ground",$R331="Poison"),1,0)),IF(OR($S331="Fairy",$S331="Grass"),0-1,IF(OR($S331="Ghost",$S331="Rock",$S331="Ground",$S331="Poison"),1,0))))</f>
        <v>1</v>
      </c>
      <c r="AQ331" s="507" t="n">
        <f aca="false">IF(OR($R331="Dark",$S331="Dark"),4,SUM(IF(OR($R331="Fighting",$R331="Poison"),0-1,IF(OR($R331="Psychic",$R331="Steel"),1,0)),IF(OR($S331="Fighting",$S331="Poison"),0-1,IF(OR($S331="Psychic",$S331="Steel"),1,0))))</f>
        <v>0</v>
      </c>
      <c r="AR331" s="507" t="n">
        <f aca="false">SUM(IF(OR($R331="Bug",$R331="Fire",$R331="Flying",$R331="Ice"),0-1,IF(OR($R331="Steel",$R331="Fighting",$R331="Ground"),1,0)),IF(OR($S331="Bug",$S331="Fire",$S331="Flying",$S331="Ice"),0-1,IF(OR($S331="Steel",$S331="Fighting",$S331="Ground"),1,0)))</f>
        <v>0</v>
      </c>
      <c r="AS331" s="507" t="n">
        <f aca="false">SUM(IF(OR($R331="Fairy",$R331="Ice",$R331="Rock"),0-1,IF(OR($R331="Steel",$R331="Electric",$R331="Fire",$R331="Water"),1,0)),IF(OR($S331="Fairy",$S331="Ice",$S331="Rock"),0-1,IF(OR($S331="Steel",$S331="Electric",$S331="Fire",$S331="Water"),1,0)))</f>
        <v>0</v>
      </c>
      <c r="AT331" s="508" t="n">
        <f aca="false">SUM(IF(OR($R331="Fire",$R331="Ground",$R331="Rock"),0-1,IF(OR($R331="Dragon",$R331="Grass",$R331="Water"),1,0)),IF(OR($S331="Fire",$S331="Ground",$S331="Rock"),0-1,IF(OR($S331="Dragon",$S331="Grass",$S331="Water"),1,0)))</f>
        <v>0</v>
      </c>
      <c r="AU331" s="518"/>
    </row>
    <row r="332" customFormat="false" ht="15.75" hidden="false" customHeight="false" outlineLevel="0" collapsed="false">
      <c r="A332" s="510" t="str">
        <f aca="false" t="array" ref="A332:A332">IF(ISNA(INDEX(Source!$U$7:$U$95,MATCH(B332,Source!$V$7:$V$95,0))),"FREE",INDEX(Source!$U$7:$U$95,MATCH(B332,Source!$V$7:$V$95,0)))</f>
        <v>FREE</v>
      </c>
      <c r="B332" s="511" t="s">
        <v>408</v>
      </c>
      <c r="C332" s="511"/>
      <c r="D332" s="511"/>
      <c r="E332" s="499" t="str">
        <f aca="false">IF(SUM($W332:$X332)&gt;0,SUM($W332:$X332),IF($H332&gt;0,0,IF($H332&gt;0,0,"-")))</f>
        <v>-</v>
      </c>
      <c r="F332" s="499" t="str">
        <f aca="false">IF(SUM($Y332:$Z332)&gt;0,SUM($Y332:$Z332),IF($H332&gt;0,0,"-"))</f>
        <v>-</v>
      </c>
      <c r="G332" s="499" t="str">
        <f aca="false">IF($H332&gt;0,minus(E332,F332),"-")</f>
        <v>-</v>
      </c>
      <c r="H332" s="500" t="n">
        <f aca="false">SUM(COUNTIF(MatchSource!$A:$A,$B332),COUNTIF(MatchSource!$H:$H,$B332))</f>
        <v>0</v>
      </c>
      <c r="I332" s="501" t="n">
        <f aca="false">SUM($AA332:$AB332)</f>
        <v>0</v>
      </c>
      <c r="J332" s="501" t="s">
        <v>702</v>
      </c>
      <c r="K332" s="512" t="str">
        <f aca="false" t="array" ref="K332:K332">IF(ISNA(INDEX(DraftRosters!$AA$3:$AA$199,MATCH($B332,DraftRosters!$AB$3:$AB$199,0))),"FA",IF(INDEX(DraftRosters!$AA$3:$AA$199,MATCH($B332,DraftRosters!$AB$3:$AB$199,0))="Franchise","Franch",INDEX(DraftRosters!$AA$3:$AA$199,MATCH($B332,DraftRosters!$AB$3:$AB$199,0))))</f>
        <v>FA</v>
      </c>
      <c r="L332" s="499" t="n">
        <v>90</v>
      </c>
      <c r="M332" s="499" t="n">
        <v>60</v>
      </c>
      <c r="N332" s="499" t="n">
        <v>80</v>
      </c>
      <c r="O332" s="499" t="n">
        <v>90</v>
      </c>
      <c r="P332" s="499" t="n">
        <v>110</v>
      </c>
      <c r="Q332" s="501" t="n">
        <v>60</v>
      </c>
      <c r="R332" s="499" t="s">
        <v>839</v>
      </c>
      <c r="S332" s="501" t="s">
        <v>828</v>
      </c>
      <c r="T332" s="504" t="s">
        <v>829</v>
      </c>
      <c r="U332" s="505" t="s">
        <v>974</v>
      </c>
      <c r="V332" s="506" t="s">
        <v>879</v>
      </c>
      <c r="W332" s="500" t="str">
        <f aca="false">IFERROR(__xludf.dummyfunction("if(isna(SUM(FILTER(MatchSource!$A:$D,MatchSource!$A:$A=$B332))),0,SUM(FILTER(MatchSource!$A:$D,MatchSource!$A:$A=$B332)))"),"0")</f>
        <v>0</v>
      </c>
      <c r="X332" s="499" t="str">
        <f aca="false">IFERROR(__xludf.dummyfunction("if(isna(SUM(FILTER(MatchSource!$H:$K,MatchSource!$H:$H=$B332))),0,SUM(FILTER(MatchSource!$H:$K,MatchSource!$H:$H=$B332)))"),"0")</f>
        <v>0</v>
      </c>
      <c r="Y332" s="499" t="str">
        <f aca="false">IFERROR(__xludf.dummyfunction("if(isna(ABS(MINUS(SUM(FILTER(MatchSource!$A:$E,MatchSource!$A:$A=$B332)),SUM($W332)))),0,ABS(MINUS(SUM(FILTER(MatchSource!$A:$E,MatchSource!$A:$A=$B332)),SUM($W332))))"),"0")</f>
        <v>0</v>
      </c>
      <c r="Z332" s="499" t="str">
        <f aca="false">IFERROR(__xludf.dummyfunction("if(isna(ABS(MINUS(SUM(FILTER(MatchSource!$H:$L,MatchSource!$H:$H=$B332)),SUM($X332)))),0,ABS(MINUS(SUM(FILTER(MatchSource!$H:$L,MatchSource!$H:$H=$B332)),SUM($X332))))"),"0")</f>
        <v>0</v>
      </c>
      <c r="AA332" s="499" t="str">
        <f aca="false">IFERROR(__xludf.dummyfunction("if(isna(ABS(MINUS(SUM(FILTER(MatchSource!$A:$F,MatchSource!$A:$A=$B332)),SUM($W332,$Y332)))),0,ABS(MINUS(SUM(FILTER(MatchSource!$A:$F,MatchSource!$A:$A=$B332)),SUM($W332, $Y332,))))"),"0")</f>
        <v>0</v>
      </c>
      <c r="AB332" s="501" t="str">
        <f aca="false">IFERROR(__xludf.dummyfunction("if(isna(ABS(MINUS(SUM(FILTER(MatchSource!$H:$M,MatchSource!$H:$H=$B332)),SUM($X332,$Z332)))),0,ABS(MINUS(SUM(FILTER(MatchSource!$H:$M,MatchSource!$H:$H=$B332)),SUM($X332,$Z332))))"),"0")</f>
        <v>0</v>
      </c>
      <c r="AC332" s="507" t="n">
        <f aca="false">SUM(IF(OR($R332="Grass",$R332="Psychic",$R332="Dark"),0-1,IF(OR($R332="Fighting",$R332="Flying",$R332="Fire",$R332="Ghost",$R332="Poison",$R332="Steel",$R332="Fairy"),1,0)),IF(OR($S332="Grass",$S332="Psychic",$S332="Dark"),0-1,IF(OR($S332="Fighting",$S332="Flying",$S332="Fire",$S332="Ghost",$S332="Poison",$S332="Steel",$S332="Fairy"),1,0)))</f>
        <v>-1</v>
      </c>
      <c r="AD332" s="507" t="n">
        <f aca="false">SUM(IF(OR($R332="Ghost",$R332="Psychic"),0-1,IF(OR($R332="Fighting",$R332="Dark",$R332="Fairy"),1,0)),IF(OR($S332="Ghost",$S332="Psychic"),0-1,IF(OR($S332="Fighting",$S332="Dark",$S332="Fairy"),1,0)))</f>
        <v>-1</v>
      </c>
      <c r="AE332" s="507" t="n">
        <f aca="false">IF(OR($R332="Fairy",$S332="Fairy"),4,SUM(IF($R332="Dragon",0-1,IF($R332="Steel",1,0)),IF($S332="Dragon",0-1,IF($S332="Steel",1,0))))</f>
        <v>0</v>
      </c>
      <c r="AF332" s="507" t="n">
        <f aca="false">IF(OR($R332="Ground",$S332="Ground"),4,SUM(IF(OR($R332="Flying",$R332="Water"),0-1,IF(OR($R332="Dragon",$R332="Electric",$R332="Grass"),1,0)),IF(OR($S332="Flying",$S332="Water"),0-1,IF(OR($S332="Dragon",$S332="Electric",$S332="Grass"),1,0))))</f>
        <v>0</v>
      </c>
      <c r="AG332" s="507" t="n">
        <f aca="false">SUM(IF(OR($R332="Dark",$R332="Dragon",$R332="Fighting"),0-1,IF(OR($R332="Steel",$R332="Poison",$R332="Fire"),1,0)),IF(OR($S332="Dark",$S332="Dragon",$S332="Fighting"),0-1,IF(OR($S332="Steel",$S332="Poison",$S332="Fire"),1,0)))</f>
        <v>0</v>
      </c>
      <c r="AH332" s="507" t="n">
        <f aca="false">IF(OR($R332="Ghost",$S332="Ghost"),4,SUM(IF(OR($R332="Dark",$R332="Ice",$R332="Normal",$R332="Rock",$R332="Steel"),0-1,IF(OR($R332="Bug",$R332="Fairy",$R332="Flying",$R332="Poison",$R332="Psychic"),1,0)),IF(OR($S332="Dark",$S332="Ice",$S332="Normal",$S332="Rock",$S332="Steel"),0-1,IF(OR($S332="Bug",$S332="Fairy",$S332="Flying",$S332="Poison",$S332="Psychic"),1,0))))</f>
        <v>0</v>
      </c>
      <c r="AI332" s="507" t="n">
        <f aca="false">SUM(IF(OR($R332="Bug",$R332="Grass",$R332="Ice",$R332="Steel"),0-1,IF(OR($R332="Dragon",$R332="Fire",$R332="Rock",$R332="Water"),1,0)),IF(OR($S332="Bug",$S332="Grass",$S332="Ice",$S332="Steel"),0-1,IF(OR($S332="Dragon",$S332="Fire",$S332="Rock",$S332="Water"),1,0)))</f>
        <v>0</v>
      </c>
      <c r="AJ332" s="507" t="n">
        <f aca="false">SUM(IF(OR($R332="Bug",$R332="Grass",$R332="Fighting"),0-1,IF(OR($R332="Electric",$R332="Rock",$R332="Steel"),1,0)),IF(OR($S332="Bug",$S332="Grass",$S332="Fighting"),0-1,IF(OR($S332="Electric",$S332="Rock",$S332="Steel"),1,0)))</f>
        <v>0</v>
      </c>
      <c r="AK332" s="507" t="n">
        <f aca="false">IF(OR($R332="Normal",$S332="Normal"),4,SUM(IF(OR($R332="Ghost",$R332="Psychic"),0-1,IF($R332="Dark",1,0)),IF(OR($S332="Ghost",$S332="Psychic"),0-1,IF($S332="Dark",1,0))))</f>
        <v>4</v>
      </c>
      <c r="AL332" s="507" t="n">
        <f aca="false">SUM(IF(OR($R332="Ground",$R332="Rock",$R332="Water"),0-1,IF(OR($R332="Bug",$R332="Flying",$R332="Fire",$R332="Dragon",$R332="Poison",$R332="Steel",$R332="Grass"),1,0)),IF(OR($S332="Ground",$S332="Rock",$S332="Water"),0-1,IF(OR($S332="Bug",$S332="Flying",$S332="Fire",$S332="Dragon",$S332="Poison",$S332="Steel",$S332="Grass"),1,0)))</f>
        <v>0</v>
      </c>
      <c r="AM332" s="507" t="n">
        <f aca="false">IF(OR($R332="Flying",$S332="Flying"),4,SUM(IF(OR($R332="Electric",$R332="Fire",$R332="Rock",$R332="Steel",$R332="Poison"),0-1,IF(OR($R332="Bug",$R332="Grass"),1,0)),IF(OR($S332="Electric",$S332="Fire",$S332="Rock",$S332="Steel",$S332="Poison"),0-1,IF(OR($S332="Bug",$S332="Grass"),1,0))))</f>
        <v>0</v>
      </c>
      <c r="AN332" s="507" t="n">
        <f aca="false">SUM(IF(OR($R332="Flying",$R332="Dragon",$R332="Grass",$R332="Ground"),0-1,IF(OR($R332="Steel",$R332="Ice",$R332="Fire",$R332="Water"),1,0)),IF(OR($S332="Flying",$S332="Dragon",$S332="Grass",$S332="Ground"),0-1,IF(OR($S332="Steel",$S332="Ice",$S332="Fire",$S332="Water"),1,0)))</f>
        <v>0</v>
      </c>
      <c r="AO332" s="507" t="n">
        <f aca="false">IF(OR($R332="Ghost",$S332="Ghost"),4,SUM(IF(OR($R332="Steel",$R332="Rock"),1,0),IF(OR($S332="Steel",$S332="Rock"),1,0)))</f>
        <v>0</v>
      </c>
      <c r="AP332" s="507" t="n">
        <f aca="false">IF(OR($R332="Steel",$S332="Steel"),4,SUM(IF(OR($R332="Fairy",$R332="Grass"),0-1,IF(OR($R332="Ghost",$R332="Rock",$R332="Ground",$R332="Poison"),1,0)),IF(OR($S332="Fairy",$S332="Grass"),0-1,IF(OR($S332="Ghost",$S332="Rock",$S332="Ground",$S332="Poison"),1,0))))</f>
        <v>0</v>
      </c>
      <c r="AQ332" s="507" t="n">
        <f aca="false">IF(OR($R332="Dark",$S332="Dark"),4,SUM(IF(OR($R332="Fighting",$R332="Poison"),0-1,IF(OR($R332="Psychic",$R332="Steel"),1,0)),IF(OR($S332="Fighting",$S332="Poison"),0-1,IF(OR($S332="Psychic",$S332="Steel"),1,0))))</f>
        <v>1</v>
      </c>
      <c r="AR332" s="507" t="n">
        <f aca="false">SUM(IF(OR($R332="Bug",$R332="Fire",$R332="Flying",$R332="Ice"),0-1,IF(OR($R332="Steel",$R332="Fighting",$R332="Ground"),1,0)),IF(OR($S332="Bug",$S332="Fire",$S332="Flying",$S332="Ice"),0-1,IF(OR($S332="Steel",$S332="Fighting",$S332="Ground"),1,0)))</f>
        <v>0</v>
      </c>
      <c r="AS332" s="507" t="n">
        <f aca="false">SUM(IF(OR($R332="Fairy",$R332="Ice",$R332="Rock"),0-1,IF(OR($R332="Steel",$R332="Electric",$R332="Fire",$R332="Water"),1,0)),IF(OR($S332="Fairy",$S332="Ice",$S332="Rock"),0-1,IF(OR($S332="Steel",$S332="Electric",$S332="Fire",$S332="Water"),1,0)))</f>
        <v>0</v>
      </c>
      <c r="AT332" s="508" t="n">
        <f aca="false">SUM(IF(OR($R332="Fire",$R332="Ground",$R332="Rock"),0-1,IF(OR($R332="Dragon",$R332="Grass",$R332="Water"),1,0)),IF(OR($S332="Fire",$S332="Ground",$S332="Rock"),0-1,IF(OR($S332="Dragon",$S332="Grass",$S332="Water"),1,0)))</f>
        <v>0</v>
      </c>
      <c r="AU332" s="518"/>
    </row>
    <row r="333" customFormat="false" ht="15.75" hidden="false" customHeight="false" outlineLevel="0" collapsed="false">
      <c r="A333" s="510" t="str">
        <f aca="false" t="array" ref="A333:A333">IF(ISNA(INDEX(Source!$U$7:$U$95,MATCH(B333,Source!$V$7:$V$95,0))),"FREE",INDEX(Source!$U$7:$U$95,MATCH(B333,Source!$V$7:$V$95,0)))</f>
        <v>FREE</v>
      </c>
      <c r="B333" s="511" t="s">
        <v>760</v>
      </c>
      <c r="C333" s="511"/>
      <c r="D333" s="511"/>
      <c r="E333" s="499" t="str">
        <f aca="false">IF(SUM($W333:$X333)&gt;0,SUM($W333:$X333),IF($H333&gt;0,0,IF($H333&gt;0,0,"-")))</f>
        <v>-</v>
      </c>
      <c r="F333" s="499" t="str">
        <f aca="false">IF(SUM($Y333:$Z333)&gt;0,SUM($Y333:$Z333),IF($H333&gt;0,0,"-"))</f>
        <v>-</v>
      </c>
      <c r="G333" s="499" t="str">
        <f aca="false">IF($H333&gt;0,minus(E333,F333),"-")</f>
        <v>-</v>
      </c>
      <c r="H333" s="500" t="n">
        <f aca="false">SUM(COUNTIF(MatchSource!$A:$A,$B333),COUNTIF(MatchSource!$H:$H,$B333))</f>
        <v>0</v>
      </c>
      <c r="I333" s="501" t="n">
        <f aca="false">SUM($AA333:$AB333)</f>
        <v>0</v>
      </c>
      <c r="J333" s="501" t="s">
        <v>702</v>
      </c>
      <c r="K333" s="512" t="str">
        <f aca="false" t="array" ref="K333:K333">IF(ISNA(INDEX(DraftRosters!$AA$3:$AA$199,MATCH($B333,DraftRosters!$AB$3:$AB$199,0))),"FA",IF(INDEX(DraftRosters!$AA$3:$AA$199,MATCH($B333,DraftRosters!$AB$3:$AB$199,0))="Franchise","Franch",INDEX(DraftRosters!$AA$3:$AA$199,MATCH($B333,DraftRosters!$AB$3:$AB$199,0))))</f>
        <v>FA</v>
      </c>
      <c r="L333" s="507" t="n">
        <v>75</v>
      </c>
      <c r="M333" s="507" t="n">
        <v>70</v>
      </c>
      <c r="N333" s="507" t="n">
        <v>70</v>
      </c>
      <c r="O333" s="507" t="n">
        <v>98</v>
      </c>
      <c r="P333" s="507" t="n">
        <v>70</v>
      </c>
      <c r="Q333" s="508" t="n">
        <v>93</v>
      </c>
      <c r="R333" s="499" t="s">
        <v>1043</v>
      </c>
      <c r="S333" s="501" t="s">
        <v>801</v>
      </c>
      <c r="T333" s="504" t="s">
        <v>1044</v>
      </c>
      <c r="U333" s="505"/>
      <c r="V333" s="506"/>
      <c r="W333" s="500" t="str">
        <f aca="false">IFERROR(__xludf.dummyfunction("if(isna(SUM(FILTER(MatchSource!$A:$D,MatchSource!$A:$A=$B333))),0,SUM(FILTER(MatchSource!$A:$D,MatchSource!$A:$A=$B333)))"),"0")</f>
        <v>0</v>
      </c>
      <c r="X333" s="499" t="str">
        <f aca="false">IFERROR(__xludf.dummyfunction("if(isna(SUM(FILTER(MatchSource!$H:$K,MatchSource!$H:$H=$B333))),0,SUM(FILTER(MatchSource!$H:$K,MatchSource!$H:$H=$B333)))"),"0")</f>
        <v>0</v>
      </c>
      <c r="Y333" s="499" t="str">
        <f aca="false">IFERROR(__xludf.dummyfunction("if(isna(ABS(MINUS(SUM(FILTER(MatchSource!$A:$E,MatchSource!$A:$A=$B333)),SUM($W333)))),0,ABS(MINUS(SUM(FILTER(MatchSource!$A:$E,MatchSource!$A:$A=$B333)),SUM($W333))))"),"0")</f>
        <v>0</v>
      </c>
      <c r="Z333" s="499" t="str">
        <f aca="false">IFERROR(__xludf.dummyfunction("if(isna(ABS(MINUS(SUM(FILTER(MatchSource!$H:$L,MatchSource!$H:$H=$B333)),SUM($X333)))),0,ABS(MINUS(SUM(FILTER(MatchSource!$H:$L,MatchSource!$H:$H=$B333)),SUM($X333))))"),"0")</f>
        <v>0</v>
      </c>
      <c r="AA333" s="499" t="str">
        <f aca="false">IFERROR(__xludf.dummyfunction("if(isna(ABS(MINUS(SUM(FILTER(MatchSource!$A:$F,MatchSource!$A:$A=$B333)),SUM($W333,$Y333)))),0,ABS(MINUS(SUM(FILTER(MatchSource!$A:$F,MatchSource!$A:$A=$B333)),SUM($W333, $Y333,))))"),"0")</f>
        <v>0</v>
      </c>
      <c r="AB333" s="501" t="str">
        <f aca="false">IFERROR(__xludf.dummyfunction("if(isna(ABS(MINUS(SUM(FILTER(MatchSource!$H:$M,MatchSource!$H:$H=$B333)),SUM($X333,$Z333)))),0,ABS(MINUS(SUM(FILTER(MatchSource!$H:$M,MatchSource!$H:$H=$B333)),SUM($X333,$Z333))))"),"0")</f>
        <v>0</v>
      </c>
      <c r="AC333" s="507" t="n">
        <f aca="false">SUM(IF(OR($R333="Grass",$R333="Psychic",$R333="Dark"),0-1,IF(OR($R333="Fighting",$R333="Flying",$R333="Fire",$R333="Ghost",$R333="Poison",$R333="Steel",$R333="Fairy"),1,0)),IF(OR($S333="Grass",$S333="Psychic",$S333="Dark"),0-1,IF(OR($S333="Fighting",$S333="Flying",$S333="Fire",$S333="Ghost",$S333="Poison",$S333="Steel",$S333="Fairy"),1,0)))</f>
        <v>1</v>
      </c>
      <c r="AD333" s="507" t="n">
        <f aca="false">SUM(IF(OR($R333="Ghost",$R333="Psychic"),0-1,IF(OR($R333="Fighting",$R333="Dark",$R333="Fairy"),1,0)),IF(OR($S333="Ghost",$S333="Psychic"),0-1,IF(OR($S333="Fighting",$S333="Dark",$S333="Fairy"),1,0)))</f>
        <v>0</v>
      </c>
      <c r="AE333" s="507" t="n">
        <f aca="false">IF(OR($R333="Fairy",$S333="Fairy"),4,SUM(IF($R333="Dragon",0-1,IF($R333="Steel",1,0)),IF($S333="Dragon",0-1,IF($S333="Steel",1,0))))</f>
        <v>0</v>
      </c>
      <c r="AF333" s="507" t="n">
        <f aca="false">IF(OR($R333="Ground",$S333="Ground"),4,SUM(IF(OR($R333="Flying",$R333="Water"),0-1,IF(OR($R333="Dragon",$R333="Electric",$R333="Grass"),1,0)),IF(OR($S333="Flying",$S333="Water"),0-1,IF(OR($S333="Dragon",$S333="Electric",$S333="Grass"),1,0))))</f>
        <v>-1</v>
      </c>
      <c r="AG333" s="507" t="n">
        <f aca="false">SUM(IF(OR($R333="Dark",$R333="Dragon",$R333="Fighting"),0-1,IF(OR($R333="Steel",$R333="Poison",$R333="Fire"),1,0)),IF(OR($S333="Dark",$S333="Dragon",$S333="Fighting"),0-1,IF(OR($S333="Steel",$S333="Poison",$S333="Fire"),1,0)))</f>
        <v>0</v>
      </c>
      <c r="AH333" s="507" t="n">
        <f aca="false">IF(OR($R333="Ghost",$S333="Ghost"),4,SUM(IF(OR($R333="Dark",$R333="Ice",$R333="Normal",$R333="Rock",$R333="Steel"),0-1,IF(OR($R333="Bug",$R333="Fairy",$R333="Flying",$R333="Poison",$R333="Psychic"),1,0)),IF(OR($S333="Dark",$S333="Ice",$S333="Normal",$S333="Rock",$S333="Steel"),0-1,IF(OR($S333="Bug",$S333="Fairy",$S333="Flying",$S333="Poison",$S333="Psychic"),1,0))))</f>
        <v>1</v>
      </c>
      <c r="AI333" s="507" t="n">
        <f aca="false">SUM(IF(OR($R333="Bug",$R333="Grass",$R333="Ice",$R333="Steel"),0-1,IF(OR($R333="Dragon",$R333="Fire",$R333="Rock",$R333="Water"),1,0)),IF(OR($S333="Bug",$S333="Grass",$S333="Ice",$S333="Steel"),0-1,IF(OR($S333="Dragon",$S333="Fire",$S333="Rock",$S333="Water"),1,0)))</f>
        <v>0</v>
      </c>
      <c r="AJ333" s="507" t="n">
        <f aca="false">SUM(IF(OR($R333="Bug",$R333="Grass",$R333="Fighting"),0-1,IF(OR($R333="Electric",$R333="Rock",$R333="Steel"),1,0)),IF(OR($S333="Bug",$S333="Grass",$S333="Fighting"),0-1,IF(OR($S333="Electric",$S333="Rock",$S333="Steel"),1,0)))</f>
        <v>0</v>
      </c>
      <c r="AK333" s="507" t="n">
        <f aca="false">IF(OR($R333="Normal",$S333="Normal"),4,SUM(IF(OR($R333="Ghost",$R333="Psychic"),0-1,IF($R333="Dark",1,0)),IF(OR($S333="Ghost",$S333="Psychic"),0-1,IF($S333="Dark",1,0))))</f>
        <v>0</v>
      </c>
      <c r="AL333" s="507" t="n">
        <f aca="false">SUM(IF(OR($R333="Ground",$R333="Rock",$R333="Water"),0-1,IF(OR($R333="Bug",$R333="Flying",$R333="Fire",$R333="Dragon",$R333="Poison",$R333="Steel",$R333="Grass"),1,0)),IF(OR($S333="Ground",$S333="Rock",$S333="Water"),0-1,IF(OR($S333="Bug",$S333="Flying",$S333="Fire",$S333="Dragon",$S333="Poison",$S333="Steel",$S333="Grass"),1,0)))</f>
        <v>1</v>
      </c>
      <c r="AM333" s="507" t="n">
        <f aca="false">IF(OR($R333="Flying",$S333="Flying"),4,SUM(IF(OR($R333="Electric",$R333="Fire",$R333="Rock",$R333="Steel",$R333="Poison"),0-1,IF(OR($R333="Bug",$R333="Grass"),1,0)),IF(OR($S333="Electric",$S333="Fire",$S333="Rock",$S333="Steel",$S333="Poison"),0-1,IF(OR($S333="Bug",$S333="Grass"),1,0))))</f>
        <v>4</v>
      </c>
      <c r="AN333" s="507" t="n">
        <f aca="false">SUM(IF(OR($R333="Flying",$R333="Dragon",$R333="Grass",$R333="Ground"),0-1,IF(OR($R333="Steel",$R333="Ice",$R333="Fire",$R333="Water"),1,0)),IF(OR($S333="Flying",$S333="Dragon",$S333="Grass",$S333="Ground"),0-1,IF(OR($S333="Steel",$S333="Ice",$S333="Fire",$S333="Water"),1,0)))</f>
        <v>-1</v>
      </c>
      <c r="AO333" s="507" t="n">
        <f aca="false">IF(OR($R333="Ghost",$S333="Ghost"),4,SUM(IF(OR($R333="Steel",$R333="Rock"),1,0),IF(OR($S333="Steel",$S333="Rock"),1,0)))</f>
        <v>0</v>
      </c>
      <c r="AP333" s="507" t="n">
        <f aca="false">IF(OR($R333="Steel",$S333="Steel"),4,SUM(IF(OR($R333="Fairy",$R333="Grass"),0-1,IF(OR($R333="Ghost",$R333="Rock",$R333="Ground",$R333="Poison"),1,0)),IF(OR($S333="Fairy",$S333="Grass"),0-1,IF(OR($S333="Ghost",$S333="Rock",$S333="Ground",$S333="Poison"),1,0))))</f>
        <v>0</v>
      </c>
      <c r="AQ333" s="507" t="n">
        <f aca="false">IF(OR($R333="Dark",$S333="Dark"),4,SUM(IF(OR($R333="Fighting",$R333="Poison"),0-1,IF(OR($R333="Psychic",$R333="Steel"),1,0)),IF(OR($S333="Fighting",$S333="Poison"),0-1,IF(OR($S333="Psychic",$S333="Steel"),1,0))))</f>
        <v>0</v>
      </c>
      <c r="AR333" s="507" t="n">
        <f aca="false">SUM(IF(OR($R333="Bug",$R333="Fire",$R333="Flying",$R333="Ice"),0-1,IF(OR($R333="Steel",$R333="Fighting",$R333="Ground"),1,0)),IF(OR($S333="Bug",$S333="Fire",$S333="Flying",$S333="Ice"),0-1,IF(OR($S333="Steel",$S333="Fighting",$S333="Ground"),1,0)))</f>
        <v>-1</v>
      </c>
      <c r="AS333" s="507" t="n">
        <f aca="false">SUM(IF(OR($R333="Fairy",$R333="Ice",$R333="Rock"),0-1,IF(OR($R333="Steel",$R333="Electric",$R333="Fire",$R333="Water"),1,0)),IF(OR($S333="Fairy",$S333="Ice",$S333="Rock"),0-1,IF(OR($S333="Steel",$S333="Electric",$S333="Fire",$S333="Water"),1,0)))</f>
        <v>0</v>
      </c>
      <c r="AT333" s="508" t="n">
        <f aca="false">SUM(IF(OR($R333="Fire",$R333="Ground",$R333="Rock"),0-1,IF(OR($R333="Dragon",$R333="Grass",$R333="Water"),1,0)),IF(OR($S333="Fire",$S333="Ground",$S333="Rock"),0-1,IF(OR($S333="Dragon",$S333="Grass",$S333="Water"),1,0)))</f>
        <v>0</v>
      </c>
      <c r="AU333" s="518"/>
    </row>
    <row r="334" customFormat="false" ht="15.75" hidden="false" customHeight="false" outlineLevel="0" collapsed="false">
      <c r="A334" s="510" t="str">
        <f aca="false" t="array" ref="A334:A334">IF(ISNA(INDEX(Source!$U$7:$U$95,MATCH(B334,Source!$V$7:$V$95,0))),"FREE",INDEX(Source!$U$7:$U$95,MATCH(B334,Source!$V$7:$V$95,0)))</f>
        <v>FREE</v>
      </c>
      <c r="B334" s="511" t="s">
        <v>1045</v>
      </c>
      <c r="C334" s="511"/>
      <c r="D334" s="511"/>
      <c r="E334" s="499" t="str">
        <f aca="false">IF(SUM($W334:$X334)&gt;0,SUM($W334:$X334),IF($H334&gt;0,0,IF($H334&gt;0,0,"-")))</f>
        <v>-</v>
      </c>
      <c r="F334" s="499" t="str">
        <f aca="false">IF(SUM($Y334:$Z334)&gt;0,SUM($Y334:$Z334),IF($H334&gt;0,0,"-"))</f>
        <v>-</v>
      </c>
      <c r="G334" s="499" t="str">
        <f aca="false">IF($H334&gt;0,minus(E334,F334),"-")</f>
        <v>-</v>
      </c>
      <c r="H334" s="500" t="n">
        <f aca="false">SUM(COUNTIF(MatchSource!$A:$A,$B334),COUNTIF(MatchSource!$H:$H,$B334))</f>
        <v>0</v>
      </c>
      <c r="I334" s="501" t="n">
        <f aca="false">SUM($AA334:$AB334)</f>
        <v>0</v>
      </c>
      <c r="J334" s="501" t="s">
        <v>888</v>
      </c>
      <c r="K334" s="512" t="str">
        <f aca="false" t="array" ref="K334:K334">IF(ISNA(INDEX(DraftRosters!$AA$3:$AA$199,MATCH($B334,DraftRosters!$AB$3:$AB$199,0))),"FA",IF(INDEX(DraftRosters!$AA$3:$AA$199,MATCH($B334,DraftRosters!$AB$3:$AB$199,0))="Franchise","Franch",INDEX(DraftRosters!$AA$3:$AA$199,MATCH($B334,DraftRosters!$AB$3:$AB$199,0))))</f>
        <v>FA</v>
      </c>
      <c r="L334" s="507" t="n">
        <v>75</v>
      </c>
      <c r="M334" s="507" t="n">
        <v>70</v>
      </c>
      <c r="N334" s="507" t="n">
        <v>70</v>
      </c>
      <c r="O334" s="507" t="n">
        <v>98</v>
      </c>
      <c r="P334" s="507" t="n">
        <v>70</v>
      </c>
      <c r="Q334" s="508" t="n">
        <v>93</v>
      </c>
      <c r="R334" s="499" t="s">
        <v>800</v>
      </c>
      <c r="S334" s="501" t="s">
        <v>801</v>
      </c>
      <c r="T334" s="504" t="s">
        <v>1044</v>
      </c>
      <c r="U334" s="505"/>
      <c r="V334" s="506"/>
      <c r="W334" s="500" t="str">
        <f aca="false">IFERROR(__xludf.dummyfunction("if(isna(SUM(FILTER(MatchSource!$A:$D,MatchSource!$A:$A=$B334))),0,SUM(FILTER(MatchSource!$A:$D,MatchSource!$A:$A=$B334)))"),"0")</f>
        <v>0</v>
      </c>
      <c r="X334" s="499" t="str">
        <f aca="false">IFERROR(__xludf.dummyfunction("if(isna(SUM(FILTER(MatchSource!$H:$K,MatchSource!$H:$H=$B334))),0,SUM(FILTER(MatchSource!$H:$K,MatchSource!$H:$H=$B334)))"),"0")</f>
        <v>0</v>
      </c>
      <c r="Y334" s="499" t="str">
        <f aca="false">IFERROR(__xludf.dummyfunction("if(isna(ABS(MINUS(SUM(FILTER(MatchSource!$A:$E,MatchSource!$A:$A=$B334)),SUM($W334)))),0,ABS(MINUS(SUM(FILTER(MatchSource!$A:$E,MatchSource!$A:$A=$B334)),SUM($W334))))"),"0")</f>
        <v>0</v>
      </c>
      <c r="Z334" s="499" t="str">
        <f aca="false">IFERROR(__xludf.dummyfunction("if(isna(ABS(MINUS(SUM(FILTER(MatchSource!$H:$L,MatchSource!$H:$H=$B334)),SUM($X334)))),0,ABS(MINUS(SUM(FILTER(MatchSource!$H:$L,MatchSource!$H:$H=$B334)),SUM($X334))))"),"0")</f>
        <v>0</v>
      </c>
      <c r="AA334" s="499" t="str">
        <f aca="false">IFERROR(__xludf.dummyfunction("if(isna(ABS(MINUS(SUM(FILTER(MatchSource!$A:$F,MatchSource!$A:$A=$B334)),SUM($W334,$Y334)))),0,ABS(MINUS(SUM(FILTER(MatchSource!$A:$F,MatchSource!$A:$A=$B334)),SUM($W334, $Y334,))))"),"0")</f>
        <v>0</v>
      </c>
      <c r="AB334" s="501" t="str">
        <f aca="false">IFERROR(__xludf.dummyfunction("if(isna(ABS(MINUS(SUM(FILTER(MatchSource!$H:$M,MatchSource!$H:$H=$B334)),SUM($X334,$Z334)))),0,ABS(MINUS(SUM(FILTER(MatchSource!$H:$M,MatchSource!$H:$H=$B334)),SUM($X334,$Z334))))"),"0")</f>
        <v>0</v>
      </c>
      <c r="AC334" s="507" t="n">
        <f aca="false">SUM(IF(OR($R334="Grass",$R334="Psychic",$R334="Dark"),0-1,IF(OR($R334="Fighting",$R334="Flying",$R334="Fire",$R334="Ghost",$R334="Poison",$R334="Steel",$R334="Fairy"),1,0)),IF(OR($S334="Grass",$S334="Psychic",$S334="Dark"),0-1,IF(OR($S334="Fighting",$S334="Flying",$S334="Fire",$S334="Ghost",$S334="Poison",$S334="Steel",$S334="Fairy"),1,0)))</f>
        <v>2</v>
      </c>
      <c r="AD334" s="507" t="n">
        <f aca="false">SUM(IF(OR($R334="Ghost",$R334="Psychic"),0-1,IF(OR($R334="Fighting",$R334="Dark",$R334="Fairy"),1,0)),IF(OR($S334="Ghost",$S334="Psychic"),0-1,IF(OR($S334="Fighting",$S334="Dark",$S334="Fairy"),1,0)))</f>
        <v>0</v>
      </c>
      <c r="AE334" s="507" t="n">
        <f aca="false">IF(OR($R334="Fairy",$S334="Fairy"),4,SUM(IF($R334="Dragon",0-1,IF($R334="Steel",1,0)),IF($S334="Dragon",0-1,IF($S334="Steel",1,0))))</f>
        <v>0</v>
      </c>
      <c r="AF334" s="507" t="n">
        <f aca="false">IF(OR($R334="Ground",$S334="Ground"),4,SUM(IF(OR($R334="Flying",$R334="Water"),0-1,IF(OR($R334="Dragon",$R334="Electric",$R334="Grass"),1,0)),IF(OR($S334="Flying",$S334="Water"),0-1,IF(OR($S334="Dragon",$S334="Electric",$S334="Grass"),1,0))))</f>
        <v>-1</v>
      </c>
      <c r="AG334" s="507" t="n">
        <f aca="false">SUM(IF(OR($R334="Dark",$R334="Dragon",$R334="Fighting"),0-1,IF(OR($R334="Steel",$R334="Poison",$R334="Fire"),1,0)),IF(OR($S334="Dark",$S334="Dragon",$S334="Fighting"),0-1,IF(OR($S334="Steel",$S334="Poison",$S334="Fire"),1,0)))</f>
        <v>1</v>
      </c>
      <c r="AH334" s="507" t="n">
        <f aca="false">IF(OR($R334="Ghost",$S334="Ghost"),4,SUM(IF(OR($R334="Dark",$R334="Ice",$R334="Normal",$R334="Rock",$R334="Steel"),0-1,IF(OR($R334="Bug",$R334="Fairy",$R334="Flying",$R334="Poison",$R334="Psychic"),1,0)),IF(OR($S334="Dark",$S334="Ice",$S334="Normal",$S334="Rock",$S334="Steel"),0-1,IF(OR($S334="Bug",$S334="Fairy",$S334="Flying",$S334="Poison",$S334="Psychic"),1,0))))</f>
        <v>1</v>
      </c>
      <c r="AI334" s="507" t="n">
        <f aca="false">SUM(IF(OR($R334="Bug",$R334="Grass",$R334="Ice",$R334="Steel"),0-1,IF(OR($R334="Dragon",$R334="Fire",$R334="Rock",$R334="Water"),1,0)),IF(OR($S334="Bug",$S334="Grass",$S334="Ice",$S334="Steel"),0-1,IF(OR($S334="Dragon",$S334="Fire",$S334="Rock",$S334="Water"),1,0)))</f>
        <v>1</v>
      </c>
      <c r="AJ334" s="507" t="n">
        <f aca="false">SUM(IF(OR($R334="Bug",$R334="Grass",$R334="Fighting"),0-1,IF(OR($R334="Electric",$R334="Rock",$R334="Steel"),1,0)),IF(OR($S334="Bug",$S334="Grass",$S334="Fighting"),0-1,IF(OR($S334="Electric",$S334="Rock",$S334="Steel"),1,0)))</f>
        <v>0</v>
      </c>
      <c r="AK334" s="507" t="n">
        <f aca="false">IF(OR($R334="Normal",$S334="Normal"),4,SUM(IF(OR($R334="Ghost",$R334="Psychic"),0-1,IF($R334="Dark",1,0)),IF(OR($S334="Ghost",$S334="Psychic"),0-1,IF($S334="Dark",1,0))))</f>
        <v>0</v>
      </c>
      <c r="AL334" s="507" t="n">
        <f aca="false">SUM(IF(OR($R334="Ground",$R334="Rock",$R334="Water"),0-1,IF(OR($R334="Bug",$R334="Flying",$R334="Fire",$R334="Dragon",$R334="Poison",$R334="Steel",$R334="Grass"),1,0)),IF(OR($S334="Ground",$S334="Rock",$S334="Water"),0-1,IF(OR($S334="Bug",$S334="Flying",$S334="Fire",$S334="Dragon",$S334="Poison",$S334="Steel",$S334="Grass"),1,0)))</f>
        <v>2</v>
      </c>
      <c r="AM334" s="507" t="n">
        <f aca="false">IF(OR($R334="Flying",$S334="Flying"),4,SUM(IF(OR($R334="Electric",$R334="Fire",$R334="Rock",$R334="Steel",$R334="Poison"),0-1,IF(OR($R334="Bug",$R334="Grass"),1,0)),IF(OR($S334="Electric",$S334="Fire",$S334="Rock",$S334="Steel",$S334="Poison"),0-1,IF(OR($S334="Bug",$S334="Grass"),1,0))))</f>
        <v>4</v>
      </c>
      <c r="AN334" s="507" t="n">
        <f aca="false">SUM(IF(OR($R334="Flying",$R334="Dragon",$R334="Grass",$R334="Ground"),0-1,IF(OR($R334="Steel",$R334="Ice",$R334="Fire",$R334="Water"),1,0)),IF(OR($S334="Flying",$S334="Dragon",$S334="Grass",$S334="Ground"),0-1,IF(OR($S334="Steel",$S334="Ice",$S334="Fire",$S334="Water"),1,0)))</f>
        <v>0</v>
      </c>
      <c r="AO334" s="507" t="n">
        <f aca="false">IF(OR($R334="Ghost",$S334="Ghost"),4,SUM(IF(OR($R334="Steel",$R334="Rock"),1,0),IF(OR($S334="Steel",$S334="Rock"),1,0)))</f>
        <v>0</v>
      </c>
      <c r="AP334" s="507" t="n">
        <f aca="false">IF(OR($R334="Steel",$S334="Steel"),4,SUM(IF(OR($R334="Fairy",$R334="Grass"),0-1,IF(OR($R334="Ghost",$R334="Rock",$R334="Ground",$R334="Poison"),1,0)),IF(OR($S334="Fairy",$S334="Grass"),0-1,IF(OR($S334="Ghost",$S334="Rock",$S334="Ground",$S334="Poison"),1,0))))</f>
        <v>0</v>
      </c>
      <c r="AQ334" s="507" t="n">
        <f aca="false">IF(OR($R334="Dark",$S334="Dark"),4,SUM(IF(OR($R334="Fighting",$R334="Poison"),0-1,IF(OR($R334="Psychic",$R334="Steel"),1,0)),IF(OR($S334="Fighting",$S334="Poison"),0-1,IF(OR($S334="Psychic",$S334="Steel"),1,0))))</f>
        <v>0</v>
      </c>
      <c r="AR334" s="507" t="n">
        <f aca="false">SUM(IF(OR($R334="Bug",$R334="Fire",$R334="Flying",$R334="Ice"),0-1,IF(OR($R334="Steel",$R334="Fighting",$R334="Ground"),1,0)),IF(OR($S334="Bug",$S334="Fire",$S334="Flying",$S334="Ice"),0-1,IF(OR($S334="Steel",$S334="Fighting",$S334="Ground"),1,0)))</f>
        <v>-2</v>
      </c>
      <c r="AS334" s="507" t="n">
        <f aca="false">SUM(IF(OR($R334="Fairy",$R334="Ice",$R334="Rock"),0-1,IF(OR($R334="Steel",$R334="Electric",$R334="Fire",$R334="Water"),1,0)),IF(OR($S334="Fairy",$S334="Ice",$S334="Rock"),0-1,IF(OR($S334="Steel",$S334="Electric",$S334="Fire",$S334="Water"),1,0)))</f>
        <v>1</v>
      </c>
      <c r="AT334" s="508" t="n">
        <f aca="false">SUM(IF(OR($R334="Fire",$R334="Ground",$R334="Rock"),0-1,IF(OR($R334="Dragon",$R334="Grass",$R334="Water"),1,0)),IF(OR($S334="Fire",$S334="Ground",$S334="Rock"),0-1,IF(OR($S334="Dragon",$S334="Grass",$S334="Water"),1,0)))</f>
        <v>-1</v>
      </c>
      <c r="AU334" s="518"/>
    </row>
    <row r="335" customFormat="false" ht="15.75" hidden="false" customHeight="false" outlineLevel="0" collapsed="false">
      <c r="A335" s="515" t="str">
        <f aca="false" t="array" ref="A335:A335">IF(ISNA(INDEX(Source!$U$7:$U$95,MATCH(B335,Source!$V$7:$V$95,0))),"FREE",INDEX(Source!$U$7:$U$95,MATCH(B335,Source!$V$7:$V$95,0)))</f>
        <v>FREE</v>
      </c>
      <c r="B335" s="511" t="s">
        <v>1046</v>
      </c>
      <c r="C335" s="511"/>
      <c r="D335" s="511"/>
      <c r="E335" s="499" t="str">
        <f aca="false">IF(SUM($W335:$X335)&gt;0,SUM($W335:$X335),IF($H335&gt;0,0,IF($H335&gt;0,0,"-")))</f>
        <v>-</v>
      </c>
      <c r="F335" s="499" t="str">
        <f aca="false">IF(SUM($Y335:$Z335)&gt;0,SUM($Y335:$Z335),IF($H335&gt;0,0,"-"))</f>
        <v>-</v>
      </c>
      <c r="G335" s="499" t="str">
        <f aca="false">IF($H335&gt;0,minus(E335,F335),"-")</f>
        <v>-</v>
      </c>
      <c r="H335" s="500" t="n">
        <f aca="false">SUM(COUNTIF(MatchSource!$A:$A,$B335),COUNTIF(MatchSource!$H:$H,$B335))</f>
        <v>0</v>
      </c>
      <c r="I335" s="501" t="n">
        <f aca="false">SUM($AA335:$AB335)</f>
        <v>0</v>
      </c>
      <c r="J335" s="501" t="s">
        <v>888</v>
      </c>
      <c r="K335" s="512" t="str">
        <f aca="false" t="array" ref="K335:K335">IF(ISNA(INDEX(DraftRosters!$AA$3:$AA$199,MATCH($B335,DraftRosters!$AB$3:$AB$199,0))),"FA",IF(INDEX(DraftRosters!$AA$3:$AA$199,MATCH($B335,DraftRosters!$AB$3:$AB$199,0))="Franchise","Franch",INDEX(DraftRosters!$AA$3:$AA$199,MATCH($B335,DraftRosters!$AB$3:$AB$199,0))))</f>
        <v>FA</v>
      </c>
      <c r="L335" s="507" t="n">
        <v>75</v>
      </c>
      <c r="M335" s="507" t="n">
        <v>70</v>
      </c>
      <c r="N335" s="507" t="n">
        <v>70</v>
      </c>
      <c r="O335" s="507" t="n">
        <v>98</v>
      </c>
      <c r="P335" s="507" t="n">
        <v>70</v>
      </c>
      <c r="Q335" s="508" t="n">
        <v>93</v>
      </c>
      <c r="R335" s="499" t="s">
        <v>801</v>
      </c>
      <c r="S335" s="501" t="s">
        <v>828</v>
      </c>
      <c r="T335" s="504" t="s">
        <v>1044</v>
      </c>
      <c r="U335" s="505"/>
      <c r="V335" s="506"/>
      <c r="W335" s="500" t="str">
        <f aca="false">IFERROR(__xludf.dummyfunction("if(isna(SUM(FILTER(MatchSource!$A:$D,MatchSource!$A:$A=$B335))),0,SUM(FILTER(MatchSource!$A:$D,MatchSource!$A:$A=$B335)))"),"0")</f>
        <v>0</v>
      </c>
      <c r="X335" s="499" t="str">
        <f aca="false">IFERROR(__xludf.dummyfunction("if(isna(SUM(FILTER(MatchSource!$H:$K,MatchSource!$H:$H=$B335))),0,SUM(FILTER(MatchSource!$H:$K,MatchSource!$H:$H=$B335)))"),"0")</f>
        <v>0</v>
      </c>
      <c r="Y335" s="499" t="str">
        <f aca="false">IFERROR(__xludf.dummyfunction("if(isna(ABS(MINUS(SUM(FILTER(MatchSource!$A:$E,MatchSource!$A:$A=$B335)),SUM($W335)))),0,ABS(MINUS(SUM(FILTER(MatchSource!$A:$E,MatchSource!$A:$A=$B335)),SUM($W335))))"),"0")</f>
        <v>0</v>
      </c>
      <c r="Z335" s="499" t="str">
        <f aca="false">IFERROR(__xludf.dummyfunction("if(isna(ABS(MINUS(SUM(FILTER(MatchSource!$H:$L,MatchSource!$H:$H=$B335)),SUM($X335)))),0,ABS(MINUS(SUM(FILTER(MatchSource!$H:$L,MatchSource!$H:$H=$B335)),SUM($X335))))"),"0")</f>
        <v>0</v>
      </c>
      <c r="AA335" s="499" t="str">
        <f aca="false">IFERROR(__xludf.dummyfunction("if(isna(ABS(MINUS(SUM(FILTER(MatchSource!$A:$F,MatchSource!$A:$A=$B335)),SUM($W335,$Y335)))),0,ABS(MINUS(SUM(FILTER(MatchSource!$A:$F,MatchSource!$A:$A=$B335)),SUM($W335, $Y335,))))"),"0")</f>
        <v>0</v>
      </c>
      <c r="AB335" s="501" t="str">
        <f aca="false">IFERROR(__xludf.dummyfunction("if(isna(ABS(MINUS(SUM(FILTER(MatchSource!$H:$M,MatchSource!$H:$H=$B335)),SUM($X335,$Z335)))),0,ABS(MINUS(SUM(FILTER(MatchSource!$H:$M,MatchSource!$H:$H=$B335)),SUM($X335,$Z335))))"),"0")</f>
        <v>0</v>
      </c>
      <c r="AC335" s="507" t="n">
        <f aca="false">SUM(IF(OR($R335="Grass",$R335="Psychic",$R335="Dark"),0-1,IF(OR($R335="Fighting",$R335="Flying",$R335="Fire",$R335="Ghost",$R335="Poison",$R335="Steel",$R335="Fairy"),1,0)),IF(OR($S335="Grass",$S335="Psychic",$S335="Dark"),0-1,IF(OR($S335="Fighting",$S335="Flying",$S335="Fire",$S335="Ghost",$S335="Poison",$S335="Steel",$S335="Fairy"),1,0)))</f>
        <v>0</v>
      </c>
      <c r="AD335" s="507" t="n">
        <f aca="false">SUM(IF(OR($R335="Ghost",$R335="Psychic"),0-1,IF(OR($R335="Fighting",$R335="Dark",$R335="Fairy"),1,0)),IF(OR($S335="Ghost",$S335="Psychic"),0-1,IF(OR($S335="Fighting",$S335="Dark",$S335="Fairy"),1,0)))</f>
        <v>-1</v>
      </c>
      <c r="AE335" s="507" t="n">
        <f aca="false">IF(OR($R335="Fairy",$S335="Fairy"),4,SUM(IF($R335="Dragon",0-1,IF($R335="Steel",1,0)),IF($S335="Dragon",0-1,IF($S335="Steel",1,0))))</f>
        <v>0</v>
      </c>
      <c r="AF335" s="507" t="n">
        <f aca="false">IF(OR($R335="Ground",$S335="Ground"),4,SUM(IF(OR($R335="Flying",$R335="Water"),0-1,IF(OR($R335="Dragon",$R335="Electric",$R335="Grass"),1,0)),IF(OR($S335="Flying",$S335="Water"),0-1,IF(OR($S335="Dragon",$S335="Electric",$S335="Grass"),1,0))))</f>
        <v>-1</v>
      </c>
      <c r="AG335" s="507" t="n">
        <f aca="false">SUM(IF(OR($R335="Dark",$R335="Dragon",$R335="Fighting"),0-1,IF(OR($R335="Steel",$R335="Poison",$R335="Fire"),1,0)),IF(OR($S335="Dark",$S335="Dragon",$S335="Fighting"),0-1,IF(OR($S335="Steel",$S335="Poison",$S335="Fire"),1,0)))</f>
        <v>0</v>
      </c>
      <c r="AH335" s="507" t="n">
        <f aca="false">IF(OR($R335="Ghost",$S335="Ghost"),4,SUM(IF(OR($R335="Dark",$R335="Ice",$R335="Normal",$R335="Rock",$R335="Steel"),0-1,IF(OR($R335="Bug",$R335="Fairy",$R335="Flying",$R335="Poison",$R335="Psychic"),1,0)),IF(OR($S335="Dark",$S335="Ice",$S335="Normal",$S335="Rock",$S335="Steel"),0-1,IF(OR($S335="Bug",$S335="Fairy",$S335="Flying",$S335="Poison",$S335="Psychic"),1,0))))</f>
        <v>2</v>
      </c>
      <c r="AI335" s="507" t="n">
        <f aca="false">SUM(IF(OR($R335="Bug",$R335="Grass",$R335="Ice",$R335="Steel"),0-1,IF(OR($R335="Dragon",$R335="Fire",$R335="Rock",$R335="Water"),1,0)),IF(OR($S335="Bug",$S335="Grass",$S335="Ice",$S335="Steel"),0-1,IF(OR($S335="Dragon",$S335="Fire",$S335="Rock",$S335="Water"),1,0)))</f>
        <v>0</v>
      </c>
      <c r="AJ335" s="507" t="n">
        <f aca="false">SUM(IF(OR($R335="Bug",$R335="Grass",$R335="Fighting"),0-1,IF(OR($R335="Electric",$R335="Rock",$R335="Steel"),1,0)),IF(OR($S335="Bug",$S335="Grass",$S335="Fighting"),0-1,IF(OR($S335="Electric",$S335="Rock",$S335="Steel"),1,0)))</f>
        <v>0</v>
      </c>
      <c r="AK335" s="507" t="n">
        <f aca="false">IF(OR($R335="Normal",$S335="Normal"),4,SUM(IF(OR($R335="Ghost",$R335="Psychic"),0-1,IF($R335="Dark",1,0)),IF(OR($S335="Ghost",$S335="Psychic"),0-1,IF($S335="Dark",1,0))))</f>
        <v>-1</v>
      </c>
      <c r="AL335" s="507" t="n">
        <f aca="false">SUM(IF(OR($R335="Ground",$R335="Rock",$R335="Water"),0-1,IF(OR($R335="Bug",$R335="Flying",$R335="Fire",$R335="Dragon",$R335="Poison",$R335="Steel",$R335="Grass"),1,0)),IF(OR($S335="Ground",$S335="Rock",$S335="Water"),0-1,IF(OR($S335="Bug",$S335="Flying",$S335="Fire",$S335="Dragon",$S335="Poison",$S335="Steel",$S335="Grass"),1,0)))</f>
        <v>1</v>
      </c>
      <c r="AM335" s="507" t="n">
        <f aca="false">IF(OR($R335="Flying",$S335="Flying"),4,SUM(IF(OR($R335="Electric",$R335="Fire",$R335="Rock",$R335="Steel",$R335="Poison"),0-1,IF(OR($R335="Bug",$R335="Grass"),1,0)),IF(OR($S335="Electric",$S335="Fire",$S335="Rock",$S335="Steel",$S335="Poison"),0-1,IF(OR($S335="Bug",$S335="Grass"),1,0))))</f>
        <v>4</v>
      </c>
      <c r="AN335" s="507" t="n">
        <f aca="false">SUM(IF(OR($R335="Flying",$R335="Dragon",$R335="Grass",$R335="Ground"),0-1,IF(OR($R335="Steel",$R335="Ice",$R335="Fire",$R335="Water"),1,0)),IF(OR($S335="Flying",$S335="Dragon",$S335="Grass",$S335="Ground"),0-1,IF(OR($S335="Steel",$S335="Ice",$S335="Fire",$S335="Water"),1,0)))</f>
        <v>-1</v>
      </c>
      <c r="AO335" s="507" t="n">
        <f aca="false">IF(OR($R335="Ghost",$S335="Ghost"),4,SUM(IF(OR($R335="Steel",$R335="Rock"),1,0),IF(OR($S335="Steel",$S335="Rock"),1,0)))</f>
        <v>0</v>
      </c>
      <c r="AP335" s="507" t="n">
        <f aca="false">IF(OR($R335="Steel",$S335="Steel"),4,SUM(IF(OR($R335="Fairy",$R335="Grass"),0-1,IF(OR($R335="Ghost",$R335="Rock",$R335="Ground",$R335="Poison"),1,0)),IF(OR($S335="Fairy",$S335="Grass"),0-1,IF(OR($S335="Ghost",$S335="Rock",$S335="Ground",$S335="Poison"),1,0))))</f>
        <v>0</v>
      </c>
      <c r="AQ335" s="507" t="n">
        <f aca="false">IF(OR($R335="Dark",$S335="Dark"),4,SUM(IF(OR($R335="Fighting",$R335="Poison"),0-1,IF(OR($R335="Psychic",$R335="Steel"),1,0)),IF(OR($S335="Fighting",$S335="Poison"),0-1,IF(OR($S335="Psychic",$S335="Steel"),1,0))))</f>
        <v>1</v>
      </c>
      <c r="AR335" s="507" t="n">
        <f aca="false">SUM(IF(OR($R335="Bug",$R335="Fire",$R335="Flying",$R335="Ice"),0-1,IF(OR($R335="Steel",$R335="Fighting",$R335="Ground"),1,0)),IF(OR($S335="Bug",$S335="Fire",$S335="Flying",$S335="Ice"),0-1,IF(OR($S335="Steel",$S335="Fighting",$S335="Ground"),1,0)))</f>
        <v>-1</v>
      </c>
      <c r="AS335" s="507" t="n">
        <f aca="false">SUM(IF(OR($R335="Fairy",$R335="Ice",$R335="Rock"),0-1,IF(OR($R335="Steel",$R335="Electric",$R335="Fire",$R335="Water"),1,0)),IF(OR($S335="Fairy",$S335="Ice",$S335="Rock"),0-1,IF(OR($S335="Steel",$S335="Electric",$S335="Fire",$S335="Water"),1,0)))</f>
        <v>0</v>
      </c>
      <c r="AT335" s="508" t="n">
        <f aca="false">SUM(IF(OR($R335="Fire",$R335="Ground",$R335="Rock"),0-1,IF(OR($R335="Dragon",$R335="Grass",$R335="Water"),1,0)),IF(OR($S335="Fire",$S335="Ground",$S335="Rock"),0-1,IF(OR($S335="Dragon",$S335="Grass",$S335="Water"),1,0)))</f>
        <v>0</v>
      </c>
      <c r="AU335" s="518"/>
    </row>
    <row r="336" customFormat="false" ht="15.75" hidden="false" customHeight="false" outlineLevel="0" collapsed="false">
      <c r="A336" s="510" t="str">
        <f aca="false" t="array" ref="A336:A336">IF(ISNA(INDEX(Source!$U$7:$U$95,MATCH(B336,Source!$V$7:$V$95,0))),"FREE",INDEX(Source!$U$7:$U$95,MATCH(B336,Source!$V$7:$V$95,0)))</f>
        <v>FREE</v>
      </c>
      <c r="B336" s="511" t="s">
        <v>1047</v>
      </c>
      <c r="C336" s="511"/>
      <c r="D336" s="511"/>
      <c r="E336" s="499" t="str">
        <f aca="false">IF(SUM($W336:$X336)&gt;0,SUM($W336:$X336),IF($H336&gt;0,0,IF($H336&gt;0,0,"-")))</f>
        <v>-</v>
      </c>
      <c r="F336" s="499" t="str">
        <f aca="false">IF(SUM($Y336:$Z336)&gt;0,SUM($Y336:$Z336),IF($H336&gt;0,0,"-"))</f>
        <v>-</v>
      </c>
      <c r="G336" s="499" t="str">
        <f aca="false">IF($H336&gt;0,minus(E336,F336),"-")</f>
        <v>-</v>
      </c>
      <c r="H336" s="500" t="n">
        <f aca="false">SUM(COUNTIF(MatchSource!$A:$A,$B336),COUNTIF(MatchSource!$H:$H,$B336))</f>
        <v>0</v>
      </c>
      <c r="I336" s="501" t="n">
        <f aca="false">SUM($AA336:$AB336)</f>
        <v>0</v>
      </c>
      <c r="J336" s="501" t="s">
        <v>888</v>
      </c>
      <c r="K336" s="512" t="str">
        <f aca="false" t="array" ref="K336:K336">IF(ISNA(INDEX(DraftRosters!$AA$3:$AA$199,MATCH($B336,DraftRosters!$AB$3:$AB$199,0))),"FA",IF(INDEX(DraftRosters!$AA$3:$AA$199,MATCH($B336,DraftRosters!$AB$3:$AB$199,0))="Franchise","Franch",INDEX(DraftRosters!$AA$3:$AA$199,MATCH($B336,DraftRosters!$AB$3:$AB$199,0))))</f>
        <v>FA</v>
      </c>
      <c r="L336" s="507" t="n">
        <v>75</v>
      </c>
      <c r="M336" s="507" t="n">
        <v>70</v>
      </c>
      <c r="N336" s="507" t="n">
        <v>70</v>
      </c>
      <c r="O336" s="507" t="n">
        <v>98</v>
      </c>
      <c r="P336" s="507" t="n">
        <v>70</v>
      </c>
      <c r="Q336" s="508" t="n">
        <v>93</v>
      </c>
      <c r="R336" s="499" t="s">
        <v>845</v>
      </c>
      <c r="S336" s="501" t="s">
        <v>801</v>
      </c>
      <c r="T336" s="504" t="s">
        <v>1044</v>
      </c>
      <c r="U336" s="505"/>
      <c r="V336" s="506"/>
      <c r="W336" s="500" t="str">
        <f aca="false">IFERROR(__xludf.dummyfunction("if(isna(SUM(FILTER(MatchSource!$A:$D,MatchSource!$A:$A=$B336))),0,SUM(FILTER(MatchSource!$A:$D,MatchSource!$A:$A=$B336)))"),"0")</f>
        <v>0</v>
      </c>
      <c r="X336" s="499" t="str">
        <f aca="false">IFERROR(__xludf.dummyfunction("if(isna(SUM(FILTER(MatchSource!$H:$K,MatchSource!$H:$H=$B336))),0,SUM(FILTER(MatchSource!$H:$K,MatchSource!$H:$H=$B336)))"),"0")</f>
        <v>0</v>
      </c>
      <c r="Y336" s="499" t="str">
        <f aca="false">IFERROR(__xludf.dummyfunction("if(isna(ABS(MINUS(SUM(FILTER(MatchSource!$A:$E,MatchSource!$A:$A=$B336)),SUM($W336)))),0,ABS(MINUS(SUM(FILTER(MatchSource!$A:$E,MatchSource!$A:$A=$B336)),SUM($W336))))"),"0")</f>
        <v>0</v>
      </c>
      <c r="Z336" s="499" t="str">
        <f aca="false">IFERROR(__xludf.dummyfunction("if(isna(ABS(MINUS(SUM(FILTER(MatchSource!$H:$L,MatchSource!$H:$H=$B336)),SUM($X336)))),0,ABS(MINUS(SUM(FILTER(MatchSource!$H:$L,MatchSource!$H:$H=$B336)),SUM($X336))))"),"0")</f>
        <v>0</v>
      </c>
      <c r="AA336" s="499" t="str">
        <f aca="false">IFERROR(__xludf.dummyfunction("if(isna(ABS(MINUS(SUM(FILTER(MatchSource!$A:$F,MatchSource!$A:$A=$B336)),SUM($W336,$Y336)))),0,ABS(MINUS(SUM(FILTER(MatchSource!$A:$F,MatchSource!$A:$A=$B336)),SUM($W336, $Y336,))))"),"0")</f>
        <v>0</v>
      </c>
      <c r="AB336" s="501" t="str">
        <f aca="false">IFERROR(__xludf.dummyfunction("if(isna(ABS(MINUS(SUM(FILTER(MatchSource!$H:$M,MatchSource!$H:$H=$B336)),SUM($X336,$Z336)))),0,ABS(MINUS(SUM(FILTER(MatchSource!$H:$M,MatchSource!$H:$H=$B336)),SUM($X336,$Z336))))"),"0")</f>
        <v>0</v>
      </c>
      <c r="AC336" s="507" t="n">
        <f aca="false">SUM(IF(OR($R336="Grass",$R336="Psychic",$R336="Dark"),0-1,IF(OR($R336="Fighting",$R336="Flying",$R336="Fire",$R336="Ghost",$R336="Poison",$R336="Steel",$R336="Fairy"),1,0)),IF(OR($S336="Grass",$S336="Psychic",$S336="Dark"),0-1,IF(OR($S336="Fighting",$S336="Flying",$S336="Fire",$S336="Ghost",$S336="Poison",$S336="Steel",$S336="Fairy"),1,0)))</f>
        <v>1</v>
      </c>
      <c r="AD336" s="507" t="n">
        <f aca="false">SUM(IF(OR($R336="Ghost",$R336="Psychic"),0-1,IF(OR($R336="Fighting",$R336="Dark",$R336="Fairy"),1,0)),IF(OR($S336="Ghost",$S336="Psychic"),0-1,IF(OR($S336="Fighting",$S336="Dark",$S336="Fairy"),1,0)))</f>
        <v>0</v>
      </c>
      <c r="AE336" s="507" t="n">
        <f aca="false">IF(OR($R336="Fairy",$S336="Fairy"),4,SUM(IF($R336="Dragon",0-1,IF($R336="Steel",1,0)),IF($S336="Dragon",0-1,IF($S336="Steel",1,0))))</f>
        <v>0</v>
      </c>
      <c r="AF336" s="507" t="n">
        <f aca="false">IF(OR($R336="Ground",$S336="Ground"),4,SUM(IF(OR($R336="Flying",$R336="Water"),0-1,IF(OR($R336="Dragon",$R336="Electric",$R336="Grass"),1,0)),IF(OR($S336="Flying",$S336="Water"),0-1,IF(OR($S336="Dragon",$S336="Electric",$S336="Grass"),1,0))))</f>
        <v>0</v>
      </c>
      <c r="AG336" s="507" t="n">
        <f aca="false">SUM(IF(OR($R336="Dark",$R336="Dragon",$R336="Fighting"),0-1,IF(OR($R336="Steel",$R336="Poison",$R336="Fire"),1,0)),IF(OR($S336="Dark",$S336="Dragon",$S336="Fighting"),0-1,IF(OR($S336="Steel",$S336="Poison",$S336="Fire"),1,0)))</f>
        <v>0</v>
      </c>
      <c r="AH336" s="507" t="n">
        <f aca="false">IF(OR($R336="Ghost",$S336="Ghost"),4,SUM(IF(OR($R336="Dark",$R336="Ice",$R336="Normal",$R336="Rock",$R336="Steel"),0-1,IF(OR($R336="Bug",$R336="Fairy",$R336="Flying",$R336="Poison",$R336="Psychic"),1,0)),IF(OR($S336="Dark",$S336="Ice",$S336="Normal",$S336="Rock",$S336="Steel"),0-1,IF(OR($S336="Bug",$S336="Fairy",$S336="Flying",$S336="Poison",$S336="Psychic"),1,0))))</f>
        <v>1</v>
      </c>
      <c r="AI336" s="507" t="n">
        <f aca="false">SUM(IF(OR($R336="Bug",$R336="Grass",$R336="Ice",$R336="Steel"),0-1,IF(OR($R336="Dragon",$R336="Fire",$R336="Rock",$R336="Water"),1,0)),IF(OR($S336="Bug",$S336="Grass",$S336="Ice",$S336="Steel"),0-1,IF(OR($S336="Dragon",$S336="Fire",$S336="Rock",$S336="Water"),1,0)))</f>
        <v>0</v>
      </c>
      <c r="AJ336" s="507" t="n">
        <f aca="false">SUM(IF(OR($R336="Bug",$R336="Grass",$R336="Fighting"),0-1,IF(OR($R336="Electric",$R336="Rock",$R336="Steel"),1,0)),IF(OR($S336="Bug",$S336="Grass",$S336="Fighting"),0-1,IF(OR($S336="Electric",$S336="Rock",$S336="Steel"),1,0)))</f>
        <v>1</v>
      </c>
      <c r="AK336" s="507" t="n">
        <f aca="false">IF(OR($R336="Normal",$S336="Normal"),4,SUM(IF(OR($R336="Ghost",$R336="Psychic"),0-1,IF($R336="Dark",1,0)),IF(OR($S336="Ghost",$S336="Psychic"),0-1,IF($S336="Dark",1,0))))</f>
        <v>0</v>
      </c>
      <c r="AL336" s="507" t="n">
        <f aca="false">SUM(IF(OR($R336="Ground",$R336="Rock",$R336="Water"),0-1,IF(OR($R336="Bug",$R336="Flying",$R336="Fire",$R336="Dragon",$R336="Poison",$R336="Steel",$R336="Grass"),1,0)),IF(OR($S336="Ground",$S336="Rock",$S336="Water"),0-1,IF(OR($S336="Bug",$S336="Flying",$S336="Fire",$S336="Dragon",$S336="Poison",$S336="Steel",$S336="Grass"),1,0)))</f>
        <v>1</v>
      </c>
      <c r="AM336" s="507" t="n">
        <f aca="false">IF(OR($R336="Flying",$S336="Flying"),4,SUM(IF(OR($R336="Electric",$R336="Fire",$R336="Rock",$R336="Steel",$R336="Poison"),0-1,IF(OR($R336="Bug",$R336="Grass"),1,0)),IF(OR($S336="Electric",$S336="Fire",$S336="Rock",$S336="Steel",$S336="Poison"),0-1,IF(OR($S336="Bug",$S336="Grass"),1,0))))</f>
        <v>4</v>
      </c>
      <c r="AN336" s="507" t="n">
        <f aca="false">SUM(IF(OR($R336="Flying",$R336="Dragon",$R336="Grass",$R336="Ground"),0-1,IF(OR($R336="Steel",$R336="Ice",$R336="Fire",$R336="Water"),1,0)),IF(OR($S336="Flying",$S336="Dragon",$S336="Grass",$S336="Ground"),0-1,IF(OR($S336="Steel",$S336="Ice",$S336="Fire",$S336="Water"),1,0)))</f>
        <v>-1</v>
      </c>
      <c r="AO336" s="507" t="n">
        <f aca="false">IF(OR($R336="Ghost",$S336="Ghost"),4,SUM(IF(OR($R336="Steel",$R336="Rock"),1,0),IF(OR($S336="Steel",$S336="Rock"),1,0)))</f>
        <v>0</v>
      </c>
      <c r="AP336" s="507" t="n">
        <f aca="false">IF(OR($R336="Steel",$S336="Steel"),4,SUM(IF(OR($R336="Fairy",$R336="Grass"),0-1,IF(OR($R336="Ghost",$R336="Rock",$R336="Ground",$R336="Poison"),1,0)),IF(OR($S336="Fairy",$S336="Grass"),0-1,IF(OR($S336="Ghost",$S336="Rock",$S336="Ground",$S336="Poison"),1,0))))</f>
        <v>0</v>
      </c>
      <c r="AQ336" s="507" t="n">
        <f aca="false">IF(OR($R336="Dark",$S336="Dark"),4,SUM(IF(OR($R336="Fighting",$R336="Poison"),0-1,IF(OR($R336="Psychic",$R336="Steel"),1,0)),IF(OR($S336="Fighting",$S336="Poison"),0-1,IF(OR($S336="Psychic",$S336="Steel"),1,0))))</f>
        <v>0</v>
      </c>
      <c r="AR336" s="507" t="n">
        <f aca="false">SUM(IF(OR($R336="Bug",$R336="Fire",$R336="Flying",$R336="Ice"),0-1,IF(OR($R336="Steel",$R336="Fighting",$R336="Ground"),1,0)),IF(OR($S336="Bug",$S336="Fire",$S336="Flying",$S336="Ice"),0-1,IF(OR($S336="Steel",$S336="Fighting",$S336="Ground"),1,0)))</f>
        <v>-1</v>
      </c>
      <c r="AS336" s="507" t="n">
        <f aca="false">SUM(IF(OR($R336="Fairy",$R336="Ice",$R336="Rock"),0-1,IF(OR($R336="Steel",$R336="Electric",$R336="Fire",$R336="Water"),1,0)),IF(OR($S336="Fairy",$S336="Ice",$S336="Rock"),0-1,IF(OR($S336="Steel",$S336="Electric",$S336="Fire",$S336="Water"),1,0)))</f>
        <v>1</v>
      </c>
      <c r="AT336" s="508" t="n">
        <f aca="false">SUM(IF(OR($R336="Fire",$R336="Ground",$R336="Rock"),0-1,IF(OR($R336="Dragon",$R336="Grass",$R336="Water"),1,0)),IF(OR($S336="Fire",$S336="Ground",$S336="Rock"),0-1,IF(OR($S336="Dragon",$S336="Grass",$S336="Water"),1,0)))</f>
        <v>0</v>
      </c>
      <c r="AU336" s="518"/>
    </row>
    <row r="337" customFormat="false" ht="15.75" hidden="false" customHeight="false" outlineLevel="0" collapsed="false">
      <c r="A337" s="515" t="str">
        <f aca="false" t="array" ref="A337:A337">IF(ISNA(INDEX(Source!$U$7:$U$95,MATCH(B337,Source!$V$7:$V$95,0))),"FREE",INDEX(Source!$U$7:$U$95,MATCH(B337,Source!$V$7:$V$95,0)))</f>
        <v>FREE</v>
      </c>
      <c r="B337" s="511" t="s">
        <v>1048</v>
      </c>
      <c r="C337" s="511"/>
      <c r="D337" s="511"/>
      <c r="E337" s="499" t="str">
        <f aca="false">IF(SUM($W337:$X337)&gt;0,SUM($W337:$X337),IF($H337&gt;0,0,IF($H337&gt;0,0,"-")))</f>
        <v>-</v>
      </c>
      <c r="F337" s="499" t="str">
        <f aca="false">IF(SUM($Y337:$Z337)&gt;0,SUM($Y337:$Z337),IF($H337&gt;0,0,"-"))</f>
        <v>-</v>
      </c>
      <c r="G337" s="499" t="str">
        <f aca="false">IF($H337&gt;0,minus(E337,F337),"-")</f>
        <v>-</v>
      </c>
      <c r="H337" s="500" t="n">
        <f aca="false">SUM(COUNTIF(MatchSource!$A:$A,$B337),COUNTIF(MatchSource!$H:$H,$B337))</f>
        <v>0</v>
      </c>
      <c r="I337" s="501" t="n">
        <f aca="false">SUM($AA337:$AB337)</f>
        <v>0</v>
      </c>
      <c r="J337" s="501" t="s">
        <v>888</v>
      </c>
      <c r="K337" s="512" t="str">
        <f aca="false" t="array" ref="K337:K337">IF(ISNA(INDEX(DraftRosters!$AA$3:$AA$199,MATCH($B337,DraftRosters!$AB$3:$AB$199,0))),"FA",IF(INDEX(DraftRosters!$AA$3:$AA$199,MATCH($B337,DraftRosters!$AB$3:$AB$199,0))="Franchise","Franch",INDEX(DraftRosters!$AA$3:$AA$199,MATCH($B337,DraftRosters!$AB$3:$AB$199,0))))</f>
        <v>FA</v>
      </c>
      <c r="L337" s="507" t="n">
        <v>75</v>
      </c>
      <c r="M337" s="507" t="n">
        <v>70</v>
      </c>
      <c r="N337" s="507" t="n">
        <v>70</v>
      </c>
      <c r="O337" s="507" t="n">
        <v>98</v>
      </c>
      <c r="P337" s="507" t="n">
        <v>70</v>
      </c>
      <c r="Q337" s="508" t="n">
        <v>93</v>
      </c>
      <c r="R337" s="499" t="s">
        <v>801</v>
      </c>
      <c r="S337" s="501" t="s">
        <v>802</v>
      </c>
      <c r="T337" s="504" t="s">
        <v>1044</v>
      </c>
      <c r="U337" s="505"/>
      <c r="V337" s="506"/>
      <c r="W337" s="500" t="str">
        <f aca="false">IFERROR(__xludf.dummyfunction("if(isna(SUM(FILTER(MatchSource!$A:$D,MatchSource!$A:$A=$B337))),0,SUM(FILTER(MatchSource!$A:$D,MatchSource!$A:$A=$B337)))"),"0")</f>
        <v>0</v>
      </c>
      <c r="X337" s="499" t="str">
        <f aca="false">IFERROR(__xludf.dummyfunction("if(isna(SUM(FILTER(MatchSource!$H:$K,MatchSource!$H:$H=$B337))),0,SUM(FILTER(MatchSource!$H:$K,MatchSource!$H:$H=$B337)))"),"0")</f>
        <v>0</v>
      </c>
      <c r="Y337" s="499" t="str">
        <f aca="false">IFERROR(__xludf.dummyfunction("if(isna(ABS(MINUS(SUM(FILTER(MatchSource!$A:$E,MatchSource!$A:$A=$B337)),SUM($W337)))),0,ABS(MINUS(SUM(FILTER(MatchSource!$A:$E,MatchSource!$A:$A=$B337)),SUM($W337))))"),"0")</f>
        <v>0</v>
      </c>
      <c r="Z337" s="499" t="str">
        <f aca="false">IFERROR(__xludf.dummyfunction("if(isna(ABS(MINUS(SUM(FILTER(MatchSource!$H:$L,MatchSource!$H:$H=$B337)),SUM($X337)))),0,ABS(MINUS(SUM(FILTER(MatchSource!$H:$L,MatchSource!$H:$H=$B337)),SUM($X337))))"),"0")</f>
        <v>0</v>
      </c>
      <c r="AA337" s="499" t="str">
        <f aca="false">IFERROR(__xludf.dummyfunction("if(isna(ABS(MINUS(SUM(FILTER(MatchSource!$A:$F,MatchSource!$A:$A=$B337)),SUM($W337,$Y337)))),0,ABS(MINUS(SUM(FILTER(MatchSource!$A:$F,MatchSource!$A:$A=$B337)),SUM($W337, $Y337,))))"),"0")</f>
        <v>0</v>
      </c>
      <c r="AB337" s="501" t="str">
        <f aca="false">IFERROR(__xludf.dummyfunction("if(isna(ABS(MINUS(SUM(FILTER(MatchSource!$H:$M,MatchSource!$H:$H=$B337)),SUM($X337,$Z337)))),0,ABS(MINUS(SUM(FILTER(MatchSource!$H:$M,MatchSource!$H:$H=$B337)),SUM($X337,$Z337))))"),"0")</f>
        <v>0</v>
      </c>
      <c r="AC337" s="507" t="n">
        <f aca="false">SUM(IF(OR($R337="Grass",$R337="Psychic",$R337="Dark"),0-1,IF(OR($R337="Fighting",$R337="Flying",$R337="Fire",$R337="Ghost",$R337="Poison",$R337="Steel",$R337="Fairy"),1,0)),IF(OR($S337="Grass",$S337="Psychic",$S337="Dark"),0-1,IF(OR($S337="Fighting",$S337="Flying",$S337="Fire",$S337="Ghost",$S337="Poison",$S337="Steel",$S337="Fairy"),1,0)))</f>
        <v>2</v>
      </c>
      <c r="AD337" s="507" t="n">
        <f aca="false">SUM(IF(OR($R337="Ghost",$R337="Psychic"),0-1,IF(OR($R337="Fighting",$R337="Dark",$R337="Fairy"),1,0)),IF(OR($S337="Ghost",$S337="Psychic"),0-1,IF(OR($S337="Fighting",$S337="Dark",$S337="Fairy"),1,0)))</f>
        <v>-1</v>
      </c>
      <c r="AE337" s="507" t="n">
        <f aca="false">IF(OR($R337="Fairy",$S337="Fairy"),4,SUM(IF($R337="Dragon",0-1,IF($R337="Steel",1,0)),IF($S337="Dragon",0-1,IF($S337="Steel",1,0))))</f>
        <v>0</v>
      </c>
      <c r="AF337" s="507" t="n">
        <f aca="false">IF(OR($R337="Ground",$S337="Ground"),4,SUM(IF(OR($R337="Flying",$R337="Water"),0-1,IF(OR($R337="Dragon",$R337="Electric",$R337="Grass"),1,0)),IF(OR($S337="Flying",$S337="Water"),0-1,IF(OR($S337="Dragon",$S337="Electric",$S337="Grass"),1,0))))</f>
        <v>-1</v>
      </c>
      <c r="AG337" s="507" t="n">
        <f aca="false">SUM(IF(OR($R337="Dark",$R337="Dragon",$R337="Fighting"),0-1,IF(OR($R337="Steel",$R337="Poison",$R337="Fire"),1,0)),IF(OR($S337="Dark",$S337="Dragon",$S337="Fighting"),0-1,IF(OR($S337="Steel",$S337="Poison",$S337="Fire"),1,0)))</f>
        <v>0</v>
      </c>
      <c r="AH337" s="507" t="n">
        <f aca="false">IF(OR($R337="Ghost",$S337="Ghost"),4,SUM(IF(OR($R337="Dark",$R337="Ice",$R337="Normal",$R337="Rock",$R337="Steel"),0-1,IF(OR($R337="Bug",$R337="Fairy",$R337="Flying",$R337="Poison",$R337="Psychic"),1,0)),IF(OR($S337="Dark",$S337="Ice",$S337="Normal",$S337="Rock",$S337="Steel"),0-1,IF(OR($S337="Bug",$S337="Fairy",$S337="Flying",$S337="Poison",$S337="Psychic"),1,0))))</f>
        <v>4</v>
      </c>
      <c r="AI337" s="507" t="n">
        <f aca="false">SUM(IF(OR($R337="Bug",$R337="Grass",$R337="Ice",$R337="Steel"),0-1,IF(OR($R337="Dragon",$R337="Fire",$R337="Rock",$R337="Water"),1,0)),IF(OR($S337="Bug",$S337="Grass",$S337="Ice",$S337="Steel"),0-1,IF(OR($S337="Dragon",$S337="Fire",$S337="Rock",$S337="Water"),1,0)))</f>
        <v>0</v>
      </c>
      <c r="AJ337" s="507" t="n">
        <f aca="false">SUM(IF(OR($R337="Bug",$R337="Grass",$R337="Fighting"),0-1,IF(OR($R337="Electric",$R337="Rock",$R337="Steel"),1,0)),IF(OR($S337="Bug",$S337="Grass",$S337="Fighting"),0-1,IF(OR($S337="Electric",$S337="Rock",$S337="Steel"),1,0)))</f>
        <v>0</v>
      </c>
      <c r="AK337" s="507" t="n">
        <f aca="false">IF(OR($R337="Normal",$S337="Normal"),4,SUM(IF(OR($R337="Ghost",$R337="Psychic"),0-1,IF($R337="Dark",1,0)),IF(OR($S337="Ghost",$S337="Psychic"),0-1,IF($S337="Dark",1,0))))</f>
        <v>-1</v>
      </c>
      <c r="AL337" s="507" t="n">
        <f aca="false">SUM(IF(OR($R337="Ground",$R337="Rock",$R337="Water"),0-1,IF(OR($R337="Bug",$R337="Flying",$R337="Fire",$R337="Dragon",$R337="Poison",$R337="Steel",$R337="Grass"),1,0)),IF(OR($S337="Ground",$S337="Rock",$S337="Water"),0-1,IF(OR($S337="Bug",$S337="Flying",$S337="Fire",$S337="Dragon",$S337="Poison",$S337="Steel",$S337="Grass"),1,0)))</f>
        <v>1</v>
      </c>
      <c r="AM337" s="507" t="n">
        <f aca="false">IF(OR($R337="Flying",$S337="Flying"),4,SUM(IF(OR($R337="Electric",$R337="Fire",$R337="Rock",$R337="Steel",$R337="Poison"),0-1,IF(OR($R337="Bug",$R337="Grass"),1,0)),IF(OR($S337="Electric",$S337="Fire",$S337="Rock",$S337="Steel",$S337="Poison"),0-1,IF(OR($S337="Bug",$S337="Grass"),1,0))))</f>
        <v>4</v>
      </c>
      <c r="AN337" s="507" t="n">
        <f aca="false">SUM(IF(OR($R337="Flying",$R337="Dragon",$R337="Grass",$R337="Ground"),0-1,IF(OR($R337="Steel",$R337="Ice",$R337="Fire",$R337="Water"),1,0)),IF(OR($S337="Flying",$S337="Dragon",$S337="Grass",$S337="Ground"),0-1,IF(OR($S337="Steel",$S337="Ice",$S337="Fire",$S337="Water"),1,0)))</f>
        <v>-1</v>
      </c>
      <c r="AO337" s="507" t="n">
        <f aca="false">IF(OR($R337="Ghost",$S337="Ghost"),4,SUM(IF(OR($R337="Steel",$R337="Rock"),1,0),IF(OR($S337="Steel",$S337="Rock"),1,0)))</f>
        <v>4</v>
      </c>
      <c r="AP337" s="507" t="n">
        <f aca="false">IF(OR($R337="Steel",$S337="Steel"),4,SUM(IF(OR($R337="Fairy",$R337="Grass"),0-1,IF(OR($R337="Ghost",$R337="Rock",$R337="Ground",$R337="Poison"),1,0)),IF(OR($S337="Fairy",$S337="Grass"),0-1,IF(OR($S337="Ghost",$S337="Rock",$S337="Ground",$S337="Poison"),1,0))))</f>
        <v>1</v>
      </c>
      <c r="AQ337" s="507" t="n">
        <f aca="false">IF(OR($R337="Dark",$S337="Dark"),4,SUM(IF(OR($R337="Fighting",$R337="Poison"),0-1,IF(OR($R337="Psychic",$R337="Steel"),1,0)),IF(OR($S337="Fighting",$S337="Poison"),0-1,IF(OR($S337="Psychic",$S337="Steel"),1,0))))</f>
        <v>0</v>
      </c>
      <c r="AR337" s="507" t="n">
        <f aca="false">SUM(IF(OR($R337="Bug",$R337="Fire",$R337="Flying",$R337="Ice"),0-1,IF(OR($R337="Steel",$R337="Fighting",$R337="Ground"),1,0)),IF(OR($S337="Bug",$S337="Fire",$S337="Flying",$S337="Ice"),0-1,IF(OR($S337="Steel",$S337="Fighting",$S337="Ground"),1,0)))</f>
        <v>-1</v>
      </c>
      <c r="AS337" s="507" t="n">
        <f aca="false">SUM(IF(OR($R337="Fairy",$R337="Ice",$R337="Rock"),0-1,IF(OR($R337="Steel",$R337="Electric",$R337="Fire",$R337="Water"),1,0)),IF(OR($S337="Fairy",$S337="Ice",$S337="Rock"),0-1,IF(OR($S337="Steel",$S337="Electric",$S337="Fire",$S337="Water"),1,0)))</f>
        <v>0</v>
      </c>
      <c r="AT337" s="508" t="n">
        <f aca="false">SUM(IF(OR($R337="Fire",$R337="Ground",$R337="Rock"),0-1,IF(OR($R337="Dragon",$R337="Grass",$R337="Water"),1,0)),IF(OR($S337="Fire",$S337="Ground",$S337="Rock"),0-1,IF(OR($S337="Dragon",$S337="Grass",$S337="Water"),1,0)))</f>
        <v>0</v>
      </c>
      <c r="AU337" s="518"/>
    </row>
    <row r="338" customFormat="false" ht="15.75" hidden="false" customHeight="false" outlineLevel="0" collapsed="false">
      <c r="A338" s="510" t="str">
        <f aca="false" t="array" ref="A338:A338">IF(ISNA(INDEX(Source!$U$7:$U$95,MATCH(B338,Source!$V$7:$V$95,0))),"FREE",INDEX(Source!$U$7:$U$95,MATCH(B338,Source!$V$7:$V$95,0)))</f>
        <v>FREE</v>
      </c>
      <c r="B338" s="511" t="s">
        <v>418</v>
      </c>
      <c r="C338" s="511"/>
      <c r="D338" s="511"/>
      <c r="E338" s="499" t="str">
        <f aca="false">IF(SUM($W338:$X338)&gt;0,SUM($W338:$X338),IF($H338&gt;0,0,IF($H338&gt;0,0,"-")))</f>
        <v>-</v>
      </c>
      <c r="F338" s="499" t="str">
        <f aca="false">IF(SUM($Y338:$Z338)&gt;0,SUM($Y338:$Z338),IF($H338&gt;0,0,"-"))</f>
        <v>-</v>
      </c>
      <c r="G338" s="499" t="str">
        <f aca="false">IF($H338&gt;0,minus(E338,F338),"-")</f>
        <v>-</v>
      </c>
      <c r="H338" s="500" t="n">
        <f aca="false">SUM(COUNTIF(MatchSource!$A:$A,$B338),COUNTIF(MatchSource!$H:$H,$B338))</f>
        <v>0</v>
      </c>
      <c r="I338" s="501" t="n">
        <f aca="false">SUM($AA338:$AB338)</f>
        <v>0</v>
      </c>
      <c r="J338" s="501" t="s">
        <v>702</v>
      </c>
      <c r="K338" s="512" t="str">
        <f aca="false" t="array" ref="K338:K338">IF(ISNA(INDEX(DraftRosters!$AA$3:$AA$199,MATCH($B338,DraftRosters!$AB$3:$AB$199,0))),"FA",IF(INDEX(DraftRosters!$AA$3:$AA$199,MATCH($B338,DraftRosters!$AB$3:$AB$199,0))="Franchise","Franch",INDEX(DraftRosters!$AA$3:$AA$199,MATCH($B338,DraftRosters!$AB$3:$AB$199,0))))</f>
        <v>FA</v>
      </c>
      <c r="L338" s="499" t="n">
        <v>60</v>
      </c>
      <c r="M338" s="499" t="n">
        <v>45</v>
      </c>
      <c r="N338" s="499" t="n">
        <v>70</v>
      </c>
      <c r="O338" s="499" t="n">
        <v>45</v>
      </c>
      <c r="P338" s="499" t="n">
        <v>90</v>
      </c>
      <c r="Q338" s="501" t="n">
        <v>95</v>
      </c>
      <c r="R338" s="499" t="s">
        <v>845</v>
      </c>
      <c r="S338" s="501"/>
      <c r="T338" s="504" t="s">
        <v>840</v>
      </c>
      <c r="U338" s="505" t="s">
        <v>1003</v>
      </c>
      <c r="V338" s="506" t="s">
        <v>949</v>
      </c>
      <c r="W338" s="500" t="str">
        <f aca="false">IFERROR(__xludf.dummyfunction("if(isna(SUM(FILTER(MatchSource!$A:$D,MatchSource!$A:$A=$B338))),0,SUM(FILTER(MatchSource!$A:$D,MatchSource!$A:$A=$B338)))"),"0")</f>
        <v>0</v>
      </c>
      <c r="X338" s="499" t="str">
        <f aca="false">IFERROR(__xludf.dummyfunction("if(isna(SUM(FILTER(MatchSource!$H:$K,MatchSource!$H:$H=$B338))),0,SUM(FILTER(MatchSource!$H:$K,MatchSource!$H:$H=$B338)))"),"0")</f>
        <v>0</v>
      </c>
      <c r="Y338" s="499" t="str">
        <f aca="false">IFERROR(__xludf.dummyfunction("if(isna(ABS(MINUS(SUM(FILTER(MatchSource!$A:$E,MatchSource!$A:$A=$B338)),SUM($W338)))),0,ABS(MINUS(SUM(FILTER(MatchSource!$A:$E,MatchSource!$A:$A=$B338)),SUM($W338))))"),"0")</f>
        <v>0</v>
      </c>
      <c r="Z338" s="499" t="str">
        <f aca="false">IFERROR(__xludf.dummyfunction("if(isna(ABS(MINUS(SUM(FILTER(MatchSource!$H:$L,MatchSource!$H:$H=$B338)),SUM($X338)))),0,ABS(MINUS(SUM(FILTER(MatchSource!$H:$L,MatchSource!$H:$H=$B338)),SUM($X338))))"),"0")</f>
        <v>0</v>
      </c>
      <c r="AA338" s="499" t="str">
        <f aca="false">IFERROR(__xludf.dummyfunction("if(isna(ABS(MINUS(SUM(FILTER(MatchSource!$A:$F,MatchSource!$A:$A=$B338)),SUM($W338,$Y338)))),0,ABS(MINUS(SUM(FILTER(MatchSource!$A:$F,MatchSource!$A:$A=$B338)),SUM($W338, $Y338,))))"),"0")</f>
        <v>0</v>
      </c>
      <c r="AB338" s="501" t="str">
        <f aca="false">IFERROR(__xludf.dummyfunction("if(isna(ABS(MINUS(SUM(FILTER(MatchSource!$H:$M,MatchSource!$H:$H=$B338)),SUM($X338,$Z338)))),0,ABS(MINUS(SUM(FILTER(MatchSource!$H:$M,MatchSource!$H:$H=$B338)),SUM($X338,$Z338))))"),"0")</f>
        <v>0</v>
      </c>
      <c r="AC338" s="507" t="n">
        <f aca="false">SUM(IF(OR($R338="Grass",$R338="Psychic",$R338="Dark"),0-1,IF(OR($R338="Fighting",$R338="Flying",$R338="Fire",$R338="Ghost",$R338="Poison",$R338="Steel",$R338="Fairy"),1,0)),IF(OR($S338="Grass",$S338="Psychic",$S338="Dark"),0-1,IF(OR($S338="Fighting",$S338="Flying",$S338="Fire",$S338="Ghost",$S338="Poison",$S338="Steel",$S338="Fairy"),1,0)))</f>
        <v>0</v>
      </c>
      <c r="AD338" s="507" t="n">
        <f aca="false">SUM(IF(OR($R338="Ghost",$R338="Psychic"),0-1,IF(OR($R338="Fighting",$R338="Dark",$R338="Fairy"),1,0)),IF(OR($S338="Ghost",$S338="Psychic"),0-1,IF(OR($S338="Fighting",$S338="Dark",$S338="Fairy"),1,0)))</f>
        <v>0</v>
      </c>
      <c r="AE338" s="507" t="n">
        <f aca="false">IF(OR($R338="Fairy",$S338="Fairy"),4,SUM(IF($R338="Dragon",0-1,IF($R338="Steel",1,0)),IF($S338="Dragon",0-1,IF($S338="Steel",1,0))))</f>
        <v>0</v>
      </c>
      <c r="AF338" s="507" t="n">
        <f aca="false">IF(OR($R338="Ground",$S338="Ground"),4,SUM(IF(OR($R338="Flying",$R338="Water"),0-1,IF(OR($R338="Dragon",$R338="Electric",$R338="Grass"),1,0)),IF(OR($S338="Flying",$S338="Water"),0-1,IF(OR($S338="Dragon",$S338="Electric",$S338="Grass"),1,0))))</f>
        <v>1</v>
      </c>
      <c r="AG338" s="507" t="n">
        <f aca="false">SUM(IF(OR($R338="Dark",$R338="Dragon",$R338="Fighting"),0-1,IF(OR($R338="Steel",$R338="Poison",$R338="Fire"),1,0)),IF(OR($S338="Dark",$S338="Dragon",$S338="Fighting"),0-1,IF(OR($S338="Steel",$S338="Poison",$S338="Fire"),1,0)))</f>
        <v>0</v>
      </c>
      <c r="AH338" s="507" t="n">
        <f aca="false">IF(OR($R338="Ghost",$S338="Ghost"),4,SUM(IF(OR($R338="Dark",$R338="Ice",$R338="Normal",$R338="Rock",$R338="Steel"),0-1,IF(OR($R338="Bug",$R338="Fairy",$R338="Flying",$R338="Poison",$R338="Psychic"),1,0)),IF(OR($S338="Dark",$S338="Ice",$S338="Normal",$S338="Rock",$S338="Steel"),0-1,IF(OR($S338="Bug",$S338="Fairy",$S338="Flying",$S338="Poison",$S338="Psychic"),1,0))))</f>
        <v>0</v>
      </c>
      <c r="AI338" s="507" t="n">
        <f aca="false">SUM(IF(OR($R338="Bug",$R338="Grass",$R338="Ice",$R338="Steel"),0-1,IF(OR($R338="Dragon",$R338="Fire",$R338="Rock",$R338="Water"),1,0)),IF(OR($S338="Bug",$S338="Grass",$S338="Ice",$S338="Steel"),0-1,IF(OR($S338="Dragon",$S338="Fire",$S338="Rock",$S338="Water"),1,0)))</f>
        <v>0</v>
      </c>
      <c r="AJ338" s="507" t="n">
        <f aca="false">SUM(IF(OR($R338="Bug",$R338="Grass",$R338="Fighting"),0-1,IF(OR($R338="Electric",$R338="Rock",$R338="Steel"),1,0)),IF(OR($S338="Bug",$S338="Grass",$S338="Fighting"),0-1,IF(OR($S338="Electric",$S338="Rock",$S338="Steel"),1,0)))</f>
        <v>1</v>
      </c>
      <c r="AK338" s="507" t="n">
        <f aca="false">IF(OR($R338="Normal",$S338="Normal"),4,SUM(IF(OR($R338="Ghost",$R338="Psychic"),0-1,IF($R338="Dark",1,0)),IF(OR($S338="Ghost",$S338="Psychic"),0-1,IF($S338="Dark",1,0))))</f>
        <v>0</v>
      </c>
      <c r="AL338" s="507" t="n">
        <f aca="false">SUM(IF(OR($R338="Ground",$R338="Rock",$R338="Water"),0-1,IF(OR($R338="Bug",$R338="Flying",$R338="Fire",$R338="Dragon",$R338="Poison",$R338="Steel",$R338="Grass"),1,0)),IF(OR($S338="Ground",$S338="Rock",$S338="Water"),0-1,IF(OR($S338="Bug",$S338="Flying",$S338="Fire",$S338="Dragon",$S338="Poison",$S338="Steel",$S338="Grass"),1,0)))</f>
        <v>0</v>
      </c>
      <c r="AM338" s="507" t="n">
        <f aca="false">IF(OR($R338="Flying",$S338="Flying"),4,SUM(IF(OR($R338="Electric",$R338="Fire",$R338="Rock",$R338="Steel",$R338="Poison"),0-1,IF(OR($R338="Bug",$R338="Grass"),1,0)),IF(OR($S338="Electric",$S338="Fire",$S338="Rock",$S338="Steel",$S338="Poison"),0-1,IF(OR($S338="Bug",$S338="Grass"),1,0))))</f>
        <v>-1</v>
      </c>
      <c r="AN338" s="507" t="n">
        <f aca="false">SUM(IF(OR($R338="Flying",$R338="Dragon",$R338="Grass",$R338="Ground"),0-1,IF(OR($R338="Steel",$R338="Ice",$R338="Fire",$R338="Water"),1,0)),IF(OR($S338="Flying",$S338="Dragon",$S338="Grass",$S338="Ground"),0-1,IF(OR($S338="Steel",$S338="Ice",$S338="Fire",$S338="Water"),1,0)))</f>
        <v>0</v>
      </c>
      <c r="AO338" s="507" t="n">
        <f aca="false">IF(OR($R338="Ghost",$S338="Ghost"),4,SUM(IF(OR($R338="Steel",$R338="Rock"),1,0),IF(OR($S338="Steel",$S338="Rock"),1,0)))</f>
        <v>0</v>
      </c>
      <c r="AP338" s="507" t="n">
        <f aca="false">IF(OR($R338="Steel",$S338="Steel"),4,SUM(IF(OR($R338="Fairy",$R338="Grass"),0-1,IF(OR($R338="Ghost",$R338="Rock",$R338="Ground",$R338="Poison"),1,0)),IF(OR($S338="Fairy",$S338="Grass"),0-1,IF(OR($S338="Ghost",$S338="Rock",$S338="Ground",$S338="Poison"),1,0))))</f>
        <v>0</v>
      </c>
      <c r="AQ338" s="507" t="n">
        <f aca="false">IF(OR($R338="Dark",$S338="Dark"),4,SUM(IF(OR($R338="Fighting",$R338="Poison"),0-1,IF(OR($R338="Psychic",$R338="Steel"),1,0)),IF(OR($S338="Fighting",$S338="Poison"),0-1,IF(OR($S338="Psychic",$S338="Steel"),1,0))))</f>
        <v>0</v>
      </c>
      <c r="AR338" s="507" t="n">
        <f aca="false">SUM(IF(OR($R338="Bug",$R338="Fire",$R338="Flying",$R338="Ice"),0-1,IF(OR($R338="Steel",$R338="Fighting",$R338="Ground"),1,0)),IF(OR($S338="Bug",$S338="Fire",$S338="Flying",$S338="Ice"),0-1,IF(OR($S338="Steel",$S338="Fighting",$S338="Ground"),1,0)))</f>
        <v>0</v>
      </c>
      <c r="AS338" s="507" t="n">
        <f aca="false">SUM(IF(OR($R338="Fairy",$R338="Ice",$R338="Rock"),0-1,IF(OR($R338="Steel",$R338="Electric",$R338="Fire",$R338="Water"),1,0)),IF(OR($S338="Fairy",$S338="Ice",$S338="Rock"),0-1,IF(OR($S338="Steel",$S338="Electric",$S338="Fire",$S338="Water"),1,0)))</f>
        <v>1</v>
      </c>
      <c r="AT338" s="508" t="n">
        <f aca="false">SUM(IF(OR($R338="Fire",$R338="Ground",$R338="Rock"),0-1,IF(OR($R338="Dragon",$R338="Grass",$R338="Water"),1,0)),IF(OR($S338="Fire",$S338="Ground",$S338="Rock"),0-1,IF(OR($S338="Dragon",$S338="Grass",$S338="Water"),1,0)))</f>
        <v>0</v>
      </c>
      <c r="AU338" s="518"/>
    </row>
    <row r="339" customFormat="false" ht="15.75" hidden="false" customHeight="false" outlineLevel="0" collapsed="false">
      <c r="A339" s="515" t="str">
        <f aca="false" t="array" ref="A339:A339">IF(ISNA(INDEX(Source!$U$7:$U$95,MATCH(B339,Source!$V$7:$V$95,0))),"FREE",INDEX(Source!$U$7:$U$95,MATCH(B339,Source!$V$7:$V$95,0)))</f>
        <v>SGP</v>
      </c>
      <c r="B339" s="511" t="s">
        <v>126</v>
      </c>
      <c r="C339" s="511"/>
      <c r="D339" s="511"/>
      <c r="E339" s="499" t="n">
        <f aca="false">IF(SUM($W339:$X339)&gt;0,SUM($W339:$X339),IF($H339&gt;0,0,IF($H339&gt;0,0,"-")))</f>
        <v>0</v>
      </c>
      <c r="F339" s="499" t="n">
        <f aca="false">IF(SUM($Y339:$Z339)&gt;0,SUM($Y339:$Z339),IF($H339&gt;0,0,"-"))</f>
        <v>0</v>
      </c>
      <c r="G339" s="499" t="e">
        <f aca="false">IF($H339&gt;0,minus(E339,F339),"-")</f>
        <v>#NAME?</v>
      </c>
      <c r="H339" s="500" t="n">
        <f aca="false">SUM(COUNTIF(MatchSource!$A:$A,$B339),COUNTIF(MatchSource!$H:$H,$B339))</f>
        <v>1</v>
      </c>
      <c r="I339" s="501" t="n">
        <f aca="false">SUM($AA339:$AB339)</f>
        <v>0</v>
      </c>
      <c r="J339" s="501" t="s">
        <v>702</v>
      </c>
      <c r="K339" s="512" t="str">
        <f aca="false" t="array" ref="K339:K339">IF(ISNA(INDEX(DraftRosters!$AA$3:$AA$199,MATCH($B339,DraftRosters!$AB$3:$AB$199,0))),"FA",IF(INDEX(DraftRosters!$AA$3:$AA$199,MATCH($B339,DraftRosters!$AB$3:$AB$199,0))="Franchise","Franch",INDEX(DraftRosters!$AA$3:$AA$199,MATCH($B339,DraftRosters!$AB$3:$AB$199,0))))</f>
        <v>FA</v>
      </c>
      <c r="L339" s="499" t="n">
        <v>85</v>
      </c>
      <c r="M339" s="499" t="n">
        <v>75</v>
      </c>
      <c r="N339" s="499" t="n">
        <v>110</v>
      </c>
      <c r="O339" s="499" t="n">
        <v>100</v>
      </c>
      <c r="P339" s="499" t="n">
        <v>75</v>
      </c>
      <c r="Q339" s="501" t="n">
        <v>35</v>
      </c>
      <c r="R339" s="499" t="s">
        <v>802</v>
      </c>
      <c r="S339" s="501" t="s">
        <v>907</v>
      </c>
      <c r="T339" s="504" t="s">
        <v>1049</v>
      </c>
      <c r="U339" s="505" t="s">
        <v>906</v>
      </c>
      <c r="V339" s="506"/>
      <c r="W339" s="500" t="str">
        <f aca="false">IFERROR(__xludf.dummyfunction("if(isna(SUM(FILTER(MatchSource!$A:$D,MatchSource!$A:$A=$B339))),0,SUM(FILTER(MatchSource!$A:$D,MatchSource!$A:$A=$B339)))"),"0")</f>
        <v>0</v>
      </c>
      <c r="X339" s="499" t="str">
        <f aca="false">IFERROR(__xludf.dummyfunction("if(isna(SUM(FILTER(MatchSource!$H:$K,MatchSource!$H:$H=$B339))),0,SUM(FILTER(MatchSource!$H:$K,MatchSource!$H:$H=$B339)))"),"0")</f>
        <v>0</v>
      </c>
      <c r="Y339" s="499" t="str">
        <f aca="false">IFERROR(__xludf.dummyfunction("if(isna(ABS(MINUS(SUM(FILTER(MatchSource!$A:$E,MatchSource!$A:$A=$B339)),SUM($W339)))),0,ABS(MINUS(SUM(FILTER(MatchSource!$A:$E,MatchSource!$A:$A=$B339)),SUM($W339))))"),"0")</f>
        <v>0</v>
      </c>
      <c r="Z339" s="499" t="str">
        <f aca="false">IFERROR(__xludf.dummyfunction("if(isna(ABS(MINUS(SUM(FILTER(MatchSource!$H:$L,MatchSource!$H:$H=$B339)),SUM($X339)))),0,ABS(MINUS(SUM(FILTER(MatchSource!$H:$L,MatchSource!$H:$H=$B339)),SUM($X339))))"),"1")</f>
        <v>1</v>
      </c>
      <c r="AA339" s="499" t="str">
        <f aca="false">IFERROR(__xludf.dummyfunction("if(isna(ABS(MINUS(SUM(FILTER(MatchSource!$A:$F,MatchSource!$A:$A=$B339)),SUM($W339,$Y339)))),0,ABS(MINUS(SUM(FILTER(MatchSource!$A:$F,MatchSource!$A:$A=$B339)),SUM($W339, $Y339,))))"),"0")</f>
        <v>0</v>
      </c>
      <c r="AB339" s="501" t="str">
        <f aca="false">IFERROR(__xludf.dummyfunction("if(isna(ABS(MINUS(SUM(FILTER(MatchSource!$H:$M,MatchSource!$H:$H=$B339)),SUM($X339,$Z339)))),0,ABS(MINUS(SUM(FILTER(MatchSource!$H:$M,MatchSource!$H:$H=$B339)),SUM($X339,$Z339))))"),"0")</f>
        <v>0</v>
      </c>
      <c r="AC339" s="507" t="n">
        <f aca="false">SUM(IF(OR($R339="Grass",$R339="Psychic",$R339="Dark"),0-1,IF(OR($R339="Fighting",$R339="Flying",$R339="Fire",$R339="Ghost",$R339="Poison",$R339="Steel",$R339="Fairy"),1,0)),IF(OR($S339="Grass",$S339="Psychic",$S339="Dark"),0-1,IF(OR($S339="Fighting",$S339="Flying",$S339="Fire",$S339="Ghost",$S339="Poison",$S339="Steel",$S339="Fairy"),1,0)))</f>
        <v>1</v>
      </c>
      <c r="AD339" s="507" t="n">
        <f aca="false">SUM(IF(OR($R339="Ghost",$R339="Psychic"),0-1,IF(OR($R339="Fighting",$R339="Dark",$R339="Fairy"),1,0)),IF(OR($S339="Ghost",$S339="Psychic"),0-1,IF(OR($S339="Fighting",$S339="Dark",$S339="Fairy"),1,0)))</f>
        <v>-1</v>
      </c>
      <c r="AE339" s="507" t="n">
        <f aca="false">IF(OR($R339="Fairy",$S339="Fairy"),4,SUM(IF($R339="Dragon",0-1,IF($R339="Steel",1,0)),IF($S339="Dragon",0-1,IF($S339="Steel",1,0))))</f>
        <v>0</v>
      </c>
      <c r="AF339" s="507" t="n">
        <f aca="false">IF(OR($R339="Ground",$S339="Ground"),4,SUM(IF(OR($R339="Flying",$R339="Water"),0-1,IF(OR($R339="Dragon",$R339="Electric",$R339="Grass"),1,0)),IF(OR($S339="Flying",$S339="Water"),0-1,IF(OR($S339="Dragon",$S339="Electric",$S339="Grass"),1,0))))</f>
        <v>4</v>
      </c>
      <c r="AG339" s="507" t="n">
        <f aca="false">SUM(IF(OR($R339="Dark",$R339="Dragon",$R339="Fighting"),0-1,IF(OR($R339="Steel",$R339="Poison",$R339="Fire"),1,0)),IF(OR($S339="Dark",$S339="Dragon",$S339="Fighting"),0-1,IF(OR($S339="Steel",$S339="Poison",$S339="Fire"),1,0)))</f>
        <v>0</v>
      </c>
      <c r="AH339" s="507" t="n">
        <f aca="false">IF(OR($R339="Ghost",$S339="Ghost"),4,SUM(IF(OR($R339="Dark",$R339="Ice",$R339="Normal",$R339="Rock",$R339="Steel"),0-1,IF(OR($R339="Bug",$R339="Fairy",$R339="Flying",$R339="Poison",$R339="Psychic"),1,0)),IF(OR($S339="Dark",$S339="Ice",$S339="Normal",$S339="Rock",$S339="Steel"),0-1,IF(OR($S339="Bug",$S339="Fairy",$S339="Flying",$S339="Poison",$S339="Psychic"),1,0))))</f>
        <v>4</v>
      </c>
      <c r="AI339" s="507" t="n">
        <f aca="false">SUM(IF(OR($R339="Bug",$R339="Grass",$R339="Ice",$R339="Steel"),0-1,IF(OR($R339="Dragon",$R339="Fire",$R339="Rock",$R339="Water"),1,0)),IF(OR($S339="Bug",$S339="Grass",$S339="Ice",$S339="Steel"),0-1,IF(OR($S339="Dragon",$S339="Fire",$S339="Rock",$S339="Water"),1,0)))</f>
        <v>0</v>
      </c>
      <c r="AJ339" s="507" t="n">
        <f aca="false">SUM(IF(OR($R339="Bug",$R339="Grass",$R339="Fighting"),0-1,IF(OR($R339="Electric",$R339="Rock",$R339="Steel"),1,0)),IF(OR($S339="Bug",$S339="Grass",$S339="Fighting"),0-1,IF(OR($S339="Electric",$S339="Rock",$S339="Steel"),1,0)))</f>
        <v>0</v>
      </c>
      <c r="AK339" s="507" t="n">
        <f aca="false">IF(OR($R339="Normal",$S339="Normal"),4,SUM(IF(OR($R339="Ghost",$R339="Psychic"),0-1,IF($R339="Dark",1,0)),IF(OR($S339="Ghost",$S339="Psychic"),0-1,IF($S339="Dark",1,0))))</f>
        <v>-1</v>
      </c>
      <c r="AL339" s="507" t="n">
        <f aca="false">SUM(IF(OR($R339="Ground",$R339="Rock",$R339="Water"),0-1,IF(OR($R339="Bug",$R339="Flying",$R339="Fire",$R339="Dragon",$R339="Poison",$R339="Steel",$R339="Grass"),1,0)),IF(OR($S339="Ground",$S339="Rock",$S339="Water"),0-1,IF(OR($S339="Bug",$S339="Flying",$S339="Fire",$S339="Dragon",$S339="Poison",$S339="Steel",$S339="Grass"),1,0)))</f>
        <v>-1</v>
      </c>
      <c r="AM339" s="507" t="n">
        <f aca="false">IF(OR($R339="Flying",$S339="Flying"),4,SUM(IF(OR($R339="Electric",$R339="Fire",$R339="Rock",$R339="Steel",$R339="Poison"),0-1,IF(OR($R339="Bug",$R339="Grass"),1,0)),IF(OR($S339="Electric",$S339="Fire",$S339="Rock",$S339="Steel",$S339="Poison"),0-1,IF(OR($S339="Bug",$S339="Grass"),1,0))))</f>
        <v>0</v>
      </c>
      <c r="AN339" s="507" t="n">
        <f aca="false">SUM(IF(OR($R339="Flying",$R339="Dragon",$R339="Grass",$R339="Ground"),0-1,IF(OR($R339="Steel",$R339="Ice",$R339="Fire",$R339="Water"),1,0)),IF(OR($S339="Flying",$S339="Dragon",$S339="Grass",$S339="Ground"),0-1,IF(OR($S339="Steel",$S339="Ice",$S339="Fire",$S339="Water"),1,0)))</f>
        <v>-1</v>
      </c>
      <c r="AO339" s="507" t="n">
        <f aca="false">IF(OR($R339="Ghost",$S339="Ghost"),4,SUM(IF(OR($R339="Steel",$R339="Rock"),1,0),IF(OR($S339="Steel",$S339="Rock"),1,0)))</f>
        <v>4</v>
      </c>
      <c r="AP339" s="507" t="n">
        <f aca="false">IF(OR($R339="Steel",$S339="Steel"),4,SUM(IF(OR($R339="Fairy",$R339="Grass"),0-1,IF(OR($R339="Ghost",$R339="Rock",$R339="Ground",$R339="Poison"),1,0)),IF(OR($S339="Fairy",$S339="Grass"),0-1,IF(OR($S339="Ghost",$S339="Rock",$S339="Ground",$S339="Poison"),1,0))))</f>
        <v>2</v>
      </c>
      <c r="AQ339" s="507" t="n">
        <f aca="false">IF(OR($R339="Dark",$S339="Dark"),4,SUM(IF(OR($R339="Fighting",$R339="Poison"),0-1,IF(OR($R339="Psychic",$R339="Steel"),1,0)),IF(OR($S339="Fighting",$S339="Poison"),0-1,IF(OR($S339="Psychic",$S339="Steel"),1,0))))</f>
        <v>0</v>
      </c>
      <c r="AR339" s="507" t="n">
        <f aca="false">SUM(IF(OR($R339="Bug",$R339="Fire",$R339="Flying",$R339="Ice"),0-1,IF(OR($R339="Steel",$R339="Fighting",$R339="Ground"),1,0)),IF(OR($S339="Bug",$S339="Fire",$S339="Flying",$S339="Ice"),0-1,IF(OR($S339="Steel",$S339="Fighting",$S339="Ground"),1,0)))</f>
        <v>1</v>
      </c>
      <c r="AS339" s="507" t="n">
        <f aca="false">SUM(IF(OR($R339="Fairy",$R339="Ice",$R339="Rock"),0-1,IF(OR($R339="Steel",$R339="Electric",$R339="Fire",$R339="Water"),1,0)),IF(OR($S339="Fairy",$S339="Ice",$S339="Rock"),0-1,IF(OR($S339="Steel",$S339="Electric",$S339="Fire",$S339="Water"),1,0)))</f>
        <v>0</v>
      </c>
      <c r="AT339" s="508" t="n">
        <f aca="false">SUM(IF(OR($R339="Fire",$R339="Ground",$R339="Rock"),0-1,IF(OR($R339="Dragon",$R339="Grass",$R339="Water"),1,0)),IF(OR($S339="Fire",$S339="Ground",$S339="Rock"),0-1,IF(OR($S339="Dragon",$S339="Grass",$S339="Water"),1,0)))</f>
        <v>-1</v>
      </c>
      <c r="AU339" s="518"/>
    </row>
    <row r="340" customFormat="false" ht="15.75" hidden="false" customHeight="false" outlineLevel="0" collapsed="false">
      <c r="A340" s="510" t="str">
        <f aca="false" t="array" ref="A340:A340">IF(ISNA(INDEX(Source!$U$7:$U$95,MATCH(B340,Source!$V$7:$V$95,0))),"FREE",INDEX(Source!$U$7:$U$95,MATCH(B340,Source!$V$7:$V$95,0)))</f>
        <v>FREE</v>
      </c>
      <c r="B340" s="511" t="s">
        <v>600</v>
      </c>
      <c r="C340" s="511"/>
      <c r="D340" s="511"/>
      <c r="E340" s="499" t="str">
        <f aca="false">IF(SUM($W340:$X340)&gt;0,SUM($W340:$X340),IF($H340&gt;0,0,IF($H340&gt;0,0,"-")))</f>
        <v>-</v>
      </c>
      <c r="F340" s="499" t="str">
        <f aca="false">IF(SUM($Y340:$Z340)&gt;0,SUM($Y340:$Z340),IF($H340&gt;0,0,"-"))</f>
        <v>-</v>
      </c>
      <c r="G340" s="499" t="str">
        <f aca="false">IF($H340&gt;0,minus(E340,F340),"-")</f>
        <v>-</v>
      </c>
      <c r="H340" s="500" t="n">
        <f aca="false">SUM(COUNTIF(MatchSource!$A:$A,$B340),COUNTIF(MatchSource!$H:$H,$B340))</f>
        <v>0</v>
      </c>
      <c r="I340" s="501" t="n">
        <f aca="false">SUM($AA340:$AB340)</f>
        <v>0</v>
      </c>
      <c r="J340" s="501" t="s">
        <v>701</v>
      </c>
      <c r="K340" s="512" t="str">
        <f aca="false" t="array" ref="K340:K340">IF(ISNA(INDEX(DraftRosters!$AA$3:$AA$199,MATCH($B340,DraftRosters!$AB$3:$AB$199,0))),"FA",IF(INDEX(DraftRosters!$AA$3:$AA$199,MATCH($B340,DraftRosters!$AB$3:$AB$199,0))="Franchise","Franch",INDEX(DraftRosters!$AA$3:$AA$199,MATCH($B340,DraftRosters!$AB$3:$AB$199,0))))</f>
        <v>FA</v>
      </c>
      <c r="L340" s="499" t="n">
        <v>95</v>
      </c>
      <c r="M340" s="499" t="n">
        <v>124</v>
      </c>
      <c r="N340" s="499" t="n">
        <v>78</v>
      </c>
      <c r="O340" s="499" t="n">
        <v>69</v>
      </c>
      <c r="P340" s="499" t="n">
        <v>71</v>
      </c>
      <c r="Q340" s="501" t="n">
        <v>58</v>
      </c>
      <c r="R340" s="499" t="s">
        <v>795</v>
      </c>
      <c r="S340" s="501" t="s">
        <v>881</v>
      </c>
      <c r="T340" s="504" t="s">
        <v>931</v>
      </c>
      <c r="U340" s="505" t="s">
        <v>969</v>
      </c>
      <c r="V340" s="506" t="s">
        <v>848</v>
      </c>
      <c r="W340" s="500" t="str">
        <f aca="false">IFERROR(__xludf.dummyfunction("if(isna(SUM(FILTER(MatchSource!$A:$D,MatchSource!$A:$A=$B340))),0,SUM(FILTER(MatchSource!$A:$D,MatchSource!$A:$A=$B340)))"),"0")</f>
        <v>0</v>
      </c>
      <c r="X340" s="499" t="str">
        <f aca="false">IFERROR(__xludf.dummyfunction("if(isna(SUM(FILTER(MatchSource!$H:$K,MatchSource!$H:$H=$B340))),0,SUM(FILTER(MatchSource!$H:$K,MatchSource!$H:$H=$B340)))"),"0")</f>
        <v>0</v>
      </c>
      <c r="Y340" s="499" t="str">
        <f aca="false">IFERROR(__xludf.dummyfunction("if(isna(ABS(MINUS(SUM(FILTER(MatchSource!$A:$E,MatchSource!$A:$A=$B340)),SUM($W340)))),0,ABS(MINUS(SUM(FILTER(MatchSource!$A:$E,MatchSource!$A:$A=$B340)),SUM($W340))))"),"0")</f>
        <v>0</v>
      </c>
      <c r="Z340" s="499" t="str">
        <f aca="false">IFERROR(__xludf.dummyfunction("if(isna(ABS(MINUS(SUM(FILTER(MatchSource!$H:$L,MatchSource!$H:$H=$B340)),SUM($X340)))),0,ABS(MINUS(SUM(FILTER(MatchSource!$H:$L,MatchSource!$H:$H=$B340)),SUM($X340))))"),"0")</f>
        <v>0</v>
      </c>
      <c r="AA340" s="499" t="str">
        <f aca="false">IFERROR(__xludf.dummyfunction("if(isna(ABS(MINUS(SUM(FILTER(MatchSource!$A:$F,MatchSource!$A:$A=$B340)),SUM($W340,$Y340)))),0,ABS(MINUS(SUM(FILTER(MatchSource!$A:$F,MatchSource!$A:$A=$B340)),SUM($W340, $Y340,))))"),"0")</f>
        <v>0</v>
      </c>
      <c r="AB340" s="501" t="str">
        <f aca="false">IFERROR(__xludf.dummyfunction("if(isna(ABS(MINUS(SUM(FILTER(MatchSource!$H:$M,MatchSource!$H:$H=$B340)),SUM($X340,$Z340)))),0,ABS(MINUS(SUM(FILTER(MatchSource!$H:$M,MatchSource!$H:$H=$B340)),SUM($X340,$Z340))))"),"0")</f>
        <v>0</v>
      </c>
      <c r="AC340" s="507" t="n">
        <f aca="false">SUM(IF(OR($R340="Grass",$R340="Psychic",$R340="Dark"),0-1,IF(OR($R340="Fighting",$R340="Flying",$R340="Fire",$R340="Ghost",$R340="Poison",$R340="Steel",$R340="Fairy"),1,0)),IF(OR($S340="Grass",$S340="Psychic",$S340="Dark"),0-1,IF(OR($S340="Fighting",$S340="Flying",$S340="Fire",$S340="Ghost",$S340="Poison",$S340="Steel",$S340="Fairy"),1,0)))</f>
        <v>0</v>
      </c>
      <c r="AD340" s="507" t="n">
        <f aca="false">SUM(IF(OR($R340="Ghost",$R340="Psychic"),0-1,IF(OR($R340="Fighting",$R340="Dark",$R340="Fairy"),1,0)),IF(OR($S340="Ghost",$S340="Psychic"),0-1,IF(OR($S340="Fighting",$S340="Dark",$S340="Fairy"),1,0)))</f>
        <v>2</v>
      </c>
      <c r="AE340" s="507" t="n">
        <f aca="false">IF(OR($R340="Fairy",$S340="Fairy"),4,SUM(IF($R340="Dragon",0-1,IF($R340="Steel",1,0)),IF($S340="Dragon",0-1,IF($S340="Steel",1,0))))</f>
        <v>0</v>
      </c>
      <c r="AF340" s="507" t="n">
        <f aca="false">IF(OR($R340="Ground",$S340="Ground"),4,SUM(IF(OR($R340="Flying",$R340="Water"),0-1,IF(OR($R340="Dragon",$R340="Electric",$R340="Grass"),1,0)),IF(OR($S340="Flying",$S340="Water"),0-1,IF(OR($S340="Dragon",$S340="Electric",$S340="Grass"),1,0))))</f>
        <v>0</v>
      </c>
      <c r="AG340" s="507" t="n">
        <f aca="false">SUM(IF(OR($R340="Dark",$R340="Dragon",$R340="Fighting"),0-1,IF(OR($R340="Steel",$R340="Poison",$R340="Fire"),1,0)),IF(OR($S340="Dark",$S340="Dragon",$S340="Fighting"),0-1,IF(OR($S340="Steel",$S340="Poison",$S340="Fire"),1,0)))</f>
        <v>-2</v>
      </c>
      <c r="AH340" s="507" t="n">
        <f aca="false">IF(OR($R340="Ghost",$S340="Ghost"),4,SUM(IF(OR($R340="Dark",$R340="Ice",$R340="Normal",$R340="Rock",$R340="Steel"),0-1,IF(OR($R340="Bug",$R340="Fairy",$R340="Flying",$R340="Poison",$R340="Psychic"),1,0)),IF(OR($S340="Dark",$S340="Ice",$S340="Normal",$S340="Rock",$S340="Steel"),0-1,IF(OR($S340="Bug",$S340="Fairy",$S340="Flying",$S340="Poison",$S340="Psychic"),1,0))))</f>
        <v>-1</v>
      </c>
      <c r="AI340" s="507" t="n">
        <f aca="false">SUM(IF(OR($R340="Bug",$R340="Grass",$R340="Ice",$R340="Steel"),0-1,IF(OR($R340="Dragon",$R340="Fire",$R340="Rock",$R340="Water"),1,0)),IF(OR($S340="Bug",$S340="Grass",$S340="Ice",$S340="Steel"),0-1,IF(OR($S340="Dragon",$S340="Fire",$S340="Rock",$S340="Water"),1,0)))</f>
        <v>0</v>
      </c>
      <c r="AJ340" s="507" t="n">
        <f aca="false">SUM(IF(OR($R340="Bug",$R340="Grass",$R340="Fighting"),0-1,IF(OR($R340="Electric",$R340="Rock",$R340="Steel"),1,0)),IF(OR($S340="Bug",$S340="Grass",$S340="Fighting"),0-1,IF(OR($S340="Electric",$S340="Rock",$S340="Steel"),1,0)))</f>
        <v>-1</v>
      </c>
      <c r="AK340" s="507" t="n">
        <f aca="false">IF(OR($R340="Normal",$S340="Normal"),4,SUM(IF(OR($R340="Ghost",$R340="Psychic"),0-1,IF($R340="Dark",1,0)),IF(OR($S340="Ghost",$S340="Psychic"),0-1,IF($S340="Dark",1,0))))</f>
        <v>1</v>
      </c>
      <c r="AL340" s="507" t="n">
        <f aca="false">SUM(IF(OR($R340="Ground",$R340="Rock",$R340="Water"),0-1,IF(OR($R340="Bug",$R340="Flying",$R340="Fire",$R340="Dragon",$R340="Poison",$R340="Steel",$R340="Grass"),1,0)),IF(OR($S340="Ground",$S340="Rock",$S340="Water"),0-1,IF(OR($S340="Bug",$S340="Flying",$S340="Fire",$S340="Dragon",$S340="Poison",$S340="Steel",$S340="Grass"),1,0)))</f>
        <v>0</v>
      </c>
      <c r="AM340" s="507" t="n">
        <f aca="false">IF(OR($R340="Flying",$S340="Flying"),4,SUM(IF(OR($R340="Electric",$R340="Fire",$R340="Rock",$R340="Steel",$R340="Poison"),0-1,IF(OR($R340="Bug",$R340="Grass"),1,0)),IF(OR($S340="Electric",$S340="Fire",$S340="Rock",$S340="Steel",$S340="Poison"),0-1,IF(OR($S340="Bug",$S340="Grass"),1,0))))</f>
        <v>0</v>
      </c>
      <c r="AN340" s="507" t="n">
        <f aca="false">SUM(IF(OR($R340="Flying",$R340="Dragon",$R340="Grass",$R340="Ground"),0-1,IF(OR($R340="Steel",$R340="Ice",$R340="Fire",$R340="Water"),1,0)),IF(OR($S340="Flying",$S340="Dragon",$S340="Grass",$S340="Ground"),0-1,IF(OR($S340="Steel",$S340="Ice",$S340="Fire",$S340="Water"),1,0)))</f>
        <v>0</v>
      </c>
      <c r="AO340" s="507" t="n">
        <f aca="false">IF(OR($R340="Ghost",$S340="Ghost"),4,SUM(IF(OR($R340="Steel",$R340="Rock"),1,0),IF(OR($S340="Steel",$S340="Rock"),1,0)))</f>
        <v>0</v>
      </c>
      <c r="AP340" s="507" t="n">
        <f aca="false">IF(OR($R340="Steel",$S340="Steel"),4,SUM(IF(OR($R340="Fairy",$R340="Grass"),0-1,IF(OR($R340="Ghost",$R340="Rock",$R340="Ground",$R340="Poison"),1,0)),IF(OR($S340="Fairy",$S340="Grass"),0-1,IF(OR($S340="Ghost",$S340="Rock",$S340="Ground",$S340="Poison"),1,0))))</f>
        <v>0</v>
      </c>
      <c r="AQ340" s="507" t="n">
        <f aca="false">IF(OR($R340="Dark",$S340="Dark"),4,SUM(IF(OR($R340="Fighting",$R340="Poison"),0-1,IF(OR($R340="Psychic",$R340="Steel"),1,0)),IF(OR($S340="Fighting",$S340="Poison"),0-1,IF(OR($S340="Psychic",$S340="Steel"),1,0))))</f>
        <v>4</v>
      </c>
      <c r="AR340" s="507" t="n">
        <f aca="false">SUM(IF(OR($R340="Bug",$R340="Fire",$R340="Flying",$R340="Ice"),0-1,IF(OR($R340="Steel",$R340="Fighting",$R340="Ground"),1,0)),IF(OR($S340="Bug",$S340="Fire",$S340="Flying",$S340="Ice"),0-1,IF(OR($S340="Steel",$S340="Fighting",$S340="Ground"),1,0)))</f>
        <v>1</v>
      </c>
      <c r="AS340" s="507" t="n">
        <f aca="false">SUM(IF(OR($R340="Fairy",$R340="Ice",$R340="Rock"),0-1,IF(OR($R340="Steel",$R340="Electric",$R340="Fire",$R340="Water"),1,0)),IF(OR($S340="Fairy",$S340="Ice",$S340="Rock"),0-1,IF(OR($S340="Steel",$S340="Electric",$S340="Fire",$S340="Water"),1,0)))</f>
        <v>0</v>
      </c>
      <c r="AT340" s="508" t="n">
        <f aca="false">SUM(IF(OR($R340="Fire",$R340="Ground",$R340="Rock"),0-1,IF(OR($R340="Dragon",$R340="Grass",$R340="Water"),1,0)),IF(OR($S340="Fire",$S340="Ground",$S340="Rock"),0-1,IF(OR($S340="Dragon",$S340="Grass",$S340="Water"),1,0)))</f>
        <v>0</v>
      </c>
      <c r="AU340" s="518"/>
    </row>
    <row r="341" customFormat="false" ht="15.75" hidden="false" customHeight="false" outlineLevel="0" collapsed="false">
      <c r="A341" s="510" t="str">
        <f aca="false" t="array" ref="A341:A341">IF(ISNA(INDEX(Source!$U$7:$U$95,MATCH(B341,Source!$V$7:$V$95,0))),"FREE",INDEX(Source!$U$7:$U$95,MATCH(B341,Source!$V$7:$V$95,0)))</f>
        <v>FREE</v>
      </c>
      <c r="B341" s="511" t="s">
        <v>425</v>
      </c>
      <c r="C341" s="511"/>
      <c r="D341" s="511"/>
      <c r="E341" s="499" t="str">
        <f aca="false">IF(SUM($W341:$X341)&gt;0,SUM($W341:$X341),IF($H341&gt;0,0,IF($H341&gt;0,0,"-")))</f>
        <v>-</v>
      </c>
      <c r="F341" s="499" t="str">
        <f aca="false">IF(SUM($Y341:$Z341)&gt;0,SUM($Y341:$Z341),IF($H341&gt;0,0,"-"))</f>
        <v>-</v>
      </c>
      <c r="G341" s="499" t="str">
        <f aca="false">IF($H341&gt;0,minus(E341,F341),"-")</f>
        <v>-</v>
      </c>
      <c r="H341" s="500" t="n">
        <f aca="false">SUM(COUNTIF(MatchSource!$A:$A,$B341),COUNTIF(MatchSource!$H:$H,$B341))</f>
        <v>0</v>
      </c>
      <c r="I341" s="501" t="n">
        <f aca="false">SUM($AA341:$AB341)</f>
        <v>0</v>
      </c>
      <c r="J341" s="501" t="s">
        <v>702</v>
      </c>
      <c r="K341" s="512" t="str">
        <f aca="false" t="array" ref="K341:K341">IF(ISNA(INDEX(DraftRosters!$AA$3:$AA$199,MATCH($B341,DraftRosters!$AB$3:$AB$199,0))),"FA",IF(INDEX(DraftRosters!$AA$3:$AA$199,MATCH($B341,DraftRosters!$AB$3:$AB$199,0))="Franchise","Franch",INDEX(DraftRosters!$AA$3:$AA$199,MATCH($B341,DraftRosters!$AB$3:$AB$199,0))))</f>
        <v>FA</v>
      </c>
      <c r="L341" s="499" t="n">
        <v>60</v>
      </c>
      <c r="M341" s="499" t="n">
        <v>95</v>
      </c>
      <c r="N341" s="499" t="n">
        <v>80</v>
      </c>
      <c r="O341" s="499" t="n">
        <v>60</v>
      </c>
      <c r="P341" s="499" t="n">
        <v>80</v>
      </c>
      <c r="Q341" s="501" t="n">
        <v>30</v>
      </c>
      <c r="R341" s="499" t="s">
        <v>794</v>
      </c>
      <c r="S341" s="501" t="s">
        <v>803</v>
      </c>
      <c r="T341" s="504" t="s">
        <v>983</v>
      </c>
      <c r="U341" s="505" t="s">
        <v>844</v>
      </c>
      <c r="V341" s="506" t="s">
        <v>999</v>
      </c>
      <c r="W341" s="500" t="str">
        <f aca="false">IFERROR(__xludf.dummyfunction("if(isna(SUM(FILTER(MatchSource!$A:$D,MatchSource!$A:$A=$B341))),0,SUM(FILTER(MatchSource!$A:$D,MatchSource!$A:$A=$B341)))"),"0")</f>
        <v>0</v>
      </c>
      <c r="X341" s="499" t="str">
        <f aca="false">IFERROR(__xludf.dummyfunction("if(isna(SUM(FILTER(MatchSource!$H:$K,MatchSource!$H:$H=$B341))),0,SUM(FILTER(MatchSource!$H:$K,MatchSource!$H:$H=$B341)))"),"0")</f>
        <v>0</v>
      </c>
      <c r="Y341" s="499" t="str">
        <f aca="false">IFERROR(__xludf.dummyfunction("if(isna(ABS(MINUS(SUM(FILTER(MatchSource!$A:$E,MatchSource!$A:$A=$B341)),SUM($W341)))),0,ABS(MINUS(SUM(FILTER(MatchSource!$A:$E,MatchSource!$A:$A=$B341)),SUM($W341))))"),"0")</f>
        <v>0</v>
      </c>
      <c r="Z341" s="499" t="str">
        <f aca="false">IFERROR(__xludf.dummyfunction("if(isna(ABS(MINUS(SUM(FILTER(MatchSource!$H:$L,MatchSource!$H:$H=$B341)),SUM($X341)))),0,ABS(MINUS(SUM(FILTER(MatchSource!$H:$L,MatchSource!$H:$H=$B341)),SUM($X341))))"),"0")</f>
        <v>0</v>
      </c>
      <c r="AA341" s="499" t="str">
        <f aca="false">IFERROR(__xludf.dummyfunction("if(isna(ABS(MINUS(SUM(FILTER(MatchSource!$A:$F,MatchSource!$A:$A=$B341)),SUM($W341,$Y341)))),0,ABS(MINUS(SUM(FILTER(MatchSource!$A:$F,MatchSource!$A:$A=$B341)),SUM($W341, $Y341,))))"),"0")</f>
        <v>0</v>
      </c>
      <c r="AB341" s="501" t="str">
        <f aca="false">IFERROR(__xludf.dummyfunction("if(isna(ABS(MINUS(SUM(FILTER(MatchSource!$H:$M,MatchSource!$H:$H=$B341)),SUM($X341,$Z341)))),0,ABS(MINUS(SUM(FILTER(MatchSource!$H:$M,MatchSource!$H:$H=$B341)),SUM($X341,$Z341))))"),"0")</f>
        <v>0</v>
      </c>
      <c r="AC341" s="507" t="n">
        <f aca="false">SUM(IF(OR($R341="Grass",$R341="Psychic",$R341="Dark"),0-1,IF(OR($R341="Fighting",$R341="Flying",$R341="Fire",$R341="Ghost",$R341="Poison",$R341="Steel",$R341="Fairy"),1,0)),IF(OR($S341="Grass",$S341="Psychic",$S341="Dark"),0-1,IF(OR($S341="Fighting",$S341="Flying",$S341="Fire",$S341="Ghost",$S341="Poison",$S341="Steel",$S341="Fairy"),1,0)))</f>
        <v>-1</v>
      </c>
      <c r="AD341" s="507" t="n">
        <f aca="false">SUM(IF(OR($R341="Ghost",$R341="Psychic"),0-1,IF(OR($R341="Fighting",$R341="Dark",$R341="Fairy"),1,0)),IF(OR($S341="Ghost",$S341="Psychic"),0-1,IF(OR($S341="Fighting",$S341="Dark",$S341="Fairy"),1,0)))</f>
        <v>0</v>
      </c>
      <c r="AE341" s="507" t="n">
        <f aca="false">IF(OR($R341="Fairy",$S341="Fairy"),4,SUM(IF($R341="Dragon",0-1,IF($R341="Steel",1,0)),IF($S341="Dragon",0-1,IF($S341="Steel",1,0))))</f>
        <v>0</v>
      </c>
      <c r="AF341" s="507" t="n">
        <f aca="false">IF(OR($R341="Ground",$S341="Ground"),4,SUM(IF(OR($R341="Flying",$R341="Water"),0-1,IF(OR($R341="Dragon",$R341="Electric",$R341="Grass"),1,0)),IF(OR($S341="Flying",$S341="Water"),0-1,IF(OR($S341="Dragon",$S341="Electric",$S341="Grass"),1,0))))</f>
        <v>1</v>
      </c>
      <c r="AG341" s="507" t="n">
        <f aca="false">SUM(IF(OR($R341="Dark",$R341="Dragon",$R341="Fighting"),0-1,IF(OR($R341="Steel",$R341="Poison",$R341="Fire"),1,0)),IF(OR($S341="Dark",$S341="Dragon",$S341="Fighting"),0-1,IF(OR($S341="Steel",$S341="Poison",$S341="Fire"),1,0)))</f>
        <v>0</v>
      </c>
      <c r="AH341" s="507" t="n">
        <f aca="false">IF(OR($R341="Ghost",$S341="Ghost"),4,SUM(IF(OR($R341="Dark",$R341="Ice",$R341="Normal",$R341="Rock",$R341="Steel"),0-1,IF(OR($R341="Bug",$R341="Fairy",$R341="Flying",$R341="Poison",$R341="Psychic"),1,0)),IF(OR($S341="Dark",$S341="Ice",$S341="Normal",$S341="Rock",$S341="Steel"),0-1,IF(OR($S341="Bug",$S341="Fairy",$S341="Flying",$S341="Poison",$S341="Psychic"),1,0))))</f>
        <v>1</v>
      </c>
      <c r="AI341" s="507" t="n">
        <f aca="false">SUM(IF(OR($R341="Bug",$R341="Grass",$R341="Ice",$R341="Steel"),0-1,IF(OR($R341="Dragon",$R341="Fire",$R341="Rock",$R341="Water"),1,0)),IF(OR($S341="Bug",$S341="Grass",$S341="Ice",$S341="Steel"),0-1,IF(OR($S341="Dragon",$S341="Fire",$S341="Rock",$S341="Water"),1,0)))</f>
        <v>-2</v>
      </c>
      <c r="AJ341" s="507" t="n">
        <f aca="false">SUM(IF(OR($R341="Bug",$R341="Grass",$R341="Fighting"),0-1,IF(OR($R341="Electric",$R341="Rock",$R341="Steel"),1,0)),IF(OR($S341="Bug",$S341="Grass",$S341="Fighting"),0-1,IF(OR($S341="Electric",$S341="Rock",$S341="Steel"),1,0)))</f>
        <v>-2</v>
      </c>
      <c r="AK341" s="507" t="n">
        <f aca="false">IF(OR($R341="Normal",$S341="Normal"),4,SUM(IF(OR($R341="Ghost",$R341="Psychic"),0-1,IF($R341="Dark",1,0)),IF(OR($S341="Ghost",$S341="Psychic"),0-1,IF($S341="Dark",1,0))))</f>
        <v>0</v>
      </c>
      <c r="AL341" s="507" t="n">
        <f aca="false">SUM(IF(OR($R341="Ground",$R341="Rock",$R341="Water"),0-1,IF(OR($R341="Bug",$R341="Flying",$R341="Fire",$R341="Dragon",$R341="Poison",$R341="Steel",$R341="Grass"),1,0)),IF(OR($S341="Ground",$S341="Rock",$S341="Water"),0-1,IF(OR($S341="Bug",$S341="Flying",$S341="Fire",$S341="Dragon",$S341="Poison",$S341="Steel",$S341="Grass"),1,0)))</f>
        <v>2</v>
      </c>
      <c r="AM341" s="507" t="n">
        <f aca="false">IF(OR($R341="Flying",$S341="Flying"),4,SUM(IF(OR($R341="Electric",$R341="Fire",$R341="Rock",$R341="Steel",$R341="Poison"),0-1,IF(OR($R341="Bug",$R341="Grass"),1,0)),IF(OR($S341="Electric",$S341="Fire",$S341="Rock",$S341="Steel",$S341="Poison"),0-1,IF(OR($S341="Bug",$S341="Grass"),1,0))))</f>
        <v>2</v>
      </c>
      <c r="AN341" s="507" t="n">
        <f aca="false">SUM(IF(OR($R341="Flying",$R341="Dragon",$R341="Grass",$R341="Ground"),0-1,IF(OR($R341="Steel",$R341="Ice",$R341="Fire",$R341="Water"),1,0)),IF(OR($S341="Flying",$S341="Dragon",$S341="Grass",$S341="Ground"),0-1,IF(OR($S341="Steel",$S341="Ice",$S341="Fire",$S341="Water"),1,0)))</f>
        <v>-1</v>
      </c>
      <c r="AO341" s="507" t="n">
        <f aca="false">IF(OR($R341="Ghost",$S341="Ghost"),4,SUM(IF(OR($R341="Steel",$R341="Rock"),1,0),IF(OR($S341="Steel",$S341="Rock"),1,0)))</f>
        <v>0</v>
      </c>
      <c r="AP341" s="507" t="n">
        <f aca="false">IF(OR($R341="Steel",$S341="Steel"),4,SUM(IF(OR($R341="Fairy",$R341="Grass"),0-1,IF(OR($R341="Ghost",$R341="Rock",$R341="Ground",$R341="Poison"),1,0)),IF(OR($S341="Fairy",$S341="Grass"),0-1,IF(OR($S341="Ghost",$S341="Rock",$S341="Ground",$S341="Poison"),1,0))))</f>
        <v>-1</v>
      </c>
      <c r="AQ341" s="507" t="n">
        <f aca="false">IF(OR($R341="Dark",$S341="Dark"),4,SUM(IF(OR($R341="Fighting",$R341="Poison"),0-1,IF(OR($R341="Psychic",$R341="Steel"),1,0)),IF(OR($S341="Fighting",$S341="Poison"),0-1,IF(OR($S341="Psychic",$S341="Steel"),1,0))))</f>
        <v>0</v>
      </c>
      <c r="AR341" s="507" t="n">
        <f aca="false">SUM(IF(OR($R341="Bug",$R341="Fire",$R341="Flying",$R341="Ice"),0-1,IF(OR($R341="Steel",$R341="Fighting",$R341="Ground"),1,0)),IF(OR($S341="Bug",$S341="Fire",$S341="Flying",$S341="Ice"),0-1,IF(OR($S341="Steel",$S341="Fighting",$S341="Ground"),1,0)))</f>
        <v>-1</v>
      </c>
      <c r="AS341" s="507" t="n">
        <f aca="false">SUM(IF(OR($R341="Fairy",$R341="Ice",$R341="Rock"),0-1,IF(OR($R341="Steel",$R341="Electric",$R341="Fire",$R341="Water"),1,0)),IF(OR($S341="Fairy",$S341="Ice",$S341="Rock"),0-1,IF(OR($S341="Steel",$S341="Electric",$S341="Fire",$S341="Water"),1,0)))</f>
        <v>0</v>
      </c>
      <c r="AT341" s="508" t="n">
        <f aca="false">SUM(IF(OR($R341="Fire",$R341="Ground",$R341="Rock"),0-1,IF(OR($R341="Dragon",$R341="Grass",$R341="Water"),1,0)),IF(OR($S341="Fire",$S341="Ground",$S341="Rock"),0-1,IF(OR($S341="Dragon",$S341="Grass",$S341="Water"),1,0)))</f>
        <v>1</v>
      </c>
      <c r="AU341" s="518"/>
    </row>
    <row r="342" customFormat="false" ht="15.75" hidden="false" customHeight="false" outlineLevel="0" collapsed="false">
      <c r="A342" s="515" t="str">
        <f aca="false" t="array" ref="A342:A342">IF(ISNA(INDEX(Source!$U$7:$U$95,MATCH(B342,Source!$V$7:$V$95,0))),"FREE",INDEX(Source!$U$7:$U$95,MATCH(B342,Source!$V$7:$V$95,0)))</f>
        <v>FREE</v>
      </c>
      <c r="B342" s="511" t="s">
        <v>430</v>
      </c>
      <c r="C342" s="511"/>
      <c r="D342" s="511"/>
      <c r="E342" s="499" t="str">
        <f aca="false">IF(SUM($W342:$X342)&gt;0,SUM($W342:$X342),IF($H342&gt;0,0,IF($H342&gt;0,0,"-")))</f>
        <v>-</v>
      </c>
      <c r="F342" s="499" t="str">
        <f aca="false">IF(SUM($Y342:$Z342)&gt;0,SUM($Y342:$Z342),IF($H342&gt;0,0,"-"))</f>
        <v>-</v>
      </c>
      <c r="G342" s="499" t="str">
        <f aca="false">IF($H342&gt;0,minus(E342,F342),"-")</f>
        <v>-</v>
      </c>
      <c r="H342" s="500" t="n">
        <f aca="false">SUM(COUNTIF(MatchSource!$A:$A,$B342),COUNTIF(MatchSource!$H:$H,$B342))</f>
        <v>0</v>
      </c>
      <c r="I342" s="501" t="n">
        <f aca="false">SUM($AA342:$AB342)</f>
        <v>0</v>
      </c>
      <c r="J342" s="501" t="s">
        <v>702</v>
      </c>
      <c r="K342" s="512" t="str">
        <f aca="false" t="array" ref="K342:K342">IF(ISNA(INDEX(DraftRosters!$AA$3:$AA$199,MATCH($B342,DraftRosters!$AB$3:$AB$199,0))),"FA",IF(INDEX(DraftRosters!$AA$3:$AA$199,MATCH($B342,DraftRosters!$AB$3:$AB$199,0))="Franchise","Franch",INDEX(DraftRosters!$AA$3:$AA$199,MATCH($B342,DraftRosters!$AB$3:$AB$199,0))))</f>
        <v>FA</v>
      </c>
      <c r="L342" s="499" t="n">
        <v>100</v>
      </c>
      <c r="M342" s="499" t="n">
        <v>120</v>
      </c>
      <c r="N342" s="499" t="n">
        <v>90</v>
      </c>
      <c r="O342" s="499" t="n">
        <v>40</v>
      </c>
      <c r="P342" s="499" t="n">
        <v>60</v>
      </c>
      <c r="Q342" s="501" t="n">
        <v>80</v>
      </c>
      <c r="R342" s="499" t="s">
        <v>881</v>
      </c>
      <c r="S342" s="501"/>
      <c r="T342" s="504" t="s">
        <v>886</v>
      </c>
      <c r="U342" s="505" t="s">
        <v>1050</v>
      </c>
      <c r="V342" s="506"/>
      <c r="W342" s="500" t="str">
        <f aca="false">IFERROR(__xludf.dummyfunction("if(isna(SUM(FILTER(MatchSource!$A:$D,MatchSource!$A:$A=$B342))),0,SUM(FILTER(MatchSource!$A:$D,MatchSource!$A:$A=$B342)))"),"0")</f>
        <v>0</v>
      </c>
      <c r="X342" s="499" t="str">
        <f aca="false">IFERROR(__xludf.dummyfunction("if(isna(SUM(FILTER(MatchSource!$H:$K,MatchSource!$H:$H=$B342))),0,SUM(FILTER(MatchSource!$H:$K,MatchSource!$H:$H=$B342)))"),"0")</f>
        <v>0</v>
      </c>
      <c r="Y342" s="499" t="str">
        <f aca="false">IFERROR(__xludf.dummyfunction("if(isna(ABS(MINUS(SUM(FILTER(MatchSource!$A:$E,MatchSource!$A:$A=$B342)),SUM($W342)))),0,ABS(MINUS(SUM(FILTER(MatchSource!$A:$E,MatchSource!$A:$A=$B342)),SUM($W342))))"),"0")</f>
        <v>0</v>
      </c>
      <c r="Z342" s="499" t="str">
        <f aca="false">IFERROR(__xludf.dummyfunction("if(isna(ABS(MINUS(SUM(FILTER(MatchSource!$H:$L,MatchSource!$H:$H=$B342)),SUM($X342)))),0,ABS(MINUS(SUM(FILTER(MatchSource!$H:$L,MatchSource!$H:$H=$B342)),SUM($X342))))"),"0")</f>
        <v>0</v>
      </c>
      <c r="AA342" s="499" t="str">
        <f aca="false">IFERROR(__xludf.dummyfunction("if(isna(ABS(MINUS(SUM(FILTER(MatchSource!$A:$F,MatchSource!$A:$A=$B342)),SUM($W342,$Y342)))),0,ABS(MINUS(SUM(FILTER(MatchSource!$A:$F,MatchSource!$A:$A=$B342)),SUM($W342, $Y342,))))"),"0")</f>
        <v>0</v>
      </c>
      <c r="AB342" s="501" t="str">
        <f aca="false">IFERROR(__xludf.dummyfunction("if(isna(ABS(MINUS(SUM(FILTER(MatchSource!$H:$M,MatchSource!$H:$H=$B342)),SUM($X342,$Z342)))),0,ABS(MINUS(SUM(FILTER(MatchSource!$H:$M,MatchSource!$H:$H=$B342)),SUM($X342,$Z342))))"),"0")</f>
        <v>0</v>
      </c>
      <c r="AC342" s="507" t="n">
        <f aca="false">SUM(IF(OR($R342="Grass",$R342="Psychic",$R342="Dark"),0-1,IF(OR($R342="Fighting",$R342="Flying",$R342="Fire",$R342="Ghost",$R342="Poison",$R342="Steel",$R342="Fairy"),1,0)),IF(OR($S342="Grass",$S342="Psychic",$S342="Dark"),0-1,IF(OR($S342="Fighting",$S342="Flying",$S342="Fire",$S342="Ghost",$S342="Poison",$S342="Steel",$S342="Fairy"),1,0)))</f>
        <v>1</v>
      </c>
      <c r="AD342" s="507" t="n">
        <f aca="false">SUM(IF(OR($R342="Ghost",$R342="Psychic"),0-1,IF(OR($R342="Fighting",$R342="Dark",$R342="Fairy"),1,0)),IF(OR($S342="Ghost",$S342="Psychic"),0-1,IF(OR($S342="Fighting",$S342="Dark",$S342="Fairy"),1,0)))</f>
        <v>1</v>
      </c>
      <c r="AE342" s="507" t="n">
        <f aca="false">IF(OR($R342="Fairy",$S342="Fairy"),4,SUM(IF($R342="Dragon",0-1,IF($R342="Steel",1,0)),IF($S342="Dragon",0-1,IF($S342="Steel",1,0))))</f>
        <v>0</v>
      </c>
      <c r="AF342" s="507" t="n">
        <f aca="false">IF(OR($R342="Ground",$S342="Ground"),4,SUM(IF(OR($R342="Flying",$R342="Water"),0-1,IF(OR($R342="Dragon",$R342="Electric",$R342="Grass"),1,0)),IF(OR($S342="Flying",$S342="Water"),0-1,IF(OR($S342="Dragon",$S342="Electric",$S342="Grass"),1,0))))</f>
        <v>0</v>
      </c>
      <c r="AG342" s="507" t="n">
        <f aca="false">SUM(IF(OR($R342="Dark",$R342="Dragon",$R342="Fighting"),0-1,IF(OR($R342="Steel",$R342="Poison",$R342="Fire"),1,0)),IF(OR($S342="Dark",$S342="Dragon",$S342="Fighting"),0-1,IF(OR($S342="Steel",$S342="Poison",$S342="Fire"),1,0)))</f>
        <v>-1</v>
      </c>
      <c r="AH342" s="507" t="n">
        <f aca="false">IF(OR($R342="Ghost",$S342="Ghost"),4,SUM(IF(OR($R342="Dark",$R342="Ice",$R342="Normal",$R342="Rock",$R342="Steel"),0-1,IF(OR($R342="Bug",$R342="Fairy",$R342="Flying",$R342="Poison",$R342="Psychic"),1,0)),IF(OR($S342="Dark",$S342="Ice",$S342="Normal",$S342="Rock",$S342="Steel"),0-1,IF(OR($S342="Bug",$S342="Fairy",$S342="Flying",$S342="Poison",$S342="Psychic"),1,0))))</f>
        <v>0</v>
      </c>
      <c r="AI342" s="507" t="n">
        <f aca="false">SUM(IF(OR($R342="Bug",$R342="Grass",$R342="Ice",$R342="Steel"),0-1,IF(OR($R342="Dragon",$R342="Fire",$R342="Rock",$R342="Water"),1,0)),IF(OR($S342="Bug",$S342="Grass",$S342="Ice",$S342="Steel"),0-1,IF(OR($S342="Dragon",$S342="Fire",$S342="Rock",$S342="Water"),1,0)))</f>
        <v>0</v>
      </c>
      <c r="AJ342" s="507" t="n">
        <f aca="false">SUM(IF(OR($R342="Bug",$R342="Grass",$R342="Fighting"),0-1,IF(OR($R342="Electric",$R342="Rock",$R342="Steel"),1,0)),IF(OR($S342="Bug",$S342="Grass",$S342="Fighting"),0-1,IF(OR($S342="Electric",$S342="Rock",$S342="Steel"),1,0)))</f>
        <v>-1</v>
      </c>
      <c r="AK342" s="507" t="n">
        <f aca="false">IF(OR($R342="Normal",$S342="Normal"),4,SUM(IF(OR($R342="Ghost",$R342="Psychic"),0-1,IF($R342="Dark",1,0)),IF(OR($S342="Ghost",$S342="Psychic"),0-1,IF($S342="Dark",1,0))))</f>
        <v>0</v>
      </c>
      <c r="AL342" s="507" t="n">
        <f aca="false">SUM(IF(OR($R342="Ground",$R342="Rock",$R342="Water"),0-1,IF(OR($R342="Bug",$R342="Flying",$R342="Fire",$R342="Dragon",$R342="Poison",$R342="Steel",$R342="Grass"),1,0)),IF(OR($S342="Ground",$S342="Rock",$S342="Water"),0-1,IF(OR($S342="Bug",$S342="Flying",$S342="Fire",$S342="Dragon",$S342="Poison",$S342="Steel",$S342="Grass"),1,0)))</f>
        <v>0</v>
      </c>
      <c r="AM342" s="507" t="n">
        <f aca="false">IF(OR($R342="Flying",$S342="Flying"),4,SUM(IF(OR($R342="Electric",$R342="Fire",$R342="Rock",$R342="Steel",$R342="Poison"),0-1,IF(OR($R342="Bug",$R342="Grass"),1,0)),IF(OR($S342="Electric",$S342="Fire",$S342="Rock",$S342="Steel",$S342="Poison"),0-1,IF(OR($S342="Bug",$S342="Grass"),1,0))))</f>
        <v>0</v>
      </c>
      <c r="AN342" s="507" t="n">
        <f aca="false">SUM(IF(OR($R342="Flying",$R342="Dragon",$R342="Grass",$R342="Ground"),0-1,IF(OR($R342="Steel",$R342="Ice",$R342="Fire",$R342="Water"),1,0)),IF(OR($S342="Flying",$S342="Dragon",$S342="Grass",$S342="Ground"),0-1,IF(OR($S342="Steel",$S342="Ice",$S342="Fire",$S342="Water"),1,0)))</f>
        <v>0</v>
      </c>
      <c r="AO342" s="507" t="n">
        <f aca="false">IF(OR($R342="Ghost",$S342="Ghost"),4,SUM(IF(OR($R342="Steel",$R342="Rock"),1,0),IF(OR($S342="Steel",$S342="Rock"),1,0)))</f>
        <v>0</v>
      </c>
      <c r="AP342" s="507" t="n">
        <f aca="false">IF(OR($R342="Steel",$S342="Steel"),4,SUM(IF(OR($R342="Fairy",$R342="Grass"),0-1,IF(OR($R342="Ghost",$R342="Rock",$R342="Ground",$R342="Poison"),1,0)),IF(OR($S342="Fairy",$S342="Grass"),0-1,IF(OR($S342="Ghost",$S342="Rock",$S342="Ground",$S342="Poison"),1,0))))</f>
        <v>0</v>
      </c>
      <c r="AQ342" s="507" t="n">
        <f aca="false">IF(OR($R342="Dark",$S342="Dark"),4,SUM(IF(OR($R342="Fighting",$R342="Poison"),0-1,IF(OR($R342="Psychic",$R342="Steel"),1,0)),IF(OR($S342="Fighting",$S342="Poison"),0-1,IF(OR($S342="Psychic",$S342="Steel"),1,0))))</f>
        <v>-1</v>
      </c>
      <c r="AR342" s="507" t="n">
        <f aca="false">SUM(IF(OR($R342="Bug",$R342="Fire",$R342="Flying",$R342="Ice"),0-1,IF(OR($R342="Steel",$R342="Fighting",$R342="Ground"),1,0)),IF(OR($S342="Bug",$S342="Fire",$S342="Flying",$S342="Ice"),0-1,IF(OR($S342="Steel",$S342="Fighting",$S342="Ground"),1,0)))</f>
        <v>1</v>
      </c>
      <c r="AS342" s="507" t="n">
        <f aca="false">SUM(IF(OR($R342="Fairy",$R342="Ice",$R342="Rock"),0-1,IF(OR($R342="Steel",$R342="Electric",$R342="Fire",$R342="Water"),1,0)),IF(OR($S342="Fairy",$S342="Ice",$S342="Rock"),0-1,IF(OR($S342="Steel",$S342="Electric",$S342="Fire",$S342="Water"),1,0)))</f>
        <v>0</v>
      </c>
      <c r="AT342" s="508" t="n">
        <f aca="false">SUM(IF(OR($R342="Fire",$R342="Ground",$R342="Rock"),0-1,IF(OR($R342="Dragon",$R342="Grass",$R342="Water"),1,0)),IF(OR($S342="Fire",$S342="Ground",$S342="Rock"),0-1,IF(OR($S342="Dragon",$S342="Grass",$S342="Water"),1,0)))</f>
        <v>0</v>
      </c>
      <c r="AU342" s="518"/>
    </row>
    <row r="343" customFormat="false" ht="15.75" hidden="false" customHeight="false" outlineLevel="0" collapsed="false">
      <c r="A343" s="510" t="str">
        <f aca="false" t="array" ref="A343:A343">IF(ISNA(INDEX(Source!$U$7:$U$95,MATCH(B343,Source!$V$7:$V$95,0))),"FREE",INDEX(Source!$U$7:$U$95,MATCH(B343,Source!$V$7:$V$95,0)))</f>
        <v>FREE</v>
      </c>
      <c r="B343" s="511" t="s">
        <v>761</v>
      </c>
      <c r="C343" s="511"/>
      <c r="D343" s="511"/>
      <c r="E343" s="499" t="str">
        <f aca="false">IF(SUM($W343:$X343)&gt;0,SUM($W343:$X343),IF($H343&gt;0,0,IF($H343&gt;0,0,"-")))</f>
        <v>-</v>
      </c>
      <c r="F343" s="499" t="str">
        <f aca="false">IF(SUM($Y343:$Z343)&gt;0,SUM($Y343:$Z343),IF($H343&gt;0,0,"-"))</f>
        <v>-</v>
      </c>
      <c r="G343" s="499" t="str">
        <f aca="false">IF($H343&gt;0,minus(E343,F343),"-")</f>
        <v>-</v>
      </c>
      <c r="H343" s="500" t="n">
        <f aca="false">SUM(COUNTIF(MatchSource!$A:$A,$B343),COUNTIF(MatchSource!$H:$H,$B343))</f>
        <v>0</v>
      </c>
      <c r="I343" s="501" t="n">
        <f aca="false">SUM($AA343:$AB343)</f>
        <v>0</v>
      </c>
      <c r="J343" s="501" t="s">
        <v>702</v>
      </c>
      <c r="K343" s="512" t="str">
        <f aca="false" t="array" ref="K343:K343">IF(ISNA(INDEX(DraftRosters!$AA$3:$AA$199,MATCH($B343,DraftRosters!$AB$3:$AB$199,0))),"FA",IF(INDEX(DraftRosters!$AA$3:$AA$199,MATCH($B343,DraftRosters!$AB$3:$AB$199,0))="Franchise","Franch",INDEX(DraftRosters!$AA$3:$AA$199,MATCH($B343,DraftRosters!$AB$3:$AB$199,0))))</f>
        <v>FA</v>
      </c>
      <c r="L343" s="499" t="n">
        <v>45</v>
      </c>
      <c r="M343" s="499" t="n">
        <v>85</v>
      </c>
      <c r="N343" s="499" t="n">
        <v>70</v>
      </c>
      <c r="O343" s="499" t="n">
        <v>40</v>
      </c>
      <c r="P343" s="499" t="n">
        <v>40</v>
      </c>
      <c r="Q343" s="501" t="n">
        <v>60</v>
      </c>
      <c r="R343" s="499" t="s">
        <v>795</v>
      </c>
      <c r="S343" s="501" t="s">
        <v>810</v>
      </c>
      <c r="T343" s="504" t="s">
        <v>886</v>
      </c>
      <c r="U343" s="505" t="s">
        <v>816</v>
      </c>
      <c r="V343" s="506" t="s">
        <v>829</v>
      </c>
      <c r="W343" s="500" t="str">
        <f aca="false">IFERROR(__xludf.dummyfunction("if(isna(SUM(FILTER(MatchSource!$A:$D,MatchSource!$A:$A=$B343))),0,SUM(FILTER(MatchSource!$A:$D,MatchSource!$A:$A=$B343)))"),"0")</f>
        <v>0</v>
      </c>
      <c r="X343" s="499" t="str">
        <f aca="false">IFERROR(__xludf.dummyfunction("if(isna(SUM(FILTER(MatchSource!$H:$K,MatchSource!$H:$H=$B343))),0,SUM(FILTER(MatchSource!$H:$K,MatchSource!$H:$H=$B343)))"),"0")</f>
        <v>0</v>
      </c>
      <c r="Y343" s="499" t="str">
        <f aca="false">IFERROR(__xludf.dummyfunction("if(isna(ABS(MINUS(SUM(FILTER(MatchSource!$A:$E,MatchSource!$A:$A=$B343)),SUM($W343)))),0,ABS(MINUS(SUM(FILTER(MatchSource!$A:$E,MatchSource!$A:$A=$B343)),SUM($W343))))"),"0")</f>
        <v>0</v>
      </c>
      <c r="Z343" s="499" t="str">
        <f aca="false">IFERROR(__xludf.dummyfunction("if(isna(ABS(MINUS(SUM(FILTER(MatchSource!$H:$L,MatchSource!$H:$H=$B343)),SUM($X343)))),0,ABS(MINUS(SUM(FILTER(MatchSource!$H:$L,MatchSource!$H:$H=$B343)),SUM($X343))))"),"0")</f>
        <v>0</v>
      </c>
      <c r="AA343" s="499" t="str">
        <f aca="false">IFERROR(__xludf.dummyfunction("if(isna(ABS(MINUS(SUM(FILTER(MatchSource!$A:$F,MatchSource!$A:$A=$B343)),SUM($W343,$Y343)))),0,ABS(MINUS(SUM(FILTER(MatchSource!$A:$F,MatchSource!$A:$A=$B343)),SUM($W343, $Y343,))))"),"0")</f>
        <v>0</v>
      </c>
      <c r="AB343" s="501" t="str">
        <f aca="false">IFERROR(__xludf.dummyfunction("if(isna(ABS(MINUS(SUM(FILTER(MatchSource!$H:$M,MatchSource!$H:$H=$B343)),SUM($X343,$Z343)))),0,ABS(MINUS(SUM(FILTER(MatchSource!$H:$M,MatchSource!$H:$H=$B343)),SUM($X343,$Z343))))"),"0")</f>
        <v>0</v>
      </c>
      <c r="AC343" s="507" t="n">
        <f aca="false">SUM(IF(OR($R343="Grass",$R343="Psychic",$R343="Dark"),0-1,IF(OR($R343="Fighting",$R343="Flying",$R343="Fire",$R343="Ghost",$R343="Poison",$R343="Steel",$R343="Fairy"),1,0)),IF(OR($S343="Grass",$S343="Psychic",$S343="Dark"),0-1,IF(OR($S343="Fighting",$S343="Flying",$S343="Fire",$S343="Ghost",$S343="Poison",$S343="Steel",$S343="Fairy"),1,0)))</f>
        <v>0</v>
      </c>
      <c r="AD343" s="507" t="n">
        <f aca="false">SUM(IF(OR($R343="Ghost",$R343="Psychic"),0-1,IF(OR($R343="Fighting",$R343="Dark",$R343="Fairy"),1,0)),IF(OR($S343="Ghost",$S343="Psychic"),0-1,IF(OR($S343="Fighting",$S343="Dark",$S343="Fairy"),1,0)))</f>
        <v>1</v>
      </c>
      <c r="AE343" s="507" t="n">
        <f aca="false">IF(OR($R343="Fairy",$S343="Fairy"),4,SUM(IF($R343="Dragon",0-1,IF($R343="Steel",1,0)),IF($S343="Dragon",0-1,IF($S343="Steel",1,0))))</f>
        <v>1</v>
      </c>
      <c r="AF343" s="507" t="n">
        <f aca="false">IF(OR($R343="Ground",$S343="Ground"),4,SUM(IF(OR($R343="Flying",$R343="Water"),0-1,IF(OR($R343="Dragon",$R343="Electric",$R343="Grass"),1,0)),IF(OR($S343="Flying",$S343="Water"),0-1,IF(OR($S343="Dragon",$S343="Electric",$S343="Grass"),1,0))))</f>
        <v>0</v>
      </c>
      <c r="AG343" s="507" t="n">
        <f aca="false">SUM(IF(OR($R343="Dark",$R343="Dragon",$R343="Fighting"),0-1,IF(OR($R343="Steel",$R343="Poison",$R343="Fire"),1,0)),IF(OR($S343="Dark",$S343="Dragon",$S343="Fighting"),0-1,IF(OR($S343="Steel",$S343="Poison",$S343="Fire"),1,0)))</f>
        <v>0</v>
      </c>
      <c r="AH343" s="507" t="n">
        <f aca="false">IF(OR($R343="Ghost",$S343="Ghost"),4,SUM(IF(OR($R343="Dark",$R343="Ice",$R343="Normal",$R343="Rock",$R343="Steel"),0-1,IF(OR($R343="Bug",$R343="Fairy",$R343="Flying",$R343="Poison",$R343="Psychic"),1,0)),IF(OR($S343="Dark",$S343="Ice",$S343="Normal",$S343="Rock",$S343="Steel"),0-1,IF(OR($S343="Bug",$S343="Fairy",$S343="Flying",$S343="Poison",$S343="Psychic"),1,0))))</f>
        <v>-2</v>
      </c>
      <c r="AI343" s="507" t="n">
        <f aca="false">SUM(IF(OR($R343="Bug",$R343="Grass",$R343="Ice",$R343="Steel"),0-1,IF(OR($R343="Dragon",$R343="Fire",$R343="Rock",$R343="Water"),1,0)),IF(OR($S343="Bug",$S343="Grass",$S343="Ice",$S343="Steel"),0-1,IF(OR($S343="Dragon",$S343="Fire",$S343="Rock",$S343="Water"),1,0)))</f>
        <v>-1</v>
      </c>
      <c r="AJ343" s="507" t="n">
        <f aca="false">SUM(IF(OR($R343="Bug",$R343="Grass",$R343="Fighting"),0-1,IF(OR($R343="Electric",$R343="Rock",$R343="Steel"),1,0)),IF(OR($S343="Bug",$S343="Grass",$S343="Fighting"),0-1,IF(OR($S343="Electric",$S343="Rock",$S343="Steel"),1,0)))</f>
        <v>1</v>
      </c>
      <c r="AK343" s="507" t="n">
        <f aca="false">IF(OR($R343="Normal",$S343="Normal"),4,SUM(IF(OR($R343="Ghost",$R343="Psychic"),0-1,IF($R343="Dark",1,0)),IF(OR($S343="Ghost",$S343="Psychic"),0-1,IF($S343="Dark",1,0))))</f>
        <v>1</v>
      </c>
      <c r="AL343" s="507" t="n">
        <f aca="false">SUM(IF(OR($R343="Ground",$R343="Rock",$R343="Water"),0-1,IF(OR($R343="Bug",$R343="Flying",$R343="Fire",$R343="Dragon",$R343="Poison",$R343="Steel",$R343="Grass"),1,0)),IF(OR($S343="Ground",$S343="Rock",$S343="Water"),0-1,IF(OR($S343="Bug",$S343="Flying",$S343="Fire",$S343="Dragon",$S343="Poison",$S343="Steel",$S343="Grass"),1,0)))</f>
        <v>1</v>
      </c>
      <c r="AM343" s="507" t="n">
        <f aca="false">IF(OR($R343="Flying",$S343="Flying"),4,SUM(IF(OR($R343="Electric",$R343="Fire",$R343="Rock",$R343="Steel",$R343="Poison"),0-1,IF(OR($R343="Bug",$R343="Grass"),1,0)),IF(OR($S343="Electric",$S343="Fire",$S343="Rock",$S343="Steel",$S343="Poison"),0-1,IF(OR($S343="Bug",$S343="Grass"),1,0))))</f>
        <v>-1</v>
      </c>
      <c r="AN343" s="507" t="n">
        <f aca="false">SUM(IF(OR($R343="Flying",$R343="Dragon",$R343="Grass",$R343="Ground"),0-1,IF(OR($R343="Steel",$R343="Ice",$R343="Fire",$R343="Water"),1,0)),IF(OR($S343="Flying",$S343="Dragon",$S343="Grass",$S343="Ground"),0-1,IF(OR($S343="Steel",$S343="Ice",$S343="Fire",$S343="Water"),1,0)))</f>
        <v>1</v>
      </c>
      <c r="AO343" s="507" t="n">
        <f aca="false">IF(OR($R343="Ghost",$S343="Ghost"),4,SUM(IF(OR($R343="Steel",$R343="Rock"),1,0),IF(OR($S343="Steel",$S343="Rock"),1,0)))</f>
        <v>1</v>
      </c>
      <c r="AP343" s="507" t="n">
        <f aca="false">IF(OR($R343="Steel",$S343="Steel"),4,SUM(IF(OR($R343="Fairy",$R343="Grass"),0-1,IF(OR($R343="Ghost",$R343="Rock",$R343="Ground",$R343="Poison"),1,0)),IF(OR($S343="Fairy",$S343="Grass"),0-1,IF(OR($S343="Ghost",$S343="Rock",$S343="Ground",$S343="Poison"),1,0))))</f>
        <v>4</v>
      </c>
      <c r="AQ343" s="507" t="n">
        <f aca="false">IF(OR($R343="Dark",$S343="Dark"),4,SUM(IF(OR($R343="Fighting",$R343="Poison"),0-1,IF(OR($R343="Psychic",$R343="Steel"),1,0)),IF(OR($S343="Fighting",$S343="Poison"),0-1,IF(OR($S343="Psychic",$S343="Steel"),1,0))))</f>
        <v>4</v>
      </c>
      <c r="AR343" s="507" t="n">
        <f aca="false">SUM(IF(OR($R343="Bug",$R343="Fire",$R343="Flying",$R343="Ice"),0-1,IF(OR($R343="Steel",$R343="Fighting",$R343="Ground"),1,0)),IF(OR($S343="Bug",$S343="Fire",$S343="Flying",$S343="Ice"),0-1,IF(OR($S343="Steel",$S343="Fighting",$S343="Ground"),1,0)))</f>
        <v>1</v>
      </c>
      <c r="AS343" s="507" t="n">
        <f aca="false">SUM(IF(OR($R343="Fairy",$R343="Ice",$R343="Rock"),0-1,IF(OR($R343="Steel",$R343="Electric",$R343="Fire",$R343="Water"),1,0)),IF(OR($S343="Fairy",$S343="Ice",$S343="Rock"),0-1,IF(OR($S343="Steel",$S343="Electric",$S343="Fire",$S343="Water"),1,0)))</f>
        <v>1</v>
      </c>
      <c r="AT343" s="508" t="n">
        <f aca="false">SUM(IF(OR($R343="Fire",$R343="Ground",$R343="Rock"),0-1,IF(OR($R343="Dragon",$R343="Grass",$R343="Water"),1,0)),IF(OR($S343="Fire",$S343="Ground",$S343="Rock"),0-1,IF(OR($S343="Dragon",$S343="Grass",$S343="Water"),1,0)))</f>
        <v>0</v>
      </c>
      <c r="AU343" s="518"/>
    </row>
    <row r="344" customFormat="false" ht="15.75" hidden="false" customHeight="false" outlineLevel="0" collapsed="false">
      <c r="A344" s="510" t="str">
        <f aca="false" t="array" ref="A344:A344">IF(ISNA(INDEX(Source!$U$7:$U$95,MATCH(B344,Source!$V$7:$V$95,0))),"FREE",INDEX(Source!$U$7:$U$95,MATCH(B344,Source!$V$7:$V$95,0)))</f>
        <v>FREE</v>
      </c>
      <c r="B344" s="511" t="s">
        <v>522</v>
      </c>
      <c r="C344" s="511"/>
      <c r="D344" s="511"/>
      <c r="E344" s="499" t="str">
        <f aca="false">IF(SUM($W344:$X344)&gt;0,SUM($W344:$X344),IF($H344&gt;0,0,IF($H344&gt;0,0,"-")))</f>
        <v>-</v>
      </c>
      <c r="F344" s="499" t="str">
        <f aca="false">IF(SUM($Y344:$Z344)&gt;0,SUM($Y344:$Z344),IF($H344&gt;0,0,"-"))</f>
        <v>-</v>
      </c>
      <c r="G344" s="499" t="str">
        <f aca="false">IF($H344&gt;0,minus(E344,F344),"-")</f>
        <v>-</v>
      </c>
      <c r="H344" s="500" t="n">
        <f aca="false">SUM(COUNTIF(MatchSource!$A:$A,$B344),COUNTIF(MatchSource!$H:$H,$B344))</f>
        <v>0</v>
      </c>
      <c r="I344" s="501" t="n">
        <f aca="false">SUM($AA344:$AB344)</f>
        <v>0</v>
      </c>
      <c r="J344" s="501" t="s">
        <v>700</v>
      </c>
      <c r="K344" s="512" t="str">
        <f aca="false" t="array" ref="K344:K344">IF(ISNA(INDEX(DraftRosters!$AA$3:$AA$199,MATCH($B344,DraftRosters!$AB$3:$AB$199,0))),"FA",IF(INDEX(DraftRosters!$AA$3:$AA$199,MATCH($B344,DraftRosters!$AB$3:$AB$199,0))="Franchise","Franch",INDEX(DraftRosters!$AA$3:$AA$199,MATCH($B344,DraftRosters!$AB$3:$AB$199,0))))</f>
        <v>FA</v>
      </c>
      <c r="L344" s="499" t="n">
        <v>60</v>
      </c>
      <c r="M344" s="499" t="n">
        <v>50</v>
      </c>
      <c r="N344" s="499" t="n">
        <v>100</v>
      </c>
      <c r="O344" s="499" t="n">
        <v>95</v>
      </c>
      <c r="P344" s="499" t="n">
        <v>70</v>
      </c>
      <c r="Q344" s="501" t="n">
        <v>65</v>
      </c>
      <c r="R344" s="499" t="s">
        <v>801</v>
      </c>
      <c r="S344" s="501" t="s">
        <v>811</v>
      </c>
      <c r="T344" s="504" t="s">
        <v>897</v>
      </c>
      <c r="U344" s="505" t="s">
        <v>891</v>
      </c>
      <c r="V344" s="506" t="s">
        <v>1051</v>
      </c>
      <c r="W344" s="500" t="str">
        <f aca="false">IFERROR(__xludf.dummyfunction("if(isna(SUM(FILTER(MatchSource!$A:$D,MatchSource!$A:$A=$B344))),0,SUM(FILTER(MatchSource!$A:$D,MatchSource!$A:$A=$B344)))"),"0")</f>
        <v>0</v>
      </c>
      <c r="X344" s="499" t="str">
        <f aca="false">IFERROR(__xludf.dummyfunction("if(isna(SUM(FILTER(MatchSource!$H:$K,MatchSource!$H:$H=$B344))),0,SUM(FILTER(MatchSource!$H:$K,MatchSource!$H:$H=$B344)))"),"0")</f>
        <v>0</v>
      </c>
      <c r="Y344" s="499" t="str">
        <f aca="false">IFERROR(__xludf.dummyfunction("if(isna(ABS(MINUS(SUM(FILTER(MatchSource!$A:$E,MatchSource!$A:$A=$B344)),SUM($W344)))),0,ABS(MINUS(SUM(FILTER(MatchSource!$A:$E,MatchSource!$A:$A=$B344)),SUM($W344))))"),"0")</f>
        <v>0</v>
      </c>
      <c r="Z344" s="499" t="str">
        <f aca="false">IFERROR(__xludf.dummyfunction("if(isna(ABS(MINUS(SUM(FILTER(MatchSource!$H:$L,MatchSource!$H:$H=$B344)),SUM($X344)))),0,ABS(MINUS(SUM(FILTER(MatchSource!$H:$L,MatchSource!$H:$H=$B344)),SUM($X344))))"),"0")</f>
        <v>0</v>
      </c>
      <c r="AA344" s="499" t="str">
        <f aca="false">IFERROR(__xludf.dummyfunction("if(isna(ABS(MINUS(SUM(FILTER(MatchSource!$A:$F,MatchSource!$A:$A=$B344)),SUM($W344,$Y344)))),0,ABS(MINUS(SUM(FILTER(MatchSource!$A:$F,MatchSource!$A:$A=$B344)),SUM($W344, $Y344,))))"),"0")</f>
        <v>0</v>
      </c>
      <c r="AB344" s="501" t="str">
        <f aca="false">IFERROR(__xludf.dummyfunction("if(isna(ABS(MINUS(SUM(FILTER(MatchSource!$H:$M,MatchSource!$H:$H=$B344)),SUM($X344,$Z344)))),0,ABS(MINUS(SUM(FILTER(MatchSource!$H:$M,MatchSource!$H:$H=$B344)),SUM($X344,$Z344))))"),"0")</f>
        <v>0</v>
      </c>
      <c r="AC344" s="507" t="n">
        <f aca="false">SUM(IF(OR($R344="Grass",$R344="Psychic",$R344="Dark"),0-1,IF(OR($R344="Fighting",$R344="Flying",$R344="Fire",$R344="Ghost",$R344="Poison",$R344="Steel",$R344="Fairy"),1,0)),IF(OR($S344="Grass",$S344="Psychic",$S344="Dark"),0-1,IF(OR($S344="Fighting",$S344="Flying",$S344="Fire",$S344="Ghost",$S344="Poison",$S344="Steel",$S344="Fairy"),1,0)))</f>
        <v>1</v>
      </c>
      <c r="AD344" s="507" t="n">
        <f aca="false">SUM(IF(OR($R344="Ghost",$R344="Psychic"),0-1,IF(OR($R344="Fighting",$R344="Dark",$R344="Fairy"),1,0)),IF(OR($S344="Ghost",$S344="Psychic"),0-1,IF(OR($S344="Fighting",$S344="Dark",$S344="Fairy"),1,0)))</f>
        <v>0</v>
      </c>
      <c r="AE344" s="507" t="n">
        <f aca="false">IF(OR($R344="Fairy",$S344="Fairy"),4,SUM(IF($R344="Dragon",0-1,IF($R344="Steel",1,0)),IF($S344="Dragon",0-1,IF($S344="Steel",1,0))))</f>
        <v>0</v>
      </c>
      <c r="AF344" s="507" t="n">
        <f aca="false">IF(OR($R344="Ground",$S344="Ground"),4,SUM(IF(OR($R344="Flying",$R344="Water"),0-1,IF(OR($R344="Dragon",$R344="Electric",$R344="Grass"),1,0)),IF(OR($S344="Flying",$S344="Water"),0-1,IF(OR($S344="Dragon",$S344="Electric",$S344="Grass"),1,0))))</f>
        <v>-2</v>
      </c>
      <c r="AG344" s="507" t="n">
        <f aca="false">SUM(IF(OR($R344="Dark",$R344="Dragon",$R344="Fighting"),0-1,IF(OR($R344="Steel",$R344="Poison",$R344="Fire"),1,0)),IF(OR($S344="Dark",$S344="Dragon",$S344="Fighting"),0-1,IF(OR($S344="Steel",$S344="Poison",$S344="Fire"),1,0)))</f>
        <v>0</v>
      </c>
      <c r="AH344" s="507" t="n">
        <f aca="false">IF(OR($R344="Ghost",$S344="Ghost"),4,SUM(IF(OR($R344="Dark",$R344="Ice",$R344="Normal",$R344="Rock",$R344="Steel"),0-1,IF(OR($R344="Bug",$R344="Fairy",$R344="Flying",$R344="Poison",$R344="Psychic"),1,0)),IF(OR($S344="Dark",$S344="Ice",$S344="Normal",$S344="Rock",$S344="Steel"),0-1,IF(OR($S344="Bug",$S344="Fairy",$S344="Flying",$S344="Poison",$S344="Psychic"),1,0))))</f>
        <v>1</v>
      </c>
      <c r="AI344" s="507" t="n">
        <f aca="false">SUM(IF(OR($R344="Bug",$R344="Grass",$R344="Ice",$R344="Steel"),0-1,IF(OR($R344="Dragon",$R344="Fire",$R344="Rock",$R344="Water"),1,0)),IF(OR($S344="Bug",$S344="Grass",$S344="Ice",$S344="Steel"),0-1,IF(OR($S344="Dragon",$S344="Fire",$S344="Rock",$S344="Water"),1,0)))</f>
        <v>1</v>
      </c>
      <c r="AJ344" s="507" t="n">
        <f aca="false">SUM(IF(OR($R344="Bug",$R344="Grass",$R344="Fighting"),0-1,IF(OR($R344="Electric",$R344="Rock",$R344="Steel"),1,0)),IF(OR($S344="Bug",$S344="Grass",$S344="Fighting"),0-1,IF(OR($S344="Electric",$S344="Rock",$S344="Steel"),1,0)))</f>
        <v>0</v>
      </c>
      <c r="AK344" s="507" t="n">
        <f aca="false">IF(OR($R344="Normal",$S344="Normal"),4,SUM(IF(OR($R344="Ghost",$R344="Psychic"),0-1,IF($R344="Dark",1,0)),IF(OR($S344="Ghost",$S344="Psychic"),0-1,IF($S344="Dark",1,0))))</f>
        <v>0</v>
      </c>
      <c r="AL344" s="507" t="n">
        <f aca="false">SUM(IF(OR($R344="Ground",$R344="Rock",$R344="Water"),0-1,IF(OR($R344="Bug",$R344="Flying",$R344="Fire",$R344="Dragon",$R344="Poison",$R344="Steel",$R344="Grass"),1,0)),IF(OR($S344="Ground",$S344="Rock",$S344="Water"),0-1,IF(OR($S344="Bug",$S344="Flying",$S344="Fire",$S344="Dragon",$S344="Poison",$S344="Steel",$S344="Grass"),1,0)))</f>
        <v>0</v>
      </c>
      <c r="AM344" s="507" t="n">
        <f aca="false">IF(OR($R344="Flying",$S344="Flying"),4,SUM(IF(OR($R344="Electric",$R344="Fire",$R344="Rock",$R344="Steel",$R344="Poison"),0-1,IF(OR($R344="Bug",$R344="Grass"),1,0)),IF(OR($S344="Electric",$S344="Fire",$S344="Rock",$S344="Steel",$S344="Poison"),0-1,IF(OR($S344="Bug",$S344="Grass"),1,0))))</f>
        <v>4</v>
      </c>
      <c r="AN344" s="507" t="n">
        <f aca="false">SUM(IF(OR($R344="Flying",$R344="Dragon",$R344="Grass",$R344="Ground"),0-1,IF(OR($R344="Steel",$R344="Ice",$R344="Fire",$R344="Water"),1,0)),IF(OR($S344="Flying",$S344="Dragon",$S344="Grass",$S344="Ground"),0-1,IF(OR($S344="Steel",$S344="Ice",$S344="Fire",$S344="Water"),1,0)))</f>
        <v>0</v>
      </c>
      <c r="AO344" s="507" t="n">
        <f aca="false">IF(OR($R344="Ghost",$S344="Ghost"),4,SUM(IF(OR($R344="Steel",$R344="Rock"),1,0),IF(OR($S344="Steel",$S344="Rock"),1,0)))</f>
        <v>0</v>
      </c>
      <c r="AP344" s="507" t="n">
        <f aca="false">IF(OR($R344="Steel",$S344="Steel"),4,SUM(IF(OR($R344="Fairy",$R344="Grass"),0-1,IF(OR($R344="Ghost",$R344="Rock",$R344="Ground",$R344="Poison"),1,0)),IF(OR($S344="Fairy",$S344="Grass"),0-1,IF(OR($S344="Ghost",$S344="Rock",$S344="Ground",$S344="Poison"),1,0))))</f>
        <v>0</v>
      </c>
      <c r="AQ344" s="507" t="n">
        <f aca="false">IF(OR($R344="Dark",$S344="Dark"),4,SUM(IF(OR($R344="Fighting",$R344="Poison"),0-1,IF(OR($R344="Psychic",$R344="Steel"),1,0)),IF(OR($S344="Fighting",$S344="Poison"),0-1,IF(OR($S344="Psychic",$S344="Steel"),1,0))))</f>
        <v>0</v>
      </c>
      <c r="AR344" s="507" t="n">
        <f aca="false">SUM(IF(OR($R344="Bug",$R344="Fire",$R344="Flying",$R344="Ice"),0-1,IF(OR($R344="Steel",$R344="Fighting",$R344="Ground"),1,0)),IF(OR($S344="Bug",$S344="Fire",$S344="Flying",$S344="Ice"),0-1,IF(OR($S344="Steel",$S344="Fighting",$S344="Ground"),1,0)))</f>
        <v>-1</v>
      </c>
      <c r="AS344" s="507" t="n">
        <f aca="false">SUM(IF(OR($R344="Fairy",$R344="Ice",$R344="Rock"),0-1,IF(OR($R344="Steel",$R344="Electric",$R344="Fire",$R344="Water"),1,0)),IF(OR($S344="Fairy",$S344="Ice",$S344="Rock"),0-1,IF(OR($S344="Steel",$S344="Electric",$S344="Fire",$S344="Water"),1,0)))</f>
        <v>1</v>
      </c>
      <c r="AT344" s="508" t="n">
        <f aca="false">SUM(IF(OR($R344="Fire",$R344="Ground",$R344="Rock"),0-1,IF(OR($R344="Dragon",$R344="Grass",$R344="Water"),1,0)),IF(OR($S344="Fire",$S344="Ground",$S344="Rock"),0-1,IF(OR($S344="Dragon",$S344="Grass",$S344="Water"),1,0)))</f>
        <v>1</v>
      </c>
      <c r="AU344" s="518"/>
    </row>
    <row r="345" customFormat="false" ht="15.75" hidden="false" customHeight="false" outlineLevel="0" collapsed="false">
      <c r="A345" s="515" t="str">
        <f aca="false" t="array" ref="A345:A345">IF(ISNA(INDEX(Source!$U$7:$U$95,MATCH(B345,Source!$V$7:$V$95,0))),"FREE",INDEX(Source!$U$7:$U$95,MATCH(B345,Source!$V$7:$V$95,0)))</f>
        <v>FREE</v>
      </c>
      <c r="B345" s="511" t="s">
        <v>436</v>
      </c>
      <c r="C345" s="511"/>
      <c r="D345" s="511"/>
      <c r="E345" s="499" t="str">
        <f aca="false">IF(SUM($W345:$X345)&gt;0,SUM($W345:$X345),IF($H345&gt;0,0,IF($H345&gt;0,0,"-")))</f>
        <v>-</v>
      </c>
      <c r="F345" s="499" t="str">
        <f aca="false">IF(SUM($Y345:$Z345)&gt;0,SUM($Y345:$Z345),IF($H345&gt;0,0,"-"))</f>
        <v>-</v>
      </c>
      <c r="G345" s="499" t="str">
        <f aca="false">IF($H345&gt;0,minus(E345,F345),"-")</f>
        <v>-</v>
      </c>
      <c r="H345" s="500" t="n">
        <f aca="false">SUM(COUNTIF(MatchSource!$A:$A,$B345),COUNTIF(MatchSource!$H:$H,$B345))</f>
        <v>0</v>
      </c>
      <c r="I345" s="501" t="n">
        <f aca="false">SUM($AA345:$AB345)</f>
        <v>0</v>
      </c>
      <c r="J345" s="501" t="s">
        <v>702</v>
      </c>
      <c r="K345" s="512" t="str">
        <f aca="false" t="array" ref="K345:K345">IF(ISNA(INDEX(DraftRosters!$AA$3:$AA$199,MATCH($B345,DraftRosters!$AB$3:$AB$199,0))),"FA",IF(INDEX(DraftRosters!$AA$3:$AA$199,MATCH($B345,DraftRosters!$AB$3:$AB$199,0))="Franchise","Franch",INDEX(DraftRosters!$AA$3:$AA$199,MATCH($B345,DraftRosters!$AB$3:$AB$199,0))))</f>
        <v>FA</v>
      </c>
      <c r="L345" s="499" t="n">
        <v>65</v>
      </c>
      <c r="M345" s="499" t="n">
        <v>70</v>
      </c>
      <c r="N345" s="499" t="n">
        <v>60</v>
      </c>
      <c r="O345" s="499" t="n">
        <v>65</v>
      </c>
      <c r="P345" s="499" t="n">
        <v>65</v>
      </c>
      <c r="Q345" s="501" t="n">
        <v>115</v>
      </c>
      <c r="R345" s="499" t="s">
        <v>839</v>
      </c>
      <c r="S345" s="501"/>
      <c r="T345" s="504" t="s">
        <v>947</v>
      </c>
      <c r="U345" s="505" t="s">
        <v>822</v>
      </c>
      <c r="V345" s="506" t="s">
        <v>842</v>
      </c>
      <c r="W345" s="500" t="str">
        <f aca="false">IFERROR(__xludf.dummyfunction("if(isna(SUM(FILTER(MatchSource!$A:$D,MatchSource!$A:$A=$B345))),0,SUM(FILTER(MatchSource!$A:$D,MatchSource!$A:$A=$B345)))"),"0")</f>
        <v>0</v>
      </c>
      <c r="X345" s="499" t="str">
        <f aca="false">IFERROR(__xludf.dummyfunction("if(isna(SUM(FILTER(MatchSource!$H:$K,MatchSource!$H:$H=$B345))),0,SUM(FILTER(MatchSource!$H:$K,MatchSource!$H:$H=$B345)))"),"0")</f>
        <v>0</v>
      </c>
      <c r="Y345" s="499" t="str">
        <f aca="false">IFERROR(__xludf.dummyfunction("if(isna(ABS(MINUS(SUM(FILTER(MatchSource!$A:$E,MatchSource!$A:$A=$B345)),SUM($W345)))),0,ABS(MINUS(SUM(FILTER(MatchSource!$A:$E,MatchSource!$A:$A=$B345)),SUM($W345))))"),"0")</f>
        <v>0</v>
      </c>
      <c r="Z345" s="499" t="str">
        <f aca="false">IFERROR(__xludf.dummyfunction("if(isna(ABS(MINUS(SUM(FILTER(MatchSource!$H:$L,MatchSource!$H:$H=$B345)),SUM($X345)))),0,ABS(MINUS(SUM(FILTER(MatchSource!$H:$L,MatchSource!$H:$H=$B345)),SUM($X345))))"),"0")</f>
        <v>0</v>
      </c>
      <c r="AA345" s="499" t="str">
        <f aca="false">IFERROR(__xludf.dummyfunction("if(isna(ABS(MINUS(SUM(FILTER(MatchSource!$A:$F,MatchSource!$A:$A=$B345)),SUM($W345,$Y345)))),0,ABS(MINUS(SUM(FILTER(MatchSource!$A:$F,MatchSource!$A:$A=$B345)),SUM($W345, $Y345,))))"),"0")</f>
        <v>0</v>
      </c>
      <c r="AB345" s="501" t="str">
        <f aca="false">IFERROR(__xludf.dummyfunction("if(isna(ABS(MINUS(SUM(FILTER(MatchSource!$H:$M,MatchSource!$H:$H=$B345)),SUM($X345,$Z345)))),0,ABS(MINUS(SUM(FILTER(MatchSource!$H:$M,MatchSource!$H:$H=$B345)),SUM($X345,$Z345))))"),"0")</f>
        <v>0</v>
      </c>
      <c r="AC345" s="507" t="n">
        <f aca="false">SUM(IF(OR($R345="Grass",$R345="Psychic",$R345="Dark"),0-1,IF(OR($R345="Fighting",$R345="Flying",$R345="Fire",$R345="Ghost",$R345="Poison",$R345="Steel",$R345="Fairy"),1,0)),IF(OR($S345="Grass",$S345="Psychic",$S345="Dark"),0-1,IF(OR($S345="Fighting",$S345="Flying",$S345="Fire",$S345="Ghost",$S345="Poison",$S345="Steel",$S345="Fairy"),1,0)))</f>
        <v>0</v>
      </c>
      <c r="AD345" s="507" t="n">
        <f aca="false">SUM(IF(OR($R345="Ghost",$R345="Psychic"),0-1,IF(OR($R345="Fighting",$R345="Dark",$R345="Fairy"),1,0)),IF(OR($S345="Ghost",$S345="Psychic"),0-1,IF(OR($S345="Fighting",$S345="Dark",$S345="Fairy"),1,0)))</f>
        <v>0</v>
      </c>
      <c r="AE345" s="507" t="n">
        <f aca="false">IF(OR($R345="Fairy",$S345="Fairy"),4,SUM(IF($R345="Dragon",0-1,IF($R345="Steel",1,0)),IF($S345="Dragon",0-1,IF($S345="Steel",1,0))))</f>
        <v>0</v>
      </c>
      <c r="AF345" s="507" t="n">
        <f aca="false">IF(OR($R345="Ground",$S345="Ground"),4,SUM(IF(OR($R345="Flying",$R345="Water"),0-1,IF(OR($R345="Dragon",$R345="Electric",$R345="Grass"),1,0)),IF(OR($S345="Flying",$S345="Water"),0-1,IF(OR($S345="Dragon",$S345="Electric",$S345="Grass"),1,0))))</f>
        <v>0</v>
      </c>
      <c r="AG345" s="507" t="n">
        <f aca="false">SUM(IF(OR($R345="Dark",$R345="Dragon",$R345="Fighting"),0-1,IF(OR($R345="Steel",$R345="Poison",$R345="Fire"),1,0)),IF(OR($S345="Dark",$S345="Dragon",$S345="Fighting"),0-1,IF(OR($S345="Steel",$S345="Poison",$S345="Fire"),1,0)))</f>
        <v>0</v>
      </c>
      <c r="AH345" s="507" t="n">
        <f aca="false">IF(OR($R345="Ghost",$S345="Ghost"),4,SUM(IF(OR($R345="Dark",$R345="Ice",$R345="Normal",$R345="Rock",$R345="Steel"),0-1,IF(OR($R345="Bug",$R345="Fairy",$R345="Flying",$R345="Poison",$R345="Psychic"),1,0)),IF(OR($S345="Dark",$S345="Ice",$S345="Normal",$S345="Rock",$S345="Steel"),0-1,IF(OR($S345="Bug",$S345="Fairy",$S345="Flying",$S345="Poison",$S345="Psychic"),1,0))))</f>
        <v>-1</v>
      </c>
      <c r="AI345" s="507" t="n">
        <f aca="false">SUM(IF(OR($R345="Bug",$R345="Grass",$R345="Ice",$R345="Steel"),0-1,IF(OR($R345="Dragon",$R345="Fire",$R345="Rock",$R345="Water"),1,0)),IF(OR($S345="Bug",$S345="Grass",$S345="Ice",$S345="Steel"),0-1,IF(OR($S345="Dragon",$S345="Fire",$S345="Rock",$S345="Water"),1,0)))</f>
        <v>0</v>
      </c>
      <c r="AJ345" s="507" t="n">
        <f aca="false">SUM(IF(OR($R345="Bug",$R345="Grass",$R345="Fighting"),0-1,IF(OR($R345="Electric",$R345="Rock",$R345="Steel"),1,0)),IF(OR($S345="Bug",$S345="Grass",$S345="Fighting"),0-1,IF(OR($S345="Electric",$S345="Rock",$S345="Steel"),1,0)))</f>
        <v>0</v>
      </c>
      <c r="AK345" s="507" t="n">
        <f aca="false">IF(OR($R345="Normal",$S345="Normal"),4,SUM(IF(OR($R345="Ghost",$R345="Psychic"),0-1,IF($R345="Dark",1,0)),IF(OR($S345="Ghost",$S345="Psychic"),0-1,IF($S345="Dark",1,0))))</f>
        <v>4</v>
      </c>
      <c r="AL345" s="507" t="n">
        <f aca="false">SUM(IF(OR($R345="Ground",$R345="Rock",$R345="Water"),0-1,IF(OR($R345="Bug",$R345="Flying",$R345="Fire",$R345="Dragon",$R345="Poison",$R345="Steel",$R345="Grass"),1,0)),IF(OR($S345="Ground",$S345="Rock",$S345="Water"),0-1,IF(OR($S345="Bug",$S345="Flying",$S345="Fire",$S345="Dragon",$S345="Poison",$S345="Steel",$S345="Grass"),1,0)))</f>
        <v>0</v>
      </c>
      <c r="AM345" s="507" t="n">
        <f aca="false">IF(OR($R345="Flying",$S345="Flying"),4,SUM(IF(OR($R345="Electric",$R345="Fire",$R345="Rock",$R345="Steel",$R345="Poison"),0-1,IF(OR($R345="Bug",$R345="Grass"),1,0)),IF(OR($S345="Electric",$S345="Fire",$S345="Rock",$S345="Steel",$S345="Poison"),0-1,IF(OR($S345="Bug",$S345="Grass"),1,0))))</f>
        <v>0</v>
      </c>
      <c r="AN345" s="507" t="n">
        <f aca="false">SUM(IF(OR($R345="Flying",$R345="Dragon",$R345="Grass",$R345="Ground"),0-1,IF(OR($R345="Steel",$R345="Ice",$R345="Fire",$R345="Water"),1,0)),IF(OR($S345="Flying",$S345="Dragon",$S345="Grass",$S345="Ground"),0-1,IF(OR($S345="Steel",$S345="Ice",$S345="Fire",$S345="Water"),1,0)))</f>
        <v>0</v>
      </c>
      <c r="AO345" s="507" t="n">
        <f aca="false">IF(OR($R345="Ghost",$S345="Ghost"),4,SUM(IF(OR($R345="Steel",$R345="Rock"),1,0),IF(OR($S345="Steel",$S345="Rock"),1,0)))</f>
        <v>0</v>
      </c>
      <c r="AP345" s="507" t="n">
        <f aca="false">IF(OR($R345="Steel",$S345="Steel"),4,SUM(IF(OR($R345="Fairy",$R345="Grass"),0-1,IF(OR($R345="Ghost",$R345="Rock",$R345="Ground",$R345="Poison"),1,0)),IF(OR($S345="Fairy",$S345="Grass"),0-1,IF(OR($S345="Ghost",$S345="Rock",$S345="Ground",$S345="Poison"),1,0))))</f>
        <v>0</v>
      </c>
      <c r="AQ345" s="507" t="n">
        <f aca="false">IF(OR($R345="Dark",$S345="Dark"),4,SUM(IF(OR($R345="Fighting",$R345="Poison"),0-1,IF(OR($R345="Psychic",$R345="Steel"),1,0)),IF(OR($S345="Fighting",$S345="Poison"),0-1,IF(OR($S345="Psychic",$S345="Steel"),1,0))))</f>
        <v>0</v>
      </c>
      <c r="AR345" s="507" t="n">
        <f aca="false">SUM(IF(OR($R345="Bug",$R345="Fire",$R345="Flying",$R345="Ice"),0-1,IF(OR($R345="Steel",$R345="Fighting",$R345="Ground"),1,0)),IF(OR($S345="Bug",$S345="Fire",$S345="Flying",$S345="Ice"),0-1,IF(OR($S345="Steel",$S345="Fighting",$S345="Ground"),1,0)))</f>
        <v>0</v>
      </c>
      <c r="AS345" s="507" t="n">
        <f aca="false">SUM(IF(OR($R345="Fairy",$R345="Ice",$R345="Rock"),0-1,IF(OR($R345="Steel",$R345="Electric",$R345="Fire",$R345="Water"),1,0)),IF(OR($S345="Fairy",$S345="Ice",$S345="Rock"),0-1,IF(OR($S345="Steel",$S345="Electric",$S345="Fire",$S345="Water"),1,0)))</f>
        <v>0</v>
      </c>
      <c r="AT345" s="508" t="n">
        <f aca="false">SUM(IF(OR($R345="Fire",$R345="Ground",$R345="Rock"),0-1,IF(OR($R345="Dragon",$R345="Grass",$R345="Water"),1,0)),IF(OR($S345="Fire",$S345="Ground",$S345="Rock"),0-1,IF(OR($S345="Dragon",$S345="Grass",$S345="Water"),1,0)))</f>
        <v>0</v>
      </c>
      <c r="AU345" s="518"/>
    </row>
    <row r="346" customFormat="false" ht="15.75" hidden="false" customHeight="false" outlineLevel="0" collapsed="false">
      <c r="A346" s="510" t="str">
        <f aca="false" t="array" ref="A346:A346">IF(ISNA(INDEX(Source!$U$7:$U$95,MATCH(B346,Source!$V$7:$V$95,0))),"FREE",INDEX(Source!$U$7:$U$95,MATCH(B346,Source!$V$7:$V$95,0)))</f>
        <v>FREE</v>
      </c>
      <c r="B346" s="511" t="s">
        <v>762</v>
      </c>
      <c r="C346" s="511"/>
      <c r="D346" s="511"/>
      <c r="E346" s="499" t="str">
        <f aca="false">IF(SUM($W346:$X346)&gt;0,SUM($W346:$X346),IF($H346&gt;0,0,IF($H346&gt;0,0,"-")))</f>
        <v>-</v>
      </c>
      <c r="F346" s="499" t="str">
        <f aca="false">IF(SUM($Y346:$Z346)&gt;0,SUM($Y346:$Z346),IF($H346&gt;0,0,"-"))</f>
        <v>-</v>
      </c>
      <c r="G346" s="499" t="str">
        <f aca="false">IF($H346&gt;0,minus(E346,F346),"-")</f>
        <v>-</v>
      </c>
      <c r="H346" s="500" t="n">
        <f aca="false">SUM(COUNTIF(MatchSource!$A:$A,$B346),COUNTIF(MatchSource!$H:$H,$B346))</f>
        <v>0</v>
      </c>
      <c r="I346" s="501" t="n">
        <f aca="false">SUM($AA346:$AB346)</f>
        <v>0</v>
      </c>
      <c r="J346" s="501" t="s">
        <v>702</v>
      </c>
      <c r="K346" s="512" t="str">
        <f aca="false" t="array" ref="K346:K346">IF(ISNA(INDEX(DraftRosters!$AA$3:$AA$199,MATCH($B346,DraftRosters!$AB$3:$AB$199,0))),"FA",IF(INDEX(DraftRosters!$AA$3:$AA$199,MATCH($B346,DraftRosters!$AB$3:$AB$199,0))="Franchise","Franch",INDEX(DraftRosters!$AA$3:$AA$199,MATCH($B346,DraftRosters!$AB$3:$AB$199,0))))</f>
        <v>FA</v>
      </c>
      <c r="L346" s="499" t="n">
        <v>65</v>
      </c>
      <c r="M346" s="499" t="n">
        <v>60</v>
      </c>
      <c r="N346" s="499" t="n">
        <v>60</v>
      </c>
      <c r="O346" s="499" t="n">
        <v>75</v>
      </c>
      <c r="P346" s="499" t="n">
        <v>65</v>
      </c>
      <c r="Q346" s="501" t="n">
        <v>115</v>
      </c>
      <c r="R346" s="499" t="s">
        <v>795</v>
      </c>
      <c r="S346" s="501"/>
      <c r="T346" s="504" t="s">
        <v>975</v>
      </c>
      <c r="U346" s="505" t="s">
        <v>842</v>
      </c>
      <c r="V346" s="506" t="s">
        <v>961</v>
      </c>
      <c r="W346" s="500" t="str">
        <f aca="false">IFERROR(__xludf.dummyfunction("if(isna(SUM(FILTER(MatchSource!$A:$D,MatchSource!$A:$A=$B346))),0,SUM(FILTER(MatchSource!$A:$D,MatchSource!$A:$A=$B346)))"),"0")</f>
        <v>0</v>
      </c>
      <c r="X346" s="499" t="str">
        <f aca="false">IFERROR(__xludf.dummyfunction("if(isna(SUM(FILTER(MatchSource!$H:$K,MatchSource!$H:$H=$B346))),0,SUM(FILTER(MatchSource!$H:$K,MatchSource!$H:$H=$B346)))"),"0")</f>
        <v>0</v>
      </c>
      <c r="Y346" s="499" t="str">
        <f aca="false">IFERROR(__xludf.dummyfunction("if(isna(ABS(MINUS(SUM(FILTER(MatchSource!$A:$E,MatchSource!$A:$A=$B346)),SUM($W346)))),0,ABS(MINUS(SUM(FILTER(MatchSource!$A:$E,MatchSource!$A:$A=$B346)),SUM($W346))))"),"0")</f>
        <v>0</v>
      </c>
      <c r="Z346" s="499" t="str">
        <f aca="false">IFERROR(__xludf.dummyfunction("if(isna(ABS(MINUS(SUM(FILTER(MatchSource!$H:$L,MatchSource!$H:$H=$B346)),SUM($X346)))),0,ABS(MINUS(SUM(FILTER(MatchSource!$H:$L,MatchSource!$H:$H=$B346)),SUM($X346))))"),"0")</f>
        <v>0</v>
      </c>
      <c r="AA346" s="499" t="str">
        <f aca="false">IFERROR(__xludf.dummyfunction("if(isna(ABS(MINUS(SUM(FILTER(MatchSource!$A:$F,MatchSource!$A:$A=$B346)),SUM($W346,$Y346)))),0,ABS(MINUS(SUM(FILTER(MatchSource!$A:$F,MatchSource!$A:$A=$B346)),SUM($W346, $Y346,))))"),"0")</f>
        <v>0</v>
      </c>
      <c r="AB346" s="501" t="str">
        <f aca="false">IFERROR(__xludf.dummyfunction("if(isna(ABS(MINUS(SUM(FILTER(MatchSource!$H:$M,MatchSource!$H:$H=$B346)),SUM($X346,$Z346)))),0,ABS(MINUS(SUM(FILTER(MatchSource!$H:$M,MatchSource!$H:$H=$B346)),SUM($X346,$Z346))))"),"0")</f>
        <v>0</v>
      </c>
      <c r="AC346" s="507" t="n">
        <f aca="false">SUM(IF(OR($R346="Grass",$R346="Psychic",$R346="Dark"),0-1,IF(OR($R346="Fighting",$R346="Flying",$R346="Fire",$R346="Ghost",$R346="Poison",$R346="Steel",$R346="Fairy"),1,0)),IF(OR($S346="Grass",$S346="Psychic",$S346="Dark"),0-1,IF(OR($S346="Fighting",$S346="Flying",$S346="Fire",$S346="Ghost",$S346="Poison",$S346="Steel",$S346="Fairy"),1,0)))</f>
        <v>-1</v>
      </c>
      <c r="AD346" s="507" t="n">
        <f aca="false">SUM(IF(OR($R346="Ghost",$R346="Psychic"),0-1,IF(OR($R346="Fighting",$R346="Dark",$R346="Fairy"),1,0)),IF(OR($S346="Ghost",$S346="Psychic"),0-1,IF(OR($S346="Fighting",$S346="Dark",$S346="Fairy"),1,0)))</f>
        <v>1</v>
      </c>
      <c r="AE346" s="507" t="n">
        <f aca="false">IF(OR($R346="Fairy",$S346="Fairy"),4,SUM(IF($R346="Dragon",0-1,IF($R346="Steel",1,0)),IF($S346="Dragon",0-1,IF($S346="Steel",1,0))))</f>
        <v>0</v>
      </c>
      <c r="AF346" s="507" t="n">
        <f aca="false">IF(OR($R346="Ground",$S346="Ground"),4,SUM(IF(OR($R346="Flying",$R346="Water"),0-1,IF(OR($R346="Dragon",$R346="Electric",$R346="Grass"),1,0)),IF(OR($S346="Flying",$S346="Water"),0-1,IF(OR($S346="Dragon",$S346="Electric",$S346="Grass"),1,0))))</f>
        <v>0</v>
      </c>
      <c r="AG346" s="507" t="n">
        <f aca="false">SUM(IF(OR($R346="Dark",$R346="Dragon",$R346="Fighting"),0-1,IF(OR($R346="Steel",$R346="Poison",$R346="Fire"),1,0)),IF(OR($S346="Dark",$S346="Dragon",$S346="Fighting"),0-1,IF(OR($S346="Steel",$S346="Poison",$S346="Fire"),1,0)))</f>
        <v>-1</v>
      </c>
      <c r="AH346" s="507" t="n">
        <f aca="false">IF(OR($R346="Ghost",$S346="Ghost"),4,SUM(IF(OR($R346="Dark",$R346="Ice",$R346="Normal",$R346="Rock",$R346="Steel"),0-1,IF(OR($R346="Bug",$R346="Fairy",$R346="Flying",$R346="Poison",$R346="Psychic"),1,0)),IF(OR($S346="Dark",$S346="Ice",$S346="Normal",$S346="Rock",$S346="Steel"),0-1,IF(OR($S346="Bug",$S346="Fairy",$S346="Flying",$S346="Poison",$S346="Psychic"),1,0))))</f>
        <v>-1</v>
      </c>
      <c r="AI346" s="507" t="n">
        <f aca="false">SUM(IF(OR($R346="Bug",$R346="Grass",$R346="Ice",$R346="Steel"),0-1,IF(OR($R346="Dragon",$R346="Fire",$R346="Rock",$R346="Water"),1,0)),IF(OR($S346="Bug",$S346="Grass",$S346="Ice",$S346="Steel"),0-1,IF(OR($S346="Dragon",$S346="Fire",$S346="Rock",$S346="Water"),1,0)))</f>
        <v>0</v>
      </c>
      <c r="AJ346" s="507" t="n">
        <f aca="false">SUM(IF(OR($R346="Bug",$R346="Grass",$R346="Fighting"),0-1,IF(OR($R346="Electric",$R346="Rock",$R346="Steel"),1,0)),IF(OR($S346="Bug",$S346="Grass",$S346="Fighting"),0-1,IF(OR($S346="Electric",$S346="Rock",$S346="Steel"),1,0)))</f>
        <v>0</v>
      </c>
      <c r="AK346" s="507" t="n">
        <f aca="false">IF(OR($R346="Normal",$S346="Normal"),4,SUM(IF(OR($R346="Ghost",$R346="Psychic"),0-1,IF($R346="Dark",1,0)),IF(OR($S346="Ghost",$S346="Psychic"),0-1,IF($S346="Dark",1,0))))</f>
        <v>1</v>
      </c>
      <c r="AL346" s="507" t="n">
        <f aca="false">SUM(IF(OR($R346="Ground",$R346="Rock",$R346="Water"),0-1,IF(OR($R346="Bug",$R346="Flying",$R346="Fire",$R346="Dragon",$R346="Poison",$R346="Steel",$R346="Grass"),1,0)),IF(OR($S346="Ground",$S346="Rock",$S346="Water"),0-1,IF(OR($S346="Bug",$S346="Flying",$S346="Fire",$S346="Dragon",$S346="Poison",$S346="Steel",$S346="Grass"),1,0)))</f>
        <v>0</v>
      </c>
      <c r="AM346" s="507" t="n">
        <f aca="false">IF(OR($R346="Flying",$S346="Flying"),4,SUM(IF(OR($R346="Electric",$R346="Fire",$R346="Rock",$R346="Steel",$R346="Poison"),0-1,IF(OR($R346="Bug",$R346="Grass"),1,0)),IF(OR($S346="Electric",$S346="Fire",$S346="Rock",$S346="Steel",$S346="Poison"),0-1,IF(OR($S346="Bug",$S346="Grass"),1,0))))</f>
        <v>0</v>
      </c>
      <c r="AN346" s="507" t="n">
        <f aca="false">SUM(IF(OR($R346="Flying",$R346="Dragon",$R346="Grass",$R346="Ground"),0-1,IF(OR($R346="Steel",$R346="Ice",$R346="Fire",$R346="Water"),1,0)),IF(OR($S346="Flying",$S346="Dragon",$S346="Grass",$S346="Ground"),0-1,IF(OR($S346="Steel",$S346="Ice",$S346="Fire",$S346="Water"),1,0)))</f>
        <v>0</v>
      </c>
      <c r="AO346" s="507" t="n">
        <f aca="false">IF(OR($R346="Ghost",$S346="Ghost"),4,SUM(IF(OR($R346="Steel",$R346="Rock"),1,0),IF(OR($S346="Steel",$S346="Rock"),1,0)))</f>
        <v>0</v>
      </c>
      <c r="AP346" s="507" t="n">
        <f aca="false">IF(OR($R346="Steel",$S346="Steel"),4,SUM(IF(OR($R346="Fairy",$R346="Grass"),0-1,IF(OR($R346="Ghost",$R346="Rock",$R346="Ground",$R346="Poison"),1,0)),IF(OR($S346="Fairy",$S346="Grass"),0-1,IF(OR($S346="Ghost",$S346="Rock",$S346="Ground",$S346="Poison"),1,0))))</f>
        <v>0</v>
      </c>
      <c r="AQ346" s="507" t="n">
        <f aca="false">IF(OR($R346="Dark",$S346="Dark"),4,SUM(IF(OR($R346="Fighting",$R346="Poison"),0-1,IF(OR($R346="Psychic",$R346="Steel"),1,0)),IF(OR($S346="Fighting",$S346="Poison"),0-1,IF(OR($S346="Psychic",$S346="Steel"),1,0))))</f>
        <v>4</v>
      </c>
      <c r="AR346" s="507" t="n">
        <f aca="false">SUM(IF(OR($R346="Bug",$R346="Fire",$R346="Flying",$R346="Ice"),0-1,IF(OR($R346="Steel",$R346="Fighting",$R346="Ground"),1,0)),IF(OR($S346="Bug",$S346="Fire",$S346="Flying",$S346="Ice"),0-1,IF(OR($S346="Steel",$S346="Fighting",$S346="Ground"),1,0)))</f>
        <v>0</v>
      </c>
      <c r="AS346" s="507" t="n">
        <f aca="false">SUM(IF(OR($R346="Fairy",$R346="Ice",$R346="Rock"),0-1,IF(OR($R346="Steel",$R346="Electric",$R346="Fire",$R346="Water"),1,0)),IF(OR($S346="Fairy",$S346="Ice",$S346="Rock"),0-1,IF(OR($S346="Steel",$S346="Electric",$S346="Fire",$S346="Water"),1,0)))</f>
        <v>0</v>
      </c>
      <c r="AT346" s="508" t="n">
        <f aca="false">SUM(IF(OR($R346="Fire",$R346="Ground",$R346="Rock"),0-1,IF(OR($R346="Dragon",$R346="Grass",$R346="Water"),1,0)),IF(OR($S346="Fire",$S346="Ground",$S346="Rock"),0-1,IF(OR($S346="Dragon",$S346="Grass",$S346="Water"),1,0)))</f>
        <v>0</v>
      </c>
      <c r="AU346" s="518"/>
    </row>
    <row r="347" customFormat="false" ht="15.75" hidden="false" customHeight="false" outlineLevel="0" collapsed="false">
      <c r="A347" s="510" t="str">
        <f aca="false" t="array" ref="A347:A347">IF(ISNA(INDEX(Source!$U$7:$U$95,MATCH(B347,Source!$V$7:$V$95,0))),"FREE",INDEX(Source!$U$7:$U$95,MATCH(B347,Source!$V$7:$V$95,0)))</f>
        <v>FREE</v>
      </c>
      <c r="B347" s="511" t="s">
        <v>1052</v>
      </c>
      <c r="C347" s="511"/>
      <c r="D347" s="511"/>
      <c r="E347" s="499" t="str">
        <f aca="false">IF(SUM($W347:$X347)&gt;0,SUM($W347:$X347),IF($H347&gt;0,0,IF($H347&gt;0,0,"-")))</f>
        <v>-</v>
      </c>
      <c r="F347" s="499" t="str">
        <f aca="false">IF(SUM($Y347:$Z347)&gt;0,SUM($Y347:$Z347),IF($H347&gt;0,0,"-"))</f>
        <v>-</v>
      </c>
      <c r="G347" s="499" t="str">
        <f aca="false">IF($H347&gt;0,minus(E347,F347),"-")</f>
        <v>-</v>
      </c>
      <c r="H347" s="500" t="n">
        <f aca="false">SUM(COUNTIF(MatchSource!$A:$A,$B347),COUNTIF(MatchSource!$H:$H,$B347))</f>
        <v>0</v>
      </c>
      <c r="I347" s="501" t="n">
        <f aca="false">SUM($AA347:$AB347)</f>
        <v>0</v>
      </c>
      <c r="J347" s="501" t="s">
        <v>888</v>
      </c>
      <c r="K347" s="512" t="str">
        <f aca="false" t="array" ref="K347:K347">IF(ISNA(INDEX(DraftRosters!$AA$3:$AA$199,MATCH($B347,DraftRosters!$AB$3:$AB$199,0))),"FA",IF(INDEX(DraftRosters!$AA$3:$AA$199,MATCH($B347,DraftRosters!$AB$3:$AB$199,0))="Franchise","Franch",INDEX(DraftRosters!$AA$3:$AA$199,MATCH($B347,DraftRosters!$AB$3:$AB$199,0))))</f>
        <v>FA</v>
      </c>
      <c r="L347" s="499" t="n">
        <v>71</v>
      </c>
      <c r="M347" s="499" t="n">
        <v>131</v>
      </c>
      <c r="N347" s="499" t="n">
        <v>37</v>
      </c>
      <c r="O347" s="499" t="n">
        <v>137</v>
      </c>
      <c r="P347" s="499" t="n">
        <v>37</v>
      </c>
      <c r="Q347" s="501" t="n">
        <v>151</v>
      </c>
      <c r="R347" s="499" t="s">
        <v>794</v>
      </c>
      <c r="S347" s="501" t="s">
        <v>881</v>
      </c>
      <c r="T347" s="504" t="s">
        <v>889</v>
      </c>
      <c r="U347" s="505"/>
      <c r="V347" s="506"/>
      <c r="W347" s="500" t="str">
        <f aca="false">IFERROR(__xludf.dummyfunction("if(isna(SUM(FILTER(MatchSource!$A:$D,MatchSource!$A:$A=$B347))),0,SUM(FILTER(MatchSource!$A:$D,MatchSource!$A:$A=$B347)))"),"0")</f>
        <v>0</v>
      </c>
      <c r="X347" s="499" t="str">
        <f aca="false">IFERROR(__xludf.dummyfunction("if(isna(SUM(FILTER(MatchSource!$H:$K,MatchSource!$H:$H=$B347))),0,SUM(FILTER(MatchSource!$H:$K,MatchSource!$H:$H=$B347)))"),"0")</f>
        <v>0</v>
      </c>
      <c r="Y347" s="499" t="str">
        <f aca="false">IFERROR(__xludf.dummyfunction("if(isna(ABS(MINUS(SUM(FILTER(MatchSource!$A:$E,MatchSource!$A:$A=$B347)),SUM($W347)))),0,ABS(MINUS(SUM(FILTER(MatchSource!$A:$E,MatchSource!$A:$A=$B347)),SUM($W347))))"),"0")</f>
        <v>0</v>
      </c>
      <c r="Z347" s="499" t="str">
        <f aca="false">IFERROR(__xludf.dummyfunction("if(isna(ABS(MINUS(SUM(FILTER(MatchSource!$H:$L,MatchSource!$H:$H=$B347)),SUM($X347)))),0,ABS(MINUS(SUM(FILTER(MatchSource!$H:$L,MatchSource!$H:$H=$B347)),SUM($X347))))"),"0")</f>
        <v>0</v>
      </c>
      <c r="AA347" s="499" t="str">
        <f aca="false">IFERROR(__xludf.dummyfunction("if(isna(ABS(MINUS(SUM(FILTER(MatchSource!$A:$F,MatchSource!$A:$A=$B347)),SUM($W347,$Y347)))),0,ABS(MINUS(SUM(FILTER(MatchSource!$A:$F,MatchSource!$A:$A=$B347)),SUM($W347, $Y347,))))"),"0")</f>
        <v>0</v>
      </c>
      <c r="AB347" s="501" t="str">
        <f aca="false">IFERROR(__xludf.dummyfunction("if(isna(ABS(MINUS(SUM(FILTER(MatchSource!$H:$M,MatchSource!$H:$H=$B347)),SUM($X347,$Z347)))),0,ABS(MINUS(SUM(FILTER(MatchSource!$H:$M,MatchSource!$H:$H=$B347)),SUM($X347,$Z347))))"),"0")</f>
        <v>0</v>
      </c>
      <c r="AC347" s="507" t="n">
        <f aca="false">SUM(IF(OR($R347="Grass",$R347="Psychic",$R347="Dark"),0-1,IF(OR($R347="Fighting",$R347="Flying",$R347="Fire",$R347="Ghost",$R347="Poison",$R347="Steel",$R347="Fairy"),1,0)),IF(OR($S347="Grass",$S347="Psychic",$S347="Dark"),0-1,IF(OR($S347="Fighting",$S347="Flying",$S347="Fire",$S347="Ghost",$S347="Poison",$S347="Steel",$S347="Fairy"),1,0)))</f>
        <v>1</v>
      </c>
      <c r="AD347" s="507" t="n">
        <f aca="false">SUM(IF(OR($R347="Ghost",$R347="Psychic"),0-1,IF(OR($R347="Fighting",$R347="Dark",$R347="Fairy"),1,0)),IF(OR($S347="Ghost",$S347="Psychic"),0-1,IF(OR($S347="Fighting",$S347="Dark",$S347="Fairy"),1,0)))</f>
        <v>1</v>
      </c>
      <c r="AE347" s="507" t="n">
        <f aca="false">IF(OR($R347="Fairy",$S347="Fairy"),4,SUM(IF($R347="Dragon",0-1,IF($R347="Steel",1,0)),IF($S347="Dragon",0-1,IF($S347="Steel",1,0))))</f>
        <v>0</v>
      </c>
      <c r="AF347" s="507" t="n">
        <f aca="false">IF(OR($R347="Ground",$S347="Ground"),4,SUM(IF(OR($R347="Flying",$R347="Water"),0-1,IF(OR($R347="Dragon",$R347="Electric",$R347="Grass"),1,0)),IF(OR($S347="Flying",$S347="Water"),0-1,IF(OR($S347="Dragon",$S347="Electric",$S347="Grass"),1,0))))</f>
        <v>0</v>
      </c>
      <c r="AG347" s="507" t="n">
        <f aca="false">SUM(IF(OR($R347="Dark",$R347="Dragon",$R347="Fighting"),0-1,IF(OR($R347="Steel",$R347="Poison",$R347="Fire"),1,0)),IF(OR($S347="Dark",$S347="Dragon",$S347="Fighting"),0-1,IF(OR($S347="Steel",$S347="Poison",$S347="Fire"),1,0)))</f>
        <v>-1</v>
      </c>
      <c r="AH347" s="507" t="n">
        <f aca="false">IF(OR($R347="Ghost",$S347="Ghost"),4,SUM(IF(OR($R347="Dark",$R347="Ice",$R347="Normal",$R347="Rock",$R347="Steel"),0-1,IF(OR($R347="Bug",$R347="Fairy",$R347="Flying",$R347="Poison",$R347="Psychic"),1,0)),IF(OR($S347="Dark",$S347="Ice",$S347="Normal",$S347="Rock",$S347="Steel"),0-1,IF(OR($S347="Bug",$S347="Fairy",$S347="Flying",$S347="Poison",$S347="Psychic"),1,0))))</f>
        <v>1</v>
      </c>
      <c r="AI347" s="507" t="n">
        <f aca="false">SUM(IF(OR($R347="Bug",$R347="Grass",$R347="Ice",$R347="Steel"),0-1,IF(OR($R347="Dragon",$R347="Fire",$R347="Rock",$R347="Water"),1,0)),IF(OR($S347="Bug",$S347="Grass",$S347="Ice",$S347="Steel"),0-1,IF(OR($S347="Dragon",$S347="Fire",$S347="Rock",$S347="Water"),1,0)))</f>
        <v>-1</v>
      </c>
      <c r="AJ347" s="507" t="n">
        <f aca="false">SUM(IF(OR($R347="Bug",$R347="Grass",$R347="Fighting"),0-1,IF(OR($R347="Electric",$R347="Rock",$R347="Steel"),1,0)),IF(OR($S347="Bug",$S347="Grass",$S347="Fighting"),0-1,IF(OR($S347="Electric",$S347="Rock",$S347="Steel"),1,0)))</f>
        <v>-2</v>
      </c>
      <c r="AK347" s="507" t="n">
        <f aca="false">IF(OR($R347="Normal",$S347="Normal"),4,SUM(IF(OR($R347="Ghost",$R347="Psychic"),0-1,IF($R347="Dark",1,0)),IF(OR($S347="Ghost",$S347="Psychic"),0-1,IF($S347="Dark",1,0))))</f>
        <v>0</v>
      </c>
      <c r="AL347" s="507" t="n">
        <f aca="false">SUM(IF(OR($R347="Ground",$R347="Rock",$R347="Water"),0-1,IF(OR($R347="Bug",$R347="Flying",$R347="Fire",$R347="Dragon",$R347="Poison",$R347="Steel",$R347="Grass"),1,0)),IF(OR($S347="Ground",$S347="Rock",$S347="Water"),0-1,IF(OR($S347="Bug",$S347="Flying",$S347="Fire",$S347="Dragon",$S347="Poison",$S347="Steel",$S347="Grass"),1,0)))</f>
        <v>1</v>
      </c>
      <c r="AM347" s="507" t="n">
        <f aca="false">IF(OR($R347="Flying",$S347="Flying"),4,SUM(IF(OR($R347="Electric",$R347="Fire",$R347="Rock",$R347="Steel",$R347="Poison"),0-1,IF(OR($R347="Bug",$R347="Grass"),1,0)),IF(OR($S347="Electric",$S347="Fire",$S347="Rock",$S347="Steel",$S347="Poison"),0-1,IF(OR($S347="Bug",$S347="Grass"),1,0))))</f>
        <v>1</v>
      </c>
      <c r="AN347" s="507" t="n">
        <f aca="false">SUM(IF(OR($R347="Flying",$R347="Dragon",$R347="Grass",$R347="Ground"),0-1,IF(OR($R347="Steel",$R347="Ice",$R347="Fire",$R347="Water"),1,0)),IF(OR($S347="Flying",$S347="Dragon",$S347="Grass",$S347="Ground"),0-1,IF(OR($S347="Steel",$S347="Ice",$S347="Fire",$S347="Water"),1,0)))</f>
        <v>0</v>
      </c>
      <c r="AO347" s="507" t="n">
        <f aca="false">IF(OR($R347="Ghost",$S347="Ghost"),4,SUM(IF(OR($R347="Steel",$R347="Rock"),1,0),IF(OR($S347="Steel",$S347="Rock"),1,0)))</f>
        <v>0</v>
      </c>
      <c r="AP347" s="507" t="n">
        <f aca="false">IF(OR($R347="Steel",$S347="Steel"),4,SUM(IF(OR($R347="Fairy",$R347="Grass"),0-1,IF(OR($R347="Ghost",$R347="Rock",$R347="Ground",$R347="Poison"),1,0)),IF(OR($S347="Fairy",$S347="Grass"),0-1,IF(OR($S347="Ghost",$S347="Rock",$S347="Ground",$S347="Poison"),1,0))))</f>
        <v>0</v>
      </c>
      <c r="AQ347" s="507" t="n">
        <f aca="false">IF(OR($R347="Dark",$S347="Dark"),4,SUM(IF(OR($R347="Fighting",$R347="Poison"),0-1,IF(OR($R347="Psychic",$R347="Steel"),1,0)),IF(OR($S347="Fighting",$S347="Poison"),0-1,IF(OR($S347="Psychic",$S347="Steel"),1,0))))</f>
        <v>-1</v>
      </c>
      <c r="AR347" s="507" t="n">
        <f aca="false">SUM(IF(OR($R347="Bug",$R347="Fire",$R347="Flying",$R347="Ice"),0-1,IF(OR($R347="Steel",$R347="Fighting",$R347="Ground"),1,0)),IF(OR($S347="Bug",$S347="Fire",$S347="Flying",$S347="Ice"),0-1,IF(OR($S347="Steel",$S347="Fighting",$S347="Ground"),1,0)))</f>
        <v>0</v>
      </c>
      <c r="AS347" s="507" t="n">
        <f aca="false">SUM(IF(OR($R347="Fairy",$R347="Ice",$R347="Rock"),0-1,IF(OR($R347="Steel",$R347="Electric",$R347="Fire",$R347="Water"),1,0)),IF(OR($S347="Fairy",$S347="Ice",$S347="Rock"),0-1,IF(OR($S347="Steel",$S347="Electric",$S347="Fire",$S347="Water"),1,0)))</f>
        <v>0</v>
      </c>
      <c r="AT347" s="508" t="n">
        <f aca="false">SUM(IF(OR($R347="Fire",$R347="Ground",$R347="Rock"),0-1,IF(OR($R347="Dragon",$R347="Grass",$R347="Water"),1,0)),IF(OR($S347="Fire",$S347="Ground",$S347="Rock"),0-1,IF(OR($S347="Dragon",$S347="Grass",$S347="Water"),1,0)))</f>
        <v>0</v>
      </c>
      <c r="AU347" s="518"/>
    </row>
    <row r="348" customFormat="false" ht="15.75" hidden="false" customHeight="false" outlineLevel="0" collapsed="false">
      <c r="A348" s="515" t="str">
        <f aca="false" t="array" ref="A348:A348">IF(ISNA(INDEX(Source!$U$7:$U$95,MATCH(B348,Source!$V$7:$V$95,0))),"FREE",INDEX(Source!$U$7:$U$95,MATCH(B348,Source!$V$7:$V$95,0)))</f>
        <v>FREE</v>
      </c>
      <c r="B348" s="511" t="s">
        <v>441</v>
      </c>
      <c r="C348" s="511"/>
      <c r="D348" s="511"/>
      <c r="E348" s="499" t="str">
        <f aca="false">IF(SUM($W348:$X348)&gt;0,SUM($W348:$X348),IF($H348&gt;0,0,IF($H348&gt;0,0,"-")))</f>
        <v>-</v>
      </c>
      <c r="F348" s="499" t="str">
        <f aca="false">IF(SUM($Y348:$Z348)&gt;0,SUM($Y348:$Z348),IF($H348&gt;0,0,"-"))</f>
        <v>-</v>
      </c>
      <c r="G348" s="499" t="str">
        <f aca="false">IF($H348&gt;0,minus(E348,F348),"-")</f>
        <v>-</v>
      </c>
      <c r="H348" s="500" t="n">
        <f aca="false">SUM(COUNTIF(MatchSource!$A:$A,$B348),COUNTIF(MatchSource!$H:$H,$B348))</f>
        <v>0</v>
      </c>
      <c r="I348" s="501" t="n">
        <f aca="false">SUM($AA348:$AB348)</f>
        <v>0</v>
      </c>
      <c r="J348" s="501" t="s">
        <v>702</v>
      </c>
      <c r="K348" s="512" t="str">
        <f aca="false" t="array" ref="K348:K348">IF(ISNA(INDEX(DraftRosters!$AA$3:$AA$199,MATCH($B348,DraftRosters!$AB$3:$AB$199,0))),"FA",IF(INDEX(DraftRosters!$AA$3:$AA$199,MATCH($B348,DraftRosters!$AB$3:$AB$199,0))="Franchise","Franch",INDEX(DraftRosters!$AA$3:$AA$199,MATCH($B348,DraftRosters!$AB$3:$AB$199,0))))</f>
        <v>FA</v>
      </c>
      <c r="L348" s="499" t="n">
        <v>80</v>
      </c>
      <c r="M348" s="499" t="n">
        <v>80</v>
      </c>
      <c r="N348" s="499" t="n">
        <v>80</v>
      </c>
      <c r="O348" s="499" t="n">
        <v>80</v>
      </c>
      <c r="P348" s="499" t="n">
        <v>80</v>
      </c>
      <c r="Q348" s="501" t="n">
        <v>80</v>
      </c>
      <c r="R348" s="499" t="s">
        <v>811</v>
      </c>
      <c r="S348" s="501"/>
      <c r="T348" s="504" t="s">
        <v>819</v>
      </c>
      <c r="U348" s="505"/>
      <c r="V348" s="506"/>
      <c r="W348" s="500" t="str">
        <f aca="false">IFERROR(__xludf.dummyfunction("if(isna(SUM(FILTER(MatchSource!$A:$D,MatchSource!$A:$A=$B348))),0,SUM(FILTER(MatchSource!$A:$D,MatchSource!$A:$A=$B348)))"),"0")</f>
        <v>0</v>
      </c>
      <c r="X348" s="499" t="str">
        <f aca="false">IFERROR(__xludf.dummyfunction("if(isna(SUM(FILTER(MatchSource!$H:$K,MatchSource!$H:$H=$B348))),0,SUM(FILTER(MatchSource!$H:$K,MatchSource!$H:$H=$B348)))"),"0")</f>
        <v>0</v>
      </c>
      <c r="Y348" s="499" t="str">
        <f aca="false">IFERROR(__xludf.dummyfunction("if(isna(ABS(MINUS(SUM(FILTER(MatchSource!$A:$E,MatchSource!$A:$A=$B348)),SUM($W348)))),0,ABS(MINUS(SUM(FILTER(MatchSource!$A:$E,MatchSource!$A:$A=$B348)),SUM($W348))))"),"0")</f>
        <v>0</v>
      </c>
      <c r="Z348" s="499" t="str">
        <f aca="false">IFERROR(__xludf.dummyfunction("if(isna(ABS(MINUS(SUM(FILTER(MatchSource!$H:$L,MatchSource!$H:$H=$B348)),SUM($X348)))),0,ABS(MINUS(SUM(FILTER(MatchSource!$H:$L,MatchSource!$H:$H=$B348)),SUM($X348))))"),"0")</f>
        <v>0</v>
      </c>
      <c r="AA348" s="499" t="str">
        <f aca="false">IFERROR(__xludf.dummyfunction("if(isna(ABS(MINUS(SUM(FILTER(MatchSource!$A:$F,MatchSource!$A:$A=$B348)),SUM($W348,$Y348)))),0,ABS(MINUS(SUM(FILTER(MatchSource!$A:$F,MatchSource!$A:$A=$B348)),SUM($W348, $Y348,))))"),"0")</f>
        <v>0</v>
      </c>
      <c r="AB348" s="501" t="str">
        <f aca="false">IFERROR(__xludf.dummyfunction("if(isna(ABS(MINUS(SUM(FILTER(MatchSource!$H:$M,MatchSource!$H:$H=$B348)),SUM($X348,$Z348)))),0,ABS(MINUS(SUM(FILTER(MatchSource!$H:$M,MatchSource!$H:$H=$B348)),SUM($X348,$Z348))))"),"0")</f>
        <v>0</v>
      </c>
      <c r="AC348" s="507" t="n">
        <f aca="false">SUM(IF(OR($R348="Grass",$R348="Psychic",$R348="Dark"),0-1,IF(OR($R348="Fighting",$R348="Flying",$R348="Fire",$R348="Ghost",$R348="Poison",$R348="Steel",$R348="Fairy"),1,0)),IF(OR($S348="Grass",$S348="Psychic",$S348="Dark"),0-1,IF(OR($S348="Fighting",$S348="Flying",$S348="Fire",$S348="Ghost",$S348="Poison",$S348="Steel",$S348="Fairy"),1,0)))</f>
        <v>0</v>
      </c>
      <c r="AD348" s="507" t="n">
        <f aca="false">SUM(IF(OR($R348="Ghost",$R348="Psychic"),0-1,IF(OR($R348="Fighting",$R348="Dark",$R348="Fairy"),1,0)),IF(OR($S348="Ghost",$S348="Psychic"),0-1,IF(OR($S348="Fighting",$S348="Dark",$S348="Fairy"),1,0)))</f>
        <v>0</v>
      </c>
      <c r="AE348" s="507" t="n">
        <f aca="false">IF(OR($R348="Fairy",$S348="Fairy"),4,SUM(IF($R348="Dragon",0-1,IF($R348="Steel",1,0)),IF($S348="Dragon",0-1,IF($S348="Steel",1,0))))</f>
        <v>0</v>
      </c>
      <c r="AF348" s="507" t="n">
        <f aca="false">IF(OR($R348="Ground",$S348="Ground"),4,SUM(IF(OR($R348="Flying",$R348="Water"),0-1,IF(OR($R348="Dragon",$R348="Electric",$R348="Grass"),1,0)),IF(OR($S348="Flying",$S348="Water"),0-1,IF(OR($S348="Dragon",$S348="Electric",$S348="Grass"),1,0))))</f>
        <v>-1</v>
      </c>
      <c r="AG348" s="507" t="n">
        <f aca="false">SUM(IF(OR($R348="Dark",$R348="Dragon",$R348="Fighting"),0-1,IF(OR($R348="Steel",$R348="Poison",$R348="Fire"),1,0)),IF(OR($S348="Dark",$S348="Dragon",$S348="Fighting"),0-1,IF(OR($S348="Steel",$S348="Poison",$S348="Fire"),1,0)))</f>
        <v>0</v>
      </c>
      <c r="AH348" s="507" t="n">
        <f aca="false">IF(OR($R348="Ghost",$S348="Ghost"),4,SUM(IF(OR($R348="Dark",$R348="Ice",$R348="Normal",$R348="Rock",$R348="Steel"),0-1,IF(OR($R348="Bug",$R348="Fairy",$R348="Flying",$R348="Poison",$R348="Psychic"),1,0)),IF(OR($S348="Dark",$S348="Ice",$S348="Normal",$S348="Rock",$S348="Steel"),0-1,IF(OR($S348="Bug",$S348="Fairy",$S348="Flying",$S348="Poison",$S348="Psychic"),1,0))))</f>
        <v>0</v>
      </c>
      <c r="AI348" s="507" t="n">
        <f aca="false">SUM(IF(OR($R348="Bug",$R348="Grass",$R348="Ice",$R348="Steel"),0-1,IF(OR($R348="Dragon",$R348="Fire",$R348="Rock",$R348="Water"),1,0)),IF(OR($S348="Bug",$S348="Grass",$S348="Ice",$S348="Steel"),0-1,IF(OR($S348="Dragon",$S348="Fire",$S348="Rock",$S348="Water"),1,0)))</f>
        <v>1</v>
      </c>
      <c r="AJ348" s="507" t="n">
        <f aca="false">SUM(IF(OR($R348="Bug",$R348="Grass",$R348="Fighting"),0-1,IF(OR($R348="Electric",$R348="Rock",$R348="Steel"),1,0)),IF(OR($S348="Bug",$S348="Grass",$S348="Fighting"),0-1,IF(OR($S348="Electric",$S348="Rock",$S348="Steel"),1,0)))</f>
        <v>0</v>
      </c>
      <c r="AK348" s="507" t="n">
        <f aca="false">IF(OR($R348="Normal",$S348="Normal"),4,SUM(IF(OR($R348="Ghost",$R348="Psychic"),0-1,IF($R348="Dark",1,0)),IF(OR($S348="Ghost",$S348="Psychic"),0-1,IF($S348="Dark",1,0))))</f>
        <v>0</v>
      </c>
      <c r="AL348" s="507" t="n">
        <f aca="false">SUM(IF(OR($R348="Ground",$R348="Rock",$R348="Water"),0-1,IF(OR($R348="Bug",$R348="Flying",$R348="Fire",$R348="Dragon",$R348="Poison",$R348="Steel",$R348="Grass"),1,0)),IF(OR($S348="Ground",$S348="Rock",$S348="Water"),0-1,IF(OR($S348="Bug",$S348="Flying",$S348="Fire",$S348="Dragon",$S348="Poison",$S348="Steel",$S348="Grass"),1,0)))</f>
        <v>-1</v>
      </c>
      <c r="AM348" s="507" t="n">
        <f aca="false">IF(OR($R348="Flying",$S348="Flying"),4,SUM(IF(OR($R348="Electric",$R348="Fire",$R348="Rock",$R348="Steel",$R348="Poison"),0-1,IF(OR($R348="Bug",$R348="Grass"),1,0)),IF(OR($S348="Electric",$S348="Fire",$S348="Rock",$S348="Steel",$S348="Poison"),0-1,IF(OR($S348="Bug",$S348="Grass"),1,0))))</f>
        <v>0</v>
      </c>
      <c r="AN348" s="507" t="n">
        <f aca="false">SUM(IF(OR($R348="Flying",$R348="Dragon",$R348="Grass",$R348="Ground"),0-1,IF(OR($R348="Steel",$R348="Ice",$R348="Fire",$R348="Water"),1,0)),IF(OR($S348="Flying",$S348="Dragon",$S348="Grass",$S348="Ground"),0-1,IF(OR($S348="Steel",$S348="Ice",$S348="Fire",$S348="Water"),1,0)))</f>
        <v>1</v>
      </c>
      <c r="AO348" s="507" t="n">
        <f aca="false">IF(OR($R348="Ghost",$S348="Ghost"),4,SUM(IF(OR($R348="Steel",$R348="Rock"),1,0),IF(OR($S348="Steel",$S348="Rock"),1,0)))</f>
        <v>0</v>
      </c>
      <c r="AP348" s="507" t="n">
        <f aca="false">IF(OR($R348="Steel",$S348="Steel"),4,SUM(IF(OR($R348="Fairy",$R348="Grass"),0-1,IF(OR($R348="Ghost",$R348="Rock",$R348="Ground",$R348="Poison"),1,0)),IF(OR($S348="Fairy",$S348="Grass"),0-1,IF(OR($S348="Ghost",$S348="Rock",$S348="Ground",$S348="Poison"),1,0))))</f>
        <v>0</v>
      </c>
      <c r="AQ348" s="507" t="n">
        <f aca="false">IF(OR($R348="Dark",$S348="Dark"),4,SUM(IF(OR($R348="Fighting",$R348="Poison"),0-1,IF(OR($R348="Psychic",$R348="Steel"),1,0)),IF(OR($S348="Fighting",$S348="Poison"),0-1,IF(OR($S348="Psychic",$S348="Steel"),1,0))))</f>
        <v>0</v>
      </c>
      <c r="AR348" s="507" t="n">
        <f aca="false">SUM(IF(OR($R348="Bug",$R348="Fire",$R348="Flying",$R348="Ice"),0-1,IF(OR($R348="Steel",$R348="Fighting",$R348="Ground"),1,0)),IF(OR($S348="Bug",$S348="Fire",$S348="Flying",$S348="Ice"),0-1,IF(OR($S348="Steel",$S348="Fighting",$S348="Ground"),1,0)))</f>
        <v>0</v>
      </c>
      <c r="AS348" s="507" t="n">
        <f aca="false">SUM(IF(OR($R348="Fairy",$R348="Ice",$R348="Rock"),0-1,IF(OR($R348="Steel",$R348="Electric",$R348="Fire",$R348="Water"),1,0)),IF(OR($S348="Fairy",$S348="Ice",$S348="Rock"),0-1,IF(OR($S348="Steel",$S348="Electric",$S348="Fire",$S348="Water"),1,0)))</f>
        <v>1</v>
      </c>
      <c r="AT348" s="508" t="n">
        <f aca="false">SUM(IF(OR($R348="Fire",$R348="Ground",$R348="Rock"),0-1,IF(OR($R348="Dragon",$R348="Grass",$R348="Water"),1,0)),IF(OR($S348="Fire",$S348="Ground",$S348="Rock"),0-1,IF(OR($S348="Dragon",$S348="Grass",$S348="Water"),1,0)))</f>
        <v>1</v>
      </c>
      <c r="AU348" s="518"/>
    </row>
    <row r="349" customFormat="false" ht="15.75" hidden="false" customHeight="false" outlineLevel="0" collapsed="false">
      <c r="A349" s="515" t="str">
        <f aca="false" t="array" ref="A349:A349">IF(ISNA(INDEX(Source!$U$7:$U$95,MATCH(B349,Source!$V$7:$V$95,0))),"FREE",INDEX(Source!$U$7:$U$95,MATCH(B349,Source!$V$7:$V$95,0)))</f>
        <v>FREE</v>
      </c>
      <c r="B349" s="511" t="s">
        <v>445</v>
      </c>
      <c r="C349" s="511"/>
      <c r="D349" s="511"/>
      <c r="E349" s="499" t="str">
        <f aca="false">IF(SUM($W349:$X349)&gt;0,SUM($W349:$X349),IF($H349&gt;0,0,IF($H349&gt;0,0,"-")))</f>
        <v>-</v>
      </c>
      <c r="F349" s="499" t="str">
        <f aca="false">IF(SUM($Y349:$Z349)&gt;0,SUM($Y349:$Z349),IF($H349&gt;0,0,"-"))</f>
        <v>-</v>
      </c>
      <c r="G349" s="499" t="str">
        <f aca="false">IF($H349&gt;0,minus(E349,F349),"-")</f>
        <v>-</v>
      </c>
      <c r="H349" s="500" t="n">
        <f aca="false">SUM(COUNTIF(MatchSource!$A:$A,$B349),COUNTIF(MatchSource!$H:$H,$B349))</f>
        <v>0</v>
      </c>
      <c r="I349" s="501" t="n">
        <f aca="false">SUM($AA349:$AB349)</f>
        <v>0</v>
      </c>
      <c r="J349" s="501" t="s">
        <v>702</v>
      </c>
      <c r="K349" s="512" t="str">
        <f aca="false" t="array" ref="K349:K349">IF(ISNA(INDEX(DraftRosters!$AA$3:$AA$199,MATCH($B349,DraftRosters!$AB$3:$AB$199,0))),"FA",IF(INDEX(DraftRosters!$AA$3:$AA$199,MATCH($B349,DraftRosters!$AB$3:$AB$199,0))="Franchise","Franch",INDEX(DraftRosters!$AA$3:$AA$199,MATCH($B349,DraftRosters!$AB$3:$AB$199,0))))</f>
        <v>FA</v>
      </c>
      <c r="L349" s="499" t="n">
        <v>83</v>
      </c>
      <c r="M349" s="499" t="n">
        <v>80</v>
      </c>
      <c r="N349" s="499" t="n">
        <v>75</v>
      </c>
      <c r="O349" s="499" t="n">
        <v>70</v>
      </c>
      <c r="P349" s="499" t="n">
        <v>70</v>
      </c>
      <c r="Q349" s="501" t="n">
        <v>101</v>
      </c>
      <c r="R349" s="499" t="s">
        <v>801</v>
      </c>
      <c r="S349" s="501" t="s">
        <v>839</v>
      </c>
      <c r="T349" s="504" t="s">
        <v>917</v>
      </c>
      <c r="U349" s="505" t="s">
        <v>918</v>
      </c>
      <c r="V349" s="506" t="s">
        <v>897</v>
      </c>
      <c r="W349" s="500" t="str">
        <f aca="false">IFERROR(__xludf.dummyfunction("if(isna(SUM(FILTER(MatchSource!$A:$D,MatchSource!$A:$A=$B349))),0,SUM(FILTER(MatchSource!$A:$D,MatchSource!$A:$A=$B349)))"),"0")</f>
        <v>0</v>
      </c>
      <c r="X349" s="499" t="str">
        <f aca="false">IFERROR(__xludf.dummyfunction("if(isna(SUM(FILTER(MatchSource!$H:$K,MatchSource!$H:$H=$B349))),0,SUM(FILTER(MatchSource!$H:$K,MatchSource!$H:$H=$B349)))"),"0")</f>
        <v>0</v>
      </c>
      <c r="Y349" s="499" t="str">
        <f aca="false">IFERROR(__xludf.dummyfunction("if(isna(ABS(MINUS(SUM(FILTER(MatchSource!$A:$E,MatchSource!$A:$A=$B349)),SUM($W349)))),0,ABS(MINUS(SUM(FILTER(MatchSource!$A:$E,MatchSource!$A:$A=$B349)),SUM($W349))))"),"0")</f>
        <v>0</v>
      </c>
      <c r="Z349" s="499" t="str">
        <f aca="false">IFERROR(__xludf.dummyfunction("if(isna(ABS(MINUS(SUM(FILTER(MatchSource!$H:$L,MatchSource!$H:$H=$B349)),SUM($X349)))),0,ABS(MINUS(SUM(FILTER(MatchSource!$H:$L,MatchSource!$H:$H=$B349)),SUM($X349))))"),"0")</f>
        <v>0</v>
      </c>
      <c r="AA349" s="499" t="str">
        <f aca="false">IFERROR(__xludf.dummyfunction("if(isna(ABS(MINUS(SUM(FILTER(MatchSource!$A:$F,MatchSource!$A:$A=$B349)),SUM($W349,$Y349)))),0,ABS(MINUS(SUM(FILTER(MatchSource!$A:$F,MatchSource!$A:$A=$B349)),SUM($W349, $Y349,))))"),"0")</f>
        <v>0</v>
      </c>
      <c r="AB349" s="501" t="str">
        <f aca="false">IFERROR(__xludf.dummyfunction("if(isna(ABS(MINUS(SUM(FILTER(MatchSource!$H:$M,MatchSource!$H:$H=$B349)),SUM($X349,$Z349)))),0,ABS(MINUS(SUM(FILTER(MatchSource!$H:$M,MatchSource!$H:$H=$B349)),SUM($X349,$Z349))))"),"0")</f>
        <v>0</v>
      </c>
      <c r="AC349" s="507" t="n">
        <f aca="false">SUM(IF(OR($R349="Grass",$R349="Psychic",$R349="Dark"),0-1,IF(OR($R349="Fighting",$R349="Flying",$R349="Fire",$R349="Ghost",$R349="Poison",$R349="Steel",$R349="Fairy"),1,0)),IF(OR($S349="Grass",$S349="Psychic",$S349="Dark"),0-1,IF(OR($S349="Fighting",$S349="Flying",$S349="Fire",$S349="Ghost",$S349="Poison",$S349="Steel",$S349="Fairy"),1,0)))</f>
        <v>1</v>
      </c>
      <c r="AD349" s="507" t="n">
        <f aca="false">SUM(IF(OR($R349="Ghost",$R349="Psychic"),0-1,IF(OR($R349="Fighting",$R349="Dark",$R349="Fairy"),1,0)),IF(OR($S349="Ghost",$S349="Psychic"),0-1,IF(OR($S349="Fighting",$S349="Dark",$S349="Fairy"),1,0)))</f>
        <v>0</v>
      </c>
      <c r="AE349" s="507" t="n">
        <f aca="false">IF(OR($R349="Fairy",$S349="Fairy"),4,SUM(IF($R349="Dragon",0-1,IF($R349="Steel",1,0)),IF($S349="Dragon",0-1,IF($S349="Steel",1,0))))</f>
        <v>0</v>
      </c>
      <c r="AF349" s="507" t="n">
        <f aca="false">IF(OR($R349="Ground",$S349="Ground"),4,SUM(IF(OR($R349="Flying",$R349="Water"),0-1,IF(OR($R349="Dragon",$R349="Electric",$R349="Grass"),1,0)),IF(OR($S349="Flying",$S349="Water"),0-1,IF(OR($S349="Dragon",$S349="Electric",$S349="Grass"),1,0))))</f>
        <v>-1</v>
      </c>
      <c r="AG349" s="507" t="n">
        <f aca="false">SUM(IF(OR($R349="Dark",$R349="Dragon",$R349="Fighting"),0-1,IF(OR($R349="Steel",$R349="Poison",$R349="Fire"),1,0)),IF(OR($S349="Dark",$S349="Dragon",$S349="Fighting"),0-1,IF(OR($S349="Steel",$S349="Poison",$S349="Fire"),1,0)))</f>
        <v>0</v>
      </c>
      <c r="AH349" s="507" t="n">
        <f aca="false">IF(OR($R349="Ghost",$S349="Ghost"),4,SUM(IF(OR($R349="Dark",$R349="Ice",$R349="Normal",$R349="Rock",$R349="Steel"),0-1,IF(OR($R349="Bug",$R349="Fairy",$R349="Flying",$R349="Poison",$R349="Psychic"),1,0)),IF(OR($S349="Dark",$S349="Ice",$S349="Normal",$S349="Rock",$S349="Steel"),0-1,IF(OR($S349="Bug",$S349="Fairy",$S349="Flying",$S349="Poison",$S349="Psychic"),1,0))))</f>
        <v>0</v>
      </c>
      <c r="AI349" s="507" t="n">
        <f aca="false">SUM(IF(OR($R349="Bug",$R349="Grass",$R349="Ice",$R349="Steel"),0-1,IF(OR($R349="Dragon",$R349="Fire",$R349="Rock",$R349="Water"),1,0)),IF(OR($S349="Bug",$S349="Grass",$S349="Ice",$S349="Steel"),0-1,IF(OR($S349="Dragon",$S349="Fire",$S349="Rock",$S349="Water"),1,0)))</f>
        <v>0</v>
      </c>
      <c r="AJ349" s="507" t="n">
        <f aca="false">SUM(IF(OR($R349="Bug",$R349="Grass",$R349="Fighting"),0-1,IF(OR($R349="Electric",$R349="Rock",$R349="Steel"),1,0)),IF(OR($S349="Bug",$S349="Grass",$S349="Fighting"),0-1,IF(OR($S349="Electric",$S349="Rock",$S349="Steel"),1,0)))</f>
        <v>0</v>
      </c>
      <c r="AK349" s="507" t="n">
        <f aca="false">IF(OR($R349="Normal",$S349="Normal"),4,SUM(IF(OR($R349="Ghost",$R349="Psychic"),0-1,IF($R349="Dark",1,0)),IF(OR($S349="Ghost",$S349="Psychic"),0-1,IF($S349="Dark",1,0))))</f>
        <v>4</v>
      </c>
      <c r="AL349" s="507" t="n">
        <f aca="false">SUM(IF(OR($R349="Ground",$R349="Rock",$R349="Water"),0-1,IF(OR($R349="Bug",$R349="Flying",$R349="Fire",$R349="Dragon",$R349="Poison",$R349="Steel",$R349="Grass"),1,0)),IF(OR($S349="Ground",$S349="Rock",$S349="Water"),0-1,IF(OR($S349="Bug",$S349="Flying",$S349="Fire",$S349="Dragon",$S349="Poison",$S349="Steel",$S349="Grass"),1,0)))</f>
        <v>1</v>
      </c>
      <c r="AM349" s="507" t="n">
        <f aca="false">IF(OR($R349="Flying",$S349="Flying"),4,SUM(IF(OR($R349="Electric",$R349="Fire",$R349="Rock",$R349="Steel",$R349="Poison"),0-1,IF(OR($R349="Bug",$R349="Grass"),1,0)),IF(OR($S349="Electric",$S349="Fire",$S349="Rock",$S349="Steel",$S349="Poison"),0-1,IF(OR($S349="Bug",$S349="Grass"),1,0))))</f>
        <v>4</v>
      </c>
      <c r="AN349" s="507" t="n">
        <f aca="false">SUM(IF(OR($R349="Flying",$R349="Dragon",$R349="Grass",$R349="Ground"),0-1,IF(OR($R349="Steel",$R349="Ice",$R349="Fire",$R349="Water"),1,0)),IF(OR($S349="Flying",$S349="Dragon",$S349="Grass",$S349="Ground"),0-1,IF(OR($S349="Steel",$S349="Ice",$S349="Fire",$S349="Water"),1,0)))</f>
        <v>-1</v>
      </c>
      <c r="AO349" s="507" t="n">
        <f aca="false">IF(OR($R349="Ghost",$S349="Ghost"),4,SUM(IF(OR($R349="Steel",$R349="Rock"),1,0),IF(OR($S349="Steel",$S349="Rock"),1,0)))</f>
        <v>0</v>
      </c>
      <c r="AP349" s="507" t="n">
        <f aca="false">IF(OR($R349="Steel",$S349="Steel"),4,SUM(IF(OR($R349="Fairy",$R349="Grass"),0-1,IF(OR($R349="Ghost",$R349="Rock",$R349="Ground",$R349="Poison"),1,0)),IF(OR($S349="Fairy",$S349="Grass"),0-1,IF(OR($S349="Ghost",$S349="Rock",$S349="Ground",$S349="Poison"),1,0))))</f>
        <v>0</v>
      </c>
      <c r="AQ349" s="507" t="n">
        <f aca="false">IF(OR($R349="Dark",$S349="Dark"),4,SUM(IF(OR($R349="Fighting",$R349="Poison"),0-1,IF(OR($R349="Psychic",$R349="Steel"),1,0)),IF(OR($S349="Fighting",$S349="Poison"),0-1,IF(OR($S349="Psychic",$S349="Steel"),1,0))))</f>
        <v>0</v>
      </c>
      <c r="AR349" s="507" t="n">
        <f aca="false">SUM(IF(OR($R349="Bug",$R349="Fire",$R349="Flying",$R349="Ice"),0-1,IF(OR($R349="Steel",$R349="Fighting",$R349="Ground"),1,0)),IF(OR($S349="Bug",$S349="Fire",$S349="Flying",$S349="Ice"),0-1,IF(OR($S349="Steel",$S349="Fighting",$S349="Ground"),1,0)))</f>
        <v>-1</v>
      </c>
      <c r="AS349" s="507" t="n">
        <f aca="false">SUM(IF(OR($R349="Fairy",$R349="Ice",$R349="Rock"),0-1,IF(OR($R349="Steel",$R349="Electric",$R349="Fire",$R349="Water"),1,0)),IF(OR($S349="Fairy",$S349="Ice",$S349="Rock"),0-1,IF(OR($S349="Steel",$S349="Electric",$S349="Fire",$S349="Water"),1,0)))</f>
        <v>0</v>
      </c>
      <c r="AT349" s="508" t="n">
        <f aca="false">SUM(IF(OR($R349="Fire",$R349="Ground",$R349="Rock"),0-1,IF(OR($R349="Dragon",$R349="Grass",$R349="Water"),1,0)),IF(OR($S349="Fire",$S349="Ground",$S349="Rock"),0-1,IF(OR($S349="Dragon",$S349="Grass",$S349="Water"),1,0)))</f>
        <v>0</v>
      </c>
      <c r="AU349" s="518"/>
    </row>
    <row r="350" customFormat="false" ht="15.75" hidden="false" customHeight="false" outlineLevel="0" collapsed="false">
      <c r="A350" s="515" t="str">
        <f aca="false" t="array" ref="A350:A350">IF(ISNA(INDEX(Source!$U$7:$U$95,MATCH(B350,Source!$V$7:$V$95,0))),"FREE",INDEX(Source!$U$7:$U$95,MATCH(B350,Source!$V$7:$V$95,0)))</f>
        <v>FREE</v>
      </c>
      <c r="B350" s="511" t="s">
        <v>729</v>
      </c>
      <c r="C350" s="511"/>
      <c r="D350" s="511"/>
      <c r="E350" s="499" t="str">
        <f aca="false">IF(SUM($W350:$X350)&gt;0,SUM($W350:$X350),IF($H350&gt;0,0,IF($H350&gt;0,0,"-")))</f>
        <v>-</v>
      </c>
      <c r="F350" s="499" t="str">
        <f aca="false">IF(SUM($Y350:$Z350)&gt;0,SUM($Y350:$Z350),IF($H350&gt;0,0,"-"))</f>
        <v>-</v>
      </c>
      <c r="G350" s="499" t="str">
        <f aca="false">IF($H350&gt;0,minus(E350,F350),"-")</f>
        <v>-</v>
      </c>
      <c r="H350" s="500" t="n">
        <f aca="false">SUM(COUNTIF(MatchSource!$A:$A,$B350),COUNTIF(MatchSource!$H:$H,$B350))</f>
        <v>0</v>
      </c>
      <c r="I350" s="501" t="n">
        <f aca="false">SUM($AA350:$AB350)</f>
        <v>0</v>
      </c>
      <c r="J350" s="501" t="s">
        <v>278</v>
      </c>
      <c r="K350" s="512" t="str">
        <f aca="false" t="array" ref="K350:K350">IF(ISNA(INDEX(DraftRosters!$AA$3:$AA$199,MATCH($B350,DraftRosters!$AB$3:$AB$199,0))),"FA",IF(INDEX(DraftRosters!$AA$3:$AA$199,MATCH($B350,DraftRosters!$AB$3:$AB$199,0))="Franchise","Franch",INDEX(DraftRosters!$AA$3:$AA$199,MATCH($B350,DraftRosters!$AB$3:$AB$199,0))))</f>
        <v>FA</v>
      </c>
      <c r="L350" s="499" t="n">
        <v>83</v>
      </c>
      <c r="M350" s="499" t="n">
        <v>80</v>
      </c>
      <c r="N350" s="499" t="n">
        <v>80</v>
      </c>
      <c r="O350" s="499" t="n">
        <v>135</v>
      </c>
      <c r="P350" s="499" t="n">
        <v>80</v>
      </c>
      <c r="Q350" s="501" t="n">
        <v>121</v>
      </c>
      <c r="R350" s="499" t="s">
        <v>801</v>
      </c>
      <c r="S350" s="501" t="s">
        <v>839</v>
      </c>
      <c r="T350" s="504" t="s">
        <v>950</v>
      </c>
      <c r="U350" s="505"/>
      <c r="V350" s="506"/>
      <c r="W350" s="500" t="str">
        <f aca="false">IFERROR(__xludf.dummyfunction("if(isna(SUM(FILTER(MatchSource!$A:$D,MatchSource!$A:$A=$B350))),0,SUM(FILTER(MatchSource!$A:$D,MatchSource!$A:$A=$B350)))"),"0")</f>
        <v>0</v>
      </c>
      <c r="X350" s="499" t="str">
        <f aca="false">IFERROR(__xludf.dummyfunction("if(isna(SUM(FILTER(MatchSource!$H:$K,MatchSource!$H:$H=$B350))),0,SUM(FILTER(MatchSource!$H:$K,MatchSource!$H:$H=$B350)))"),"0")</f>
        <v>0</v>
      </c>
      <c r="Y350" s="499" t="str">
        <f aca="false">IFERROR(__xludf.dummyfunction("if(isna(ABS(MINUS(SUM(FILTER(MatchSource!$A:$E,MatchSource!$A:$A=$B350)),SUM($W350)))),0,ABS(MINUS(SUM(FILTER(MatchSource!$A:$E,MatchSource!$A:$A=$B350)),SUM($W350))))"),"0")</f>
        <v>0</v>
      </c>
      <c r="Z350" s="499" t="str">
        <f aca="false">IFERROR(__xludf.dummyfunction("if(isna(ABS(MINUS(SUM(FILTER(MatchSource!$H:$L,MatchSource!$H:$H=$B350)),SUM($X350)))),0,ABS(MINUS(SUM(FILTER(MatchSource!$H:$L,MatchSource!$H:$H=$B350)),SUM($X350))))"),"0")</f>
        <v>0</v>
      </c>
      <c r="AA350" s="499" t="str">
        <f aca="false">IFERROR(__xludf.dummyfunction("if(isna(ABS(MINUS(SUM(FILTER(MatchSource!$A:$F,MatchSource!$A:$A=$B350)),SUM($W350,$Y350)))),0,ABS(MINUS(SUM(FILTER(MatchSource!$A:$F,MatchSource!$A:$A=$B350)),SUM($W350, $Y350,))))"),"0")</f>
        <v>0</v>
      </c>
      <c r="AB350" s="501" t="str">
        <f aca="false">IFERROR(__xludf.dummyfunction("if(isna(ABS(MINUS(SUM(FILTER(MatchSource!$H:$M,MatchSource!$H:$H=$B350)),SUM($X350,$Z350)))),0,ABS(MINUS(SUM(FILTER(MatchSource!$H:$M,MatchSource!$H:$H=$B350)),SUM($X350,$Z350))))"),"0")</f>
        <v>0</v>
      </c>
      <c r="AC350" s="507" t="n">
        <f aca="false">SUM(IF(OR($R350="Grass",$R350="Psychic",$R350="Dark"),0-1,IF(OR($R350="Fighting",$R350="Flying",$R350="Fire",$R350="Ghost",$R350="Poison",$R350="Steel",$R350="Fairy"),1,0)),IF(OR($S350="Grass",$S350="Psychic",$S350="Dark"),0-1,IF(OR($S350="Fighting",$S350="Flying",$S350="Fire",$S350="Ghost",$S350="Poison",$S350="Steel",$S350="Fairy"),1,0)))</f>
        <v>1</v>
      </c>
      <c r="AD350" s="507" t="n">
        <f aca="false">SUM(IF(OR($R350="Ghost",$R350="Psychic"),0-1,IF(OR($R350="Fighting",$R350="Dark",$R350="Fairy"),1,0)),IF(OR($S350="Ghost",$S350="Psychic"),0-1,IF(OR($S350="Fighting",$S350="Dark",$S350="Fairy"),1,0)))</f>
        <v>0</v>
      </c>
      <c r="AE350" s="507" t="n">
        <f aca="false">IF(OR($R350="Fairy",$S350="Fairy"),4,SUM(IF($R350="Dragon",0-1,IF($R350="Steel",1,0)),IF($S350="Dragon",0-1,IF($S350="Steel",1,0))))</f>
        <v>0</v>
      </c>
      <c r="AF350" s="507" t="n">
        <f aca="false">IF(OR($R350="Ground",$S350="Ground"),4,SUM(IF(OR($R350="Flying",$R350="Water"),0-1,IF(OR($R350="Dragon",$R350="Electric",$R350="Grass"),1,0)),IF(OR($S350="Flying",$S350="Water"),0-1,IF(OR($S350="Dragon",$S350="Electric",$S350="Grass"),1,0))))</f>
        <v>-1</v>
      </c>
      <c r="AG350" s="507" t="n">
        <f aca="false">SUM(IF(OR($R350="Dark",$R350="Dragon",$R350="Fighting"),0-1,IF(OR($R350="Steel",$R350="Poison",$R350="Fire"),1,0)),IF(OR($S350="Dark",$S350="Dragon",$S350="Fighting"),0-1,IF(OR($S350="Steel",$S350="Poison",$S350="Fire"),1,0)))</f>
        <v>0</v>
      </c>
      <c r="AH350" s="507" t="n">
        <f aca="false">IF(OR($R350="Ghost",$S350="Ghost"),4,SUM(IF(OR($R350="Dark",$R350="Ice",$R350="Normal",$R350="Rock",$R350="Steel"),0-1,IF(OR($R350="Bug",$R350="Fairy",$R350="Flying",$R350="Poison",$R350="Psychic"),1,0)),IF(OR($S350="Dark",$S350="Ice",$S350="Normal",$S350="Rock",$S350="Steel"),0-1,IF(OR($S350="Bug",$S350="Fairy",$S350="Flying",$S350="Poison",$S350="Psychic"),1,0))))</f>
        <v>0</v>
      </c>
      <c r="AI350" s="507" t="n">
        <f aca="false">SUM(IF(OR($R350="Bug",$R350="Grass",$R350="Ice",$R350="Steel"),0-1,IF(OR($R350="Dragon",$R350="Fire",$R350="Rock",$R350="Water"),1,0)),IF(OR($S350="Bug",$S350="Grass",$S350="Ice",$S350="Steel"),0-1,IF(OR($S350="Dragon",$S350="Fire",$S350="Rock",$S350="Water"),1,0)))</f>
        <v>0</v>
      </c>
      <c r="AJ350" s="507" t="n">
        <f aca="false">SUM(IF(OR($R350="Bug",$R350="Grass",$R350="Fighting"),0-1,IF(OR($R350="Electric",$R350="Rock",$R350="Steel"),1,0)),IF(OR($S350="Bug",$S350="Grass",$S350="Fighting"),0-1,IF(OR($S350="Electric",$S350="Rock",$S350="Steel"),1,0)))</f>
        <v>0</v>
      </c>
      <c r="AK350" s="507" t="n">
        <f aca="false">IF(OR($R350="Normal",$S350="Normal"),4,SUM(IF(OR($R350="Ghost",$R350="Psychic"),0-1,IF($R350="Dark",1,0)),IF(OR($S350="Ghost",$S350="Psychic"),0-1,IF($S350="Dark",1,0))))</f>
        <v>4</v>
      </c>
      <c r="AL350" s="507" t="n">
        <f aca="false">SUM(IF(OR($R350="Ground",$R350="Rock",$R350="Water"),0-1,IF(OR($R350="Bug",$R350="Flying",$R350="Fire",$R350="Dragon",$R350="Poison",$R350="Steel",$R350="Grass"),1,0)),IF(OR($S350="Ground",$S350="Rock",$S350="Water"),0-1,IF(OR($S350="Bug",$S350="Flying",$S350="Fire",$S350="Dragon",$S350="Poison",$S350="Steel",$S350="Grass"),1,0)))</f>
        <v>1</v>
      </c>
      <c r="AM350" s="507" t="n">
        <f aca="false">IF(OR($R350="Flying",$S350="Flying"),4,SUM(IF(OR($R350="Electric",$R350="Fire",$R350="Rock",$R350="Steel",$R350="Poison"),0-1,IF(OR($R350="Bug",$R350="Grass"),1,0)),IF(OR($S350="Electric",$S350="Fire",$S350="Rock",$S350="Steel",$S350="Poison"),0-1,IF(OR($S350="Bug",$S350="Grass"),1,0))))</f>
        <v>4</v>
      </c>
      <c r="AN350" s="507" t="n">
        <f aca="false">SUM(IF(OR($R350="Flying",$R350="Dragon",$R350="Grass",$R350="Ground"),0-1,IF(OR($R350="Steel",$R350="Ice",$R350="Fire",$R350="Water"),1,0)),IF(OR($S350="Flying",$S350="Dragon",$S350="Grass",$S350="Ground"),0-1,IF(OR($S350="Steel",$S350="Ice",$S350="Fire",$S350="Water"),1,0)))</f>
        <v>-1</v>
      </c>
      <c r="AO350" s="507" t="n">
        <f aca="false">IF(OR($R350="Ghost",$S350="Ghost"),4,SUM(IF(OR($R350="Steel",$R350="Rock"),1,0),IF(OR($S350="Steel",$S350="Rock"),1,0)))</f>
        <v>0</v>
      </c>
      <c r="AP350" s="507" t="n">
        <f aca="false">IF(OR($R350="Steel",$S350="Steel"),4,SUM(IF(OR($R350="Fairy",$R350="Grass"),0-1,IF(OR($R350="Ghost",$R350="Rock",$R350="Ground",$R350="Poison"),1,0)),IF(OR($S350="Fairy",$S350="Grass"),0-1,IF(OR($S350="Ghost",$S350="Rock",$S350="Ground",$S350="Poison"),1,0))))</f>
        <v>0</v>
      </c>
      <c r="AQ350" s="507" t="n">
        <f aca="false">IF(OR($R350="Dark",$S350="Dark"),4,SUM(IF(OR($R350="Fighting",$R350="Poison"),0-1,IF(OR($R350="Psychic",$R350="Steel"),1,0)),IF(OR($S350="Fighting",$S350="Poison"),0-1,IF(OR($S350="Psychic",$S350="Steel"),1,0))))</f>
        <v>0</v>
      </c>
      <c r="AR350" s="507" t="n">
        <f aca="false">SUM(IF(OR($R350="Bug",$R350="Fire",$R350="Flying",$R350="Ice"),0-1,IF(OR($R350="Steel",$R350="Fighting",$R350="Ground"),1,0)),IF(OR($S350="Bug",$S350="Fire",$S350="Flying",$S350="Ice"),0-1,IF(OR($S350="Steel",$S350="Fighting",$S350="Ground"),1,0)))</f>
        <v>-1</v>
      </c>
      <c r="AS350" s="507" t="n">
        <f aca="false">SUM(IF(OR($R350="Fairy",$R350="Ice",$R350="Rock"),0-1,IF(OR($R350="Steel",$R350="Electric",$R350="Fire",$R350="Water"),1,0)),IF(OR($S350="Fairy",$S350="Ice",$S350="Rock"),0-1,IF(OR($S350="Steel",$S350="Electric",$S350="Fire",$S350="Water"),1,0)))</f>
        <v>0</v>
      </c>
      <c r="AT350" s="508" t="n">
        <f aca="false">SUM(IF(OR($R350="Fire",$R350="Ground",$R350="Rock"),0-1,IF(OR($R350="Dragon",$R350="Grass",$R350="Water"),1,0)),IF(OR($S350="Fire",$S350="Ground",$S350="Rock"),0-1,IF(OR($S350="Dragon",$S350="Grass",$S350="Water"),1,0)))</f>
        <v>0</v>
      </c>
      <c r="AU350" s="518"/>
    </row>
    <row r="351" customFormat="false" ht="15.75" hidden="false" customHeight="false" outlineLevel="0" collapsed="false">
      <c r="A351" s="510" t="str">
        <f aca="false" t="array" ref="A351:A351">IF(ISNA(INDEX(Source!$U$7:$U$95,MATCH(B351,Source!$V$7:$V$95,0))),"FREE",INDEX(Source!$U$7:$U$95,MATCH(B351,Source!$V$7:$V$95,0)))</f>
        <v>FREE</v>
      </c>
      <c r="B351" s="511" t="s">
        <v>449</v>
      </c>
      <c r="C351" s="511"/>
      <c r="D351" s="511"/>
      <c r="E351" s="499" t="str">
        <f aca="false">IF(SUM($W351:$X351)&gt;0,SUM($W351:$X351),IF($H351&gt;0,0,IF($H351&gt;0,0,"-")))</f>
        <v>-</v>
      </c>
      <c r="F351" s="499" t="str">
        <f aca="false">IF(SUM($Y351:$Z351)&gt;0,SUM($Y351:$Z351),IF($H351&gt;0,0,"-"))</f>
        <v>-</v>
      </c>
      <c r="G351" s="499" t="str">
        <f aca="false">IF($H351&gt;0,minus(E351,F351),"-")</f>
        <v>-</v>
      </c>
      <c r="H351" s="500" t="n">
        <f aca="false">SUM(COUNTIF(MatchSource!$A:$A,$B351),COUNTIF(MatchSource!$H:$H,$B351))</f>
        <v>0</v>
      </c>
      <c r="I351" s="501" t="n">
        <f aca="false">SUM($AA351:$AB351)</f>
        <v>0</v>
      </c>
      <c r="J351" s="501" t="s">
        <v>702</v>
      </c>
      <c r="K351" s="512" t="str">
        <f aca="false" t="array" ref="K351:K351">IF(ISNA(INDEX(DraftRosters!$AA$3:$AA$199,MATCH($B351,DraftRosters!$AB$3:$AB$199,0))),"FA",IF(INDEX(DraftRosters!$AA$3:$AA$199,MATCH($B351,DraftRosters!$AB$3:$AB$199,0))="Franchise","Franch",INDEX(DraftRosters!$AA$3:$AA$199,MATCH($B351,DraftRosters!$AB$3:$AB$199,0))))</f>
        <v>FA</v>
      </c>
      <c r="L351" s="499" t="n">
        <v>35</v>
      </c>
      <c r="M351" s="499" t="n">
        <v>55</v>
      </c>
      <c r="N351" s="499" t="n">
        <v>40</v>
      </c>
      <c r="O351" s="499" t="n">
        <v>50</v>
      </c>
      <c r="P351" s="499" t="n">
        <v>50</v>
      </c>
      <c r="Q351" s="501" t="n">
        <v>90</v>
      </c>
      <c r="R351" s="499" t="s">
        <v>845</v>
      </c>
      <c r="S351" s="501"/>
      <c r="T351" s="504" t="s">
        <v>1023</v>
      </c>
      <c r="U351" s="505" t="s">
        <v>847</v>
      </c>
      <c r="V351" s="506"/>
      <c r="W351" s="500" t="str">
        <f aca="false">IFERROR(__xludf.dummyfunction("if(isna(SUM(FILTER(MatchSource!$A:$D,MatchSource!$A:$A=$B351))),0,SUM(FILTER(MatchSource!$A:$D,MatchSource!$A:$A=$B351)))"),"0")</f>
        <v>0</v>
      </c>
      <c r="X351" s="499" t="str">
        <f aca="false">IFERROR(__xludf.dummyfunction("if(isna(SUM(FILTER(MatchSource!$H:$K,MatchSource!$H:$H=$B351))),0,SUM(FILTER(MatchSource!$H:$K,MatchSource!$H:$H=$B351)))"),"0")</f>
        <v>0</v>
      </c>
      <c r="Y351" s="499" t="str">
        <f aca="false">IFERROR(__xludf.dummyfunction("if(isna(ABS(MINUS(SUM(FILTER(MatchSource!$A:$E,MatchSource!$A:$A=$B351)),SUM($W351)))),0,ABS(MINUS(SUM(FILTER(MatchSource!$A:$E,MatchSource!$A:$A=$B351)),SUM($W351))))"),"0")</f>
        <v>0</v>
      </c>
      <c r="Z351" s="499" t="str">
        <f aca="false">IFERROR(__xludf.dummyfunction("if(isna(ABS(MINUS(SUM(FILTER(MatchSource!$H:$L,MatchSource!$H:$H=$B351)),SUM($X351)))),0,ABS(MINUS(SUM(FILTER(MatchSource!$H:$L,MatchSource!$H:$H=$B351)),SUM($X351))))"),"0")</f>
        <v>0</v>
      </c>
      <c r="AA351" s="499" t="str">
        <f aca="false">IFERROR(__xludf.dummyfunction("if(isna(ABS(MINUS(SUM(FILTER(MatchSource!$A:$F,MatchSource!$A:$A=$B351)),SUM($W351,$Y351)))),0,ABS(MINUS(SUM(FILTER(MatchSource!$A:$F,MatchSource!$A:$A=$B351)),SUM($W351, $Y351,))))"),"0")</f>
        <v>0</v>
      </c>
      <c r="AB351" s="501" t="str">
        <f aca="false">IFERROR(__xludf.dummyfunction("if(isna(ABS(MINUS(SUM(FILTER(MatchSource!$H:$M,MatchSource!$H:$H=$B351)),SUM($X351,$Z351)))),0,ABS(MINUS(SUM(FILTER(MatchSource!$H:$M,MatchSource!$H:$H=$B351)),SUM($X351,$Z351))))"),"0")</f>
        <v>0</v>
      </c>
      <c r="AC351" s="507" t="n">
        <f aca="false">SUM(IF(OR($R351="Grass",$R351="Psychic",$R351="Dark"),0-1,IF(OR($R351="Fighting",$R351="Flying",$R351="Fire",$R351="Ghost",$R351="Poison",$R351="Steel",$R351="Fairy"),1,0)),IF(OR($S351="Grass",$S351="Psychic",$S351="Dark"),0-1,IF(OR($S351="Fighting",$S351="Flying",$S351="Fire",$S351="Ghost",$S351="Poison",$S351="Steel",$S351="Fairy"),1,0)))</f>
        <v>0</v>
      </c>
      <c r="AD351" s="507" t="n">
        <f aca="false">SUM(IF(OR($R351="Ghost",$R351="Psychic"),0-1,IF(OR($R351="Fighting",$R351="Dark",$R351="Fairy"),1,0)),IF(OR($S351="Ghost",$S351="Psychic"),0-1,IF(OR($S351="Fighting",$S351="Dark",$S351="Fairy"),1,0)))</f>
        <v>0</v>
      </c>
      <c r="AE351" s="507" t="n">
        <f aca="false">IF(OR($R351="Fairy",$S351="Fairy"),4,SUM(IF($R351="Dragon",0-1,IF($R351="Steel",1,0)),IF($S351="Dragon",0-1,IF($S351="Steel",1,0))))</f>
        <v>0</v>
      </c>
      <c r="AF351" s="507" t="n">
        <f aca="false">IF(OR($R351="Ground",$S351="Ground"),4,SUM(IF(OR($R351="Flying",$R351="Water"),0-1,IF(OR($R351="Dragon",$R351="Electric",$R351="Grass"),1,0)),IF(OR($S351="Flying",$S351="Water"),0-1,IF(OR($S351="Dragon",$S351="Electric",$S351="Grass"),1,0))))</f>
        <v>1</v>
      </c>
      <c r="AG351" s="507" t="n">
        <f aca="false">SUM(IF(OR($R351="Dark",$R351="Dragon",$R351="Fighting"),0-1,IF(OR($R351="Steel",$R351="Poison",$R351="Fire"),1,0)),IF(OR($S351="Dark",$S351="Dragon",$S351="Fighting"),0-1,IF(OR($S351="Steel",$S351="Poison",$S351="Fire"),1,0)))</f>
        <v>0</v>
      </c>
      <c r="AH351" s="507" t="n">
        <f aca="false">IF(OR($R351="Ghost",$S351="Ghost"),4,SUM(IF(OR($R351="Dark",$R351="Ice",$R351="Normal",$R351="Rock",$R351="Steel"),0-1,IF(OR($R351="Bug",$R351="Fairy",$R351="Flying",$R351="Poison",$R351="Psychic"),1,0)),IF(OR($S351="Dark",$S351="Ice",$S351="Normal",$S351="Rock",$S351="Steel"),0-1,IF(OR($S351="Bug",$S351="Fairy",$S351="Flying",$S351="Poison",$S351="Psychic"),1,0))))</f>
        <v>0</v>
      </c>
      <c r="AI351" s="507" t="n">
        <f aca="false">SUM(IF(OR($R351="Bug",$R351="Grass",$R351="Ice",$R351="Steel"),0-1,IF(OR($R351="Dragon",$R351="Fire",$R351="Rock",$R351="Water"),1,0)),IF(OR($S351="Bug",$S351="Grass",$S351="Ice",$S351="Steel"),0-1,IF(OR($S351="Dragon",$S351="Fire",$S351="Rock",$S351="Water"),1,0)))</f>
        <v>0</v>
      </c>
      <c r="AJ351" s="507" t="n">
        <f aca="false">SUM(IF(OR($R351="Bug",$R351="Grass",$R351="Fighting"),0-1,IF(OR($R351="Electric",$R351="Rock",$R351="Steel"),1,0)),IF(OR($S351="Bug",$S351="Grass",$S351="Fighting"),0-1,IF(OR($S351="Electric",$S351="Rock",$S351="Steel"),1,0)))</f>
        <v>1</v>
      </c>
      <c r="AK351" s="507" t="n">
        <f aca="false">IF(OR($R351="Normal",$S351="Normal"),4,SUM(IF(OR($R351="Ghost",$R351="Psychic"),0-1,IF($R351="Dark",1,0)),IF(OR($S351="Ghost",$S351="Psychic"),0-1,IF($S351="Dark",1,0))))</f>
        <v>0</v>
      </c>
      <c r="AL351" s="507" t="n">
        <f aca="false">SUM(IF(OR($R351="Ground",$R351="Rock",$R351="Water"),0-1,IF(OR($R351="Bug",$R351="Flying",$R351="Fire",$R351="Dragon",$R351="Poison",$R351="Steel",$R351="Grass"),1,0)),IF(OR($S351="Ground",$S351="Rock",$S351="Water"),0-1,IF(OR($S351="Bug",$S351="Flying",$S351="Fire",$S351="Dragon",$S351="Poison",$S351="Steel",$S351="Grass"),1,0)))</f>
        <v>0</v>
      </c>
      <c r="AM351" s="507" t="n">
        <f aca="false">IF(OR($R351="Flying",$S351="Flying"),4,SUM(IF(OR($R351="Electric",$R351="Fire",$R351="Rock",$R351="Steel",$R351="Poison"),0-1,IF(OR($R351="Bug",$R351="Grass"),1,0)),IF(OR($S351="Electric",$S351="Fire",$S351="Rock",$S351="Steel",$S351="Poison"),0-1,IF(OR($S351="Bug",$S351="Grass"),1,0))))</f>
        <v>-1</v>
      </c>
      <c r="AN351" s="507" t="n">
        <f aca="false">SUM(IF(OR($R351="Flying",$R351="Dragon",$R351="Grass",$R351="Ground"),0-1,IF(OR($R351="Steel",$R351="Ice",$R351="Fire",$R351="Water"),1,0)),IF(OR($S351="Flying",$S351="Dragon",$S351="Grass",$S351="Ground"),0-1,IF(OR($S351="Steel",$S351="Ice",$S351="Fire",$S351="Water"),1,0)))</f>
        <v>0</v>
      </c>
      <c r="AO351" s="507" t="n">
        <f aca="false">IF(OR($R351="Ghost",$S351="Ghost"),4,SUM(IF(OR($R351="Steel",$R351="Rock"),1,0),IF(OR($S351="Steel",$S351="Rock"),1,0)))</f>
        <v>0</v>
      </c>
      <c r="AP351" s="507" t="n">
        <f aca="false">IF(OR($R351="Steel",$S351="Steel"),4,SUM(IF(OR($R351="Fairy",$R351="Grass"),0-1,IF(OR($R351="Ghost",$R351="Rock",$R351="Ground",$R351="Poison"),1,0)),IF(OR($S351="Fairy",$S351="Grass"),0-1,IF(OR($S351="Ghost",$S351="Rock",$S351="Ground",$S351="Poison"),1,0))))</f>
        <v>0</v>
      </c>
      <c r="AQ351" s="507" t="n">
        <f aca="false">IF(OR($R351="Dark",$S351="Dark"),4,SUM(IF(OR($R351="Fighting",$R351="Poison"),0-1,IF(OR($R351="Psychic",$R351="Steel"),1,0)),IF(OR($S351="Fighting",$S351="Poison"),0-1,IF(OR($S351="Psychic",$S351="Steel"),1,0))))</f>
        <v>0</v>
      </c>
      <c r="AR351" s="507" t="n">
        <f aca="false">SUM(IF(OR($R351="Bug",$R351="Fire",$R351="Flying",$R351="Ice"),0-1,IF(OR($R351="Steel",$R351="Fighting",$R351="Ground"),1,0)),IF(OR($S351="Bug",$S351="Fire",$S351="Flying",$S351="Ice"),0-1,IF(OR($S351="Steel",$S351="Fighting",$S351="Ground"),1,0)))</f>
        <v>0</v>
      </c>
      <c r="AS351" s="507" t="n">
        <f aca="false">SUM(IF(OR($R351="Fairy",$R351="Ice",$R351="Rock"),0-1,IF(OR($R351="Steel",$R351="Electric",$R351="Fire",$R351="Water"),1,0)),IF(OR($S351="Fairy",$S351="Ice",$S351="Rock"),0-1,IF(OR($S351="Steel",$S351="Electric",$S351="Fire",$S351="Water"),1,0)))</f>
        <v>1</v>
      </c>
      <c r="AT351" s="508" t="n">
        <f aca="false">SUM(IF(OR($R351="Fire",$R351="Ground",$R351="Rock"),0-1,IF(OR($R351="Dragon",$R351="Grass",$R351="Water"),1,0)),IF(OR($S351="Fire",$S351="Ground",$S351="Rock"),0-1,IF(OR($S351="Dragon",$S351="Grass",$S351="Water"),1,0)))</f>
        <v>0</v>
      </c>
      <c r="AU351" s="518"/>
    </row>
    <row r="352" customFormat="false" ht="15.75" hidden="false" customHeight="false" outlineLevel="0" collapsed="false">
      <c r="A352" s="510" t="str">
        <f aca="false" t="array" ref="A352:A352">IF(ISNA(INDEX(Source!$U$7:$U$95,MATCH(B352,Source!$V$7:$V$95,0))),"FREE",INDEX(Source!$U$7:$U$95,MATCH(B352,Source!$V$7:$V$95,0)))</f>
        <v>FREE</v>
      </c>
      <c r="B352" s="511" t="s">
        <v>453</v>
      </c>
      <c r="C352" s="511"/>
      <c r="D352" s="511"/>
      <c r="E352" s="499" t="str">
        <f aca="false">IF(SUM($W352:$X352)&gt;0,SUM($W352:$X352),IF($H352&gt;0,0,IF($H352&gt;0,0,"-")))</f>
        <v>-</v>
      </c>
      <c r="F352" s="499" t="str">
        <f aca="false">IF(SUM($Y352:$Z352)&gt;0,SUM($Y352:$Z352),IF($H352&gt;0,0,"-"))</f>
        <v>-</v>
      </c>
      <c r="G352" s="499" t="str">
        <f aca="false">IF($H352&gt;0,minus(E352,F352),"-")</f>
        <v>-</v>
      </c>
      <c r="H352" s="500" t="n">
        <f aca="false">SUM(COUNTIF(MatchSource!$A:$A,$B352),COUNTIF(MatchSource!$H:$H,$B352))</f>
        <v>0</v>
      </c>
      <c r="I352" s="501" t="n">
        <f aca="false">SUM($AA352:$AB352)</f>
        <v>0</v>
      </c>
      <c r="J352" s="501" t="s">
        <v>702</v>
      </c>
      <c r="K352" s="512" t="str">
        <f aca="false" t="array" ref="K352:K352">IF(ISNA(INDEX(DraftRosters!$AA$3:$AA$199,MATCH($B352,DraftRosters!$AB$3:$AB$199,0))),"FA",IF(INDEX(DraftRosters!$AA$3:$AA$199,MATCH($B352,DraftRosters!$AB$3:$AB$199,0))="Franchise","Franch",INDEX(DraftRosters!$AA$3:$AA$199,MATCH($B352,DraftRosters!$AB$3:$AB$199,0))))</f>
        <v>FA</v>
      </c>
      <c r="L352" s="499" t="n">
        <v>100</v>
      </c>
      <c r="M352" s="499" t="n">
        <v>100</v>
      </c>
      <c r="N352" s="499" t="n">
        <v>80</v>
      </c>
      <c r="O352" s="499" t="n">
        <v>60</v>
      </c>
      <c r="P352" s="499" t="n">
        <v>60</v>
      </c>
      <c r="Q352" s="501" t="n">
        <v>50</v>
      </c>
      <c r="R352" s="499" t="s">
        <v>907</v>
      </c>
      <c r="S352" s="501" t="s">
        <v>805</v>
      </c>
      <c r="T352" s="504" t="s">
        <v>1002</v>
      </c>
      <c r="U352" s="505" t="s">
        <v>868</v>
      </c>
      <c r="V352" s="506" t="s">
        <v>861</v>
      </c>
      <c r="W352" s="500" t="str">
        <f aca="false">IFERROR(__xludf.dummyfunction("if(isna(SUM(FILTER(MatchSource!$A:$D,MatchSource!$A:$A=$B352))),0,SUM(FILTER(MatchSource!$A:$D,MatchSource!$A:$A=$B352)))"),"0")</f>
        <v>0</v>
      </c>
      <c r="X352" s="499" t="str">
        <f aca="false">IFERROR(__xludf.dummyfunction("if(isna(SUM(FILTER(MatchSource!$H:$K,MatchSource!$H:$H=$B352))),0,SUM(FILTER(MatchSource!$H:$K,MatchSource!$H:$H=$B352)))"),"0")</f>
        <v>0</v>
      </c>
      <c r="Y352" s="499" t="str">
        <f aca="false">IFERROR(__xludf.dummyfunction("if(isna(ABS(MINUS(SUM(FILTER(MatchSource!$A:$E,MatchSource!$A:$A=$B352)),SUM($W352)))),0,ABS(MINUS(SUM(FILTER(MatchSource!$A:$E,MatchSource!$A:$A=$B352)),SUM($W352))))"),"0")</f>
        <v>0</v>
      </c>
      <c r="Z352" s="499" t="str">
        <f aca="false">IFERROR(__xludf.dummyfunction("if(isna(ABS(MINUS(SUM(FILTER(MatchSource!$H:$L,MatchSource!$H:$H=$B352)),SUM($X352)))),0,ABS(MINUS(SUM(FILTER(MatchSource!$H:$L,MatchSource!$H:$H=$B352)),SUM($X352))))"),"0")</f>
        <v>0</v>
      </c>
      <c r="AA352" s="499" t="str">
        <f aca="false">IFERROR(__xludf.dummyfunction("if(isna(ABS(MINUS(SUM(FILTER(MatchSource!$A:$F,MatchSource!$A:$A=$B352)),SUM($W352,$Y352)))),0,ABS(MINUS(SUM(FILTER(MatchSource!$A:$F,MatchSource!$A:$A=$B352)),SUM($W352, $Y352,))))"),"0")</f>
        <v>0</v>
      </c>
      <c r="AB352" s="501" t="str">
        <f aca="false">IFERROR(__xludf.dummyfunction("if(isna(ABS(MINUS(SUM(FILTER(MatchSource!$H:$M,MatchSource!$H:$H=$B352)),SUM($X352,$Z352)))),0,ABS(MINUS(SUM(FILTER(MatchSource!$H:$M,MatchSource!$H:$H=$B352)),SUM($X352,$Z352))))"),"0")</f>
        <v>0</v>
      </c>
      <c r="AC352" s="507" t="n">
        <f aca="false">SUM(IF(OR($R352="Grass",$R352="Psychic",$R352="Dark"),0-1,IF(OR($R352="Fighting",$R352="Flying",$R352="Fire",$R352="Ghost",$R352="Poison",$R352="Steel",$R352="Fairy"),1,0)),IF(OR($S352="Grass",$S352="Psychic",$S352="Dark"),0-1,IF(OR($S352="Fighting",$S352="Flying",$S352="Fire",$S352="Ghost",$S352="Poison",$S352="Steel",$S352="Fairy"),1,0)))</f>
        <v>0</v>
      </c>
      <c r="AD352" s="507" t="n">
        <f aca="false">SUM(IF(OR($R352="Ghost",$R352="Psychic"),0-1,IF(OR($R352="Fighting",$R352="Dark",$R352="Fairy"),1,0)),IF(OR($S352="Ghost",$S352="Psychic"),0-1,IF(OR($S352="Fighting",$S352="Dark",$S352="Fairy"),1,0)))</f>
        <v>0</v>
      </c>
      <c r="AE352" s="507" t="n">
        <f aca="false">IF(OR($R352="Fairy",$S352="Fairy"),4,SUM(IF($R352="Dragon",0-1,IF($R352="Steel",1,0)),IF($S352="Dragon",0-1,IF($S352="Steel",1,0))))</f>
        <v>0</v>
      </c>
      <c r="AF352" s="507" t="n">
        <f aca="false">IF(OR($R352="Ground",$S352="Ground"),4,SUM(IF(OR($R352="Flying",$R352="Water"),0-1,IF(OR($R352="Dragon",$R352="Electric",$R352="Grass"),1,0)),IF(OR($S352="Flying",$S352="Water"),0-1,IF(OR($S352="Dragon",$S352="Electric",$S352="Grass"),1,0))))</f>
        <v>4</v>
      </c>
      <c r="AG352" s="507" t="n">
        <f aca="false">SUM(IF(OR($R352="Dark",$R352="Dragon",$R352="Fighting"),0-1,IF(OR($R352="Steel",$R352="Poison",$R352="Fire"),1,0)),IF(OR($S352="Dark",$S352="Dragon",$S352="Fighting"),0-1,IF(OR($S352="Steel",$S352="Poison",$S352="Fire"),1,0)))</f>
        <v>0</v>
      </c>
      <c r="AH352" s="507" t="n">
        <f aca="false">IF(OR($R352="Ghost",$S352="Ghost"),4,SUM(IF(OR($R352="Dark",$R352="Ice",$R352="Normal",$R352="Rock",$R352="Steel"),0-1,IF(OR($R352="Bug",$R352="Fairy",$R352="Flying",$R352="Poison",$R352="Psychic"),1,0)),IF(OR($S352="Dark",$S352="Ice",$S352="Normal",$S352="Rock",$S352="Steel"),0-1,IF(OR($S352="Bug",$S352="Fairy",$S352="Flying",$S352="Poison",$S352="Psychic"),1,0))))</f>
        <v>-1</v>
      </c>
      <c r="AI352" s="507" t="n">
        <f aca="false">SUM(IF(OR($R352="Bug",$R352="Grass",$R352="Ice",$R352="Steel"),0-1,IF(OR($R352="Dragon",$R352="Fire",$R352="Rock",$R352="Water"),1,0)),IF(OR($S352="Bug",$S352="Grass",$S352="Ice",$S352="Steel"),0-1,IF(OR($S352="Dragon",$S352="Fire",$S352="Rock",$S352="Water"),1,0)))</f>
        <v>-1</v>
      </c>
      <c r="AJ352" s="507" t="n">
        <f aca="false">SUM(IF(OR($R352="Bug",$R352="Grass",$R352="Fighting"),0-1,IF(OR($R352="Electric",$R352="Rock",$R352="Steel"),1,0)),IF(OR($S352="Bug",$S352="Grass",$S352="Fighting"),0-1,IF(OR($S352="Electric",$S352="Rock",$S352="Steel"),1,0)))</f>
        <v>0</v>
      </c>
      <c r="AK352" s="507" t="n">
        <f aca="false">IF(OR($R352="Normal",$S352="Normal"),4,SUM(IF(OR($R352="Ghost",$R352="Psychic"),0-1,IF($R352="Dark",1,0)),IF(OR($S352="Ghost",$S352="Psychic"),0-1,IF($S352="Dark",1,0))))</f>
        <v>0</v>
      </c>
      <c r="AL352" s="507" t="n">
        <f aca="false">SUM(IF(OR($R352="Ground",$R352="Rock",$R352="Water"),0-1,IF(OR($R352="Bug",$R352="Flying",$R352="Fire",$R352="Dragon",$R352="Poison",$R352="Steel",$R352="Grass"),1,0)),IF(OR($S352="Ground",$S352="Rock",$S352="Water"),0-1,IF(OR($S352="Bug",$S352="Flying",$S352="Fire",$S352="Dragon",$S352="Poison",$S352="Steel",$S352="Grass"),1,0)))</f>
        <v>-1</v>
      </c>
      <c r="AM352" s="507" t="n">
        <f aca="false">IF(OR($R352="Flying",$S352="Flying"),4,SUM(IF(OR($R352="Electric",$R352="Fire",$R352="Rock",$R352="Steel",$R352="Poison"),0-1,IF(OR($R352="Bug",$R352="Grass"),1,0)),IF(OR($S352="Electric",$S352="Fire",$S352="Rock",$S352="Steel",$S352="Poison"),0-1,IF(OR($S352="Bug",$S352="Grass"),1,0))))</f>
        <v>0</v>
      </c>
      <c r="AN352" s="507" t="n">
        <f aca="false">SUM(IF(OR($R352="Flying",$R352="Dragon",$R352="Grass",$R352="Ground"),0-1,IF(OR($R352="Steel",$R352="Ice",$R352="Fire",$R352="Water"),1,0)),IF(OR($S352="Flying",$S352="Dragon",$S352="Grass",$S352="Ground"),0-1,IF(OR($S352="Steel",$S352="Ice",$S352="Fire",$S352="Water"),1,0)))</f>
        <v>0</v>
      </c>
      <c r="AO352" s="507" t="n">
        <f aca="false">IF(OR($R352="Ghost",$S352="Ghost"),4,SUM(IF(OR($R352="Steel",$R352="Rock"),1,0),IF(OR($S352="Steel",$S352="Rock"),1,0)))</f>
        <v>0</v>
      </c>
      <c r="AP352" s="507" t="n">
        <f aca="false">IF(OR($R352="Steel",$S352="Steel"),4,SUM(IF(OR($R352="Fairy",$R352="Grass"),0-1,IF(OR($R352="Ghost",$R352="Rock",$R352="Ground",$R352="Poison"),1,0)),IF(OR($S352="Fairy",$S352="Grass"),0-1,IF(OR($S352="Ghost",$S352="Rock",$S352="Ground",$S352="Poison"),1,0))))</f>
        <v>1</v>
      </c>
      <c r="AQ352" s="507" t="n">
        <f aca="false">IF(OR($R352="Dark",$S352="Dark"),4,SUM(IF(OR($R352="Fighting",$R352="Poison"),0-1,IF(OR($R352="Psychic",$R352="Steel"),1,0)),IF(OR($S352="Fighting",$S352="Poison"),0-1,IF(OR($S352="Psychic",$S352="Steel"),1,0))))</f>
        <v>0</v>
      </c>
      <c r="AR352" s="507" t="n">
        <f aca="false">SUM(IF(OR($R352="Bug",$R352="Fire",$R352="Flying",$R352="Ice"),0-1,IF(OR($R352="Steel",$R352="Fighting",$R352="Ground"),1,0)),IF(OR($S352="Bug",$S352="Fire",$S352="Flying",$S352="Ice"),0-1,IF(OR($S352="Steel",$S352="Fighting",$S352="Ground"),1,0)))</f>
        <v>0</v>
      </c>
      <c r="AS352" s="507" t="n">
        <f aca="false">SUM(IF(OR($R352="Fairy",$R352="Ice",$R352="Rock"),0-1,IF(OR($R352="Steel",$R352="Electric",$R352="Fire",$R352="Water"),1,0)),IF(OR($S352="Fairy",$S352="Ice",$S352="Rock"),0-1,IF(OR($S352="Steel",$S352="Electric",$S352="Fire",$S352="Water"),1,0)))</f>
        <v>-1</v>
      </c>
      <c r="AT352" s="508" t="n">
        <f aca="false">SUM(IF(OR($R352="Fire",$R352="Ground",$R352="Rock"),0-1,IF(OR($R352="Dragon",$R352="Grass",$R352="Water"),1,0)),IF(OR($S352="Fire",$S352="Ground",$S352="Rock"),0-1,IF(OR($S352="Dragon",$S352="Grass",$S352="Water"),1,0)))</f>
        <v>-1</v>
      </c>
      <c r="AU352" s="518"/>
    </row>
    <row r="353" customFormat="false" ht="15.75" hidden="false" customHeight="false" outlineLevel="0" collapsed="false">
      <c r="A353" s="510" t="str">
        <f aca="false" t="array" ref="A353:A353">IF(ISNA(INDEX(Source!$U$7:$U$95,MATCH(B353,Source!$V$7:$V$95,0))),"FREE",INDEX(Source!$U$7:$U$95,MATCH(B353,Source!$V$7:$V$95,0)))</f>
        <v>FREE</v>
      </c>
      <c r="B353" s="511" t="s">
        <v>458</v>
      </c>
      <c r="C353" s="511"/>
      <c r="D353" s="511"/>
      <c r="E353" s="499" t="str">
        <f aca="false">IF(SUM($W353:$X353)&gt;0,SUM($W353:$X353),IF($H353&gt;0,0,IF($H353&gt;0,0,"-")))</f>
        <v>-</v>
      </c>
      <c r="F353" s="499" t="str">
        <f aca="false">IF(SUM($Y353:$Z353)&gt;0,SUM($Y353:$Z353),IF($H353&gt;0,0,"-"))</f>
        <v>-</v>
      </c>
      <c r="G353" s="499" t="str">
        <f aca="false">IF($H353&gt;0,minus(E353,F353),"-")</f>
        <v>-</v>
      </c>
      <c r="H353" s="500" t="n">
        <f aca="false">SUM(COUNTIF(MatchSource!$A:$A,$B353),COUNTIF(MatchSource!$H:$H,$B353))</f>
        <v>0</v>
      </c>
      <c r="I353" s="501" t="n">
        <f aca="false">SUM($AA353:$AB353)</f>
        <v>0</v>
      </c>
      <c r="J353" s="501" t="s">
        <v>702</v>
      </c>
      <c r="K353" s="512" t="str">
        <f aca="false" t="array" ref="K353:K353">IF(ISNA(INDEX(DraftRosters!$AA$3:$AA$199,MATCH($B353,DraftRosters!$AB$3:$AB$199,0))),"FA",IF(INDEX(DraftRosters!$AA$3:$AA$199,MATCH($B353,DraftRosters!$AB$3:$AB$199,0))="Franchise","Franch",INDEX(DraftRosters!$AA$3:$AA$199,MATCH($B353,DraftRosters!$AB$3:$AB$199,0))))</f>
        <v>FA</v>
      </c>
      <c r="L353" s="499" t="n">
        <v>65</v>
      </c>
      <c r="M353" s="499" t="n">
        <v>125</v>
      </c>
      <c r="N353" s="499" t="n">
        <v>100</v>
      </c>
      <c r="O353" s="499" t="n">
        <v>55</v>
      </c>
      <c r="P353" s="499" t="n">
        <v>70</v>
      </c>
      <c r="Q353" s="501" t="n">
        <v>85</v>
      </c>
      <c r="R353" s="499" t="s">
        <v>794</v>
      </c>
      <c r="S353" s="501"/>
      <c r="T353" s="504" t="s">
        <v>933</v>
      </c>
      <c r="U353" s="505" t="s">
        <v>848</v>
      </c>
      <c r="V353" s="506" t="s">
        <v>997</v>
      </c>
      <c r="W353" s="500" t="str">
        <f aca="false">IFERROR(__xludf.dummyfunction("if(isna(SUM(FILTER(MatchSource!$A:$D,MatchSource!$A:$A=$B353))),0,SUM(FILTER(MatchSource!$A:$D,MatchSource!$A:$A=$B353)))"),"0")</f>
        <v>0</v>
      </c>
      <c r="X353" s="499" t="str">
        <f aca="false">IFERROR(__xludf.dummyfunction("if(isna(SUM(FILTER(MatchSource!$H:$K,MatchSource!$H:$H=$B353))),0,SUM(FILTER(MatchSource!$H:$K,MatchSource!$H:$H=$B353)))"),"0")</f>
        <v>0</v>
      </c>
      <c r="Y353" s="499" t="str">
        <f aca="false">IFERROR(__xludf.dummyfunction("if(isna(ABS(MINUS(SUM(FILTER(MatchSource!$A:$E,MatchSource!$A:$A=$B353)),SUM($W353)))),0,ABS(MINUS(SUM(FILTER(MatchSource!$A:$E,MatchSource!$A:$A=$B353)),SUM($W353))))"),"0")</f>
        <v>0</v>
      </c>
      <c r="Z353" s="499" t="str">
        <f aca="false">IFERROR(__xludf.dummyfunction("if(isna(ABS(MINUS(SUM(FILTER(MatchSource!$H:$L,MatchSource!$H:$H=$B353)),SUM($X353)))),0,ABS(MINUS(SUM(FILTER(MatchSource!$H:$L,MatchSource!$H:$H=$B353)),SUM($X353))))"),"0")</f>
        <v>0</v>
      </c>
      <c r="AA353" s="499" t="str">
        <f aca="false">IFERROR(__xludf.dummyfunction("if(isna(ABS(MINUS(SUM(FILTER(MatchSource!$A:$F,MatchSource!$A:$A=$B353)),SUM($W353,$Y353)))),0,ABS(MINUS(SUM(FILTER(MatchSource!$A:$F,MatchSource!$A:$A=$B353)),SUM($W353, $Y353,))))"),"0")</f>
        <v>0</v>
      </c>
      <c r="AB353" s="501" t="str">
        <f aca="false">IFERROR(__xludf.dummyfunction("if(isna(ABS(MINUS(SUM(FILTER(MatchSource!$H:$M,MatchSource!$H:$H=$B353)),SUM($X353,$Z353)))),0,ABS(MINUS(SUM(FILTER(MatchSource!$H:$M,MatchSource!$H:$H=$B353)),SUM($X353,$Z353))))"),"0")</f>
        <v>0</v>
      </c>
      <c r="AC353" s="507" t="n">
        <f aca="false">SUM(IF(OR($R353="Grass",$R353="Psychic",$R353="Dark"),0-1,IF(OR($R353="Fighting",$R353="Flying",$R353="Fire",$R353="Ghost",$R353="Poison",$R353="Steel",$R353="Fairy"),1,0)),IF(OR($S353="Grass",$S353="Psychic",$S353="Dark"),0-1,IF(OR($S353="Fighting",$S353="Flying",$S353="Fire",$S353="Ghost",$S353="Poison",$S353="Steel",$S353="Fairy"),1,0)))</f>
        <v>0</v>
      </c>
      <c r="AD353" s="507" t="n">
        <f aca="false">SUM(IF(OR($R353="Ghost",$R353="Psychic"),0-1,IF(OR($R353="Fighting",$R353="Dark",$R353="Fairy"),1,0)),IF(OR($S353="Ghost",$S353="Psychic"),0-1,IF(OR($S353="Fighting",$S353="Dark",$S353="Fairy"),1,0)))</f>
        <v>0</v>
      </c>
      <c r="AE353" s="507" t="n">
        <f aca="false">IF(OR($R353="Fairy",$S353="Fairy"),4,SUM(IF($R353="Dragon",0-1,IF($R353="Steel",1,0)),IF($S353="Dragon",0-1,IF($S353="Steel",1,0))))</f>
        <v>0</v>
      </c>
      <c r="AF353" s="507" t="n">
        <f aca="false">IF(OR($R353="Ground",$S353="Ground"),4,SUM(IF(OR($R353="Flying",$R353="Water"),0-1,IF(OR($R353="Dragon",$R353="Electric",$R353="Grass"),1,0)),IF(OR($S353="Flying",$S353="Water"),0-1,IF(OR($S353="Dragon",$S353="Electric",$S353="Grass"),1,0))))</f>
        <v>0</v>
      </c>
      <c r="AG353" s="507" t="n">
        <f aca="false">SUM(IF(OR($R353="Dark",$R353="Dragon",$R353="Fighting"),0-1,IF(OR($R353="Steel",$R353="Poison",$R353="Fire"),1,0)),IF(OR($S353="Dark",$S353="Dragon",$S353="Fighting"),0-1,IF(OR($S353="Steel",$S353="Poison",$S353="Fire"),1,0)))</f>
        <v>0</v>
      </c>
      <c r="AH353" s="507" t="n">
        <f aca="false">IF(OR($R353="Ghost",$S353="Ghost"),4,SUM(IF(OR($R353="Dark",$R353="Ice",$R353="Normal",$R353="Rock",$R353="Steel"),0-1,IF(OR($R353="Bug",$R353="Fairy",$R353="Flying",$R353="Poison",$R353="Psychic"),1,0)),IF(OR($S353="Dark",$S353="Ice",$S353="Normal",$S353="Rock",$S353="Steel"),0-1,IF(OR($S353="Bug",$S353="Fairy",$S353="Flying",$S353="Poison",$S353="Psychic"),1,0))))</f>
        <v>1</v>
      </c>
      <c r="AI353" s="507" t="n">
        <f aca="false">SUM(IF(OR($R353="Bug",$R353="Grass",$R353="Ice",$R353="Steel"),0-1,IF(OR($R353="Dragon",$R353="Fire",$R353="Rock",$R353="Water"),1,0)),IF(OR($S353="Bug",$S353="Grass",$S353="Ice",$S353="Steel"),0-1,IF(OR($S353="Dragon",$S353="Fire",$S353="Rock",$S353="Water"),1,0)))</f>
        <v>-1</v>
      </c>
      <c r="AJ353" s="507" t="n">
        <f aca="false">SUM(IF(OR($R353="Bug",$R353="Grass",$R353="Fighting"),0-1,IF(OR($R353="Electric",$R353="Rock",$R353="Steel"),1,0)),IF(OR($S353="Bug",$S353="Grass",$S353="Fighting"),0-1,IF(OR($S353="Electric",$S353="Rock",$S353="Steel"),1,0)))</f>
        <v>-1</v>
      </c>
      <c r="AK353" s="507" t="n">
        <f aca="false">IF(OR($R353="Normal",$S353="Normal"),4,SUM(IF(OR($R353="Ghost",$R353="Psychic"),0-1,IF($R353="Dark",1,0)),IF(OR($S353="Ghost",$S353="Psychic"),0-1,IF($S353="Dark",1,0))))</f>
        <v>0</v>
      </c>
      <c r="AL353" s="507" t="n">
        <f aca="false">SUM(IF(OR($R353="Ground",$R353="Rock",$R353="Water"),0-1,IF(OR($R353="Bug",$R353="Flying",$R353="Fire",$R353="Dragon",$R353="Poison",$R353="Steel",$R353="Grass"),1,0)),IF(OR($S353="Ground",$S353="Rock",$S353="Water"),0-1,IF(OR($S353="Bug",$S353="Flying",$S353="Fire",$S353="Dragon",$S353="Poison",$S353="Steel",$S353="Grass"),1,0)))</f>
        <v>1</v>
      </c>
      <c r="AM353" s="507" t="n">
        <f aca="false">IF(OR($R353="Flying",$S353="Flying"),4,SUM(IF(OR($R353="Electric",$R353="Fire",$R353="Rock",$R353="Steel",$R353="Poison"),0-1,IF(OR($R353="Bug",$R353="Grass"),1,0)),IF(OR($S353="Electric",$S353="Fire",$S353="Rock",$S353="Steel",$S353="Poison"),0-1,IF(OR($S353="Bug",$S353="Grass"),1,0))))</f>
        <v>1</v>
      </c>
      <c r="AN353" s="507" t="n">
        <f aca="false">SUM(IF(OR($R353="Flying",$R353="Dragon",$R353="Grass",$R353="Ground"),0-1,IF(OR($R353="Steel",$R353="Ice",$R353="Fire",$R353="Water"),1,0)),IF(OR($S353="Flying",$S353="Dragon",$S353="Grass",$S353="Ground"),0-1,IF(OR($S353="Steel",$S353="Ice",$S353="Fire",$S353="Water"),1,0)))</f>
        <v>0</v>
      </c>
      <c r="AO353" s="507" t="n">
        <f aca="false">IF(OR($R353="Ghost",$S353="Ghost"),4,SUM(IF(OR($R353="Steel",$R353="Rock"),1,0),IF(OR($S353="Steel",$S353="Rock"),1,0)))</f>
        <v>0</v>
      </c>
      <c r="AP353" s="507" t="n">
        <f aca="false">IF(OR($R353="Steel",$S353="Steel"),4,SUM(IF(OR($R353="Fairy",$R353="Grass"),0-1,IF(OR($R353="Ghost",$R353="Rock",$R353="Ground",$R353="Poison"),1,0)),IF(OR($S353="Fairy",$S353="Grass"),0-1,IF(OR($S353="Ghost",$S353="Rock",$S353="Ground",$S353="Poison"),1,0))))</f>
        <v>0</v>
      </c>
      <c r="AQ353" s="507" t="n">
        <f aca="false">IF(OR($R353="Dark",$S353="Dark"),4,SUM(IF(OR($R353="Fighting",$R353="Poison"),0-1,IF(OR($R353="Psychic",$R353="Steel"),1,0)),IF(OR($S353="Fighting",$S353="Poison"),0-1,IF(OR($S353="Psychic",$S353="Steel"),1,0))))</f>
        <v>0</v>
      </c>
      <c r="AR353" s="507" t="n">
        <f aca="false">SUM(IF(OR($R353="Bug",$R353="Fire",$R353="Flying",$R353="Ice"),0-1,IF(OR($R353="Steel",$R353="Fighting",$R353="Ground"),1,0)),IF(OR($S353="Bug",$S353="Fire",$S353="Flying",$S353="Ice"),0-1,IF(OR($S353="Steel",$S353="Fighting",$S353="Ground"),1,0)))</f>
        <v>-1</v>
      </c>
      <c r="AS353" s="507" t="n">
        <f aca="false">SUM(IF(OR($R353="Fairy",$R353="Ice",$R353="Rock"),0-1,IF(OR($R353="Steel",$R353="Electric",$R353="Fire",$R353="Water"),1,0)),IF(OR($S353="Fairy",$S353="Ice",$S353="Rock"),0-1,IF(OR($S353="Steel",$S353="Electric",$S353="Fire",$S353="Water"),1,0)))</f>
        <v>0</v>
      </c>
      <c r="AT353" s="508" t="n">
        <f aca="false">SUM(IF(OR($R353="Fire",$R353="Ground",$R353="Rock"),0-1,IF(OR($R353="Dragon",$R353="Grass",$R353="Water"),1,0)),IF(OR($S353="Fire",$S353="Ground",$S353="Rock"),0-1,IF(OR($S353="Dragon",$S353="Grass",$S353="Water"),1,0)))</f>
        <v>0</v>
      </c>
      <c r="AU353" s="518"/>
    </row>
    <row r="354" customFormat="false" ht="15.75" hidden="false" customHeight="false" outlineLevel="0" collapsed="false">
      <c r="A354" s="515" t="str">
        <f aca="false" t="array" ref="A354:A354">IF(ISNA(INDEX(Source!$U$7:$U$95,MATCH(B354,Source!$V$7:$V$95,0))),"FREE",INDEX(Source!$U$7:$U$95,MATCH(B354,Source!$V$7:$V$95,0)))</f>
        <v>FREE</v>
      </c>
      <c r="B354" s="511" t="s">
        <v>734</v>
      </c>
      <c r="C354" s="511"/>
      <c r="D354" s="511"/>
      <c r="E354" s="499" t="str">
        <f aca="false">IF(SUM($W354:$X354)&gt;0,SUM($W354:$X354),IF($H354&gt;0,0,IF($H354&gt;0,0,"-")))</f>
        <v>-</v>
      </c>
      <c r="F354" s="499" t="str">
        <f aca="false">IF(SUM($Y354:$Z354)&gt;0,SUM($Y354:$Z354),IF($H354&gt;0,0,"-"))</f>
        <v>-</v>
      </c>
      <c r="G354" s="499" t="str">
        <f aca="false">IF($H354&gt;0,minus(E354,F354),"-")</f>
        <v>-</v>
      </c>
      <c r="H354" s="500" t="n">
        <f aca="false">SUM(COUNTIF(MatchSource!$A:$A,$B354),COUNTIF(MatchSource!$H:$H,$B354))</f>
        <v>0</v>
      </c>
      <c r="I354" s="501" t="n">
        <f aca="false">SUM($AA354:$AB354)</f>
        <v>0</v>
      </c>
      <c r="J354" s="501" t="s">
        <v>276</v>
      </c>
      <c r="K354" s="512" t="str">
        <f aca="false" t="array" ref="K354:K354">IF(ISNA(INDEX(DraftRosters!$AA$3:$AA$199,MATCH($B354,DraftRosters!$AB$3:$AB$199,0))),"FA",IF(INDEX(DraftRosters!$AA$3:$AA$199,MATCH($B354,DraftRosters!$AB$3:$AB$199,0))="Franchise","Franch",INDEX(DraftRosters!$AA$3:$AA$199,MATCH($B354,DraftRosters!$AB$3:$AB$199,0))))</f>
        <v>FA</v>
      </c>
      <c r="L354" s="507" t="n">
        <v>65</v>
      </c>
      <c r="M354" s="507" t="n">
        <v>155</v>
      </c>
      <c r="N354" s="507" t="n">
        <v>120</v>
      </c>
      <c r="O354" s="507" t="n">
        <v>65</v>
      </c>
      <c r="P354" s="507" t="n">
        <v>90</v>
      </c>
      <c r="Q354" s="508" t="n">
        <v>105</v>
      </c>
      <c r="R354" s="507" t="s">
        <v>794</v>
      </c>
      <c r="S354" s="508" t="s">
        <v>801</v>
      </c>
      <c r="T354" s="504" t="s">
        <v>1053</v>
      </c>
      <c r="U354" s="505"/>
      <c r="V354" s="506"/>
      <c r="W354" s="500" t="str">
        <f aca="false">IFERROR(__xludf.dummyfunction("if(isna(SUM(FILTER(MatchSource!$A:$D,MatchSource!$A:$A=$B354))),0,SUM(FILTER(MatchSource!$A:$D,MatchSource!$A:$A=$B354)))"),"0")</f>
        <v>0</v>
      </c>
      <c r="X354" s="499" t="str">
        <f aca="false">IFERROR(__xludf.dummyfunction("if(isna(SUM(FILTER(MatchSource!$H:$K,MatchSource!$H:$H=$B354))),0,SUM(FILTER(MatchSource!$H:$K,MatchSource!$H:$H=$B354)))"),"0")</f>
        <v>0</v>
      </c>
      <c r="Y354" s="499" t="str">
        <f aca="false">IFERROR(__xludf.dummyfunction("if(isna(ABS(MINUS(SUM(FILTER(MatchSource!$A:$E,MatchSource!$A:$A=$B354)),SUM($W354)))),0,ABS(MINUS(SUM(FILTER(MatchSource!$A:$E,MatchSource!$A:$A=$B354)),SUM($W354))))"),"0")</f>
        <v>0</v>
      </c>
      <c r="Z354" s="499" t="str">
        <f aca="false">IFERROR(__xludf.dummyfunction("if(isna(ABS(MINUS(SUM(FILTER(MatchSource!$H:$L,MatchSource!$H:$H=$B354)),SUM($X354)))),0,ABS(MINUS(SUM(FILTER(MatchSource!$H:$L,MatchSource!$H:$H=$B354)),SUM($X354))))"),"0")</f>
        <v>0</v>
      </c>
      <c r="AA354" s="499" t="str">
        <f aca="false">IFERROR(__xludf.dummyfunction("if(isna(ABS(MINUS(SUM(FILTER(MatchSource!$A:$F,MatchSource!$A:$A=$B354)),SUM($W354,$Y354)))),0,ABS(MINUS(SUM(FILTER(MatchSource!$A:$F,MatchSource!$A:$A=$B354)),SUM($W354, $Y354,))))"),"0")</f>
        <v>0</v>
      </c>
      <c r="AB354" s="501" t="str">
        <f aca="false">IFERROR(__xludf.dummyfunction("if(isna(ABS(MINUS(SUM(FILTER(MatchSource!$H:$M,MatchSource!$H:$H=$B354)),SUM($X354,$Z354)))),0,ABS(MINUS(SUM(FILTER(MatchSource!$H:$M,MatchSource!$H:$H=$B354)),SUM($X354,$Z354))))"),"0")</f>
        <v>0</v>
      </c>
      <c r="AC354" s="507" t="n">
        <f aca="false">SUM(IF(OR($R354="Grass",$R354="Psychic",$R354="Dark"),0-1,IF(OR($R354="Fighting",$R354="Flying",$R354="Fire",$R354="Ghost",$R354="Poison",$R354="Steel",$R354="Fairy"),1,0)),IF(OR($S354="Grass",$S354="Psychic",$S354="Dark"),0-1,IF(OR($S354="Fighting",$S354="Flying",$S354="Fire",$S354="Ghost",$S354="Poison",$S354="Steel",$S354="Fairy"),1,0)))</f>
        <v>1</v>
      </c>
      <c r="AD354" s="507" t="n">
        <f aca="false">SUM(IF(OR($R354="Ghost",$R354="Psychic"),0-1,IF(OR($R354="Fighting",$R354="Dark",$R354="Fairy"),1,0)),IF(OR($S354="Ghost",$S354="Psychic"),0-1,IF(OR($S354="Fighting",$S354="Dark",$S354="Fairy"),1,0)))</f>
        <v>0</v>
      </c>
      <c r="AE354" s="507" t="n">
        <f aca="false">IF(OR($R354="Fairy",$S354="Fairy"),4,SUM(IF($R354="Dragon",0-1,IF($R354="Steel",1,0)),IF($S354="Dragon",0-1,IF($S354="Steel",1,0))))</f>
        <v>0</v>
      </c>
      <c r="AF354" s="507" t="n">
        <f aca="false">IF(OR($R354="Ground",$S354="Ground"),4,SUM(IF(OR($R354="Flying",$R354="Water"),0-1,IF(OR($R354="Dragon",$R354="Electric",$R354="Grass"),1,0)),IF(OR($S354="Flying",$S354="Water"),0-1,IF(OR($S354="Dragon",$S354="Electric",$S354="Grass"),1,0))))</f>
        <v>-1</v>
      </c>
      <c r="AG354" s="507" t="n">
        <f aca="false">SUM(IF(OR($R354="Dark",$R354="Dragon",$R354="Fighting"),0-1,IF(OR($R354="Steel",$R354="Poison",$R354="Fire"),1,0)),IF(OR($S354="Dark",$S354="Dragon",$S354="Fighting"),0-1,IF(OR($S354="Steel",$S354="Poison",$S354="Fire"),1,0)))</f>
        <v>0</v>
      </c>
      <c r="AH354" s="507" t="n">
        <f aca="false">IF(OR($R354="Ghost",$S354="Ghost"),4,SUM(IF(OR($R354="Dark",$R354="Ice",$R354="Normal",$R354="Rock",$R354="Steel"),0-1,IF(OR($R354="Bug",$R354="Fairy",$R354="Flying",$R354="Poison",$R354="Psychic"),1,0)),IF(OR($S354="Dark",$S354="Ice",$S354="Normal",$S354="Rock",$S354="Steel"),0-1,IF(OR($S354="Bug",$S354="Fairy",$S354="Flying",$S354="Poison",$S354="Psychic"),1,0))))</f>
        <v>2</v>
      </c>
      <c r="AI354" s="507" t="n">
        <f aca="false">SUM(IF(OR($R354="Bug",$R354="Grass",$R354="Ice",$R354="Steel"),0-1,IF(OR($R354="Dragon",$R354="Fire",$R354="Rock",$R354="Water"),1,0)),IF(OR($S354="Bug",$S354="Grass",$S354="Ice",$S354="Steel"),0-1,IF(OR($S354="Dragon",$S354="Fire",$S354="Rock",$S354="Water"),1,0)))</f>
        <v>-1</v>
      </c>
      <c r="AJ354" s="507" t="n">
        <f aca="false">SUM(IF(OR($R354="Bug",$R354="Grass",$R354="Fighting"),0-1,IF(OR($R354="Electric",$R354="Rock",$R354="Steel"),1,0)),IF(OR($S354="Bug",$S354="Grass",$S354="Fighting"),0-1,IF(OR($S354="Electric",$S354="Rock",$S354="Steel"),1,0)))</f>
        <v>-1</v>
      </c>
      <c r="AK354" s="507" t="n">
        <f aca="false">IF(OR($R354="Normal",$S354="Normal"),4,SUM(IF(OR($R354="Ghost",$R354="Psychic"),0-1,IF($R354="Dark",1,0)),IF(OR($S354="Ghost",$S354="Psychic"),0-1,IF($S354="Dark",1,0))))</f>
        <v>0</v>
      </c>
      <c r="AL354" s="507" t="n">
        <f aca="false">SUM(IF(OR($R354="Ground",$R354="Rock",$R354="Water"),0-1,IF(OR($R354="Bug",$R354="Flying",$R354="Fire",$R354="Dragon",$R354="Poison",$R354="Steel",$R354="Grass"),1,0)),IF(OR($S354="Ground",$S354="Rock",$S354="Water"),0-1,IF(OR($S354="Bug",$S354="Flying",$S354="Fire",$S354="Dragon",$S354="Poison",$S354="Steel",$S354="Grass"),1,0)))</f>
        <v>2</v>
      </c>
      <c r="AM354" s="507" t="n">
        <f aca="false">IF(OR($R354="Flying",$S354="Flying"),4,SUM(IF(OR($R354="Electric",$R354="Fire",$R354="Rock",$R354="Steel",$R354="Poison"),0-1,IF(OR($R354="Bug",$R354="Grass"),1,0)),IF(OR($S354="Electric",$S354="Fire",$S354="Rock",$S354="Steel",$S354="Poison"),0-1,IF(OR($S354="Bug",$S354="Grass"),1,0))))</f>
        <v>4</v>
      </c>
      <c r="AN354" s="507" t="n">
        <f aca="false">SUM(IF(OR($R354="Flying",$R354="Dragon",$R354="Grass",$R354="Ground"),0-1,IF(OR($R354="Steel",$R354="Ice",$R354="Fire",$R354="Water"),1,0)),IF(OR($S354="Flying",$S354="Dragon",$S354="Grass",$S354="Ground"),0-1,IF(OR($S354="Steel",$S354="Ice",$S354="Fire",$S354="Water"),1,0)))</f>
        <v>-1</v>
      </c>
      <c r="AO354" s="507" t="n">
        <f aca="false">IF(OR($R354="Ghost",$S354="Ghost"),4,SUM(IF(OR($R354="Steel",$R354="Rock"),1,0),IF(OR($S354="Steel",$S354="Rock"),1,0)))</f>
        <v>0</v>
      </c>
      <c r="AP354" s="507" t="n">
        <f aca="false">IF(OR($R354="Steel",$S354="Steel"),4,SUM(IF(OR($R354="Fairy",$R354="Grass"),0-1,IF(OR($R354="Ghost",$R354="Rock",$R354="Ground",$R354="Poison"),1,0)),IF(OR($S354="Fairy",$S354="Grass"),0-1,IF(OR($S354="Ghost",$S354="Rock",$S354="Ground",$S354="Poison"),1,0))))</f>
        <v>0</v>
      </c>
      <c r="AQ354" s="507" t="n">
        <f aca="false">IF(OR($R354="Dark",$S354="Dark"),4,SUM(IF(OR($R354="Fighting",$R354="Poison"),0-1,IF(OR($R354="Psychic",$R354="Steel"),1,0)),IF(OR($S354="Fighting",$S354="Poison"),0-1,IF(OR($S354="Psychic",$S354="Steel"),1,0))))</f>
        <v>0</v>
      </c>
      <c r="AR354" s="507" t="n">
        <f aca="false">SUM(IF(OR($R354="Bug",$R354="Fire",$R354="Flying",$R354="Ice"),0-1,IF(OR($R354="Steel",$R354="Fighting",$R354="Ground"),1,0)),IF(OR($S354="Bug",$S354="Fire",$S354="Flying",$S354="Ice"),0-1,IF(OR($S354="Steel",$S354="Fighting",$S354="Ground"),1,0)))</f>
        <v>-2</v>
      </c>
      <c r="AS354" s="507" t="n">
        <f aca="false">SUM(IF(OR($R354="Fairy",$R354="Ice",$R354="Rock"),0-1,IF(OR($R354="Steel",$R354="Electric",$R354="Fire",$R354="Water"),1,0)),IF(OR($S354="Fairy",$S354="Ice",$S354="Rock"),0-1,IF(OR($S354="Steel",$S354="Electric",$S354="Fire",$S354="Water"),1,0)))</f>
        <v>0</v>
      </c>
      <c r="AT354" s="508" t="n">
        <f aca="false">SUM(IF(OR($R354="Fire",$R354="Ground",$R354="Rock"),0-1,IF(OR($R354="Dragon",$R354="Grass",$R354="Water"),1,0)),IF(OR($S354="Fire",$S354="Ground",$S354="Rock"),0-1,IF(OR($S354="Dragon",$S354="Grass",$S354="Water"),1,0)))</f>
        <v>0</v>
      </c>
      <c r="AU354" s="518"/>
    </row>
    <row r="355" customFormat="false" ht="15.75" hidden="false" customHeight="false" outlineLevel="0" collapsed="false">
      <c r="A355" s="510" t="str">
        <f aca="false" t="array" ref="A355:A355">IF(ISNA(INDEX(Source!$U$7:$U$95,MATCH(B355,Source!$V$7:$V$95,0))),"FREE",INDEX(Source!$U$7:$U$95,MATCH(B355,Source!$V$7:$V$95,0)))</f>
        <v>FREE</v>
      </c>
      <c r="B355" s="511" t="s">
        <v>763</v>
      </c>
      <c r="C355" s="511"/>
      <c r="D355" s="511"/>
      <c r="E355" s="499" t="str">
        <f aca="false">IF(SUM($W355:$X355)&gt;0,SUM($W355:$X355),IF($H355&gt;0,0,IF($H355&gt;0,0,"-")))</f>
        <v>-</v>
      </c>
      <c r="F355" s="499" t="str">
        <f aca="false">IF(SUM($Y355:$Z355)&gt;0,SUM($Y355:$Z355),IF($H355&gt;0,0,"-"))</f>
        <v>-</v>
      </c>
      <c r="G355" s="499" t="str">
        <f aca="false">IF($H355&gt;0,minus(E355,F355),"-")</f>
        <v>-</v>
      </c>
      <c r="H355" s="500" t="n">
        <f aca="false">SUM(COUNTIF(MatchSource!$A:$A,$B355),COUNTIF(MatchSource!$H:$H,$B355))</f>
        <v>0</v>
      </c>
      <c r="I355" s="501" t="n">
        <f aca="false">SUM($AA355:$AB355)</f>
        <v>0</v>
      </c>
      <c r="J355" s="501" t="s">
        <v>702</v>
      </c>
      <c r="K355" s="512" t="str">
        <f aca="false" t="array" ref="K355:K355">IF(ISNA(INDEX(DraftRosters!$AA$3:$AA$199,MATCH($B355,DraftRosters!$AB$3:$AB$199,0))),"FA",IF(INDEX(DraftRosters!$AA$3:$AA$199,MATCH($B355,DraftRosters!$AB$3:$AB$199,0))="Franchise","Franch",INDEX(DraftRosters!$AA$3:$AA$199,MATCH($B355,DraftRosters!$AB$3:$AB$199,0))))</f>
        <v>FA</v>
      </c>
      <c r="L355" s="499" t="n">
        <v>53</v>
      </c>
      <c r="M355" s="499" t="n">
        <v>51</v>
      </c>
      <c r="N355" s="499" t="n">
        <v>53</v>
      </c>
      <c r="O355" s="499" t="n">
        <v>61</v>
      </c>
      <c r="P355" s="499" t="n">
        <v>56</v>
      </c>
      <c r="Q355" s="501" t="n">
        <v>40</v>
      </c>
      <c r="R355" s="499" t="s">
        <v>811</v>
      </c>
      <c r="S355" s="501"/>
      <c r="T355" s="504" t="s">
        <v>886</v>
      </c>
      <c r="U355" s="505" t="s">
        <v>890</v>
      </c>
      <c r="V355" s="506"/>
      <c r="W355" s="500" t="str">
        <f aca="false">IFERROR(__xludf.dummyfunction("if(isna(SUM(FILTER(MatchSource!$A:$D,MatchSource!$A:$A=$B355))),0,SUM(FILTER(MatchSource!$A:$D,MatchSource!$A:$A=$B355)))"),"0")</f>
        <v>0</v>
      </c>
      <c r="X355" s="499" t="str">
        <f aca="false">IFERROR(__xludf.dummyfunction("if(isna(SUM(FILTER(MatchSource!$H:$K,MatchSource!$H:$H=$B355))),0,SUM(FILTER(MatchSource!$H:$K,MatchSource!$H:$H=$B355)))"),"0")</f>
        <v>0</v>
      </c>
      <c r="Y355" s="499" t="str">
        <f aca="false">IFERROR(__xludf.dummyfunction("if(isna(ABS(MINUS(SUM(FILTER(MatchSource!$A:$E,MatchSource!$A:$A=$B355)),SUM($W355)))),0,ABS(MINUS(SUM(FILTER(MatchSource!$A:$E,MatchSource!$A:$A=$B355)),SUM($W355))))"),"0")</f>
        <v>0</v>
      </c>
      <c r="Z355" s="499" t="str">
        <f aca="false">IFERROR(__xludf.dummyfunction("if(isna(ABS(MINUS(SUM(FILTER(MatchSource!$H:$L,MatchSource!$H:$H=$B355)),SUM($X355)))),0,ABS(MINUS(SUM(FILTER(MatchSource!$H:$L,MatchSource!$H:$H=$B355)),SUM($X355))))"),"0")</f>
        <v>0</v>
      </c>
      <c r="AA355" s="499" t="str">
        <f aca="false">IFERROR(__xludf.dummyfunction("if(isna(ABS(MINUS(SUM(FILTER(MatchSource!$A:$F,MatchSource!$A:$A=$B355)),SUM($W355,$Y355)))),0,ABS(MINUS(SUM(FILTER(MatchSource!$A:$F,MatchSource!$A:$A=$B355)),SUM($W355, $Y355,))))"),"0")</f>
        <v>0</v>
      </c>
      <c r="AB355" s="501" t="str">
        <f aca="false">IFERROR(__xludf.dummyfunction("if(isna(ABS(MINUS(SUM(FILTER(MatchSource!$H:$M,MatchSource!$H:$H=$B355)),SUM($X355,$Z355)))),0,ABS(MINUS(SUM(FILTER(MatchSource!$H:$M,MatchSource!$H:$H=$B355)),SUM($X355,$Z355))))"),"0")</f>
        <v>0</v>
      </c>
      <c r="AC355" s="507" t="n">
        <f aca="false">SUM(IF(OR($R355="Grass",$R355="Psychic",$R355="Dark"),0-1,IF(OR($R355="Fighting",$R355="Flying",$R355="Fire",$R355="Ghost",$R355="Poison",$R355="Steel",$R355="Fairy"),1,0)),IF(OR($S355="Grass",$S355="Psychic",$S355="Dark"),0-1,IF(OR($S355="Fighting",$S355="Flying",$S355="Fire",$S355="Ghost",$S355="Poison",$S355="Steel",$S355="Fairy"),1,0)))</f>
        <v>0</v>
      </c>
      <c r="AD355" s="507" t="n">
        <f aca="false">SUM(IF(OR($R355="Ghost",$R355="Psychic"),0-1,IF(OR($R355="Fighting",$R355="Dark",$R355="Fairy"),1,0)),IF(OR($S355="Ghost",$S355="Psychic"),0-1,IF(OR($S355="Fighting",$S355="Dark",$S355="Fairy"),1,0)))</f>
        <v>0</v>
      </c>
      <c r="AE355" s="507" t="n">
        <f aca="false">IF(OR($R355="Fairy",$S355="Fairy"),4,SUM(IF($R355="Dragon",0-1,IF($R355="Steel",1,0)),IF($S355="Dragon",0-1,IF($S355="Steel",1,0))))</f>
        <v>0</v>
      </c>
      <c r="AF355" s="507" t="n">
        <f aca="false">IF(OR($R355="Ground",$S355="Ground"),4,SUM(IF(OR($R355="Flying",$R355="Water"),0-1,IF(OR($R355="Dragon",$R355="Electric",$R355="Grass"),1,0)),IF(OR($S355="Flying",$S355="Water"),0-1,IF(OR($S355="Dragon",$S355="Electric",$S355="Grass"),1,0))))</f>
        <v>-1</v>
      </c>
      <c r="AG355" s="507" t="n">
        <f aca="false">SUM(IF(OR($R355="Dark",$R355="Dragon",$R355="Fighting"),0-1,IF(OR($R355="Steel",$R355="Poison",$R355="Fire"),1,0)),IF(OR($S355="Dark",$S355="Dragon",$S355="Fighting"),0-1,IF(OR($S355="Steel",$S355="Poison",$S355="Fire"),1,0)))</f>
        <v>0</v>
      </c>
      <c r="AH355" s="507" t="n">
        <f aca="false">IF(OR($R355="Ghost",$S355="Ghost"),4,SUM(IF(OR($R355="Dark",$R355="Ice",$R355="Normal",$R355="Rock",$R355="Steel"),0-1,IF(OR($R355="Bug",$R355="Fairy",$R355="Flying",$R355="Poison",$R355="Psychic"),1,0)),IF(OR($S355="Dark",$S355="Ice",$S355="Normal",$S355="Rock",$S355="Steel"),0-1,IF(OR($S355="Bug",$S355="Fairy",$S355="Flying",$S355="Poison",$S355="Psychic"),1,0))))</f>
        <v>0</v>
      </c>
      <c r="AI355" s="507" t="n">
        <f aca="false">SUM(IF(OR($R355="Bug",$R355="Grass",$R355="Ice",$R355="Steel"),0-1,IF(OR($R355="Dragon",$R355="Fire",$R355="Rock",$R355="Water"),1,0)),IF(OR($S355="Bug",$S355="Grass",$S355="Ice",$S355="Steel"),0-1,IF(OR($S355="Dragon",$S355="Fire",$S355="Rock",$S355="Water"),1,0)))</f>
        <v>1</v>
      </c>
      <c r="AJ355" s="507" t="n">
        <f aca="false">SUM(IF(OR($R355="Bug",$R355="Grass",$R355="Fighting"),0-1,IF(OR($R355="Electric",$R355="Rock",$R355="Steel"),1,0)),IF(OR($S355="Bug",$S355="Grass",$S355="Fighting"),0-1,IF(OR($S355="Electric",$S355="Rock",$S355="Steel"),1,0)))</f>
        <v>0</v>
      </c>
      <c r="AK355" s="507" t="n">
        <f aca="false">IF(OR($R355="Normal",$S355="Normal"),4,SUM(IF(OR($R355="Ghost",$R355="Psychic"),0-1,IF($R355="Dark",1,0)),IF(OR($S355="Ghost",$S355="Psychic"),0-1,IF($S355="Dark",1,0))))</f>
        <v>0</v>
      </c>
      <c r="AL355" s="507" t="n">
        <f aca="false">SUM(IF(OR($R355="Ground",$R355="Rock",$R355="Water"),0-1,IF(OR($R355="Bug",$R355="Flying",$R355="Fire",$R355="Dragon",$R355="Poison",$R355="Steel",$R355="Grass"),1,0)),IF(OR($S355="Ground",$S355="Rock",$S355="Water"),0-1,IF(OR($S355="Bug",$S355="Flying",$S355="Fire",$S355="Dragon",$S355="Poison",$S355="Steel",$S355="Grass"),1,0)))</f>
        <v>-1</v>
      </c>
      <c r="AM355" s="507" t="n">
        <f aca="false">IF(OR($R355="Flying",$S355="Flying"),4,SUM(IF(OR($R355="Electric",$R355="Fire",$R355="Rock",$R355="Steel",$R355="Poison"),0-1,IF(OR($R355="Bug",$R355="Grass"),1,0)),IF(OR($S355="Electric",$S355="Fire",$S355="Rock",$S355="Steel",$S355="Poison"),0-1,IF(OR($S355="Bug",$S355="Grass"),1,0))))</f>
        <v>0</v>
      </c>
      <c r="AN355" s="507" t="n">
        <f aca="false">SUM(IF(OR($R355="Flying",$R355="Dragon",$R355="Grass",$R355="Ground"),0-1,IF(OR($R355="Steel",$R355="Ice",$R355="Fire",$R355="Water"),1,0)),IF(OR($S355="Flying",$S355="Dragon",$S355="Grass",$S355="Ground"),0-1,IF(OR($S355="Steel",$S355="Ice",$S355="Fire",$S355="Water"),1,0)))</f>
        <v>1</v>
      </c>
      <c r="AO355" s="507" t="n">
        <f aca="false">IF(OR($R355="Ghost",$S355="Ghost"),4,SUM(IF(OR($R355="Steel",$R355="Rock"),1,0),IF(OR($S355="Steel",$S355="Rock"),1,0)))</f>
        <v>0</v>
      </c>
      <c r="AP355" s="507" t="n">
        <f aca="false">IF(OR($R355="Steel",$S355="Steel"),4,SUM(IF(OR($R355="Fairy",$R355="Grass"),0-1,IF(OR($R355="Ghost",$R355="Rock",$R355="Ground",$R355="Poison"),1,0)),IF(OR($S355="Fairy",$S355="Grass"),0-1,IF(OR($S355="Ghost",$S355="Rock",$S355="Ground",$S355="Poison"),1,0))))</f>
        <v>0</v>
      </c>
      <c r="AQ355" s="507" t="n">
        <f aca="false">IF(OR($R355="Dark",$S355="Dark"),4,SUM(IF(OR($R355="Fighting",$R355="Poison"),0-1,IF(OR($R355="Psychic",$R355="Steel"),1,0)),IF(OR($S355="Fighting",$S355="Poison"),0-1,IF(OR($S355="Psychic",$S355="Steel"),1,0))))</f>
        <v>0</v>
      </c>
      <c r="AR355" s="507" t="n">
        <f aca="false">SUM(IF(OR($R355="Bug",$R355="Fire",$R355="Flying",$R355="Ice"),0-1,IF(OR($R355="Steel",$R355="Fighting",$R355="Ground"),1,0)),IF(OR($S355="Bug",$S355="Fire",$S355="Flying",$S355="Ice"),0-1,IF(OR($S355="Steel",$S355="Fighting",$S355="Ground"),1,0)))</f>
        <v>0</v>
      </c>
      <c r="AS355" s="507" t="n">
        <f aca="false">SUM(IF(OR($R355="Fairy",$R355="Ice",$R355="Rock"),0-1,IF(OR($R355="Steel",$R355="Electric",$R355="Fire",$R355="Water"),1,0)),IF(OR($S355="Fairy",$S355="Ice",$S355="Rock"),0-1,IF(OR($S355="Steel",$S355="Electric",$S355="Fire",$S355="Water"),1,0)))</f>
        <v>1</v>
      </c>
      <c r="AT355" s="508" t="n">
        <f aca="false">SUM(IF(OR($R355="Fire",$R355="Ground",$R355="Rock"),0-1,IF(OR($R355="Dragon",$R355="Grass",$R355="Water"),1,0)),IF(OR($S355="Fire",$S355="Ground",$S355="Rock"),0-1,IF(OR($S355="Dragon",$S355="Grass",$S355="Water"),1,0)))</f>
        <v>1</v>
      </c>
      <c r="AU355" s="518"/>
    </row>
    <row r="356" customFormat="false" ht="15.75" hidden="false" customHeight="false" outlineLevel="0" collapsed="false">
      <c r="A356" s="510" t="str">
        <f aca="false" t="array" ref="A356:A356">IF(ISNA(INDEX(Source!$U$7:$U$95,MATCH(B356,Source!$V$7:$V$95,0))),"FREE",INDEX(Source!$U$7:$U$95,MATCH(B356,Source!$V$7:$V$95,0)))</f>
        <v>FREE</v>
      </c>
      <c r="B356" s="511" t="s">
        <v>463</v>
      </c>
      <c r="C356" s="511"/>
      <c r="D356" s="511"/>
      <c r="E356" s="499" t="str">
        <f aca="false">IF(SUM($W356:$X356)&gt;0,SUM($W356:$X356),IF($H356&gt;0,0,IF($H356&gt;0,0,"-")))</f>
        <v>-</v>
      </c>
      <c r="F356" s="499" t="str">
        <f aca="false">IF(SUM($Y356:$Z356)&gt;0,SUM($Y356:$Z356),IF($H356&gt;0,0,"-"))</f>
        <v>-</v>
      </c>
      <c r="G356" s="499" t="str">
        <f aca="false">IF($H356&gt;0,minus(E356,F356),"-")</f>
        <v>-</v>
      </c>
      <c r="H356" s="500" t="n">
        <f aca="false">SUM(COUNTIF(MatchSource!$A:$A,$B356),COUNTIF(MatchSource!$H:$H,$B356))</f>
        <v>0</v>
      </c>
      <c r="I356" s="501" t="n">
        <f aca="false">SUM($AA356:$AB356)</f>
        <v>0</v>
      </c>
      <c r="J356" s="501" t="s">
        <v>702</v>
      </c>
      <c r="K356" s="512" t="str">
        <f aca="false" t="array" ref="K356:K356">IF(ISNA(INDEX(DraftRosters!$AA$3:$AA$199,MATCH($B356,DraftRosters!$AB$3:$AB$199,0))),"FA",IF(INDEX(DraftRosters!$AA$3:$AA$199,MATCH($B356,DraftRosters!$AB$3:$AB$199,0))="Franchise","Franch",INDEX(DraftRosters!$AA$3:$AA$199,MATCH($B356,DraftRosters!$AB$3:$AB$199,0))))</f>
        <v>FA</v>
      </c>
      <c r="L356" s="499" t="n">
        <v>60</v>
      </c>
      <c r="M356" s="499" t="n">
        <v>50</v>
      </c>
      <c r="N356" s="499" t="n">
        <v>40</v>
      </c>
      <c r="O356" s="499" t="n">
        <v>85</v>
      </c>
      <c r="P356" s="499" t="n">
        <v>75</v>
      </c>
      <c r="Q356" s="501" t="n">
        <v>95</v>
      </c>
      <c r="R356" s="499" t="s">
        <v>845</v>
      </c>
      <c r="S356" s="501"/>
      <c r="T356" s="504" t="s">
        <v>1023</v>
      </c>
      <c r="U356" s="505" t="s">
        <v>846</v>
      </c>
      <c r="V356" s="506"/>
      <c r="W356" s="500" t="str">
        <f aca="false">IFERROR(__xludf.dummyfunction("if(isna(SUM(FILTER(MatchSource!$A:$D,MatchSource!$A:$A=$B356))),0,SUM(FILTER(MatchSource!$A:$D,MatchSource!$A:$A=$B356)))"),"0")</f>
        <v>0</v>
      </c>
      <c r="X356" s="499" t="str">
        <f aca="false">IFERROR(__xludf.dummyfunction("if(isna(SUM(FILTER(MatchSource!$H:$K,MatchSource!$H:$H=$B356))),0,SUM(FILTER(MatchSource!$H:$K,MatchSource!$H:$H=$B356)))"),"0")</f>
        <v>0</v>
      </c>
      <c r="Y356" s="499" t="str">
        <f aca="false">IFERROR(__xludf.dummyfunction("if(isna(ABS(MINUS(SUM(FILTER(MatchSource!$A:$E,MatchSource!$A:$A=$B356)),SUM($W356)))),0,ABS(MINUS(SUM(FILTER(MatchSource!$A:$E,MatchSource!$A:$A=$B356)),SUM($W356))))"),"0")</f>
        <v>0</v>
      </c>
      <c r="Z356" s="499" t="str">
        <f aca="false">IFERROR(__xludf.dummyfunction("if(isna(ABS(MINUS(SUM(FILTER(MatchSource!$H:$L,MatchSource!$H:$H=$B356)),SUM($X356)))),0,ABS(MINUS(SUM(FILTER(MatchSource!$H:$L,MatchSource!$H:$H=$B356)),SUM($X356))))"),"0")</f>
        <v>0</v>
      </c>
      <c r="AA356" s="499" t="str">
        <f aca="false">IFERROR(__xludf.dummyfunction("if(isna(ABS(MINUS(SUM(FILTER(MatchSource!$A:$F,MatchSource!$A:$A=$B356)),SUM($W356,$Y356)))),0,ABS(MINUS(SUM(FILTER(MatchSource!$A:$F,MatchSource!$A:$A=$B356)),SUM($W356, $Y356,))))"),"0")</f>
        <v>0</v>
      </c>
      <c r="AB356" s="501" t="str">
        <f aca="false">IFERROR(__xludf.dummyfunction("if(isna(ABS(MINUS(SUM(FILTER(MatchSource!$H:$M,MatchSource!$H:$H=$B356)),SUM($X356,$Z356)))),0,ABS(MINUS(SUM(FILTER(MatchSource!$H:$M,MatchSource!$H:$H=$B356)),SUM($X356,$Z356))))"),"0")</f>
        <v>0</v>
      </c>
      <c r="AC356" s="507" t="n">
        <f aca="false">SUM(IF(OR($R356="Grass",$R356="Psychic",$R356="Dark"),0-1,IF(OR($R356="Fighting",$R356="Flying",$R356="Fire",$R356="Ghost",$R356="Poison",$R356="Steel",$R356="Fairy"),1,0)),IF(OR($S356="Grass",$S356="Psychic",$S356="Dark"),0-1,IF(OR($S356="Fighting",$S356="Flying",$S356="Fire",$S356="Ghost",$S356="Poison",$S356="Steel",$S356="Fairy"),1,0)))</f>
        <v>0</v>
      </c>
      <c r="AD356" s="507" t="n">
        <f aca="false">SUM(IF(OR($R356="Ghost",$R356="Psychic"),0-1,IF(OR($R356="Fighting",$R356="Dark",$R356="Fairy"),1,0)),IF(OR($S356="Ghost",$S356="Psychic"),0-1,IF(OR($S356="Fighting",$S356="Dark",$S356="Fairy"),1,0)))</f>
        <v>0</v>
      </c>
      <c r="AE356" s="507" t="n">
        <f aca="false">IF(OR($R356="Fairy",$S356="Fairy"),4,SUM(IF($R356="Dragon",0-1,IF($R356="Steel",1,0)),IF($S356="Dragon",0-1,IF($S356="Steel",1,0))))</f>
        <v>0</v>
      </c>
      <c r="AF356" s="507" t="n">
        <f aca="false">IF(OR($R356="Ground",$S356="Ground"),4,SUM(IF(OR($R356="Flying",$R356="Water"),0-1,IF(OR($R356="Dragon",$R356="Electric",$R356="Grass"),1,0)),IF(OR($S356="Flying",$S356="Water"),0-1,IF(OR($S356="Dragon",$S356="Electric",$S356="Grass"),1,0))))</f>
        <v>1</v>
      </c>
      <c r="AG356" s="507" t="n">
        <f aca="false">SUM(IF(OR($R356="Dark",$R356="Dragon",$R356="Fighting"),0-1,IF(OR($R356="Steel",$R356="Poison",$R356="Fire"),1,0)),IF(OR($S356="Dark",$S356="Dragon",$S356="Fighting"),0-1,IF(OR($S356="Steel",$S356="Poison",$S356="Fire"),1,0)))</f>
        <v>0</v>
      </c>
      <c r="AH356" s="507" t="n">
        <f aca="false">IF(OR($R356="Ghost",$S356="Ghost"),4,SUM(IF(OR($R356="Dark",$R356="Ice",$R356="Normal",$R356="Rock",$R356="Steel"),0-1,IF(OR($R356="Bug",$R356="Fairy",$R356="Flying",$R356="Poison",$R356="Psychic"),1,0)),IF(OR($S356="Dark",$S356="Ice",$S356="Normal",$S356="Rock",$S356="Steel"),0-1,IF(OR($S356="Bug",$S356="Fairy",$S356="Flying",$S356="Poison",$S356="Psychic"),1,0))))</f>
        <v>0</v>
      </c>
      <c r="AI356" s="507" t="n">
        <f aca="false">SUM(IF(OR($R356="Bug",$R356="Grass",$R356="Ice",$R356="Steel"),0-1,IF(OR($R356="Dragon",$R356="Fire",$R356="Rock",$R356="Water"),1,0)),IF(OR($S356="Bug",$S356="Grass",$S356="Ice",$S356="Steel"),0-1,IF(OR($S356="Dragon",$S356="Fire",$S356="Rock",$S356="Water"),1,0)))</f>
        <v>0</v>
      </c>
      <c r="AJ356" s="507" t="n">
        <f aca="false">SUM(IF(OR($R356="Bug",$R356="Grass",$R356="Fighting"),0-1,IF(OR($R356="Electric",$R356="Rock",$R356="Steel"),1,0)),IF(OR($S356="Bug",$S356="Grass",$S356="Fighting"),0-1,IF(OR($S356="Electric",$S356="Rock",$S356="Steel"),1,0)))</f>
        <v>1</v>
      </c>
      <c r="AK356" s="507" t="n">
        <f aca="false">IF(OR($R356="Normal",$S356="Normal"),4,SUM(IF(OR($R356="Ghost",$R356="Psychic"),0-1,IF($R356="Dark",1,0)),IF(OR($S356="Ghost",$S356="Psychic"),0-1,IF($S356="Dark",1,0))))</f>
        <v>0</v>
      </c>
      <c r="AL356" s="507" t="n">
        <f aca="false">SUM(IF(OR($R356="Ground",$R356="Rock",$R356="Water"),0-1,IF(OR($R356="Bug",$R356="Flying",$R356="Fire",$R356="Dragon",$R356="Poison",$R356="Steel",$R356="Grass"),1,0)),IF(OR($S356="Ground",$S356="Rock",$S356="Water"),0-1,IF(OR($S356="Bug",$S356="Flying",$S356="Fire",$S356="Dragon",$S356="Poison",$S356="Steel",$S356="Grass"),1,0)))</f>
        <v>0</v>
      </c>
      <c r="AM356" s="507" t="n">
        <f aca="false">IF(OR($R356="Flying",$S356="Flying"),4,SUM(IF(OR($R356="Electric",$R356="Fire",$R356="Rock",$R356="Steel",$R356="Poison"),0-1,IF(OR($R356="Bug",$R356="Grass"),1,0)),IF(OR($S356="Electric",$S356="Fire",$S356="Rock",$S356="Steel",$S356="Poison"),0-1,IF(OR($S356="Bug",$S356="Grass"),1,0))))</f>
        <v>-1</v>
      </c>
      <c r="AN356" s="507" t="n">
        <f aca="false">SUM(IF(OR($R356="Flying",$R356="Dragon",$R356="Grass",$R356="Ground"),0-1,IF(OR($R356="Steel",$R356="Ice",$R356="Fire",$R356="Water"),1,0)),IF(OR($S356="Flying",$S356="Dragon",$S356="Grass",$S356="Ground"),0-1,IF(OR($S356="Steel",$S356="Ice",$S356="Fire",$S356="Water"),1,0)))</f>
        <v>0</v>
      </c>
      <c r="AO356" s="507" t="n">
        <f aca="false">IF(OR($R356="Ghost",$S356="Ghost"),4,SUM(IF(OR($R356="Steel",$R356="Rock"),1,0),IF(OR($S356="Steel",$S356="Rock"),1,0)))</f>
        <v>0</v>
      </c>
      <c r="AP356" s="507" t="n">
        <f aca="false">IF(OR($R356="Steel",$S356="Steel"),4,SUM(IF(OR($R356="Fairy",$R356="Grass"),0-1,IF(OR($R356="Ghost",$R356="Rock",$R356="Ground",$R356="Poison"),1,0)),IF(OR($S356="Fairy",$S356="Grass"),0-1,IF(OR($S356="Ghost",$S356="Rock",$S356="Ground",$S356="Poison"),1,0))))</f>
        <v>0</v>
      </c>
      <c r="AQ356" s="507" t="n">
        <f aca="false">IF(OR($R356="Dark",$S356="Dark"),4,SUM(IF(OR($R356="Fighting",$R356="Poison"),0-1,IF(OR($R356="Psychic",$R356="Steel"),1,0)),IF(OR($S356="Fighting",$S356="Poison"),0-1,IF(OR($S356="Psychic",$S356="Steel"),1,0))))</f>
        <v>0</v>
      </c>
      <c r="AR356" s="507" t="n">
        <f aca="false">SUM(IF(OR($R356="Bug",$R356="Fire",$R356="Flying",$R356="Ice"),0-1,IF(OR($R356="Steel",$R356="Fighting",$R356="Ground"),1,0)),IF(OR($S356="Bug",$S356="Fire",$S356="Flying",$S356="Ice"),0-1,IF(OR($S356="Steel",$S356="Fighting",$S356="Ground"),1,0)))</f>
        <v>0</v>
      </c>
      <c r="AS356" s="507" t="n">
        <f aca="false">SUM(IF(OR($R356="Fairy",$R356="Ice",$R356="Rock"),0-1,IF(OR($R356="Steel",$R356="Electric",$R356="Fire",$R356="Water"),1,0)),IF(OR($S356="Fairy",$S356="Ice",$S356="Rock"),0-1,IF(OR($S356="Steel",$S356="Electric",$S356="Fire",$S356="Water"),1,0)))</f>
        <v>1</v>
      </c>
      <c r="AT356" s="508" t="n">
        <f aca="false">SUM(IF(OR($R356="Fire",$R356="Ground",$R356="Rock"),0-1,IF(OR($R356="Dragon",$R356="Grass",$R356="Water"),1,0)),IF(OR($S356="Fire",$S356="Ground",$S356="Rock"),0-1,IF(OR($S356="Dragon",$S356="Grass",$S356="Water"),1,0)))</f>
        <v>0</v>
      </c>
      <c r="AU356" s="518"/>
    </row>
    <row r="357" customFormat="false" ht="15.75" hidden="false" customHeight="false" outlineLevel="0" collapsed="false">
      <c r="A357" s="510" t="str">
        <f aca="false" t="array" ref="A357:A357">IF(ISNA(INDEX(Source!$U$7:$U$95,MATCH(B357,Source!$V$7:$V$95,0))),"FREE",INDEX(Source!$U$7:$U$95,MATCH(B357,Source!$V$7:$V$95,0)))</f>
        <v>FREE</v>
      </c>
      <c r="B357" s="511" t="s">
        <v>1054</v>
      </c>
      <c r="C357" s="511"/>
      <c r="D357" s="511"/>
      <c r="E357" s="499" t="str">
        <f aca="false">IF(SUM($W357:$X357)&gt;0,SUM($W357:$X357),IF($H357&gt;0,0,IF($H357&gt;0,0,"-")))</f>
        <v>-</v>
      </c>
      <c r="F357" s="499" t="str">
        <f aca="false">IF(SUM($Y357:$Z357)&gt;0,SUM($Y357:$Z357),IF($H357&gt;0,0,"-"))</f>
        <v>-</v>
      </c>
      <c r="G357" s="499" t="str">
        <f aca="false">IF($H357&gt;0,minus(E357,F357),"-")</f>
        <v>-</v>
      </c>
      <c r="H357" s="500" t="n">
        <f aca="false">SUM(COUNTIF(MatchSource!$A:$A,$B357),COUNTIF(MatchSource!$H:$H,$B357))</f>
        <v>0</v>
      </c>
      <c r="I357" s="501" t="n">
        <f aca="false">SUM($AA357:$AB357)</f>
        <v>0</v>
      </c>
      <c r="J357" s="501" t="s">
        <v>888</v>
      </c>
      <c r="K357" s="512" t="str">
        <f aca="false" t="array" ref="K357:K357">IF(ISNA(INDEX(DraftRosters!$AA$3:$AA$199,MATCH($B357,DraftRosters!$AB$3:$AB$199,0))),"FA",IF(INDEX(DraftRosters!$AA$3:$AA$199,MATCH($B357,DraftRosters!$AB$3:$AB$199,0))="Franchise","Franch",INDEX(DraftRosters!$AA$3:$AA$199,MATCH($B357,DraftRosters!$AB$3:$AB$199,0))))</f>
        <v>FA</v>
      </c>
      <c r="L357" s="499" t="n">
        <v>67</v>
      </c>
      <c r="M357" s="499" t="n">
        <v>73</v>
      </c>
      <c r="N357" s="499" t="n">
        <v>67</v>
      </c>
      <c r="O357" s="499" t="n">
        <v>73</v>
      </c>
      <c r="P357" s="499" t="n">
        <v>67</v>
      </c>
      <c r="Q357" s="501" t="n">
        <v>73</v>
      </c>
      <c r="R357" s="499" t="s">
        <v>843</v>
      </c>
      <c r="S357" s="501"/>
      <c r="T357" s="504" t="s">
        <v>889</v>
      </c>
      <c r="U357" s="505"/>
      <c r="V357" s="506"/>
      <c r="W357" s="500" t="str">
        <f aca="false">IFERROR(__xludf.dummyfunction("if(isna(SUM(FILTER(MatchSource!$A:$D,MatchSource!$A:$A=$B357))),0,SUM(FILTER(MatchSource!$A:$D,MatchSource!$A:$A=$B357)))"),"0")</f>
        <v>0</v>
      </c>
      <c r="X357" s="499" t="str">
        <f aca="false">IFERROR(__xludf.dummyfunction("if(isna(SUM(FILTER(MatchSource!$H:$K,MatchSource!$H:$H=$B357))),0,SUM(FILTER(MatchSource!$H:$K,MatchSource!$H:$H=$B357)))"),"0")</f>
        <v>0</v>
      </c>
      <c r="Y357" s="499" t="str">
        <f aca="false">IFERROR(__xludf.dummyfunction("if(isna(ABS(MINUS(SUM(FILTER(MatchSource!$A:$E,MatchSource!$A:$A=$B357)),SUM($W357)))),0,ABS(MINUS(SUM(FILTER(MatchSource!$A:$E,MatchSource!$A:$A=$B357)),SUM($W357))))"),"0")</f>
        <v>0</v>
      </c>
      <c r="Z357" s="499" t="str">
        <f aca="false">IFERROR(__xludf.dummyfunction("if(isna(ABS(MINUS(SUM(FILTER(MatchSource!$H:$L,MatchSource!$H:$H=$B357)),SUM($X357)))),0,ABS(MINUS(SUM(FILTER(MatchSource!$H:$L,MatchSource!$H:$H=$B357)),SUM($X357))))"),"0")</f>
        <v>0</v>
      </c>
      <c r="AA357" s="499" t="str">
        <f aca="false">IFERROR(__xludf.dummyfunction("if(isna(ABS(MINUS(SUM(FILTER(MatchSource!$A:$F,MatchSource!$A:$A=$B357)),SUM($W357,$Y357)))),0,ABS(MINUS(SUM(FILTER(MatchSource!$A:$F,MatchSource!$A:$A=$B357)),SUM($W357, $Y357,))))"),"0")</f>
        <v>0</v>
      </c>
      <c r="AB357" s="501" t="str">
        <f aca="false">IFERROR(__xludf.dummyfunction("if(isna(ABS(MINUS(SUM(FILTER(MatchSource!$H:$M,MatchSource!$H:$H=$B357)),SUM($X357,$Z357)))),0,ABS(MINUS(SUM(FILTER(MatchSource!$H:$M,MatchSource!$H:$H=$B357)),SUM($X357,$Z357))))"),"0")</f>
        <v>0</v>
      </c>
      <c r="AC357" s="507" t="n">
        <f aca="false">SUM(IF(OR($R357="Grass",$R357="Psychic",$R357="Dark"),0-1,IF(OR($R357="Fighting",$R357="Flying",$R357="Fire",$R357="Ghost",$R357="Poison",$R357="Steel",$R357="Fairy"),1,0)),IF(OR($S357="Grass",$S357="Psychic",$S357="Dark"),0-1,IF(OR($S357="Fighting",$S357="Flying",$S357="Fire",$S357="Ghost",$S357="Poison",$S357="Steel",$S357="Fairy"),1,0)))</f>
        <v>1</v>
      </c>
      <c r="AD357" s="507" t="n">
        <f aca="false">SUM(IF(OR($R357="Ghost",$R357="Psychic"),0-1,IF(OR($R357="Fighting",$R357="Dark",$R357="Fairy"),1,0)),IF(OR($S357="Ghost",$S357="Psychic"),0-1,IF(OR($S357="Fighting",$S357="Dark",$S357="Fairy"),1,0)))</f>
        <v>0</v>
      </c>
      <c r="AE357" s="507" t="n">
        <f aca="false">IF(OR($R357="Fairy",$S357="Fairy"),4,SUM(IF($R357="Dragon",0-1,IF($R357="Steel",1,0)),IF($S357="Dragon",0-1,IF($S357="Steel",1,0))))</f>
        <v>0</v>
      </c>
      <c r="AF357" s="507" t="n">
        <f aca="false">IF(OR($R357="Ground",$S357="Ground"),4,SUM(IF(OR($R357="Flying",$R357="Water"),0-1,IF(OR($R357="Dragon",$R357="Electric",$R357="Grass"),1,0)),IF(OR($S357="Flying",$S357="Water"),0-1,IF(OR($S357="Dragon",$S357="Electric",$S357="Grass"),1,0))))</f>
        <v>0</v>
      </c>
      <c r="AG357" s="507" t="n">
        <f aca="false">SUM(IF(OR($R357="Dark",$R357="Dragon",$R357="Fighting"),0-1,IF(OR($R357="Steel",$R357="Poison",$R357="Fire"),1,0)),IF(OR($S357="Dark",$S357="Dragon",$S357="Fighting"),0-1,IF(OR($S357="Steel",$S357="Poison",$S357="Fire"),1,0)))</f>
        <v>1</v>
      </c>
      <c r="AH357" s="507" t="n">
        <f aca="false">IF(OR($R357="Ghost",$S357="Ghost"),4,SUM(IF(OR($R357="Dark",$R357="Ice",$R357="Normal",$R357="Rock",$R357="Steel"),0-1,IF(OR($R357="Bug",$R357="Fairy",$R357="Flying",$R357="Poison",$R357="Psychic"),1,0)),IF(OR($S357="Dark",$S357="Ice",$S357="Normal",$S357="Rock",$S357="Steel"),0-1,IF(OR($S357="Bug",$S357="Fairy",$S357="Flying",$S357="Poison",$S357="Psychic"),1,0))))</f>
        <v>1</v>
      </c>
      <c r="AI357" s="507" t="n">
        <f aca="false">SUM(IF(OR($R357="Bug",$R357="Grass",$R357="Ice",$R357="Steel"),0-1,IF(OR($R357="Dragon",$R357="Fire",$R357="Rock",$R357="Water"),1,0)),IF(OR($S357="Bug",$S357="Grass",$S357="Ice",$S357="Steel"),0-1,IF(OR($S357="Dragon",$S357="Fire",$S357="Rock",$S357="Water"),1,0)))</f>
        <v>0</v>
      </c>
      <c r="AJ357" s="507" t="n">
        <f aca="false">SUM(IF(OR($R357="Bug",$R357="Grass",$R357="Fighting"),0-1,IF(OR($R357="Electric",$R357="Rock",$R357="Steel"),1,0)),IF(OR($S357="Bug",$S357="Grass",$S357="Fighting"),0-1,IF(OR($S357="Electric",$S357="Rock",$S357="Steel"),1,0)))</f>
        <v>0</v>
      </c>
      <c r="AK357" s="507" t="n">
        <f aca="false">IF(OR($R357="Normal",$S357="Normal"),4,SUM(IF(OR($R357="Ghost",$R357="Psychic"),0-1,IF($R357="Dark",1,0)),IF(OR($S357="Ghost",$S357="Psychic"),0-1,IF($S357="Dark",1,0))))</f>
        <v>0</v>
      </c>
      <c r="AL357" s="507" t="n">
        <f aca="false">SUM(IF(OR($R357="Ground",$R357="Rock",$R357="Water"),0-1,IF(OR($R357="Bug",$R357="Flying",$R357="Fire",$R357="Dragon",$R357="Poison",$R357="Steel",$R357="Grass"),1,0)),IF(OR($S357="Ground",$S357="Rock",$S357="Water"),0-1,IF(OR($S357="Bug",$S357="Flying",$S357="Fire",$S357="Dragon",$S357="Poison",$S357="Steel",$S357="Grass"),1,0)))</f>
        <v>1</v>
      </c>
      <c r="AM357" s="507" t="n">
        <f aca="false">IF(OR($R357="Flying",$S357="Flying"),4,SUM(IF(OR($R357="Electric",$R357="Fire",$R357="Rock",$R357="Steel",$R357="Poison"),0-1,IF(OR($R357="Bug",$R357="Grass"),1,0)),IF(OR($S357="Electric",$S357="Fire",$S357="Rock",$S357="Steel",$S357="Poison"),0-1,IF(OR($S357="Bug",$S357="Grass"),1,0))))</f>
        <v>-1</v>
      </c>
      <c r="AN357" s="507" t="n">
        <f aca="false">SUM(IF(OR($R357="Flying",$R357="Dragon",$R357="Grass",$R357="Ground"),0-1,IF(OR($R357="Steel",$R357="Ice",$R357="Fire",$R357="Water"),1,0)),IF(OR($S357="Flying",$S357="Dragon",$S357="Grass",$S357="Ground"),0-1,IF(OR($S357="Steel",$S357="Ice",$S357="Fire",$S357="Water"),1,0)))</f>
        <v>0</v>
      </c>
      <c r="AO357" s="507" t="n">
        <f aca="false">IF(OR($R357="Ghost",$S357="Ghost"),4,SUM(IF(OR($R357="Steel",$R357="Rock"),1,0),IF(OR($S357="Steel",$S357="Rock"),1,0)))</f>
        <v>0</v>
      </c>
      <c r="AP357" s="507" t="n">
        <f aca="false">IF(OR($R357="Steel",$S357="Steel"),4,SUM(IF(OR($R357="Fairy",$R357="Grass"),0-1,IF(OR($R357="Ghost",$R357="Rock",$R357="Ground",$R357="Poison"),1,0)),IF(OR($S357="Fairy",$S357="Grass"),0-1,IF(OR($S357="Ghost",$S357="Rock",$S357="Ground",$S357="Poison"),1,0))))</f>
        <v>1</v>
      </c>
      <c r="AQ357" s="507" t="n">
        <f aca="false">IF(OR($R357="Dark",$S357="Dark"),4,SUM(IF(OR($R357="Fighting",$R357="Poison"),0-1,IF(OR($R357="Psychic",$R357="Steel"),1,0)),IF(OR($S357="Fighting",$S357="Poison"),0-1,IF(OR($S357="Psychic",$S357="Steel"),1,0))))</f>
        <v>-1</v>
      </c>
      <c r="AR357" s="507" t="n">
        <f aca="false">SUM(IF(OR($R357="Bug",$R357="Fire",$R357="Flying",$R357="Ice"),0-1,IF(OR($R357="Steel",$R357="Fighting",$R357="Ground"),1,0)),IF(OR($S357="Bug",$S357="Fire",$S357="Flying",$S357="Ice"),0-1,IF(OR($S357="Steel",$S357="Fighting",$S357="Ground"),1,0)))</f>
        <v>0</v>
      </c>
      <c r="AS357" s="507" t="n">
        <f aca="false">SUM(IF(OR($R357="Fairy",$R357="Ice",$R357="Rock"),0-1,IF(OR($R357="Steel",$R357="Electric",$R357="Fire",$R357="Water"),1,0)),IF(OR($S357="Fairy",$S357="Ice",$S357="Rock"),0-1,IF(OR($S357="Steel",$S357="Electric",$S357="Fire",$S357="Water"),1,0)))</f>
        <v>0</v>
      </c>
      <c r="AT357" s="508" t="n">
        <f aca="false">SUM(IF(OR($R357="Fire",$R357="Ground",$R357="Rock"),0-1,IF(OR($R357="Dragon",$R357="Grass",$R357="Water"),1,0)),IF(OR($S357="Fire",$S357="Ground",$S357="Rock"),0-1,IF(OR($S357="Dragon",$S357="Grass",$S357="Water"),1,0)))</f>
        <v>0</v>
      </c>
      <c r="AU357" s="518"/>
    </row>
    <row r="358" customFormat="false" ht="15.75" hidden="false" customHeight="false" outlineLevel="0" collapsed="false">
      <c r="A358" s="510" t="str">
        <f aca="false" t="array" ref="A358:A358">IF(ISNA(INDEX(Source!$U$7:$U$95,MATCH(B358,Source!$V$7:$V$95,0))),"FREE",INDEX(Source!$U$7:$U$95,MATCH(B358,Source!$V$7:$V$95,0)))</f>
        <v>SGP</v>
      </c>
      <c r="B358" s="511" t="s">
        <v>73</v>
      </c>
      <c r="C358" s="511"/>
      <c r="D358" s="511"/>
      <c r="E358" s="499" t="n">
        <f aca="false">IF(SUM($W358:$X358)&gt;0,SUM($W358:$X358),IF($H358&gt;0,0,IF($H358&gt;0,0,"-")))</f>
        <v>0</v>
      </c>
      <c r="F358" s="499" t="n">
        <f aca="false">IF(SUM($Y358:$Z358)&gt;0,SUM($Y358:$Z358),IF($H358&gt;0,0,"-"))</f>
        <v>0</v>
      </c>
      <c r="G358" s="499" t="e">
        <f aca="false">IF($H358&gt;0,minus(E358,F358),"-")</f>
        <v>#NAME?</v>
      </c>
      <c r="H358" s="500" t="n">
        <f aca="false">SUM(COUNTIF(MatchSource!$A:$A,$B358),COUNTIF(MatchSource!$H:$H,$B358))</f>
        <v>4</v>
      </c>
      <c r="I358" s="501" t="n">
        <f aca="false">SUM($AA358:$AB358)</f>
        <v>0</v>
      </c>
      <c r="J358" s="501" t="s">
        <v>700</v>
      </c>
      <c r="K358" s="512" t="n">
        <f aca="false" t="array" ref="K358:K358">IF(ISNA(INDEX(DraftRosters!$AA$3:$AA$199,MATCH($B358,DraftRosters!$AB$3:$AB$199,0))),"FA",IF(INDEX(DraftRosters!$AA$3:$AA$199,MATCH($B358,DraftRosters!$AB$3:$AB$199,0))="Franchise","Franch",INDEX(DraftRosters!$AA$3:$AA$199,MATCH($B358,DraftRosters!$AB$3:$AB$199,0))))</f>
        <v>19</v>
      </c>
      <c r="L358" s="499" t="n">
        <v>90</v>
      </c>
      <c r="M358" s="499" t="n">
        <v>75</v>
      </c>
      <c r="N358" s="499" t="n">
        <v>75</v>
      </c>
      <c r="O358" s="499" t="n">
        <v>90</v>
      </c>
      <c r="P358" s="499" t="n">
        <v>100</v>
      </c>
      <c r="Q358" s="501" t="n">
        <v>70</v>
      </c>
      <c r="R358" s="499" t="s">
        <v>811</v>
      </c>
      <c r="S358" s="501"/>
      <c r="T358" s="504" t="s">
        <v>983</v>
      </c>
      <c r="U358" s="505" t="s">
        <v>849</v>
      </c>
      <c r="V358" s="506" t="s">
        <v>1051</v>
      </c>
      <c r="W358" s="500" t="str">
        <f aca="false">IFERROR(__xludf.dummyfunction("if(isna(SUM(FILTER(MatchSource!$A:$D,MatchSource!$A:$A=$B358))),0,SUM(FILTER(MatchSource!$A:$D,MatchSource!$A:$A=$B358)))"),"1")</f>
        <v>1</v>
      </c>
      <c r="X358" s="499" t="str">
        <f aca="false">IFERROR(__xludf.dummyfunction("if(isna(SUM(FILTER(MatchSource!$H:$K,MatchSource!$H:$H=$B358))),0,SUM(FILTER(MatchSource!$H:$K,MatchSource!$H:$H=$B358)))"),"1")</f>
        <v>1</v>
      </c>
      <c r="Y358" s="499" t="str">
        <f aca="false">IFERROR(__xludf.dummyfunction("if(isna(ABS(MINUS(SUM(FILTER(MatchSource!$A:$E,MatchSource!$A:$A=$B358)),SUM($W358)))),0,ABS(MINUS(SUM(FILTER(MatchSource!$A:$E,MatchSource!$A:$A=$B358)),SUM($W358))))"),"3")</f>
        <v>3</v>
      </c>
      <c r="Z358" s="499" t="str">
        <f aca="false">IFERROR(__xludf.dummyfunction("if(isna(ABS(MINUS(SUM(FILTER(MatchSource!$H:$L,MatchSource!$H:$H=$B358)),SUM($X358)))),0,ABS(MINUS(SUM(FILTER(MatchSource!$H:$L,MatchSource!$H:$H=$B358)),SUM($X358))))"),"1")</f>
        <v>1</v>
      </c>
      <c r="AA358" s="499" t="str">
        <f aca="false">IFERROR(__xludf.dummyfunction("if(isna(ABS(MINUS(SUM(FILTER(MatchSource!$A:$F,MatchSource!$A:$A=$B358)),SUM($W358,$Y358)))),0,ABS(MINUS(SUM(FILTER(MatchSource!$A:$F,MatchSource!$A:$A=$B358)),SUM($W358, $Y358,))))"),"0")</f>
        <v>0</v>
      </c>
      <c r="AB358" s="501" t="str">
        <f aca="false">IFERROR(__xludf.dummyfunction("if(isna(ABS(MINUS(SUM(FILTER(MatchSource!$H:$M,MatchSource!$H:$H=$B358)),SUM($X358,$Z358)))),0,ABS(MINUS(SUM(FILTER(MatchSource!$H:$M,MatchSource!$H:$H=$B358)),SUM($X358,$Z358))))"),"0")</f>
        <v>0</v>
      </c>
      <c r="AC358" s="507" t="n">
        <f aca="false">SUM(IF(OR($R358="Grass",$R358="Psychic",$R358="Dark"),0-1,IF(OR($R358="Fighting",$R358="Flying",$R358="Fire",$R358="Ghost",$R358="Poison",$R358="Steel",$R358="Fairy"),1,0)),IF(OR($S358="Grass",$S358="Psychic",$S358="Dark"),0-1,IF(OR($S358="Fighting",$S358="Flying",$S358="Fire",$S358="Ghost",$S358="Poison",$S358="Steel",$S358="Fairy"),1,0)))</f>
        <v>0</v>
      </c>
      <c r="AD358" s="507" t="n">
        <f aca="false">SUM(IF(OR($R358="Ghost",$R358="Psychic"),0-1,IF(OR($R358="Fighting",$R358="Dark",$R358="Fairy"),1,0)),IF(OR($S358="Ghost",$S358="Psychic"),0-1,IF(OR($S358="Fighting",$S358="Dark",$S358="Fairy"),1,0)))</f>
        <v>0</v>
      </c>
      <c r="AE358" s="507" t="n">
        <f aca="false">IF(OR($R358="Fairy",$S358="Fairy"),4,SUM(IF($R358="Dragon",0-1,IF($R358="Steel",1,0)),IF($S358="Dragon",0-1,IF($S358="Steel",1,0))))</f>
        <v>0</v>
      </c>
      <c r="AF358" s="507" t="n">
        <f aca="false">IF(OR($R358="Ground",$S358="Ground"),4,SUM(IF(OR($R358="Flying",$R358="Water"),0-1,IF(OR($R358="Dragon",$R358="Electric",$R358="Grass"),1,0)),IF(OR($S358="Flying",$S358="Water"),0-1,IF(OR($S358="Dragon",$S358="Electric",$S358="Grass"),1,0))))</f>
        <v>-1</v>
      </c>
      <c r="AG358" s="507" t="n">
        <f aca="false">SUM(IF(OR($R358="Dark",$R358="Dragon",$R358="Fighting"),0-1,IF(OR($R358="Steel",$R358="Poison",$R358="Fire"),1,0)),IF(OR($S358="Dark",$S358="Dragon",$S358="Fighting"),0-1,IF(OR($S358="Steel",$S358="Poison",$S358="Fire"),1,0)))</f>
        <v>0</v>
      </c>
      <c r="AH358" s="507" t="n">
        <f aca="false">IF(OR($R358="Ghost",$S358="Ghost"),4,SUM(IF(OR($R358="Dark",$R358="Ice",$R358="Normal",$R358="Rock",$R358="Steel"),0-1,IF(OR($R358="Bug",$R358="Fairy",$R358="Flying",$R358="Poison",$R358="Psychic"),1,0)),IF(OR($S358="Dark",$S358="Ice",$S358="Normal",$S358="Rock",$S358="Steel"),0-1,IF(OR($S358="Bug",$S358="Fairy",$S358="Flying",$S358="Poison",$S358="Psychic"),1,0))))</f>
        <v>0</v>
      </c>
      <c r="AI358" s="507" t="n">
        <f aca="false">SUM(IF(OR($R358="Bug",$R358="Grass",$R358="Ice",$R358="Steel"),0-1,IF(OR($R358="Dragon",$R358="Fire",$R358="Rock",$R358="Water"),1,0)),IF(OR($S358="Bug",$S358="Grass",$S358="Ice",$S358="Steel"),0-1,IF(OR($S358="Dragon",$S358="Fire",$S358="Rock",$S358="Water"),1,0)))</f>
        <v>1</v>
      </c>
      <c r="AJ358" s="507" t="n">
        <f aca="false">SUM(IF(OR($R358="Bug",$R358="Grass",$R358="Fighting"),0-1,IF(OR($R358="Electric",$R358="Rock",$R358="Steel"),1,0)),IF(OR($S358="Bug",$S358="Grass",$S358="Fighting"),0-1,IF(OR($S358="Electric",$S358="Rock",$S358="Steel"),1,0)))</f>
        <v>0</v>
      </c>
      <c r="AK358" s="507" t="n">
        <f aca="false">IF(OR($R358="Normal",$S358="Normal"),4,SUM(IF(OR($R358="Ghost",$R358="Psychic"),0-1,IF($R358="Dark",1,0)),IF(OR($S358="Ghost",$S358="Psychic"),0-1,IF($S358="Dark",1,0))))</f>
        <v>0</v>
      </c>
      <c r="AL358" s="507" t="n">
        <f aca="false">SUM(IF(OR($R358="Ground",$R358="Rock",$R358="Water"),0-1,IF(OR($R358="Bug",$R358="Flying",$R358="Fire",$R358="Dragon",$R358="Poison",$R358="Steel",$R358="Grass"),1,0)),IF(OR($S358="Ground",$S358="Rock",$S358="Water"),0-1,IF(OR($S358="Bug",$S358="Flying",$S358="Fire",$S358="Dragon",$S358="Poison",$S358="Steel",$S358="Grass"),1,0)))</f>
        <v>-1</v>
      </c>
      <c r="AM358" s="507" t="n">
        <f aca="false">IF(OR($R358="Flying",$S358="Flying"),4,SUM(IF(OR($R358="Electric",$R358="Fire",$R358="Rock",$R358="Steel",$R358="Poison"),0-1,IF(OR($R358="Bug",$R358="Grass"),1,0)),IF(OR($S358="Electric",$S358="Fire",$S358="Rock",$S358="Steel",$S358="Poison"),0-1,IF(OR($S358="Bug",$S358="Grass"),1,0))))</f>
        <v>0</v>
      </c>
      <c r="AN358" s="507" t="n">
        <f aca="false">SUM(IF(OR($R358="Flying",$R358="Dragon",$R358="Grass",$R358="Ground"),0-1,IF(OR($R358="Steel",$R358="Ice",$R358="Fire",$R358="Water"),1,0)),IF(OR($S358="Flying",$S358="Dragon",$S358="Grass",$S358="Ground"),0-1,IF(OR($S358="Steel",$S358="Ice",$S358="Fire",$S358="Water"),1,0)))</f>
        <v>1</v>
      </c>
      <c r="AO358" s="507" t="n">
        <f aca="false">IF(OR($R358="Ghost",$S358="Ghost"),4,SUM(IF(OR($R358="Steel",$R358="Rock"),1,0),IF(OR($S358="Steel",$S358="Rock"),1,0)))</f>
        <v>0</v>
      </c>
      <c r="AP358" s="507" t="n">
        <f aca="false">IF(OR($R358="Steel",$S358="Steel"),4,SUM(IF(OR($R358="Fairy",$R358="Grass"),0-1,IF(OR($R358="Ghost",$R358="Rock",$R358="Ground",$R358="Poison"),1,0)),IF(OR($S358="Fairy",$S358="Grass"),0-1,IF(OR($S358="Ghost",$S358="Rock",$S358="Ground",$S358="Poison"),1,0))))</f>
        <v>0</v>
      </c>
      <c r="AQ358" s="507" t="n">
        <f aca="false">IF(OR($R358="Dark",$S358="Dark"),4,SUM(IF(OR($R358="Fighting",$R358="Poison"),0-1,IF(OR($R358="Psychic",$R358="Steel"),1,0)),IF(OR($S358="Fighting",$S358="Poison"),0-1,IF(OR($S358="Psychic",$S358="Steel"),1,0))))</f>
        <v>0</v>
      </c>
      <c r="AR358" s="507" t="n">
        <f aca="false">SUM(IF(OR($R358="Bug",$R358="Fire",$R358="Flying",$R358="Ice"),0-1,IF(OR($R358="Steel",$R358="Fighting",$R358="Ground"),1,0)),IF(OR($S358="Bug",$S358="Fire",$S358="Flying",$S358="Ice"),0-1,IF(OR($S358="Steel",$S358="Fighting",$S358="Ground"),1,0)))</f>
        <v>0</v>
      </c>
      <c r="AS358" s="507" t="n">
        <f aca="false">SUM(IF(OR($R358="Fairy",$R358="Ice",$R358="Rock"),0-1,IF(OR($R358="Steel",$R358="Electric",$R358="Fire",$R358="Water"),1,0)),IF(OR($S358="Fairy",$S358="Ice",$S358="Rock"),0-1,IF(OR($S358="Steel",$S358="Electric",$S358="Fire",$S358="Water"),1,0)))</f>
        <v>1</v>
      </c>
      <c r="AT358" s="508" t="n">
        <f aca="false">SUM(IF(OR($R358="Fire",$R358="Ground",$R358="Rock"),0-1,IF(OR($R358="Dragon",$R358="Grass",$R358="Water"),1,0)),IF(OR($S358="Fire",$S358="Ground",$S358="Rock"),0-1,IF(OR($S358="Dragon",$S358="Grass",$S358="Water"),1,0)))</f>
        <v>1</v>
      </c>
      <c r="AU358" s="518"/>
    </row>
    <row r="359" customFormat="false" ht="15.75" hidden="false" customHeight="false" outlineLevel="0" collapsed="false">
      <c r="A359" s="515" t="str">
        <f aca="false" t="array" ref="A359:A359">IF(ISNA(INDEX(Source!$U$7:$U$95,MATCH(B359,Source!$V$7:$V$95,0))),"FREE",INDEX(Source!$U$7:$U$95,MATCH(B359,Source!$V$7:$V$95,0)))</f>
        <v>FREE</v>
      </c>
      <c r="B359" s="511" t="s">
        <v>604</v>
      </c>
      <c r="C359" s="511"/>
      <c r="D359" s="511"/>
      <c r="E359" s="499" t="str">
        <f aca="false">IF(SUM($W359:$X359)&gt;0,SUM($W359:$X359),IF($H359&gt;0,0,IF($H359&gt;0,0,"-")))</f>
        <v>-</v>
      </c>
      <c r="F359" s="499" t="str">
        <f aca="false">IF(SUM($Y359:$Z359)&gt;0,SUM($Y359:$Z359),IF($H359&gt;0,0,"-"))</f>
        <v>-</v>
      </c>
      <c r="G359" s="499" t="str">
        <f aca="false">IF($H359&gt;0,minus(E359,F359),"-")</f>
        <v>-</v>
      </c>
      <c r="H359" s="500" t="n">
        <f aca="false">SUM(COUNTIF(MatchSource!$A:$A,$B359),COUNTIF(MatchSource!$H:$H,$B359))</f>
        <v>0</v>
      </c>
      <c r="I359" s="501" t="n">
        <f aca="false">SUM($AA359:$AB359)</f>
        <v>0</v>
      </c>
      <c r="J359" s="501" t="s">
        <v>701</v>
      </c>
      <c r="K359" s="512" t="str">
        <f aca="false" t="array" ref="K359:K359">IF(ISNA(INDEX(DraftRosters!$AA$3:$AA$199,MATCH($B359,DraftRosters!$AB$3:$AB$199,0))),"FA",IF(INDEX(DraftRosters!$AA$3:$AA$199,MATCH($B359,DraftRosters!$AB$3:$AB$199,0))="Franchise","Franch",INDEX(DraftRosters!$AA$3:$AA$199,MATCH($B359,DraftRosters!$AB$3:$AB$199,0))))</f>
        <v>FA</v>
      </c>
      <c r="L359" s="499" t="n">
        <v>90</v>
      </c>
      <c r="M359" s="499" t="n">
        <v>95</v>
      </c>
      <c r="N359" s="499" t="n">
        <v>95</v>
      </c>
      <c r="O359" s="499" t="n">
        <v>70</v>
      </c>
      <c r="P359" s="499" t="n">
        <v>90</v>
      </c>
      <c r="Q359" s="501" t="n">
        <v>70</v>
      </c>
      <c r="R359" s="499" t="s">
        <v>811</v>
      </c>
      <c r="S359" s="501"/>
      <c r="T359" s="504" t="s">
        <v>983</v>
      </c>
      <c r="U359" s="505" t="s">
        <v>849</v>
      </c>
      <c r="V359" s="506" t="s">
        <v>859</v>
      </c>
      <c r="W359" s="500" t="str">
        <f aca="false">IFERROR(__xludf.dummyfunction("if(isna(SUM(FILTER(MatchSource!$A:$D,MatchSource!$A:$A=$B359))),0,SUM(FILTER(MatchSource!$A:$D,MatchSource!$A:$A=$B359)))"),"0")</f>
        <v>0</v>
      </c>
      <c r="X359" s="499" t="str">
        <f aca="false">IFERROR(__xludf.dummyfunction("if(isna(SUM(FILTER(MatchSource!$H:$K,MatchSource!$H:$H=$B359))),0,SUM(FILTER(MatchSource!$H:$K,MatchSource!$H:$H=$B359)))"),"0")</f>
        <v>0</v>
      </c>
      <c r="Y359" s="499" t="str">
        <f aca="false">IFERROR(__xludf.dummyfunction("if(isna(ABS(MINUS(SUM(FILTER(MatchSource!$A:$E,MatchSource!$A:$A=$B359)),SUM($W359)))),0,ABS(MINUS(SUM(FILTER(MatchSource!$A:$E,MatchSource!$A:$A=$B359)),SUM($W359))))"),"0")</f>
        <v>0</v>
      </c>
      <c r="Z359" s="499" t="str">
        <f aca="false">IFERROR(__xludf.dummyfunction("if(isna(ABS(MINUS(SUM(FILTER(MatchSource!$H:$L,MatchSource!$H:$H=$B359)),SUM($X359)))),0,ABS(MINUS(SUM(FILTER(MatchSource!$H:$L,MatchSource!$H:$H=$B359)),SUM($X359))))"),"0")</f>
        <v>0</v>
      </c>
      <c r="AA359" s="499" t="str">
        <f aca="false">IFERROR(__xludf.dummyfunction("if(isna(ABS(MINUS(SUM(FILTER(MatchSource!$A:$F,MatchSource!$A:$A=$B359)),SUM($W359,$Y359)))),0,ABS(MINUS(SUM(FILTER(MatchSource!$A:$F,MatchSource!$A:$A=$B359)),SUM($W359, $Y359,))))"),"0")</f>
        <v>0</v>
      </c>
      <c r="AB359" s="501" t="str">
        <f aca="false">IFERROR(__xludf.dummyfunction("if(isna(ABS(MINUS(SUM(FILTER(MatchSource!$H:$M,MatchSource!$H:$H=$B359)),SUM($X359,$Z359)))),0,ABS(MINUS(SUM(FILTER(MatchSource!$H:$M,MatchSource!$H:$H=$B359)),SUM($X359,$Z359))))"),"0")</f>
        <v>0</v>
      </c>
      <c r="AC359" s="507" t="n">
        <f aca="false">SUM(IF(OR($R359="Grass",$R359="Psychic",$R359="Dark"),0-1,IF(OR($R359="Fighting",$R359="Flying",$R359="Fire",$R359="Ghost",$R359="Poison",$R359="Steel",$R359="Fairy"),1,0)),IF(OR($S359="Grass",$S359="Psychic",$S359="Dark"),0-1,IF(OR($S359="Fighting",$S359="Flying",$S359="Fire",$S359="Ghost",$S359="Poison",$S359="Steel",$S359="Fairy"),1,0)))</f>
        <v>0</v>
      </c>
      <c r="AD359" s="507" t="n">
        <f aca="false">SUM(IF(OR($R359="Ghost",$R359="Psychic"),0-1,IF(OR($R359="Fighting",$R359="Dark",$R359="Fairy"),1,0)),IF(OR($S359="Ghost",$S359="Psychic"),0-1,IF(OR($S359="Fighting",$S359="Dark",$S359="Fairy"),1,0)))</f>
        <v>0</v>
      </c>
      <c r="AE359" s="507" t="n">
        <f aca="false">IF(OR($R359="Fairy",$S359="Fairy"),4,SUM(IF($R359="Dragon",0-1,IF($R359="Steel",1,0)),IF($S359="Dragon",0-1,IF($S359="Steel",1,0))))</f>
        <v>0</v>
      </c>
      <c r="AF359" s="507" t="n">
        <f aca="false">IF(OR($R359="Ground",$S359="Ground"),4,SUM(IF(OR($R359="Flying",$R359="Water"),0-1,IF(OR($R359="Dragon",$R359="Electric",$R359="Grass"),1,0)),IF(OR($S359="Flying",$S359="Water"),0-1,IF(OR($S359="Dragon",$S359="Electric",$S359="Grass"),1,0))))</f>
        <v>-1</v>
      </c>
      <c r="AG359" s="507" t="n">
        <f aca="false">SUM(IF(OR($R359="Dark",$R359="Dragon",$R359="Fighting"),0-1,IF(OR($R359="Steel",$R359="Poison",$R359="Fire"),1,0)),IF(OR($S359="Dark",$S359="Dragon",$S359="Fighting"),0-1,IF(OR($S359="Steel",$S359="Poison",$S359="Fire"),1,0)))</f>
        <v>0</v>
      </c>
      <c r="AH359" s="507" t="n">
        <f aca="false">IF(OR($R359="Ghost",$S359="Ghost"),4,SUM(IF(OR($R359="Dark",$R359="Ice",$R359="Normal",$R359="Rock",$R359="Steel"),0-1,IF(OR($R359="Bug",$R359="Fairy",$R359="Flying",$R359="Poison",$R359="Psychic"),1,0)),IF(OR($S359="Dark",$S359="Ice",$S359="Normal",$S359="Rock",$S359="Steel"),0-1,IF(OR($S359="Bug",$S359="Fairy",$S359="Flying",$S359="Poison",$S359="Psychic"),1,0))))</f>
        <v>0</v>
      </c>
      <c r="AI359" s="507" t="n">
        <f aca="false">SUM(IF(OR($R359="Bug",$R359="Grass",$R359="Ice",$R359="Steel"),0-1,IF(OR($R359="Dragon",$R359="Fire",$R359="Rock",$R359="Water"),1,0)),IF(OR($S359="Bug",$S359="Grass",$S359="Ice",$S359="Steel"),0-1,IF(OR($S359="Dragon",$S359="Fire",$S359="Rock",$S359="Water"),1,0)))</f>
        <v>1</v>
      </c>
      <c r="AJ359" s="507" t="n">
        <f aca="false">SUM(IF(OR($R359="Bug",$R359="Grass",$R359="Fighting"),0-1,IF(OR($R359="Electric",$R359="Rock",$R359="Steel"),1,0)),IF(OR($S359="Bug",$S359="Grass",$S359="Fighting"),0-1,IF(OR($S359="Electric",$S359="Rock",$S359="Steel"),1,0)))</f>
        <v>0</v>
      </c>
      <c r="AK359" s="507" t="n">
        <f aca="false">IF(OR($R359="Normal",$S359="Normal"),4,SUM(IF(OR($R359="Ghost",$R359="Psychic"),0-1,IF($R359="Dark",1,0)),IF(OR($S359="Ghost",$S359="Psychic"),0-1,IF($S359="Dark",1,0))))</f>
        <v>0</v>
      </c>
      <c r="AL359" s="507" t="n">
        <f aca="false">SUM(IF(OR($R359="Ground",$R359="Rock",$R359="Water"),0-1,IF(OR($R359="Bug",$R359="Flying",$R359="Fire",$R359="Dragon",$R359="Poison",$R359="Steel",$R359="Grass"),1,0)),IF(OR($S359="Ground",$S359="Rock",$S359="Water"),0-1,IF(OR($S359="Bug",$S359="Flying",$S359="Fire",$S359="Dragon",$S359="Poison",$S359="Steel",$S359="Grass"),1,0)))</f>
        <v>-1</v>
      </c>
      <c r="AM359" s="507" t="n">
        <f aca="false">IF(OR($R359="Flying",$S359="Flying"),4,SUM(IF(OR($R359="Electric",$R359="Fire",$R359="Rock",$R359="Steel",$R359="Poison"),0-1,IF(OR($R359="Bug",$R359="Grass"),1,0)),IF(OR($S359="Electric",$S359="Fire",$S359="Rock",$S359="Steel",$S359="Poison"),0-1,IF(OR($S359="Bug",$S359="Grass"),1,0))))</f>
        <v>0</v>
      </c>
      <c r="AN359" s="507" t="n">
        <f aca="false">SUM(IF(OR($R359="Flying",$R359="Dragon",$R359="Grass",$R359="Ground"),0-1,IF(OR($R359="Steel",$R359="Ice",$R359="Fire",$R359="Water"),1,0)),IF(OR($S359="Flying",$S359="Dragon",$S359="Grass",$S359="Ground"),0-1,IF(OR($S359="Steel",$S359="Ice",$S359="Fire",$S359="Water"),1,0)))</f>
        <v>1</v>
      </c>
      <c r="AO359" s="507" t="n">
        <f aca="false">IF(OR($R359="Ghost",$S359="Ghost"),4,SUM(IF(OR($R359="Steel",$R359="Rock"),1,0),IF(OR($S359="Steel",$S359="Rock"),1,0)))</f>
        <v>0</v>
      </c>
      <c r="AP359" s="507" t="n">
        <f aca="false">IF(OR($R359="Steel",$S359="Steel"),4,SUM(IF(OR($R359="Fairy",$R359="Grass"),0-1,IF(OR($R359="Ghost",$R359="Rock",$R359="Ground",$R359="Poison"),1,0)),IF(OR($S359="Fairy",$S359="Grass"),0-1,IF(OR($S359="Ghost",$S359="Rock",$S359="Ground",$S359="Poison"),1,0))))</f>
        <v>0</v>
      </c>
      <c r="AQ359" s="507" t="n">
        <f aca="false">IF(OR($R359="Dark",$S359="Dark"),4,SUM(IF(OR($R359="Fighting",$R359="Poison"),0-1,IF(OR($R359="Psychic",$R359="Steel"),1,0)),IF(OR($S359="Fighting",$S359="Poison"),0-1,IF(OR($S359="Psychic",$S359="Steel"),1,0))))</f>
        <v>0</v>
      </c>
      <c r="AR359" s="507" t="n">
        <f aca="false">SUM(IF(OR($R359="Bug",$R359="Fire",$R359="Flying",$R359="Ice"),0-1,IF(OR($R359="Steel",$R359="Fighting",$R359="Ground"),1,0)),IF(OR($S359="Bug",$S359="Fire",$S359="Flying",$S359="Ice"),0-1,IF(OR($S359="Steel",$S359="Fighting",$S359="Ground"),1,0)))</f>
        <v>0</v>
      </c>
      <c r="AS359" s="507" t="n">
        <f aca="false">SUM(IF(OR($R359="Fairy",$R359="Ice",$R359="Rock"),0-1,IF(OR($R359="Steel",$R359="Electric",$R359="Fire",$R359="Water"),1,0)),IF(OR($S359="Fairy",$S359="Ice",$S359="Rock"),0-1,IF(OR($S359="Steel",$S359="Electric",$S359="Fire",$S359="Water"),1,0)))</f>
        <v>1</v>
      </c>
      <c r="AT359" s="508" t="n">
        <f aca="false">SUM(IF(OR($R359="Fire",$R359="Ground",$R359="Rock"),0-1,IF(OR($R359="Dragon",$R359="Grass",$R359="Water"),1,0)),IF(OR($S359="Fire",$S359="Ground",$S359="Rock"),0-1,IF(OR($S359="Dragon",$S359="Grass",$S359="Water"),1,0)))</f>
        <v>1</v>
      </c>
      <c r="AU359" s="518"/>
    </row>
    <row r="360" customFormat="false" ht="15.75" hidden="false" customHeight="false" outlineLevel="0" collapsed="false">
      <c r="A360" s="515" t="str">
        <f aca="false" t="array" ref="A360:A360">IF(ISNA(INDEX(Source!$U$7:$U$95,MATCH(B360,Source!$V$7:$V$95,0))),"FREE",INDEX(Source!$U$7:$U$95,MATCH(B360,Source!$V$7:$V$95,0)))</f>
        <v>FREE</v>
      </c>
      <c r="B360" s="511" t="s">
        <v>529</v>
      </c>
      <c r="C360" s="511"/>
      <c r="D360" s="511"/>
      <c r="E360" s="499" t="str">
        <f aca="false">IF(SUM($W360:$X360)&gt;0,SUM($W360:$X360),IF($H360&gt;0,0,IF($H360&gt;0,0,"-")))</f>
        <v>-</v>
      </c>
      <c r="F360" s="499" t="str">
        <f aca="false">IF(SUM($Y360:$Z360)&gt;0,SUM($Y360:$Z360),IF($H360&gt;0,0,"-"))</f>
        <v>-</v>
      </c>
      <c r="G360" s="499" t="str">
        <f aca="false">IF($H360&gt;0,minus(E360,F360),"-")</f>
        <v>-</v>
      </c>
      <c r="H360" s="500" t="n">
        <f aca="false">SUM(COUNTIF(MatchSource!$A:$A,$B360),COUNTIF(MatchSource!$H:$H,$B360))</f>
        <v>0</v>
      </c>
      <c r="I360" s="501" t="n">
        <f aca="false">SUM($AA360:$AB360)</f>
        <v>0</v>
      </c>
      <c r="J360" s="501" t="s">
        <v>700</v>
      </c>
      <c r="K360" s="512" t="str">
        <f aca="false" t="array" ref="K360:K360">IF(ISNA(INDEX(DraftRosters!$AA$3:$AA$199,MATCH($B360,DraftRosters!$AB$3:$AB$199,0))),"FA",IF(INDEX(DraftRosters!$AA$3:$AA$199,MATCH($B360,DraftRosters!$AB$3:$AB$199,0))="Franchise","Franch",INDEX(DraftRosters!$AA$3:$AA$199,MATCH($B360,DraftRosters!$AB$3:$AB$199,0))))</f>
        <v>FA</v>
      </c>
      <c r="L360" s="499" t="n">
        <v>85</v>
      </c>
      <c r="M360" s="499" t="n">
        <v>80</v>
      </c>
      <c r="N360" s="499" t="n">
        <v>70</v>
      </c>
      <c r="O360" s="499" t="n">
        <v>135</v>
      </c>
      <c r="P360" s="499" t="n">
        <v>75</v>
      </c>
      <c r="Q360" s="501" t="n">
        <v>90</v>
      </c>
      <c r="R360" s="499" t="s">
        <v>839</v>
      </c>
      <c r="S360" s="501"/>
      <c r="T360" s="504" t="s">
        <v>874</v>
      </c>
      <c r="U360" s="505" t="s">
        <v>979</v>
      </c>
      <c r="V360" s="506" t="s">
        <v>878</v>
      </c>
      <c r="W360" s="500" t="str">
        <f aca="false">IFERROR(__xludf.dummyfunction("if(isna(SUM(FILTER(MatchSource!$A:$D,MatchSource!$A:$A=$B360))),0,SUM(FILTER(MatchSource!$A:$D,MatchSource!$A:$A=$B360)))"),"0")</f>
        <v>0</v>
      </c>
      <c r="X360" s="499" t="str">
        <f aca="false">IFERROR(__xludf.dummyfunction("if(isna(SUM(FILTER(MatchSource!$H:$K,MatchSource!$H:$H=$B360))),0,SUM(FILTER(MatchSource!$H:$K,MatchSource!$H:$H=$B360)))"),"0")</f>
        <v>0</v>
      </c>
      <c r="Y360" s="499" t="str">
        <f aca="false">IFERROR(__xludf.dummyfunction("if(isna(ABS(MINUS(SUM(FILTER(MatchSource!$A:$E,MatchSource!$A:$A=$B360)),SUM($W360)))),0,ABS(MINUS(SUM(FILTER(MatchSource!$A:$E,MatchSource!$A:$A=$B360)),SUM($W360))))"),"0")</f>
        <v>0</v>
      </c>
      <c r="Z360" s="499" t="str">
        <f aca="false">IFERROR(__xludf.dummyfunction("if(isna(ABS(MINUS(SUM(FILTER(MatchSource!$H:$L,MatchSource!$H:$H=$B360)),SUM($X360)))),0,ABS(MINUS(SUM(FILTER(MatchSource!$H:$L,MatchSource!$H:$H=$B360)),SUM($X360))))"),"0")</f>
        <v>0</v>
      </c>
      <c r="AA360" s="499" t="str">
        <f aca="false">IFERROR(__xludf.dummyfunction("if(isna(ABS(MINUS(SUM(FILTER(MatchSource!$A:$F,MatchSource!$A:$A=$B360)),SUM($W360,$Y360)))),0,ABS(MINUS(SUM(FILTER(MatchSource!$A:$F,MatchSource!$A:$A=$B360)),SUM($W360, $Y360,))))"),"0")</f>
        <v>0</v>
      </c>
      <c r="AB360" s="501" t="str">
        <f aca="false">IFERROR(__xludf.dummyfunction("if(isna(ABS(MINUS(SUM(FILTER(MatchSource!$H:$M,MatchSource!$H:$H=$B360)),SUM($X360,$Z360)))),0,ABS(MINUS(SUM(FILTER(MatchSource!$H:$M,MatchSource!$H:$H=$B360)),SUM($X360,$Z360))))"),"0")</f>
        <v>0</v>
      </c>
      <c r="AC360" s="507" t="n">
        <f aca="false">SUM(IF(OR($R360="Grass",$R360="Psychic",$R360="Dark"),0-1,IF(OR($R360="Fighting",$R360="Flying",$R360="Fire",$R360="Ghost",$R360="Poison",$R360="Steel",$R360="Fairy"),1,0)),IF(OR($S360="Grass",$S360="Psychic",$S360="Dark"),0-1,IF(OR($S360="Fighting",$S360="Flying",$S360="Fire",$S360="Ghost",$S360="Poison",$S360="Steel",$S360="Fairy"),1,0)))</f>
        <v>0</v>
      </c>
      <c r="AD360" s="507" t="n">
        <f aca="false">SUM(IF(OR($R360="Ghost",$R360="Psychic"),0-1,IF(OR($R360="Fighting",$R360="Dark",$R360="Fairy"),1,0)),IF(OR($S360="Ghost",$S360="Psychic"),0-1,IF(OR($S360="Fighting",$S360="Dark",$S360="Fairy"),1,0)))</f>
        <v>0</v>
      </c>
      <c r="AE360" s="507" t="n">
        <f aca="false">IF(OR($R360="Fairy",$S360="Fairy"),4,SUM(IF($R360="Dragon",0-1,IF($R360="Steel",1,0)),IF($S360="Dragon",0-1,IF($S360="Steel",1,0))))</f>
        <v>0</v>
      </c>
      <c r="AF360" s="507" t="n">
        <f aca="false">IF(OR($R360="Ground",$S360="Ground"),4,SUM(IF(OR($R360="Flying",$R360="Water"),0-1,IF(OR($R360="Dragon",$R360="Electric",$R360="Grass"),1,0)),IF(OR($S360="Flying",$S360="Water"),0-1,IF(OR($S360="Dragon",$S360="Electric",$S360="Grass"),1,0))))</f>
        <v>0</v>
      </c>
      <c r="AG360" s="507" t="n">
        <f aca="false">SUM(IF(OR($R360="Dark",$R360="Dragon",$R360="Fighting"),0-1,IF(OR($R360="Steel",$R360="Poison",$R360="Fire"),1,0)),IF(OR($S360="Dark",$S360="Dragon",$S360="Fighting"),0-1,IF(OR($S360="Steel",$S360="Poison",$S360="Fire"),1,0)))</f>
        <v>0</v>
      </c>
      <c r="AH360" s="507" t="n">
        <f aca="false">IF(OR($R360="Ghost",$S360="Ghost"),4,SUM(IF(OR($R360="Dark",$R360="Ice",$R360="Normal",$R360="Rock",$R360="Steel"),0-1,IF(OR($R360="Bug",$R360="Fairy",$R360="Flying",$R360="Poison",$R360="Psychic"),1,0)),IF(OR($S360="Dark",$S360="Ice",$S360="Normal",$S360="Rock",$S360="Steel"),0-1,IF(OR($S360="Bug",$S360="Fairy",$S360="Flying",$S360="Poison",$S360="Psychic"),1,0))))</f>
        <v>-1</v>
      </c>
      <c r="AI360" s="507" t="n">
        <f aca="false">SUM(IF(OR($R360="Bug",$R360="Grass",$R360="Ice",$R360="Steel"),0-1,IF(OR($R360="Dragon",$R360="Fire",$R360="Rock",$R360="Water"),1,0)),IF(OR($S360="Bug",$S360="Grass",$S360="Ice",$S360="Steel"),0-1,IF(OR($S360="Dragon",$S360="Fire",$S360="Rock",$S360="Water"),1,0)))</f>
        <v>0</v>
      </c>
      <c r="AJ360" s="507" t="n">
        <f aca="false">SUM(IF(OR($R360="Bug",$R360="Grass",$R360="Fighting"),0-1,IF(OR($R360="Electric",$R360="Rock",$R360="Steel"),1,0)),IF(OR($S360="Bug",$S360="Grass",$S360="Fighting"),0-1,IF(OR($S360="Electric",$S360="Rock",$S360="Steel"),1,0)))</f>
        <v>0</v>
      </c>
      <c r="AK360" s="507" t="n">
        <f aca="false">IF(OR($R360="Normal",$S360="Normal"),4,SUM(IF(OR($R360="Ghost",$R360="Psychic"),0-1,IF($R360="Dark",1,0)),IF(OR($S360="Ghost",$S360="Psychic"),0-1,IF($S360="Dark",1,0))))</f>
        <v>4</v>
      </c>
      <c r="AL360" s="507" t="n">
        <f aca="false">SUM(IF(OR($R360="Ground",$R360="Rock",$R360="Water"),0-1,IF(OR($R360="Bug",$R360="Flying",$R360="Fire",$R360="Dragon",$R360="Poison",$R360="Steel",$R360="Grass"),1,0)),IF(OR($S360="Ground",$S360="Rock",$S360="Water"),0-1,IF(OR($S360="Bug",$S360="Flying",$S360="Fire",$S360="Dragon",$S360="Poison",$S360="Steel",$S360="Grass"),1,0)))</f>
        <v>0</v>
      </c>
      <c r="AM360" s="507" t="n">
        <f aca="false">IF(OR($R360="Flying",$S360="Flying"),4,SUM(IF(OR($R360="Electric",$R360="Fire",$R360="Rock",$R360="Steel",$R360="Poison"),0-1,IF(OR($R360="Bug",$R360="Grass"),1,0)),IF(OR($S360="Electric",$S360="Fire",$S360="Rock",$S360="Steel",$S360="Poison"),0-1,IF(OR($S360="Bug",$S360="Grass"),1,0))))</f>
        <v>0</v>
      </c>
      <c r="AN360" s="507" t="n">
        <f aca="false">SUM(IF(OR($R360="Flying",$R360="Dragon",$R360="Grass",$R360="Ground"),0-1,IF(OR($R360="Steel",$R360="Ice",$R360="Fire",$R360="Water"),1,0)),IF(OR($S360="Flying",$S360="Dragon",$S360="Grass",$S360="Ground"),0-1,IF(OR($S360="Steel",$S360="Ice",$S360="Fire",$S360="Water"),1,0)))</f>
        <v>0</v>
      </c>
      <c r="AO360" s="507" t="n">
        <f aca="false">IF(OR($R360="Ghost",$S360="Ghost"),4,SUM(IF(OR($R360="Steel",$R360="Rock"),1,0),IF(OR($S360="Steel",$S360="Rock"),1,0)))</f>
        <v>0</v>
      </c>
      <c r="AP360" s="507" t="n">
        <f aca="false">IF(OR($R360="Steel",$S360="Steel"),4,SUM(IF(OR($R360="Fairy",$R360="Grass"),0-1,IF(OR($R360="Ghost",$R360="Rock",$R360="Ground",$R360="Poison"),1,0)),IF(OR($S360="Fairy",$S360="Grass"),0-1,IF(OR($S360="Ghost",$S360="Rock",$S360="Ground",$S360="Poison"),1,0))))</f>
        <v>0</v>
      </c>
      <c r="AQ360" s="507" t="n">
        <f aca="false">IF(OR($R360="Dark",$S360="Dark"),4,SUM(IF(OR($R360="Fighting",$R360="Poison"),0-1,IF(OR($R360="Psychic",$R360="Steel"),1,0)),IF(OR($S360="Fighting",$S360="Poison"),0-1,IF(OR($S360="Psychic",$S360="Steel"),1,0))))</f>
        <v>0</v>
      </c>
      <c r="AR360" s="507" t="n">
        <f aca="false">SUM(IF(OR($R360="Bug",$R360="Fire",$R360="Flying",$R360="Ice"),0-1,IF(OR($R360="Steel",$R360="Fighting",$R360="Ground"),1,0)),IF(OR($S360="Bug",$S360="Fire",$S360="Flying",$S360="Ice"),0-1,IF(OR($S360="Steel",$S360="Fighting",$S360="Ground"),1,0)))</f>
        <v>0</v>
      </c>
      <c r="AS360" s="507" t="n">
        <f aca="false">SUM(IF(OR($R360="Fairy",$R360="Ice",$R360="Rock"),0-1,IF(OR($R360="Steel",$R360="Electric",$R360="Fire",$R360="Water"),1,0)),IF(OR($S360="Fairy",$S360="Ice",$S360="Rock"),0-1,IF(OR($S360="Steel",$S360="Electric",$S360="Fire",$S360="Water"),1,0)))</f>
        <v>0</v>
      </c>
      <c r="AT360" s="508" t="n">
        <f aca="false">SUM(IF(OR($R360="Fire",$R360="Ground",$R360="Rock"),0-1,IF(OR($R360="Dragon",$R360="Grass",$R360="Water"),1,0)),IF(OR($S360="Fire",$S360="Ground",$S360="Rock"),0-1,IF(OR($S360="Dragon",$S360="Grass",$S360="Water"),1,0)))</f>
        <v>0</v>
      </c>
      <c r="AU360" s="518"/>
    </row>
    <row r="361" customFormat="false" ht="15.75" hidden="false" customHeight="false" outlineLevel="0" collapsed="false">
      <c r="A361" s="536" t="str">
        <f aca="false" t="array" ref="A361:A361">IF(ISNA(INDEX(Source!$U$7:$U$95,MATCH(B361,Source!$V$7:$V$95,0))),"FREE",INDEX(Source!$U$7:$U$95,MATCH(B361,Source!$V$7:$V$95,0)))</f>
        <v>JVJ</v>
      </c>
      <c r="B361" s="511" t="s">
        <v>106</v>
      </c>
      <c r="C361" s="511"/>
      <c r="D361" s="511"/>
      <c r="E361" s="499" t="n">
        <f aca="false">IF(SUM($W361:$X361)&gt;0,SUM($W361:$X361),IF($H361&gt;0,0,IF($H361&gt;0,0,"-")))</f>
        <v>0</v>
      </c>
      <c r="F361" s="499" t="n">
        <f aca="false">IF(SUM($Y361:$Z361)&gt;0,SUM($Y361:$Z361),IF($H361&gt;0,0,"-"))</f>
        <v>0</v>
      </c>
      <c r="G361" s="499" t="e">
        <f aca="false">IF($H361&gt;0,minus(E361,F361),"-")</f>
        <v>#NAME?</v>
      </c>
      <c r="H361" s="500" t="n">
        <f aca="false">SUM(COUNTIF(MatchSource!$A:$A,$B361),COUNTIF(MatchSource!$H:$H,$B361))</f>
        <v>4</v>
      </c>
      <c r="I361" s="501" t="n">
        <f aca="false">SUM($AA361:$AB361)</f>
        <v>0</v>
      </c>
      <c r="J361" s="501" t="s">
        <v>700</v>
      </c>
      <c r="K361" s="512" t="n">
        <f aca="false" t="array" ref="K361:K361">IF(ISNA(INDEX(DraftRosters!$AA$3:$AA$199,MATCH($B361,DraftRosters!$AB$3:$AB$199,0))),"FA",IF(INDEX(DraftRosters!$AA$3:$AA$199,MATCH($B361,DraftRosters!$AB$3:$AB$199,0))="Franchise","Franch",INDEX(DraftRosters!$AA$3:$AA$199,MATCH($B361,DraftRosters!$AB$3:$AB$199,0))))</f>
        <v>55</v>
      </c>
      <c r="L361" s="499" t="n">
        <v>85</v>
      </c>
      <c r="M361" s="499" t="n">
        <v>80</v>
      </c>
      <c r="N361" s="499" t="n">
        <v>90</v>
      </c>
      <c r="O361" s="499" t="n">
        <v>105</v>
      </c>
      <c r="P361" s="499" t="n">
        <v>95</v>
      </c>
      <c r="Q361" s="501" t="n">
        <v>60</v>
      </c>
      <c r="R361" s="499" t="s">
        <v>839</v>
      </c>
      <c r="S361" s="501"/>
      <c r="T361" s="504" t="s">
        <v>874</v>
      </c>
      <c r="U361" s="505" t="s">
        <v>979</v>
      </c>
      <c r="V361" s="506" t="s">
        <v>832</v>
      </c>
      <c r="W361" s="500" t="str">
        <f aca="false">IFERROR(__xludf.dummyfunction("if(isna(SUM(FILTER(MatchSource!$A:$D,MatchSource!$A:$A=$B361))),0,SUM(FILTER(MatchSource!$A:$D,MatchSource!$A:$A=$B361)))"),"2")</f>
        <v>2</v>
      </c>
      <c r="X361" s="499" t="str">
        <f aca="false">IFERROR(__xludf.dummyfunction("if(isna(SUM(FILTER(MatchSource!$H:$K,MatchSource!$H:$H=$B361))),0,SUM(FILTER(MatchSource!$H:$K,MatchSource!$H:$H=$B361)))"),"3")</f>
        <v>3</v>
      </c>
      <c r="Y361" s="499" t="str">
        <f aca="false">IFERROR(__xludf.dummyfunction("if(isna(ABS(MINUS(SUM(FILTER(MatchSource!$A:$E,MatchSource!$A:$A=$B361)),SUM($W361)))),0,ABS(MINUS(SUM(FILTER(MatchSource!$A:$E,MatchSource!$A:$A=$B361)),SUM($W361))))"),"2")</f>
        <v>2</v>
      </c>
      <c r="Z361" s="499" t="str">
        <f aca="false">IFERROR(__xludf.dummyfunction("if(isna(ABS(MINUS(SUM(FILTER(MatchSource!$H:$L,MatchSource!$H:$H=$B361)),SUM($X361)))),0,ABS(MINUS(SUM(FILTER(MatchSource!$H:$L,MatchSource!$H:$H=$B361)),SUM($X361))))"),"1")</f>
        <v>1</v>
      </c>
      <c r="AA361" s="499" t="str">
        <f aca="false">IFERROR(__xludf.dummyfunction("if(isna(ABS(MINUS(SUM(FILTER(MatchSource!$A:$F,MatchSource!$A:$A=$B361)),SUM($W361,$Y361)))),0,ABS(MINUS(SUM(FILTER(MatchSource!$A:$F,MatchSource!$A:$A=$B361)),SUM($W361, $Y361,))))"),"1")</f>
        <v>1</v>
      </c>
      <c r="AB361" s="501" t="str">
        <f aca="false">IFERROR(__xludf.dummyfunction("if(isna(ABS(MINUS(SUM(FILTER(MatchSource!$H:$M,MatchSource!$H:$H=$B361)),SUM($X361,$Z361)))),0,ABS(MINUS(SUM(FILTER(MatchSource!$H:$M,MatchSource!$H:$H=$B361)),SUM($X361,$Z361))))"),"1")</f>
        <v>1</v>
      </c>
      <c r="AC361" s="507" t="n">
        <f aca="false">SUM(IF(OR($R361="Grass",$R361="Psychic",$R361="Dark"),0-1,IF(OR($R361="Fighting",$R361="Flying",$R361="Fire",$R361="Ghost",$R361="Poison",$R361="Steel",$R361="Fairy"),1,0)),IF(OR($S361="Grass",$S361="Psychic",$S361="Dark"),0-1,IF(OR($S361="Fighting",$S361="Flying",$S361="Fire",$S361="Ghost",$S361="Poison",$S361="Steel",$S361="Fairy"),1,0)))</f>
        <v>0</v>
      </c>
      <c r="AD361" s="507" t="n">
        <f aca="false">SUM(IF(OR($R361="Ghost",$R361="Psychic"),0-1,IF(OR($R361="Fighting",$R361="Dark",$R361="Fairy"),1,0)),IF(OR($S361="Ghost",$S361="Psychic"),0-1,IF(OR($S361="Fighting",$S361="Dark",$S361="Fairy"),1,0)))</f>
        <v>0</v>
      </c>
      <c r="AE361" s="507" t="n">
        <f aca="false">IF(OR($R361="Fairy",$S361="Fairy"),4,SUM(IF($R361="Dragon",0-1,IF($R361="Steel",1,0)),IF($S361="Dragon",0-1,IF($S361="Steel",1,0))))</f>
        <v>0</v>
      </c>
      <c r="AF361" s="507" t="n">
        <f aca="false">IF(OR($R361="Ground",$S361="Ground"),4,SUM(IF(OR($R361="Flying",$R361="Water"),0-1,IF(OR($R361="Dragon",$R361="Electric",$R361="Grass"),1,0)),IF(OR($S361="Flying",$S361="Water"),0-1,IF(OR($S361="Dragon",$S361="Electric",$S361="Grass"),1,0))))</f>
        <v>0</v>
      </c>
      <c r="AG361" s="507" t="n">
        <f aca="false">SUM(IF(OR($R361="Dark",$R361="Dragon",$R361="Fighting"),0-1,IF(OR($R361="Steel",$R361="Poison",$R361="Fire"),1,0)),IF(OR($S361="Dark",$S361="Dragon",$S361="Fighting"),0-1,IF(OR($S361="Steel",$S361="Poison",$S361="Fire"),1,0)))</f>
        <v>0</v>
      </c>
      <c r="AH361" s="507" t="n">
        <f aca="false">IF(OR($R361="Ghost",$S361="Ghost"),4,SUM(IF(OR($R361="Dark",$R361="Ice",$R361="Normal",$R361="Rock",$R361="Steel"),0-1,IF(OR($R361="Bug",$R361="Fairy",$R361="Flying",$R361="Poison",$R361="Psychic"),1,0)),IF(OR($S361="Dark",$S361="Ice",$S361="Normal",$S361="Rock",$S361="Steel"),0-1,IF(OR($S361="Bug",$S361="Fairy",$S361="Flying",$S361="Poison",$S361="Psychic"),1,0))))</f>
        <v>-1</v>
      </c>
      <c r="AI361" s="507" t="n">
        <f aca="false">SUM(IF(OR($R361="Bug",$R361="Grass",$R361="Ice",$R361="Steel"),0-1,IF(OR($R361="Dragon",$R361="Fire",$R361="Rock",$R361="Water"),1,0)),IF(OR($S361="Bug",$S361="Grass",$S361="Ice",$S361="Steel"),0-1,IF(OR($S361="Dragon",$S361="Fire",$S361="Rock",$S361="Water"),1,0)))</f>
        <v>0</v>
      </c>
      <c r="AJ361" s="507" t="n">
        <f aca="false">SUM(IF(OR($R361="Bug",$R361="Grass",$R361="Fighting"),0-1,IF(OR($R361="Electric",$R361="Rock",$R361="Steel"),1,0)),IF(OR($S361="Bug",$S361="Grass",$S361="Fighting"),0-1,IF(OR($S361="Electric",$S361="Rock",$S361="Steel"),1,0)))</f>
        <v>0</v>
      </c>
      <c r="AK361" s="507" t="n">
        <f aca="false">IF(OR($R361="Normal",$S361="Normal"),4,SUM(IF(OR($R361="Ghost",$R361="Psychic"),0-1,IF($R361="Dark",1,0)),IF(OR($S361="Ghost",$S361="Psychic"),0-1,IF($S361="Dark",1,0))))</f>
        <v>4</v>
      </c>
      <c r="AL361" s="507" t="n">
        <f aca="false">SUM(IF(OR($R361="Ground",$R361="Rock",$R361="Water"),0-1,IF(OR($R361="Bug",$R361="Flying",$R361="Fire",$R361="Dragon",$R361="Poison",$R361="Steel",$R361="Grass"),1,0)),IF(OR($S361="Ground",$S361="Rock",$S361="Water"),0-1,IF(OR($S361="Bug",$S361="Flying",$S361="Fire",$S361="Dragon",$S361="Poison",$S361="Steel",$S361="Grass"),1,0)))</f>
        <v>0</v>
      </c>
      <c r="AM361" s="507" t="n">
        <f aca="false">IF(OR($R361="Flying",$S361="Flying"),4,SUM(IF(OR($R361="Electric",$R361="Fire",$R361="Rock",$R361="Steel",$R361="Poison"),0-1,IF(OR($R361="Bug",$R361="Grass"),1,0)),IF(OR($S361="Electric",$S361="Fire",$S361="Rock",$S361="Steel",$S361="Poison"),0-1,IF(OR($S361="Bug",$S361="Grass"),1,0))))</f>
        <v>0</v>
      </c>
      <c r="AN361" s="507" t="n">
        <f aca="false">SUM(IF(OR($R361="Flying",$R361="Dragon",$R361="Grass",$R361="Ground"),0-1,IF(OR($R361="Steel",$R361="Ice",$R361="Fire",$R361="Water"),1,0)),IF(OR($S361="Flying",$S361="Dragon",$S361="Grass",$S361="Ground"),0-1,IF(OR($S361="Steel",$S361="Ice",$S361="Fire",$S361="Water"),1,0)))</f>
        <v>0</v>
      </c>
      <c r="AO361" s="507" t="n">
        <f aca="false">IF(OR($R361="Ghost",$S361="Ghost"),4,SUM(IF(OR($R361="Steel",$R361="Rock"),1,0),IF(OR($S361="Steel",$S361="Rock"),1,0)))</f>
        <v>0</v>
      </c>
      <c r="AP361" s="507" t="n">
        <f aca="false">IF(OR($R361="Steel",$S361="Steel"),4,SUM(IF(OR($R361="Fairy",$R361="Grass"),0-1,IF(OR($R361="Ghost",$R361="Rock",$R361="Ground",$R361="Poison"),1,0)),IF(OR($S361="Fairy",$S361="Grass"),0-1,IF(OR($S361="Ghost",$S361="Rock",$S361="Ground",$S361="Poison"),1,0))))</f>
        <v>0</v>
      </c>
      <c r="AQ361" s="507" t="n">
        <f aca="false">IF(OR($R361="Dark",$S361="Dark"),4,SUM(IF(OR($R361="Fighting",$R361="Poison"),0-1,IF(OR($R361="Psychic",$R361="Steel"),1,0)),IF(OR($S361="Fighting",$S361="Poison"),0-1,IF(OR($S361="Psychic",$S361="Steel"),1,0))))</f>
        <v>0</v>
      </c>
      <c r="AR361" s="507" t="n">
        <f aca="false">SUM(IF(OR($R361="Bug",$R361="Fire",$R361="Flying",$R361="Ice"),0-1,IF(OR($R361="Steel",$R361="Fighting",$R361="Ground"),1,0)),IF(OR($S361="Bug",$S361="Fire",$S361="Flying",$S361="Ice"),0-1,IF(OR($S361="Steel",$S361="Fighting",$S361="Ground"),1,0)))</f>
        <v>0</v>
      </c>
      <c r="AS361" s="507" t="n">
        <f aca="false">SUM(IF(OR($R361="Fairy",$R361="Ice",$R361="Rock"),0-1,IF(OR($R361="Steel",$R361="Electric",$R361="Fire",$R361="Water"),1,0)),IF(OR($S361="Fairy",$S361="Ice",$S361="Rock"),0-1,IF(OR($S361="Steel",$S361="Electric",$S361="Fire",$S361="Water"),1,0)))</f>
        <v>0</v>
      </c>
      <c r="AT361" s="508" t="n">
        <f aca="false">SUM(IF(OR($R361="Fire",$R361="Ground",$R361="Rock"),0-1,IF(OR($R361="Dragon",$R361="Grass",$R361="Water"),1,0)),IF(OR($S361="Fire",$S361="Ground",$S361="Rock"),0-1,IF(OR($S361="Dragon",$S361="Grass",$S361="Water"),1,0)))</f>
        <v>0</v>
      </c>
      <c r="AU361" s="518"/>
    </row>
    <row r="362" customFormat="false" ht="15.75" hidden="false" customHeight="false" outlineLevel="0" collapsed="false">
      <c r="A362" s="510" t="str">
        <f aca="false" t="array" ref="A362:A362">IF(ISNA(INDEX(Source!$U$7:$U$95,MATCH(B362,Source!$V$7:$V$95,0))),"FREE",INDEX(Source!$U$7:$U$95,MATCH(B362,Source!$V$7:$V$95,0)))</f>
        <v>FREE</v>
      </c>
      <c r="B362" s="511" t="s">
        <v>536</v>
      </c>
      <c r="C362" s="511"/>
      <c r="D362" s="511"/>
      <c r="E362" s="499" t="str">
        <f aca="false">IF(SUM($W362:$X362)&gt;0,SUM($W362:$X362),IF($H362&gt;0,0,IF($H362&gt;0,0,"-")))</f>
        <v>-</v>
      </c>
      <c r="F362" s="499" t="str">
        <f aca="false">IF(SUM($Y362:$Z362)&gt;0,SUM($Y362:$Z362),IF($H362&gt;0,0,"-"))</f>
        <v>-</v>
      </c>
      <c r="G362" s="499" t="str">
        <f aca="false">IF($H362&gt;0,minus(E362,F362),"-")</f>
        <v>-</v>
      </c>
      <c r="H362" s="500" t="n">
        <f aca="false">SUM(COUNTIF(MatchSource!$A:$A,$B362),COUNTIF(MatchSource!$H:$H,$B362))</f>
        <v>0</v>
      </c>
      <c r="I362" s="501" t="n">
        <f aca="false">SUM($AA362:$AB362)</f>
        <v>0</v>
      </c>
      <c r="J362" s="501" t="s">
        <v>700</v>
      </c>
      <c r="K362" s="512" t="str">
        <f aca="false" t="array" ref="K362:K362">IF(ISNA(INDEX(DraftRosters!$AA$3:$AA$199,MATCH($B362,DraftRosters!$AB$3:$AB$199,0))),"FA",IF(INDEX(DraftRosters!$AA$3:$AA$199,MATCH($B362,DraftRosters!$AB$3:$AB$199,0))="Franchise","Franch",INDEX(DraftRosters!$AA$3:$AA$199,MATCH($B362,DraftRosters!$AB$3:$AB$199,0))))</f>
        <v>FA</v>
      </c>
      <c r="L362" s="499" t="n">
        <v>80</v>
      </c>
      <c r="M362" s="499" t="n">
        <v>74</v>
      </c>
      <c r="N362" s="499" t="n">
        <v>74</v>
      </c>
      <c r="O362" s="499" t="n">
        <v>126</v>
      </c>
      <c r="P362" s="499" t="n">
        <v>116</v>
      </c>
      <c r="Q362" s="501" t="n">
        <v>60</v>
      </c>
      <c r="R362" s="499" t="s">
        <v>798</v>
      </c>
      <c r="S362" s="501" t="s">
        <v>811</v>
      </c>
      <c r="T362" s="513" t="s">
        <v>890</v>
      </c>
      <c r="U362" s="513" t="s">
        <v>1055</v>
      </c>
      <c r="V362" s="514"/>
      <c r="W362" s="500" t="str">
        <f aca="false">IFERROR(__xludf.dummyfunction("if(isna(SUM(FILTER(MatchSource!$A:$D,MatchSource!$A:$A=$B362))),0,SUM(FILTER(MatchSource!$A:$D,MatchSource!$A:$A=$B362)))"),"0")</f>
        <v>0</v>
      </c>
      <c r="X362" s="499" t="str">
        <f aca="false">IFERROR(__xludf.dummyfunction("if(isna(SUM(FILTER(MatchSource!$H:$K,MatchSource!$H:$H=$B362))),0,SUM(FILTER(MatchSource!$H:$K,MatchSource!$H:$H=$B362)))"),"0")</f>
        <v>0</v>
      </c>
      <c r="Y362" s="499" t="str">
        <f aca="false">IFERROR(__xludf.dummyfunction("if(isna(ABS(MINUS(SUM(FILTER(MatchSource!$A:$E,MatchSource!$A:$A=$B362)),SUM($W362)))),0,ABS(MINUS(SUM(FILTER(MatchSource!$A:$E,MatchSource!$A:$A=$B362)),SUM($W362))))"),"0")</f>
        <v>0</v>
      </c>
      <c r="Z362" s="499" t="str">
        <f aca="false">IFERROR(__xludf.dummyfunction("if(isna(ABS(MINUS(SUM(FILTER(MatchSource!$H:$L,MatchSource!$H:$H=$B362)),SUM($X362)))),0,ABS(MINUS(SUM(FILTER(MatchSource!$H:$L,MatchSource!$H:$H=$B362)),SUM($X362))))"),"0")</f>
        <v>0</v>
      </c>
      <c r="AA362" s="499" t="str">
        <f aca="false">IFERROR(__xludf.dummyfunction("if(isna(ABS(MINUS(SUM(FILTER(MatchSource!$A:$F,MatchSource!$A:$A=$B362)),SUM($W362,$Y362)))),0,ABS(MINUS(SUM(FILTER(MatchSource!$A:$F,MatchSource!$A:$A=$B362)),SUM($W362, $Y362,))))"),"0")</f>
        <v>0</v>
      </c>
      <c r="AB362" s="501" t="str">
        <f aca="false">IFERROR(__xludf.dummyfunction("if(isna(ABS(MINUS(SUM(FILTER(MatchSource!$H:$M,MatchSource!$H:$H=$B362)),SUM($X362,$Z362)))),0,ABS(MINUS(SUM(FILTER(MatchSource!$H:$M,MatchSource!$H:$H=$B362)),SUM($X362,$Z362))))"),"0")</f>
        <v>0</v>
      </c>
      <c r="AC362" s="507" t="n">
        <f aca="false">SUM(IF(OR($R362="Grass",$R362="Psychic",$R362="Dark"),0-1,IF(OR($R362="Fighting",$R362="Flying",$R362="Fire",$R362="Ghost",$R362="Poison",$R362="Steel",$R362="Fairy"),1,0)),IF(OR($S362="Grass",$S362="Psychic",$S362="Dark"),0-1,IF(OR($S362="Fighting",$S362="Flying",$S362="Fire",$S362="Ghost",$S362="Poison",$S362="Steel",$S362="Fairy"),1,0)))</f>
        <v>1</v>
      </c>
      <c r="AD362" s="507" t="n">
        <f aca="false">SUM(IF(OR($R362="Ghost",$R362="Psychic"),0-1,IF(OR($R362="Fighting",$R362="Dark",$R362="Fairy"),1,0)),IF(OR($S362="Ghost",$S362="Psychic"),0-1,IF(OR($S362="Fighting",$S362="Dark",$S362="Fairy"),1,0)))</f>
        <v>1</v>
      </c>
      <c r="AE362" s="507" t="n">
        <f aca="false">IF(OR($R362="Fairy",$S362="Fairy"),4,SUM(IF($R362="Dragon",0-1,IF($R362="Steel",1,0)),IF($S362="Dragon",0-1,IF($S362="Steel",1,0))))</f>
        <v>4</v>
      </c>
      <c r="AF362" s="507" t="n">
        <f aca="false">IF(OR($R362="Ground",$S362="Ground"),4,SUM(IF(OR($R362="Flying",$R362="Water"),0-1,IF(OR($R362="Dragon",$R362="Electric",$R362="Grass"),1,0)),IF(OR($S362="Flying",$S362="Water"),0-1,IF(OR($S362="Dragon",$S362="Electric",$S362="Grass"),1,0))))</f>
        <v>-1</v>
      </c>
      <c r="AG362" s="507" t="n">
        <f aca="false">SUM(IF(OR($R362="Dark",$R362="Dragon",$R362="Fighting"),0-1,IF(OR($R362="Steel",$R362="Poison",$R362="Fire"),1,0)),IF(OR($S362="Dark",$S362="Dragon",$S362="Fighting"),0-1,IF(OR($S362="Steel",$S362="Poison",$S362="Fire"),1,0)))</f>
        <v>0</v>
      </c>
      <c r="AH362" s="507" t="n">
        <f aca="false">IF(OR($R362="Ghost",$S362="Ghost"),4,SUM(IF(OR($R362="Dark",$R362="Ice",$R362="Normal",$R362="Rock",$R362="Steel"),0-1,IF(OR($R362="Bug",$R362="Fairy",$R362="Flying",$R362="Poison",$R362="Psychic"),1,0)),IF(OR($S362="Dark",$S362="Ice",$S362="Normal",$S362="Rock",$S362="Steel"),0-1,IF(OR($S362="Bug",$S362="Fairy",$S362="Flying",$S362="Poison",$S362="Psychic"),1,0))))</f>
        <v>1</v>
      </c>
      <c r="AI362" s="507" t="n">
        <f aca="false">SUM(IF(OR($R362="Bug",$R362="Grass",$R362="Ice",$R362="Steel"),0-1,IF(OR($R362="Dragon",$R362="Fire",$R362="Rock",$R362="Water"),1,0)),IF(OR($S362="Bug",$S362="Grass",$S362="Ice",$S362="Steel"),0-1,IF(OR($S362="Dragon",$S362="Fire",$S362="Rock",$S362="Water"),1,0)))</f>
        <v>1</v>
      </c>
      <c r="AJ362" s="507" t="n">
        <f aca="false">SUM(IF(OR($R362="Bug",$R362="Grass",$R362="Fighting"),0-1,IF(OR($R362="Electric",$R362="Rock",$R362="Steel"),1,0)),IF(OR($S362="Bug",$S362="Grass",$S362="Fighting"),0-1,IF(OR($S362="Electric",$S362="Rock",$S362="Steel"),1,0)))</f>
        <v>0</v>
      </c>
      <c r="AK362" s="507" t="n">
        <f aca="false">IF(OR($R362="Normal",$S362="Normal"),4,SUM(IF(OR($R362="Ghost",$R362="Psychic"),0-1,IF($R362="Dark",1,0)),IF(OR($S362="Ghost",$S362="Psychic"),0-1,IF($S362="Dark",1,0))))</f>
        <v>0</v>
      </c>
      <c r="AL362" s="507" t="n">
        <f aca="false">SUM(IF(OR($R362="Ground",$R362="Rock",$R362="Water"),0-1,IF(OR($R362="Bug",$R362="Flying",$R362="Fire",$R362="Dragon",$R362="Poison",$R362="Steel",$R362="Grass"),1,0)),IF(OR($S362="Ground",$S362="Rock",$S362="Water"),0-1,IF(OR($S362="Bug",$S362="Flying",$S362="Fire",$S362="Dragon",$S362="Poison",$S362="Steel",$S362="Grass"),1,0)))</f>
        <v>-1</v>
      </c>
      <c r="AM362" s="507" t="n">
        <f aca="false">IF(OR($R362="Flying",$S362="Flying"),4,SUM(IF(OR($R362="Electric",$R362="Fire",$R362="Rock",$R362="Steel",$R362="Poison"),0-1,IF(OR($R362="Bug",$R362="Grass"),1,0)),IF(OR($S362="Electric",$S362="Fire",$S362="Rock",$S362="Steel",$S362="Poison"),0-1,IF(OR($S362="Bug",$S362="Grass"),1,0))))</f>
        <v>0</v>
      </c>
      <c r="AN362" s="507" t="n">
        <f aca="false">SUM(IF(OR($R362="Flying",$R362="Dragon",$R362="Grass",$R362="Ground"),0-1,IF(OR($R362="Steel",$R362="Ice",$R362="Fire",$R362="Water"),1,0)),IF(OR($S362="Flying",$S362="Dragon",$S362="Grass",$S362="Ground"),0-1,IF(OR($S362="Steel",$S362="Ice",$S362="Fire",$S362="Water"),1,0)))</f>
        <v>1</v>
      </c>
      <c r="AO362" s="507" t="n">
        <f aca="false">IF(OR($R362="Ghost",$S362="Ghost"),4,SUM(IF(OR($R362="Steel",$R362="Rock"),1,0),IF(OR($S362="Steel",$S362="Rock"),1,0)))</f>
        <v>0</v>
      </c>
      <c r="AP362" s="507" t="n">
        <f aca="false">IF(OR($R362="Steel",$S362="Steel"),4,SUM(IF(OR($R362="Fairy",$R362="Grass"),0-1,IF(OR($R362="Ghost",$R362="Rock",$R362="Ground",$R362="Poison"),1,0)),IF(OR($S362="Fairy",$S362="Grass"),0-1,IF(OR($S362="Ghost",$S362="Rock",$S362="Ground",$S362="Poison"),1,0))))</f>
        <v>-1</v>
      </c>
      <c r="AQ362" s="507" t="n">
        <f aca="false">IF(OR($R362="Dark",$S362="Dark"),4,SUM(IF(OR($R362="Fighting",$R362="Poison"),0-1,IF(OR($R362="Psychic",$R362="Steel"),1,0)),IF(OR($S362="Fighting",$S362="Poison"),0-1,IF(OR($S362="Psychic",$S362="Steel"),1,0))))</f>
        <v>0</v>
      </c>
      <c r="AR362" s="507" t="n">
        <f aca="false">SUM(IF(OR($R362="Bug",$R362="Fire",$R362="Flying",$R362="Ice"),0-1,IF(OR($R362="Steel",$R362="Fighting",$R362="Ground"),1,0)),IF(OR($S362="Bug",$S362="Fire",$S362="Flying",$S362="Ice"),0-1,IF(OR($S362="Steel",$S362="Fighting",$S362="Ground"),1,0)))</f>
        <v>0</v>
      </c>
      <c r="AS362" s="507" t="n">
        <f aca="false">SUM(IF(OR($R362="Fairy",$R362="Ice",$R362="Rock"),0-1,IF(OR($R362="Steel",$R362="Electric",$R362="Fire",$R362="Water"),1,0)),IF(OR($S362="Fairy",$S362="Ice",$S362="Rock"),0-1,IF(OR($S362="Steel",$S362="Electric",$S362="Fire",$S362="Water"),1,0)))</f>
        <v>0</v>
      </c>
      <c r="AT362" s="508" t="n">
        <f aca="false">SUM(IF(OR($R362="Fire",$R362="Ground",$R362="Rock"),0-1,IF(OR($R362="Dragon",$R362="Grass",$R362="Water"),1,0)),IF(OR($S362="Fire",$S362="Ground",$S362="Rock"),0-1,IF(OR($S362="Dragon",$S362="Grass",$S362="Water"),1,0)))</f>
        <v>1</v>
      </c>
      <c r="AU362" s="518"/>
    </row>
    <row r="363" customFormat="false" ht="15.75" hidden="false" customHeight="false" outlineLevel="0" collapsed="false">
      <c r="A363" s="510" t="str">
        <f aca="false" t="array" ref="A363:A363">IF(ISNA(INDEX(Source!$U$7:$U$95,MATCH(B363,Source!$V$7:$V$95,0))),"FREE",INDEX(Source!$U$7:$U$95,MATCH(B363,Source!$V$7:$V$95,0)))</f>
        <v>FREE</v>
      </c>
      <c r="B363" s="511" t="s">
        <v>469</v>
      </c>
      <c r="C363" s="511"/>
      <c r="D363" s="511"/>
      <c r="E363" s="499" t="str">
        <f aca="false">IF(SUM($W363:$X363)&gt;0,SUM($W363:$X363),IF($H363&gt;0,0,IF($H363&gt;0,0,"-")))</f>
        <v>-</v>
      </c>
      <c r="F363" s="499" t="str">
        <f aca="false">IF(SUM($Y363:$Z363)&gt;0,SUM($Y363:$Z363),IF($H363&gt;0,0,"-"))</f>
        <v>-</v>
      </c>
      <c r="G363" s="499" t="str">
        <f aca="false">IF($H363&gt;0,minus(E363,F363),"-")</f>
        <v>-</v>
      </c>
      <c r="H363" s="500" t="n">
        <f aca="false">SUM(COUNTIF(MatchSource!$A:$A,$B363),COUNTIF(MatchSource!$H:$H,$B363))</f>
        <v>0</v>
      </c>
      <c r="I363" s="501" t="n">
        <f aca="false">SUM($AA363:$AB363)</f>
        <v>0</v>
      </c>
      <c r="J363" s="501" t="s">
        <v>702</v>
      </c>
      <c r="K363" s="512" t="str">
        <f aca="false" t="array" ref="K363:K363">IF(ISNA(INDEX(DraftRosters!$AA$3:$AA$199,MATCH($B363,DraftRosters!$AB$3:$AB$199,0))),"FA",IF(INDEX(DraftRosters!$AA$3:$AA$199,MATCH($B363,DraftRosters!$AB$3:$AB$199,0))="Franchise","Franch",INDEX(DraftRosters!$AA$3:$AA$199,MATCH($B363,DraftRosters!$AB$3:$AB$199,0))))</f>
        <v>FA</v>
      </c>
      <c r="L363" s="499" t="n">
        <v>65</v>
      </c>
      <c r="M363" s="499" t="n">
        <v>105</v>
      </c>
      <c r="N363" s="499" t="n">
        <v>60</v>
      </c>
      <c r="O363" s="499" t="n">
        <v>60</v>
      </c>
      <c r="P363" s="499" t="n">
        <v>70</v>
      </c>
      <c r="Q363" s="501" t="n">
        <v>95</v>
      </c>
      <c r="R363" s="499" t="s">
        <v>881</v>
      </c>
      <c r="S363" s="501"/>
      <c r="T363" s="505" t="s">
        <v>908</v>
      </c>
      <c r="U363" s="505" t="s">
        <v>942</v>
      </c>
      <c r="V363" s="506" t="s">
        <v>886</v>
      </c>
      <c r="W363" s="500" t="str">
        <f aca="false">IFERROR(__xludf.dummyfunction("if(isna(SUM(FILTER(MatchSource!$A:$D,MatchSource!$A:$A=$B363))),0,SUM(FILTER(MatchSource!$A:$D,MatchSource!$A:$A=$B363)))"),"0")</f>
        <v>0</v>
      </c>
      <c r="X363" s="499" t="str">
        <f aca="false">IFERROR(__xludf.dummyfunction("if(isna(SUM(FILTER(MatchSource!$H:$K,MatchSource!$H:$H=$B363))),0,SUM(FILTER(MatchSource!$H:$K,MatchSource!$H:$H=$B363)))"),"0")</f>
        <v>0</v>
      </c>
      <c r="Y363" s="499" t="str">
        <f aca="false">IFERROR(__xludf.dummyfunction("if(isna(ABS(MINUS(SUM(FILTER(MatchSource!$A:$E,MatchSource!$A:$A=$B363)),SUM($W363)))),0,ABS(MINUS(SUM(FILTER(MatchSource!$A:$E,MatchSource!$A:$A=$B363)),SUM($W363))))"),"0")</f>
        <v>0</v>
      </c>
      <c r="Z363" s="499" t="str">
        <f aca="false">IFERROR(__xludf.dummyfunction("if(isna(ABS(MINUS(SUM(FILTER(MatchSource!$H:$L,MatchSource!$H:$H=$B363)),SUM($X363)))),0,ABS(MINUS(SUM(FILTER(MatchSource!$H:$L,MatchSource!$H:$H=$B363)),SUM($X363))))"),"0")</f>
        <v>0</v>
      </c>
      <c r="AA363" s="499" t="str">
        <f aca="false">IFERROR(__xludf.dummyfunction("if(isna(ABS(MINUS(SUM(FILTER(MatchSource!$A:$F,MatchSource!$A:$A=$B363)),SUM($W363,$Y363)))),0,ABS(MINUS(SUM(FILTER(MatchSource!$A:$F,MatchSource!$A:$A=$B363)),SUM($W363, $Y363,))))"),"0")</f>
        <v>0</v>
      </c>
      <c r="AB363" s="501" t="str">
        <f aca="false">IFERROR(__xludf.dummyfunction("if(isna(ABS(MINUS(SUM(FILTER(MatchSource!$H:$M,MatchSource!$H:$H=$B363)),SUM($X363,$Z363)))),0,ABS(MINUS(SUM(FILTER(MatchSource!$H:$M,MatchSource!$H:$H=$B363)),SUM($X363,$Z363))))"),"0")</f>
        <v>0</v>
      </c>
      <c r="AC363" s="507" t="n">
        <f aca="false">SUM(IF(OR($R363="Grass",$R363="Psychic",$R363="Dark"),0-1,IF(OR($R363="Fighting",$R363="Flying",$R363="Fire",$R363="Ghost",$R363="Poison",$R363="Steel",$R363="Fairy"),1,0)),IF(OR($S363="Grass",$S363="Psychic",$S363="Dark"),0-1,IF(OR($S363="Fighting",$S363="Flying",$S363="Fire",$S363="Ghost",$S363="Poison",$S363="Steel",$S363="Fairy"),1,0)))</f>
        <v>1</v>
      </c>
      <c r="AD363" s="507" t="n">
        <f aca="false">SUM(IF(OR($R363="Ghost",$R363="Psychic"),0-1,IF(OR($R363="Fighting",$R363="Dark",$R363="Fairy"),1,0)),IF(OR($S363="Ghost",$S363="Psychic"),0-1,IF(OR($S363="Fighting",$S363="Dark",$S363="Fairy"),1,0)))</f>
        <v>1</v>
      </c>
      <c r="AE363" s="507" t="n">
        <f aca="false">IF(OR($R363="Fairy",$S363="Fairy"),4,SUM(IF($R363="Dragon",0-1,IF($R363="Steel",1,0)),IF($S363="Dragon",0-1,IF($S363="Steel",1,0))))</f>
        <v>0</v>
      </c>
      <c r="AF363" s="507" t="n">
        <f aca="false">IF(OR($R363="Ground",$S363="Ground"),4,SUM(IF(OR($R363="Flying",$R363="Water"),0-1,IF(OR($R363="Dragon",$R363="Electric",$R363="Grass"),1,0)),IF(OR($S363="Flying",$S363="Water"),0-1,IF(OR($S363="Dragon",$S363="Electric",$S363="Grass"),1,0))))</f>
        <v>0</v>
      </c>
      <c r="AG363" s="507" t="n">
        <f aca="false">SUM(IF(OR($R363="Dark",$R363="Dragon",$R363="Fighting"),0-1,IF(OR($R363="Steel",$R363="Poison",$R363="Fire"),1,0)),IF(OR($S363="Dark",$S363="Dragon",$S363="Fighting"),0-1,IF(OR($S363="Steel",$S363="Poison",$S363="Fire"),1,0)))</f>
        <v>-1</v>
      </c>
      <c r="AH363" s="507" t="n">
        <f aca="false">IF(OR($R363="Ghost",$S363="Ghost"),4,SUM(IF(OR($R363="Dark",$R363="Ice",$R363="Normal",$R363="Rock",$R363="Steel"),0-1,IF(OR($R363="Bug",$R363="Fairy",$R363="Flying",$R363="Poison",$R363="Psychic"),1,0)),IF(OR($S363="Dark",$S363="Ice",$S363="Normal",$S363="Rock",$S363="Steel"),0-1,IF(OR($S363="Bug",$S363="Fairy",$S363="Flying",$S363="Poison",$S363="Psychic"),1,0))))</f>
        <v>0</v>
      </c>
      <c r="AI363" s="507" t="n">
        <f aca="false">SUM(IF(OR($R363="Bug",$R363="Grass",$R363="Ice",$R363="Steel"),0-1,IF(OR($R363="Dragon",$R363="Fire",$R363="Rock",$R363="Water"),1,0)),IF(OR($S363="Bug",$S363="Grass",$S363="Ice",$S363="Steel"),0-1,IF(OR($S363="Dragon",$S363="Fire",$S363="Rock",$S363="Water"),1,0)))</f>
        <v>0</v>
      </c>
      <c r="AJ363" s="507" t="n">
        <f aca="false">SUM(IF(OR($R363="Bug",$R363="Grass",$R363="Fighting"),0-1,IF(OR($R363="Electric",$R363="Rock",$R363="Steel"),1,0)),IF(OR($S363="Bug",$S363="Grass",$S363="Fighting"),0-1,IF(OR($S363="Electric",$S363="Rock",$S363="Steel"),1,0)))</f>
        <v>-1</v>
      </c>
      <c r="AK363" s="507" t="n">
        <f aca="false">IF(OR($R363="Normal",$S363="Normal"),4,SUM(IF(OR($R363="Ghost",$R363="Psychic"),0-1,IF($R363="Dark",1,0)),IF(OR($S363="Ghost",$S363="Psychic"),0-1,IF($S363="Dark",1,0))))</f>
        <v>0</v>
      </c>
      <c r="AL363" s="507" t="n">
        <f aca="false">SUM(IF(OR($R363="Ground",$R363="Rock",$R363="Water"),0-1,IF(OR($R363="Bug",$R363="Flying",$R363="Fire",$R363="Dragon",$R363="Poison",$R363="Steel",$R363="Grass"),1,0)),IF(OR($S363="Ground",$S363="Rock",$S363="Water"),0-1,IF(OR($S363="Bug",$S363="Flying",$S363="Fire",$S363="Dragon",$S363="Poison",$S363="Steel",$S363="Grass"),1,0)))</f>
        <v>0</v>
      </c>
      <c r="AM363" s="507" t="n">
        <f aca="false">IF(OR($R363="Flying",$S363="Flying"),4,SUM(IF(OR($R363="Electric",$R363="Fire",$R363="Rock",$R363="Steel",$R363="Poison"),0-1,IF(OR($R363="Bug",$R363="Grass"),1,0)),IF(OR($S363="Electric",$S363="Fire",$S363="Rock",$S363="Steel",$S363="Poison"),0-1,IF(OR($S363="Bug",$S363="Grass"),1,0))))</f>
        <v>0</v>
      </c>
      <c r="AN363" s="507" t="n">
        <f aca="false">SUM(IF(OR($R363="Flying",$R363="Dragon",$R363="Grass",$R363="Ground"),0-1,IF(OR($R363="Steel",$R363="Ice",$R363="Fire",$R363="Water"),1,0)),IF(OR($S363="Flying",$S363="Dragon",$S363="Grass",$S363="Ground"),0-1,IF(OR($S363="Steel",$S363="Ice",$S363="Fire",$S363="Water"),1,0)))</f>
        <v>0</v>
      </c>
      <c r="AO363" s="507" t="n">
        <f aca="false">IF(OR($R363="Ghost",$S363="Ghost"),4,SUM(IF(OR($R363="Steel",$R363="Rock"),1,0),IF(OR($S363="Steel",$S363="Rock"),1,0)))</f>
        <v>0</v>
      </c>
      <c r="AP363" s="507" t="n">
        <f aca="false">IF(OR($R363="Steel",$S363="Steel"),4,SUM(IF(OR($R363="Fairy",$R363="Grass"),0-1,IF(OR($R363="Ghost",$R363="Rock",$R363="Ground",$R363="Poison"),1,0)),IF(OR($S363="Fairy",$S363="Grass"),0-1,IF(OR($S363="Ghost",$S363="Rock",$S363="Ground",$S363="Poison"),1,0))))</f>
        <v>0</v>
      </c>
      <c r="AQ363" s="507" t="n">
        <f aca="false">IF(OR($R363="Dark",$S363="Dark"),4,SUM(IF(OR($R363="Fighting",$R363="Poison"),0-1,IF(OR($R363="Psychic",$R363="Steel"),1,0)),IF(OR($S363="Fighting",$S363="Poison"),0-1,IF(OR($S363="Psychic",$S363="Steel"),1,0))))</f>
        <v>-1</v>
      </c>
      <c r="AR363" s="507" t="n">
        <f aca="false">SUM(IF(OR($R363="Bug",$R363="Fire",$R363="Flying",$R363="Ice"),0-1,IF(OR($R363="Steel",$R363="Fighting",$R363="Ground"),1,0)),IF(OR($S363="Bug",$S363="Fire",$S363="Flying",$S363="Ice"),0-1,IF(OR($S363="Steel",$S363="Fighting",$S363="Ground"),1,0)))</f>
        <v>1</v>
      </c>
      <c r="AS363" s="507" t="n">
        <f aca="false">SUM(IF(OR($R363="Fairy",$R363="Ice",$R363="Rock"),0-1,IF(OR($R363="Steel",$R363="Electric",$R363="Fire",$R363="Water"),1,0)),IF(OR($S363="Fairy",$S363="Ice",$S363="Rock"),0-1,IF(OR($S363="Steel",$S363="Electric",$S363="Fire",$S363="Water"),1,0)))</f>
        <v>0</v>
      </c>
      <c r="AT363" s="508" t="n">
        <f aca="false">SUM(IF(OR($R363="Fire",$R363="Ground",$R363="Rock"),0-1,IF(OR($R363="Dragon",$R363="Grass",$R363="Water"),1,0)),IF(OR($S363="Fire",$S363="Ground",$S363="Rock"),0-1,IF(OR($S363="Dragon",$S363="Grass",$S363="Water"),1,0)))</f>
        <v>0</v>
      </c>
      <c r="AU363" s="518"/>
    </row>
    <row r="364" customFormat="false" ht="15.75" hidden="false" customHeight="false" outlineLevel="0" collapsed="false">
      <c r="A364" s="510" t="str">
        <f aca="false" t="array" ref="A364:A364">IF(ISNA(INDEX(Source!$U$7:$U$95,MATCH(B364,Source!$V$7:$V$95,0))),"FREE",INDEX(Source!$U$7:$U$95,MATCH(B364,Source!$V$7:$V$95,0)))</f>
        <v>FREE</v>
      </c>
      <c r="B364" s="511" t="s">
        <v>479</v>
      </c>
      <c r="C364" s="511"/>
      <c r="D364" s="511"/>
      <c r="E364" s="499" t="str">
        <f aca="false">IF(SUM($W364:$X364)&gt;0,SUM($W364:$X364),IF($H364&gt;0,0,IF($H364&gt;0,0,"-")))</f>
        <v>-</v>
      </c>
      <c r="F364" s="499" t="str">
        <f aca="false">IF(SUM($Y364:$Z364)&gt;0,SUM($Y364:$Z364),IF($H364&gt;0,0,"-"))</f>
        <v>-</v>
      </c>
      <c r="G364" s="499" t="str">
        <f aca="false">IF($H364&gt;0,minus(E364,F364),"-")</f>
        <v>-</v>
      </c>
      <c r="H364" s="500" t="n">
        <f aca="false">SUM(COUNTIF(MatchSource!$A:$A,$B364),COUNTIF(MatchSource!$H:$H,$B364))</f>
        <v>0</v>
      </c>
      <c r="I364" s="501" t="n">
        <f aca="false">SUM($AA364:$AB364)</f>
        <v>0</v>
      </c>
      <c r="J364" s="501" t="s">
        <v>702</v>
      </c>
      <c r="K364" s="512" t="str">
        <f aca="false" t="array" ref="K364:K364">IF(ISNA(INDEX(DraftRosters!$AA$3:$AA$199,MATCH($B364,DraftRosters!$AB$3:$AB$199,0))),"FA",IF(INDEX(DraftRosters!$AA$3:$AA$199,MATCH($B364,DraftRosters!$AB$3:$AB$199,0))="Franchise","Franch",INDEX(DraftRosters!$AA$3:$AA$199,MATCH($B364,DraftRosters!$AB$3:$AB$199,0))))</f>
        <v>FA</v>
      </c>
      <c r="L364" s="507" t="n">
        <v>60</v>
      </c>
      <c r="M364" s="507" t="n">
        <v>55</v>
      </c>
      <c r="N364" s="507" t="n">
        <v>145</v>
      </c>
      <c r="O364" s="507" t="n">
        <v>75</v>
      </c>
      <c r="P364" s="507" t="n">
        <v>150</v>
      </c>
      <c r="Q364" s="508" t="n">
        <v>40</v>
      </c>
      <c r="R364" s="499" t="s">
        <v>809</v>
      </c>
      <c r="S364" s="501" t="s">
        <v>810</v>
      </c>
      <c r="T364" s="505" t="s">
        <v>985</v>
      </c>
      <c r="U364" s="505" t="s">
        <v>959</v>
      </c>
      <c r="V364" s="506" t="s">
        <v>826</v>
      </c>
      <c r="W364" s="500" t="str">
        <f aca="false">IFERROR(__xludf.dummyfunction("if(isna(SUM(FILTER(MatchSource!$A:$D,MatchSource!$A:$A=$B364))),0,SUM(FILTER(MatchSource!$A:$D,MatchSource!$A:$A=$B364)))"),"0")</f>
        <v>0</v>
      </c>
      <c r="X364" s="499" t="str">
        <f aca="false">IFERROR(__xludf.dummyfunction("if(isna(SUM(FILTER(MatchSource!$H:$K,MatchSource!$H:$H=$B364))),0,SUM(FILTER(MatchSource!$H:$K,MatchSource!$H:$H=$B364)))"),"0")</f>
        <v>0</v>
      </c>
      <c r="Y364" s="499" t="str">
        <f aca="false">IFERROR(__xludf.dummyfunction("if(isna(ABS(MINUS(SUM(FILTER(MatchSource!$A:$E,MatchSource!$A:$A=$B364)),SUM($W364)))),0,ABS(MINUS(SUM(FILTER(MatchSource!$A:$E,MatchSource!$A:$A=$B364)),SUM($W364))))"),"0")</f>
        <v>0</v>
      </c>
      <c r="Z364" s="499" t="str">
        <f aca="false">IFERROR(__xludf.dummyfunction("if(isna(ABS(MINUS(SUM(FILTER(MatchSource!$H:$L,MatchSource!$H:$H=$B364)),SUM($X364)))),0,ABS(MINUS(SUM(FILTER(MatchSource!$H:$L,MatchSource!$H:$H=$B364)),SUM($X364))))"),"0")</f>
        <v>0</v>
      </c>
      <c r="AA364" s="499" t="str">
        <f aca="false">IFERROR(__xludf.dummyfunction("if(isna(ABS(MINUS(SUM(FILTER(MatchSource!$A:$F,MatchSource!$A:$A=$B364)),SUM($W364,$Y364)))),0,ABS(MINUS(SUM(FILTER(MatchSource!$A:$F,MatchSource!$A:$A=$B364)),SUM($W364, $Y364,))))"),"0")</f>
        <v>0</v>
      </c>
      <c r="AB364" s="501" t="str">
        <f aca="false">IFERROR(__xludf.dummyfunction("if(isna(ABS(MINUS(SUM(FILTER(MatchSource!$H:$M,MatchSource!$H:$H=$B364)),SUM($X364,$Z364)))),0,ABS(MINUS(SUM(FILTER(MatchSource!$H:$M,MatchSource!$H:$H=$B364)),SUM($X364,$Z364))))"),"0")</f>
        <v>0</v>
      </c>
      <c r="AC364" s="507" t="n">
        <f aca="false">SUM(IF(OR($R364="Grass",$R364="Psychic",$R364="Dark"),0-1,IF(OR($R364="Fighting",$R364="Flying",$R364="Fire",$R364="Ghost",$R364="Poison",$R364="Steel",$R364="Fairy"),1,0)),IF(OR($S364="Grass",$S364="Psychic",$S364="Dark"),0-1,IF(OR($S364="Fighting",$S364="Flying",$S364="Fire",$S364="Ghost",$S364="Poison",$S364="Steel",$S364="Fairy"),1,0)))</f>
        <v>1</v>
      </c>
      <c r="AD364" s="507" t="n">
        <f aca="false">SUM(IF(OR($R364="Ghost",$R364="Psychic"),0-1,IF(OR($R364="Fighting",$R364="Dark",$R364="Fairy"),1,0)),IF(OR($S364="Ghost",$S364="Psychic"),0-1,IF(OR($S364="Fighting",$S364="Dark",$S364="Fairy"),1,0)))</f>
        <v>0</v>
      </c>
      <c r="AE364" s="507" t="n">
        <f aca="false">IF(OR($R364="Fairy",$S364="Fairy"),4,SUM(IF($R364="Dragon",0-1,IF($R364="Steel",1,0)),IF($S364="Dragon",0-1,IF($S364="Steel",1,0))))</f>
        <v>1</v>
      </c>
      <c r="AF364" s="507" t="n">
        <f aca="false">IF(OR($R364="Ground",$S364="Ground"),4,SUM(IF(OR($R364="Flying",$R364="Water"),0-1,IF(OR($R364="Dragon",$R364="Electric",$R364="Grass"),1,0)),IF(OR($S364="Flying",$S364="Water"),0-1,IF(OR($S364="Dragon",$S364="Electric",$S364="Grass"),1,0))))</f>
        <v>0</v>
      </c>
      <c r="AG364" s="507" t="n">
        <f aca="false">SUM(IF(OR($R364="Dark",$R364="Dragon",$R364="Fighting"),0-1,IF(OR($R364="Steel",$R364="Poison",$R364="Fire"),1,0)),IF(OR($S364="Dark",$S364="Dragon",$S364="Fighting"),0-1,IF(OR($S364="Steel",$S364="Poison",$S364="Fire"),1,0)))</f>
        <v>1</v>
      </c>
      <c r="AH364" s="507" t="n">
        <f aca="false">IF(OR($R364="Ghost",$S364="Ghost"),4,SUM(IF(OR($R364="Dark",$R364="Ice",$R364="Normal",$R364="Rock",$R364="Steel"),0-1,IF(OR($R364="Bug",$R364="Fairy",$R364="Flying",$R364="Poison",$R364="Psychic"),1,0)),IF(OR($S364="Dark",$S364="Ice",$S364="Normal",$S364="Rock",$S364="Steel"),0-1,IF(OR($S364="Bug",$S364="Fairy",$S364="Flying",$S364="Poison",$S364="Psychic"),1,0))))</f>
        <v>-2</v>
      </c>
      <c r="AI364" s="507" t="n">
        <f aca="false">SUM(IF(OR($R364="Bug",$R364="Grass",$R364="Ice",$R364="Steel"),0-1,IF(OR($R364="Dragon",$R364="Fire",$R364="Rock",$R364="Water"),1,0)),IF(OR($S364="Bug",$S364="Grass",$S364="Ice",$S364="Steel"),0-1,IF(OR($S364="Dragon",$S364="Fire",$S364="Rock",$S364="Water"),1,0)))</f>
        <v>0</v>
      </c>
      <c r="AJ364" s="507" t="n">
        <f aca="false">SUM(IF(OR($R364="Bug",$R364="Grass",$R364="Fighting"),0-1,IF(OR($R364="Electric",$R364="Rock",$R364="Steel"),1,0)),IF(OR($S364="Bug",$S364="Grass",$S364="Fighting"),0-1,IF(OR($S364="Electric",$S364="Rock",$S364="Steel"),1,0)))</f>
        <v>2</v>
      </c>
      <c r="AK364" s="507" t="n">
        <f aca="false">IF(OR($R364="Normal",$S364="Normal"),4,SUM(IF(OR($R364="Ghost",$R364="Psychic"),0-1,IF($R364="Dark",1,0)),IF(OR($S364="Ghost",$S364="Psychic"),0-1,IF($S364="Dark",1,0))))</f>
        <v>0</v>
      </c>
      <c r="AL364" s="507" t="n">
        <f aca="false">SUM(IF(OR($R364="Ground",$R364="Rock",$R364="Water"),0-1,IF(OR($R364="Bug",$R364="Flying",$R364="Fire",$R364="Dragon",$R364="Poison",$R364="Steel",$R364="Grass"),1,0)),IF(OR($S364="Ground",$S364="Rock",$S364="Water"),0-1,IF(OR($S364="Bug",$S364="Flying",$S364="Fire",$S364="Dragon",$S364="Poison",$S364="Steel",$S364="Grass"),1,0)))</f>
        <v>0</v>
      </c>
      <c r="AM364" s="507" t="n">
        <f aca="false">IF(OR($R364="Flying",$S364="Flying"),4,SUM(IF(OR($R364="Electric",$R364="Fire",$R364="Rock",$R364="Steel",$R364="Poison"),0-1,IF(OR($R364="Bug",$R364="Grass"),1,0)),IF(OR($S364="Electric",$S364="Fire",$S364="Rock",$S364="Steel",$S364="Poison"),0-1,IF(OR($S364="Bug",$S364="Grass"),1,0))))</f>
        <v>-2</v>
      </c>
      <c r="AN364" s="507" t="n">
        <f aca="false">SUM(IF(OR($R364="Flying",$R364="Dragon",$R364="Grass",$R364="Ground"),0-1,IF(OR($R364="Steel",$R364="Ice",$R364="Fire",$R364="Water"),1,0)),IF(OR($S364="Flying",$S364="Dragon",$S364="Grass",$S364="Ground"),0-1,IF(OR($S364="Steel",$S364="Ice",$S364="Fire",$S364="Water"),1,0)))</f>
        <v>1</v>
      </c>
      <c r="AO364" s="507" t="n">
        <f aca="false">IF(OR($R364="Ghost",$S364="Ghost"),4,SUM(IF(OR($R364="Steel",$R364="Rock"),1,0),IF(OR($S364="Steel",$S364="Rock"),1,0)))</f>
        <v>2</v>
      </c>
      <c r="AP364" s="507" t="n">
        <f aca="false">IF(OR($R364="Steel",$S364="Steel"),4,SUM(IF(OR($R364="Fairy",$R364="Grass"),0-1,IF(OR($R364="Ghost",$R364="Rock",$R364="Ground",$R364="Poison"),1,0)),IF(OR($S364="Fairy",$S364="Grass"),0-1,IF(OR($S364="Ghost",$S364="Rock",$S364="Ground",$S364="Poison"),1,0))))</f>
        <v>4</v>
      </c>
      <c r="AQ364" s="507" t="n">
        <f aca="false">IF(OR($R364="Dark",$S364="Dark"),4,SUM(IF(OR($R364="Fighting",$R364="Poison"),0-1,IF(OR($R364="Psychic",$R364="Steel"),1,0)),IF(OR($S364="Fighting",$S364="Poison"),0-1,IF(OR($S364="Psychic",$S364="Steel"),1,0))))</f>
        <v>1</v>
      </c>
      <c r="AR364" s="507" t="n">
        <f aca="false">SUM(IF(OR($R364="Bug",$R364="Fire",$R364="Flying",$R364="Ice"),0-1,IF(OR($R364="Steel",$R364="Fighting",$R364="Ground"),1,0)),IF(OR($S364="Bug",$S364="Fire",$S364="Flying",$S364="Ice"),0-1,IF(OR($S364="Steel",$S364="Fighting",$S364="Ground"),1,0)))</f>
        <v>1</v>
      </c>
      <c r="AS364" s="507" t="n">
        <f aca="false">SUM(IF(OR($R364="Fairy",$R364="Ice",$R364="Rock"),0-1,IF(OR($R364="Steel",$R364="Electric",$R364="Fire",$R364="Water"),1,0)),IF(OR($S364="Fairy",$S364="Ice",$S364="Rock"),0-1,IF(OR($S364="Steel",$S364="Electric",$S364="Fire",$S364="Water"),1,0)))</f>
        <v>0</v>
      </c>
      <c r="AT364" s="508" t="n">
        <f aca="false">SUM(IF(OR($R364="Fire",$R364="Ground",$R364="Rock"),0-1,IF(OR($R364="Dragon",$R364="Grass",$R364="Water"),1,0)),IF(OR($S364="Fire",$S364="Ground",$S364="Rock"),0-1,IF(OR($S364="Dragon",$S364="Grass",$S364="Water"),1,0)))</f>
        <v>-1</v>
      </c>
      <c r="AU364" s="518"/>
    </row>
    <row r="365" customFormat="false" ht="15.75" hidden="false" customHeight="false" outlineLevel="0" collapsed="false">
      <c r="A365" s="510" t="str">
        <f aca="false" t="array" ref="A365:A365">IF(ISNA(INDEX(Source!$U$7:$U$95,MATCH(B365,Source!$V$7:$V$95,0))),"FREE",INDEX(Source!$U$7:$U$95,MATCH(B365,Source!$V$7:$V$95,0)))</f>
        <v>FREE</v>
      </c>
      <c r="B365" s="511" t="s">
        <v>483</v>
      </c>
      <c r="C365" s="511"/>
      <c r="D365" s="511"/>
      <c r="E365" s="499" t="str">
        <f aca="false">IF(SUM($W365:$X365)&gt;0,SUM($W365:$X365),IF($H365&gt;0,0,IF($H365&gt;0,0,"-")))</f>
        <v>-</v>
      </c>
      <c r="F365" s="499" t="str">
        <f aca="false">IF(SUM($Y365:$Z365)&gt;0,SUM($Y365:$Z365),IF($H365&gt;0,0,"-"))</f>
        <v>-</v>
      </c>
      <c r="G365" s="499" t="str">
        <f aca="false">IF($H365&gt;0,minus(E365,F365),"-")</f>
        <v>-</v>
      </c>
      <c r="H365" s="500" t="n">
        <f aca="false">SUM(COUNTIF(MatchSource!$A:$A,$B365),COUNTIF(MatchSource!$H:$H,$B365))</f>
        <v>0</v>
      </c>
      <c r="I365" s="501" t="n">
        <f aca="false">SUM($AA365:$AB365)</f>
        <v>0</v>
      </c>
      <c r="J365" s="501" t="s">
        <v>702</v>
      </c>
      <c r="K365" s="512" t="str">
        <f aca="false" t="array" ref="K365:K365">IF(ISNA(INDEX(DraftRosters!$AA$3:$AA$199,MATCH($B365,DraftRosters!$AB$3:$AB$199,0))),"FA",IF(INDEX(DraftRosters!$AA$3:$AA$199,MATCH($B365,DraftRosters!$AB$3:$AB$199,0))="Franchise","Franch",INDEX(DraftRosters!$AA$3:$AA$199,MATCH($B365,DraftRosters!$AB$3:$AB$199,0))))</f>
        <v>FA</v>
      </c>
      <c r="L365" s="499" t="n">
        <v>71</v>
      </c>
      <c r="M365" s="499" t="n">
        <v>82</v>
      </c>
      <c r="N365" s="499" t="n">
        <v>64</v>
      </c>
      <c r="O365" s="499" t="n">
        <v>64</v>
      </c>
      <c r="P365" s="499" t="n">
        <v>59</v>
      </c>
      <c r="Q365" s="501" t="n">
        <v>112</v>
      </c>
      <c r="R365" s="499" t="s">
        <v>839</v>
      </c>
      <c r="S365" s="501"/>
      <c r="T365" s="505" t="s">
        <v>886</v>
      </c>
      <c r="U365" s="505" t="s">
        <v>868</v>
      </c>
      <c r="V365" s="506" t="s">
        <v>865</v>
      </c>
      <c r="W365" s="500" t="str">
        <f aca="false">IFERROR(__xludf.dummyfunction("if(isna(SUM(FILTER(MatchSource!$A:$D,MatchSource!$A:$A=$B365))),0,SUM(FILTER(MatchSource!$A:$D,MatchSource!$A:$A=$B365)))"),"0")</f>
        <v>0</v>
      </c>
      <c r="X365" s="499" t="str">
        <f aca="false">IFERROR(__xludf.dummyfunction("if(isna(SUM(FILTER(MatchSource!$H:$K,MatchSource!$H:$H=$B365))),0,SUM(FILTER(MatchSource!$H:$K,MatchSource!$H:$H=$B365)))"),"0")</f>
        <v>0</v>
      </c>
      <c r="Y365" s="499" t="str">
        <f aca="false">IFERROR(__xludf.dummyfunction("if(isna(ABS(MINUS(SUM(FILTER(MatchSource!$A:$E,MatchSource!$A:$A=$B365)),SUM($W365)))),0,ABS(MINUS(SUM(FILTER(MatchSource!$A:$E,MatchSource!$A:$A=$B365)),SUM($W365))))"),"0")</f>
        <v>0</v>
      </c>
      <c r="Z365" s="499" t="str">
        <f aca="false">IFERROR(__xludf.dummyfunction("if(isna(ABS(MINUS(SUM(FILTER(MatchSource!$H:$L,MatchSource!$H:$H=$B365)),SUM($X365)))),0,ABS(MINUS(SUM(FILTER(MatchSource!$H:$L,MatchSource!$H:$H=$B365)),SUM($X365))))"),"0")</f>
        <v>0</v>
      </c>
      <c r="AA365" s="499" t="str">
        <f aca="false">IFERROR(__xludf.dummyfunction("if(isna(ABS(MINUS(SUM(FILTER(MatchSource!$A:$F,MatchSource!$A:$A=$B365)),SUM($W365,$Y365)))),0,ABS(MINUS(SUM(FILTER(MatchSource!$A:$F,MatchSource!$A:$A=$B365)),SUM($W365, $Y365,))))"),"0")</f>
        <v>0</v>
      </c>
      <c r="AB365" s="501" t="str">
        <f aca="false">IFERROR(__xludf.dummyfunction("if(isna(ABS(MINUS(SUM(FILTER(MatchSource!$H:$M,MatchSource!$H:$H=$B365)),SUM($X365,$Z365)))),0,ABS(MINUS(SUM(FILTER(MatchSource!$H:$M,MatchSource!$H:$H=$B365)),SUM($X365,$Z365))))"),"0")</f>
        <v>0</v>
      </c>
      <c r="AC365" s="507" t="n">
        <f aca="false">SUM(IF(OR($R365="Grass",$R365="Psychic",$R365="Dark"),0-1,IF(OR($R365="Fighting",$R365="Flying",$R365="Fire",$R365="Ghost",$R365="Poison",$R365="Steel",$R365="Fairy"),1,0)),IF(OR($S365="Grass",$S365="Psychic",$S365="Dark"),0-1,IF(OR($S365="Fighting",$S365="Flying",$S365="Fire",$S365="Ghost",$S365="Poison",$S365="Steel",$S365="Fairy"),1,0)))</f>
        <v>0</v>
      </c>
      <c r="AD365" s="507" t="n">
        <f aca="false">SUM(IF(OR($R365="Ghost",$R365="Psychic"),0-1,IF(OR($R365="Fighting",$R365="Dark",$R365="Fairy"),1,0)),IF(OR($S365="Ghost",$S365="Psychic"),0-1,IF(OR($S365="Fighting",$S365="Dark",$S365="Fairy"),1,0)))</f>
        <v>0</v>
      </c>
      <c r="AE365" s="507" t="n">
        <f aca="false">IF(OR($R365="Fairy",$S365="Fairy"),4,SUM(IF($R365="Dragon",0-1,IF($R365="Steel",1,0)),IF($S365="Dragon",0-1,IF($S365="Steel",1,0))))</f>
        <v>0</v>
      </c>
      <c r="AF365" s="507" t="n">
        <f aca="false">IF(OR($R365="Ground",$S365="Ground"),4,SUM(IF(OR($R365="Flying",$R365="Water"),0-1,IF(OR($R365="Dragon",$R365="Electric",$R365="Grass"),1,0)),IF(OR($S365="Flying",$S365="Water"),0-1,IF(OR($S365="Dragon",$S365="Electric",$S365="Grass"),1,0))))</f>
        <v>0</v>
      </c>
      <c r="AG365" s="507" t="n">
        <f aca="false">SUM(IF(OR($R365="Dark",$R365="Dragon",$R365="Fighting"),0-1,IF(OR($R365="Steel",$R365="Poison",$R365="Fire"),1,0)),IF(OR($S365="Dark",$S365="Dragon",$S365="Fighting"),0-1,IF(OR($S365="Steel",$S365="Poison",$S365="Fire"),1,0)))</f>
        <v>0</v>
      </c>
      <c r="AH365" s="507" t="n">
        <f aca="false">IF(OR($R365="Ghost",$S365="Ghost"),4,SUM(IF(OR($R365="Dark",$R365="Ice",$R365="Normal",$R365="Rock",$R365="Steel"),0-1,IF(OR($R365="Bug",$R365="Fairy",$R365="Flying",$R365="Poison",$R365="Psychic"),1,0)),IF(OR($S365="Dark",$S365="Ice",$S365="Normal",$S365="Rock",$S365="Steel"),0-1,IF(OR($S365="Bug",$S365="Fairy",$S365="Flying",$S365="Poison",$S365="Psychic"),1,0))))</f>
        <v>-1</v>
      </c>
      <c r="AI365" s="507" t="n">
        <f aca="false">SUM(IF(OR($R365="Bug",$R365="Grass",$R365="Ice",$R365="Steel"),0-1,IF(OR($R365="Dragon",$R365="Fire",$R365="Rock",$R365="Water"),1,0)),IF(OR($S365="Bug",$S365="Grass",$S365="Ice",$S365="Steel"),0-1,IF(OR($S365="Dragon",$S365="Fire",$S365="Rock",$S365="Water"),1,0)))</f>
        <v>0</v>
      </c>
      <c r="AJ365" s="507" t="n">
        <f aca="false">SUM(IF(OR($R365="Bug",$R365="Grass",$R365="Fighting"),0-1,IF(OR($R365="Electric",$R365="Rock",$R365="Steel"),1,0)),IF(OR($S365="Bug",$S365="Grass",$S365="Fighting"),0-1,IF(OR($S365="Electric",$S365="Rock",$S365="Steel"),1,0)))</f>
        <v>0</v>
      </c>
      <c r="AK365" s="507" t="n">
        <f aca="false">IF(OR($R365="Normal",$S365="Normal"),4,SUM(IF(OR($R365="Ghost",$R365="Psychic"),0-1,IF($R365="Dark",1,0)),IF(OR($S365="Ghost",$S365="Psychic"),0-1,IF($S365="Dark",1,0))))</f>
        <v>4</v>
      </c>
      <c r="AL365" s="507" t="n">
        <f aca="false">SUM(IF(OR($R365="Ground",$R365="Rock",$R365="Water"),0-1,IF(OR($R365="Bug",$R365="Flying",$R365="Fire",$R365="Dragon",$R365="Poison",$R365="Steel",$R365="Grass"),1,0)),IF(OR($S365="Ground",$S365="Rock",$S365="Water"),0-1,IF(OR($S365="Bug",$S365="Flying",$S365="Fire",$S365="Dragon",$S365="Poison",$S365="Steel",$S365="Grass"),1,0)))</f>
        <v>0</v>
      </c>
      <c r="AM365" s="507" t="n">
        <f aca="false">IF(OR($R365="Flying",$S365="Flying"),4,SUM(IF(OR($R365="Electric",$R365="Fire",$R365="Rock",$R365="Steel",$R365="Poison"),0-1,IF(OR($R365="Bug",$R365="Grass"),1,0)),IF(OR($S365="Electric",$S365="Fire",$S365="Rock",$S365="Steel",$S365="Poison"),0-1,IF(OR($S365="Bug",$S365="Grass"),1,0))))</f>
        <v>0</v>
      </c>
      <c r="AN365" s="507" t="n">
        <f aca="false">SUM(IF(OR($R365="Flying",$R365="Dragon",$R365="Grass",$R365="Ground"),0-1,IF(OR($R365="Steel",$R365="Ice",$R365="Fire",$R365="Water"),1,0)),IF(OR($S365="Flying",$S365="Dragon",$S365="Grass",$S365="Ground"),0-1,IF(OR($S365="Steel",$S365="Ice",$S365="Fire",$S365="Water"),1,0)))</f>
        <v>0</v>
      </c>
      <c r="AO365" s="507" t="n">
        <f aca="false">IF(OR($R365="Ghost",$S365="Ghost"),4,SUM(IF(OR($R365="Steel",$R365="Rock"),1,0),IF(OR($S365="Steel",$S365="Rock"),1,0)))</f>
        <v>0</v>
      </c>
      <c r="AP365" s="507" t="n">
        <f aca="false">IF(OR($R365="Steel",$S365="Steel"),4,SUM(IF(OR($R365="Fairy",$R365="Grass"),0-1,IF(OR($R365="Ghost",$R365="Rock",$R365="Ground",$R365="Poison"),1,0)),IF(OR($S365="Fairy",$S365="Grass"),0-1,IF(OR($S365="Ghost",$S365="Rock",$S365="Ground",$S365="Poison"),1,0))))</f>
        <v>0</v>
      </c>
      <c r="AQ365" s="507" t="n">
        <f aca="false">IF(OR($R365="Dark",$S365="Dark"),4,SUM(IF(OR($R365="Fighting",$R365="Poison"),0-1,IF(OR($R365="Psychic",$R365="Steel"),1,0)),IF(OR($S365="Fighting",$S365="Poison"),0-1,IF(OR($S365="Psychic",$S365="Steel"),1,0))))</f>
        <v>0</v>
      </c>
      <c r="AR365" s="507" t="n">
        <f aca="false">SUM(IF(OR($R365="Bug",$R365="Fire",$R365="Flying",$R365="Ice"),0-1,IF(OR($R365="Steel",$R365="Fighting",$R365="Ground"),1,0)),IF(OR($S365="Bug",$S365="Fire",$S365="Flying",$S365="Ice"),0-1,IF(OR($S365="Steel",$S365="Fighting",$S365="Ground"),1,0)))</f>
        <v>0</v>
      </c>
      <c r="AS365" s="507" t="n">
        <f aca="false">SUM(IF(OR($R365="Fairy",$R365="Ice",$R365="Rock"),0-1,IF(OR($R365="Steel",$R365="Electric",$R365="Fire",$R365="Water"),1,0)),IF(OR($S365="Fairy",$S365="Ice",$S365="Rock"),0-1,IF(OR($S365="Steel",$S365="Electric",$S365="Fire",$S365="Water"),1,0)))</f>
        <v>0</v>
      </c>
      <c r="AT365" s="508" t="n">
        <f aca="false">SUM(IF(OR($R365="Fire",$R365="Ground",$R365="Rock"),0-1,IF(OR($R365="Dragon",$R365="Grass",$R365="Water"),1,0)),IF(OR($S365="Fire",$S365="Ground",$S365="Rock"),0-1,IF(OR($S365="Dragon",$S365="Grass",$S365="Water"),1,0)))</f>
        <v>0</v>
      </c>
      <c r="AU365" s="518"/>
    </row>
    <row r="366" customFormat="false" ht="15.75" hidden="false" customHeight="false" outlineLevel="0" collapsed="false">
      <c r="A366" s="510" t="str">
        <f aca="false" t="array" ref="A366:A366">IF(ISNA(INDEX(Source!$U$7:$U$95,MATCH(B366,Source!$V$7:$V$95,0))),"FREE",INDEX(Source!$U$7:$U$95,MATCH(B366,Source!$V$7:$V$95,0)))</f>
        <v>FREE</v>
      </c>
      <c r="B366" s="511" t="s">
        <v>487</v>
      </c>
      <c r="C366" s="511"/>
      <c r="D366" s="511"/>
      <c r="E366" s="499" t="str">
        <f aca="false">IF(SUM($W366:$X366)&gt;0,SUM($W366:$X366),IF($H366&gt;0,0,IF($H366&gt;0,0,"-")))</f>
        <v>-</v>
      </c>
      <c r="F366" s="499" t="str">
        <f aca="false">IF(SUM($Y366:$Z366)&gt;0,SUM($Y366:$Z366),IF($H366&gt;0,0,"-"))</f>
        <v>-</v>
      </c>
      <c r="G366" s="499" t="str">
        <f aca="false">IF($H366&gt;0,minus(E366,F366),"-")</f>
        <v>-</v>
      </c>
      <c r="H366" s="500" t="n">
        <f aca="false">SUM(COUNTIF(MatchSource!$A:$A,$B366),COUNTIF(MatchSource!$H:$H,$B366))</f>
        <v>0</v>
      </c>
      <c r="I366" s="501" t="n">
        <f aca="false">SUM($AA366:$AB366)</f>
        <v>0</v>
      </c>
      <c r="J366" s="501" t="s">
        <v>702</v>
      </c>
      <c r="K366" s="512" t="str">
        <f aca="false" t="array" ref="K366:K366">IF(ISNA(INDEX(DraftRosters!$AA$3:$AA$199,MATCH($B366,DraftRosters!$AB$3:$AB$199,0))),"FA",IF(INDEX(DraftRosters!$AA$3:$AA$199,MATCH($B366,DraftRosters!$AB$3:$AB$199,0))="Franchise","Franch",INDEX(DraftRosters!$AA$3:$AA$199,MATCH($B366,DraftRosters!$AB$3:$AB$199,0))))</f>
        <v>FA</v>
      </c>
      <c r="L366" s="499" t="n">
        <v>86</v>
      </c>
      <c r="M366" s="499" t="n">
        <v>68</v>
      </c>
      <c r="N366" s="499" t="n">
        <v>72</v>
      </c>
      <c r="O366" s="499" t="n">
        <v>109</v>
      </c>
      <c r="P366" s="499" t="n">
        <v>66</v>
      </c>
      <c r="Q366" s="501" t="n">
        <v>106</v>
      </c>
      <c r="R366" s="499" t="s">
        <v>800</v>
      </c>
      <c r="S366" s="501" t="s">
        <v>839</v>
      </c>
      <c r="T366" s="505" t="s">
        <v>997</v>
      </c>
      <c r="U366" s="505" t="s">
        <v>822</v>
      </c>
      <c r="V366" s="506" t="s">
        <v>877</v>
      </c>
      <c r="W366" s="500" t="str">
        <f aca="false">IFERROR(__xludf.dummyfunction("if(isna(SUM(FILTER(MatchSource!$A:$D,MatchSource!$A:$A=$B366))),0,SUM(FILTER(MatchSource!$A:$D,MatchSource!$A:$A=$B366)))"),"0")</f>
        <v>0</v>
      </c>
      <c r="X366" s="499" t="str">
        <f aca="false">IFERROR(__xludf.dummyfunction("if(isna(SUM(FILTER(MatchSource!$H:$K,MatchSource!$H:$H=$B366))),0,SUM(FILTER(MatchSource!$H:$K,MatchSource!$H:$H=$B366)))"),"0")</f>
        <v>0</v>
      </c>
      <c r="Y366" s="499" t="str">
        <f aca="false">IFERROR(__xludf.dummyfunction("if(isna(ABS(MINUS(SUM(FILTER(MatchSource!$A:$E,MatchSource!$A:$A=$B366)),SUM($W366)))),0,ABS(MINUS(SUM(FILTER(MatchSource!$A:$E,MatchSource!$A:$A=$B366)),SUM($W366))))"),"0")</f>
        <v>0</v>
      </c>
      <c r="Z366" s="499" t="str">
        <f aca="false">IFERROR(__xludf.dummyfunction("if(isna(ABS(MINUS(SUM(FILTER(MatchSource!$H:$L,MatchSource!$H:$H=$B366)),SUM($X366)))),0,ABS(MINUS(SUM(FILTER(MatchSource!$H:$L,MatchSource!$H:$H=$B366)),SUM($X366))))"),"0")</f>
        <v>0</v>
      </c>
      <c r="AA366" s="499" t="str">
        <f aca="false">IFERROR(__xludf.dummyfunction("if(isna(ABS(MINUS(SUM(FILTER(MatchSource!$A:$F,MatchSource!$A:$A=$B366)),SUM($W366,$Y366)))),0,ABS(MINUS(SUM(FILTER(MatchSource!$A:$F,MatchSource!$A:$A=$B366)),SUM($W366, $Y366,))))"),"0")</f>
        <v>0</v>
      </c>
      <c r="AB366" s="501" t="str">
        <f aca="false">IFERROR(__xludf.dummyfunction("if(isna(ABS(MINUS(SUM(FILTER(MatchSource!$H:$M,MatchSource!$H:$H=$B366)),SUM($X366,$Z366)))),0,ABS(MINUS(SUM(FILTER(MatchSource!$H:$M,MatchSource!$H:$H=$B366)),SUM($X366,$Z366))))"),"0")</f>
        <v>0</v>
      </c>
      <c r="AC366" s="507" t="n">
        <f aca="false">SUM(IF(OR($R366="Grass",$R366="Psychic",$R366="Dark"),0-1,IF(OR($R366="Fighting",$R366="Flying",$R366="Fire",$R366="Ghost",$R366="Poison",$R366="Steel",$R366="Fairy"),1,0)),IF(OR($S366="Grass",$S366="Psychic",$S366="Dark"),0-1,IF(OR($S366="Fighting",$S366="Flying",$S366="Fire",$S366="Ghost",$S366="Poison",$S366="Steel",$S366="Fairy"),1,0)))</f>
        <v>1</v>
      </c>
      <c r="AD366" s="507" t="n">
        <f aca="false">SUM(IF(OR($R366="Ghost",$R366="Psychic"),0-1,IF(OR($R366="Fighting",$R366="Dark",$R366="Fairy"),1,0)),IF(OR($S366="Ghost",$S366="Psychic"),0-1,IF(OR($S366="Fighting",$S366="Dark",$S366="Fairy"),1,0)))</f>
        <v>0</v>
      </c>
      <c r="AE366" s="507" t="n">
        <f aca="false">IF(OR($R366="Fairy",$S366="Fairy"),4,SUM(IF($R366="Dragon",0-1,IF($R366="Steel",1,0)),IF($S366="Dragon",0-1,IF($S366="Steel",1,0))))</f>
        <v>0</v>
      </c>
      <c r="AF366" s="507" t="n">
        <f aca="false">IF(OR($R366="Ground",$S366="Ground"),4,SUM(IF(OR($R366="Flying",$R366="Water"),0-1,IF(OR($R366="Dragon",$R366="Electric",$R366="Grass"),1,0)),IF(OR($S366="Flying",$S366="Water"),0-1,IF(OR($S366="Dragon",$S366="Electric",$S366="Grass"),1,0))))</f>
        <v>0</v>
      </c>
      <c r="AG366" s="507" t="n">
        <f aca="false">SUM(IF(OR($R366="Dark",$R366="Dragon",$R366="Fighting"),0-1,IF(OR($R366="Steel",$R366="Poison",$R366="Fire"),1,0)),IF(OR($S366="Dark",$S366="Dragon",$S366="Fighting"),0-1,IF(OR($S366="Steel",$S366="Poison",$S366="Fire"),1,0)))</f>
        <v>1</v>
      </c>
      <c r="AH366" s="507" t="n">
        <f aca="false">IF(OR($R366="Ghost",$S366="Ghost"),4,SUM(IF(OR($R366="Dark",$R366="Ice",$R366="Normal",$R366="Rock",$R366="Steel"),0-1,IF(OR($R366="Bug",$R366="Fairy",$R366="Flying",$R366="Poison",$R366="Psychic"),1,0)),IF(OR($S366="Dark",$S366="Ice",$S366="Normal",$S366="Rock",$S366="Steel"),0-1,IF(OR($S366="Bug",$S366="Fairy",$S366="Flying",$S366="Poison",$S366="Psychic"),1,0))))</f>
        <v>-1</v>
      </c>
      <c r="AI366" s="507" t="n">
        <f aca="false">SUM(IF(OR($R366="Bug",$R366="Grass",$R366="Ice",$R366="Steel"),0-1,IF(OR($R366="Dragon",$R366="Fire",$R366="Rock",$R366="Water"),1,0)),IF(OR($S366="Bug",$S366="Grass",$S366="Ice",$S366="Steel"),0-1,IF(OR($S366="Dragon",$S366="Fire",$S366="Rock",$S366="Water"),1,0)))</f>
        <v>1</v>
      </c>
      <c r="AJ366" s="507" t="n">
        <f aca="false">SUM(IF(OR($R366="Bug",$R366="Grass",$R366="Fighting"),0-1,IF(OR($R366="Electric",$R366="Rock",$R366="Steel"),1,0)),IF(OR($S366="Bug",$S366="Grass",$S366="Fighting"),0-1,IF(OR($S366="Electric",$S366="Rock",$S366="Steel"),1,0)))</f>
        <v>0</v>
      </c>
      <c r="AK366" s="507" t="n">
        <f aca="false">IF(OR($R366="Normal",$S366="Normal"),4,SUM(IF(OR($R366="Ghost",$R366="Psychic"),0-1,IF($R366="Dark",1,0)),IF(OR($S366="Ghost",$S366="Psychic"),0-1,IF($S366="Dark",1,0))))</f>
        <v>4</v>
      </c>
      <c r="AL366" s="507" t="n">
        <f aca="false">SUM(IF(OR($R366="Ground",$R366="Rock",$R366="Water"),0-1,IF(OR($R366="Bug",$R366="Flying",$R366="Fire",$R366="Dragon",$R366="Poison",$R366="Steel",$R366="Grass"),1,0)),IF(OR($S366="Ground",$S366="Rock",$S366="Water"),0-1,IF(OR($S366="Bug",$S366="Flying",$S366="Fire",$S366="Dragon",$S366="Poison",$S366="Steel",$S366="Grass"),1,0)))</f>
        <v>1</v>
      </c>
      <c r="AM366" s="507" t="n">
        <f aca="false">IF(OR($R366="Flying",$S366="Flying"),4,SUM(IF(OR($R366="Electric",$R366="Fire",$R366="Rock",$R366="Steel",$R366="Poison"),0-1,IF(OR($R366="Bug",$R366="Grass"),1,0)),IF(OR($S366="Electric",$S366="Fire",$S366="Rock",$S366="Steel",$S366="Poison"),0-1,IF(OR($S366="Bug",$S366="Grass"),1,0))))</f>
        <v>-1</v>
      </c>
      <c r="AN366" s="507" t="n">
        <f aca="false">SUM(IF(OR($R366="Flying",$R366="Dragon",$R366="Grass",$R366="Ground"),0-1,IF(OR($R366="Steel",$R366="Ice",$R366="Fire",$R366="Water"),1,0)),IF(OR($S366="Flying",$S366="Dragon",$S366="Grass",$S366="Ground"),0-1,IF(OR($S366="Steel",$S366="Ice",$S366="Fire",$S366="Water"),1,0)))</f>
        <v>1</v>
      </c>
      <c r="AO366" s="507" t="n">
        <f aca="false">IF(OR($R366="Ghost",$S366="Ghost"),4,SUM(IF(OR($R366="Steel",$R366="Rock"),1,0),IF(OR($S366="Steel",$S366="Rock"),1,0)))</f>
        <v>0</v>
      </c>
      <c r="AP366" s="507" t="n">
        <f aca="false">IF(OR($R366="Steel",$S366="Steel"),4,SUM(IF(OR($R366="Fairy",$R366="Grass"),0-1,IF(OR($R366="Ghost",$R366="Rock",$R366="Ground",$R366="Poison"),1,0)),IF(OR($S366="Fairy",$S366="Grass"),0-1,IF(OR($S366="Ghost",$S366="Rock",$S366="Ground",$S366="Poison"),1,0))))</f>
        <v>0</v>
      </c>
      <c r="AQ366" s="507" t="n">
        <f aca="false">IF(OR($R366="Dark",$S366="Dark"),4,SUM(IF(OR($R366="Fighting",$R366="Poison"),0-1,IF(OR($R366="Psychic",$R366="Steel"),1,0)),IF(OR($S366="Fighting",$S366="Poison"),0-1,IF(OR($S366="Psychic",$S366="Steel"),1,0))))</f>
        <v>0</v>
      </c>
      <c r="AR366" s="507" t="n">
        <f aca="false">SUM(IF(OR($R366="Bug",$R366="Fire",$R366="Flying",$R366="Ice"),0-1,IF(OR($R366="Steel",$R366="Fighting",$R366="Ground"),1,0)),IF(OR($S366="Bug",$S366="Fire",$S366="Flying",$S366="Ice"),0-1,IF(OR($S366="Steel",$S366="Fighting",$S366="Ground"),1,0)))</f>
        <v>-1</v>
      </c>
      <c r="AS366" s="507" t="n">
        <f aca="false">SUM(IF(OR($R366="Fairy",$R366="Ice",$R366="Rock"),0-1,IF(OR($R366="Steel",$R366="Electric",$R366="Fire",$R366="Water"),1,0)),IF(OR($S366="Fairy",$S366="Ice",$S366="Rock"),0-1,IF(OR($S366="Steel",$S366="Electric",$S366="Fire",$S366="Water"),1,0)))</f>
        <v>1</v>
      </c>
      <c r="AT366" s="508" t="n">
        <f aca="false">SUM(IF(OR($R366="Fire",$R366="Ground",$R366="Rock"),0-1,IF(OR($R366="Dragon",$R366="Grass",$R366="Water"),1,0)),IF(OR($S366="Fire",$S366="Ground",$S366="Rock"),0-1,IF(OR($S366="Dragon",$S366="Grass",$S366="Water"),1,0)))</f>
        <v>-1</v>
      </c>
      <c r="AU366" s="518"/>
    </row>
    <row r="367" customFormat="false" ht="15.75" hidden="false" customHeight="false" outlineLevel="0" collapsed="false">
      <c r="A367" s="510" t="str">
        <f aca="false" t="array" ref="A367:A367">IF(ISNA(INDEX(Source!$U$7:$U$95,MATCH(B367,Source!$V$7:$V$95,0))),"FREE",INDEX(Source!$U$7:$U$95,MATCH(B367,Source!$V$7:$V$95,0)))</f>
        <v>FREE</v>
      </c>
      <c r="B367" s="511" t="s">
        <v>492</v>
      </c>
      <c r="C367" s="511"/>
      <c r="D367" s="511"/>
      <c r="E367" s="499" t="str">
        <f aca="false">IF(SUM($W367:$X367)&gt;0,SUM($W367:$X367),IF($H367&gt;0,0,IF($H367&gt;0,0,"-")))</f>
        <v>-</v>
      </c>
      <c r="F367" s="499" t="str">
        <f aca="false">IF(SUM($Y367:$Z367)&gt;0,SUM($Y367:$Z367),IF($H367&gt;0,0,"-"))</f>
        <v>-</v>
      </c>
      <c r="G367" s="499" t="str">
        <f aca="false">IF($H367&gt;0,minus(E367,F367),"-")</f>
        <v>-</v>
      </c>
      <c r="H367" s="500" t="n">
        <f aca="false">SUM(COUNTIF(MatchSource!$A:$A,$B367),COUNTIF(MatchSource!$H:$H,$B367))</f>
        <v>0</v>
      </c>
      <c r="I367" s="501" t="n">
        <f aca="false">SUM($AA367:$AB367)</f>
        <v>0</v>
      </c>
      <c r="J367" s="501" t="s">
        <v>702</v>
      </c>
      <c r="K367" s="512" t="str">
        <f aca="false" t="array" ref="K367:K367">IF(ISNA(INDEX(DraftRosters!$AA$3:$AA$199,MATCH($B367,DraftRosters!$AB$3:$AB$199,0))),"FA",IF(INDEX(DraftRosters!$AA$3:$AA$199,MATCH($B367,DraftRosters!$AB$3:$AB$199,0))="Franchise","Franch",INDEX(DraftRosters!$AA$3:$AA$199,MATCH($B367,DraftRosters!$AB$3:$AB$199,0))))</f>
        <v>FA</v>
      </c>
      <c r="L367" s="499" t="n">
        <v>55</v>
      </c>
      <c r="M367" s="499" t="n">
        <v>60</v>
      </c>
      <c r="N367" s="499" t="n">
        <v>130</v>
      </c>
      <c r="O367" s="499" t="n">
        <v>30</v>
      </c>
      <c r="P367" s="499" t="n">
        <v>130</v>
      </c>
      <c r="Q367" s="501" t="n">
        <v>5</v>
      </c>
      <c r="R367" s="499" t="s">
        <v>811</v>
      </c>
      <c r="S367" s="501"/>
      <c r="T367" s="513" t="s">
        <v>1056</v>
      </c>
      <c r="U367" s="513" t="s">
        <v>884</v>
      </c>
      <c r="V367" s="514"/>
      <c r="W367" s="500" t="str">
        <f aca="false">IFERROR(__xludf.dummyfunction("if(isna(SUM(FILTER(MatchSource!$A:$D,MatchSource!$A:$A=$B367))),0,SUM(FILTER(MatchSource!$A:$D,MatchSource!$A:$A=$B367)))"),"0")</f>
        <v>0</v>
      </c>
      <c r="X367" s="499" t="str">
        <f aca="false">IFERROR(__xludf.dummyfunction("if(isna(SUM(FILTER(MatchSource!$H:$K,MatchSource!$H:$H=$B367))),0,SUM(FILTER(MatchSource!$H:$K,MatchSource!$H:$H=$B367)))"),"0")</f>
        <v>0</v>
      </c>
      <c r="Y367" s="499" t="str">
        <f aca="false">IFERROR(__xludf.dummyfunction("if(isna(ABS(MINUS(SUM(FILTER(MatchSource!$A:$E,MatchSource!$A:$A=$B367)),SUM($W367)))),0,ABS(MINUS(SUM(FILTER(MatchSource!$A:$E,MatchSource!$A:$A=$B367)),SUM($W367))))"),"0")</f>
        <v>0</v>
      </c>
      <c r="Z367" s="499" t="str">
        <f aca="false">IFERROR(__xludf.dummyfunction("if(isna(ABS(MINUS(SUM(FILTER(MatchSource!$H:$L,MatchSource!$H:$H=$B367)),SUM($X367)))),0,ABS(MINUS(SUM(FILTER(MatchSource!$H:$L,MatchSource!$H:$H=$B367)),SUM($X367))))"),"0")</f>
        <v>0</v>
      </c>
      <c r="AA367" s="499" t="str">
        <f aca="false">IFERROR(__xludf.dummyfunction("if(isna(ABS(MINUS(SUM(FILTER(MatchSource!$A:$F,MatchSource!$A:$A=$B367)),SUM($W367,$Y367)))),0,ABS(MINUS(SUM(FILTER(MatchSource!$A:$F,MatchSource!$A:$A=$B367)),SUM($W367, $Y367,))))"),"0")</f>
        <v>0</v>
      </c>
      <c r="AB367" s="501" t="str">
        <f aca="false">IFERROR(__xludf.dummyfunction("if(isna(ABS(MINUS(SUM(FILTER(MatchSource!$H:$M,MatchSource!$H:$H=$B367)),SUM($X367,$Z367)))),0,ABS(MINUS(SUM(FILTER(MatchSource!$H:$M,MatchSource!$H:$H=$B367)),SUM($X367,$Z367))))"),"0")</f>
        <v>0</v>
      </c>
      <c r="AC367" s="507" t="n">
        <f aca="false">SUM(IF(OR($R367="Grass",$R367="Psychic",$R367="Dark"),0-1,IF(OR($R367="Fighting",$R367="Flying",$R367="Fire",$R367="Ghost",$R367="Poison",$R367="Steel",$R367="Fairy"),1,0)),IF(OR($S367="Grass",$S367="Psychic",$S367="Dark"),0-1,IF(OR($S367="Fighting",$S367="Flying",$S367="Fire",$S367="Ghost",$S367="Poison",$S367="Steel",$S367="Fairy"),1,0)))</f>
        <v>0</v>
      </c>
      <c r="AD367" s="507" t="n">
        <f aca="false">SUM(IF(OR($R367="Ghost",$R367="Psychic"),0-1,IF(OR($R367="Fighting",$R367="Dark",$R367="Fairy"),1,0)),IF(OR($S367="Ghost",$S367="Psychic"),0-1,IF(OR($S367="Fighting",$S367="Dark",$S367="Fairy"),1,0)))</f>
        <v>0</v>
      </c>
      <c r="AE367" s="507" t="n">
        <f aca="false">IF(OR($R367="Fairy",$S367="Fairy"),4,SUM(IF($R367="Dragon",0-1,IF($R367="Steel",1,0)),IF($S367="Dragon",0-1,IF($S367="Steel",1,0))))</f>
        <v>0</v>
      </c>
      <c r="AF367" s="507" t="n">
        <f aca="false">IF(OR($R367="Ground",$S367="Ground"),4,SUM(IF(OR($R367="Flying",$R367="Water"),0-1,IF(OR($R367="Dragon",$R367="Electric",$R367="Grass"),1,0)),IF(OR($S367="Flying",$S367="Water"),0-1,IF(OR($S367="Dragon",$S367="Electric",$S367="Grass"),1,0))))</f>
        <v>-1</v>
      </c>
      <c r="AG367" s="507" t="n">
        <f aca="false">SUM(IF(OR($R367="Dark",$R367="Dragon",$R367="Fighting"),0-1,IF(OR($R367="Steel",$R367="Poison",$R367="Fire"),1,0)),IF(OR($S367="Dark",$S367="Dragon",$S367="Fighting"),0-1,IF(OR($S367="Steel",$S367="Poison",$S367="Fire"),1,0)))</f>
        <v>0</v>
      </c>
      <c r="AH367" s="507" t="n">
        <f aca="false">IF(OR($R367="Ghost",$S367="Ghost"),4,SUM(IF(OR($R367="Dark",$R367="Ice",$R367="Normal",$R367="Rock",$R367="Steel"),0-1,IF(OR($R367="Bug",$R367="Fairy",$R367="Flying",$R367="Poison",$R367="Psychic"),1,0)),IF(OR($S367="Dark",$S367="Ice",$S367="Normal",$S367="Rock",$S367="Steel"),0-1,IF(OR($S367="Bug",$S367="Fairy",$S367="Flying",$S367="Poison",$S367="Psychic"),1,0))))</f>
        <v>0</v>
      </c>
      <c r="AI367" s="507" t="n">
        <f aca="false">SUM(IF(OR($R367="Bug",$R367="Grass",$R367="Ice",$R367="Steel"),0-1,IF(OR($R367="Dragon",$R367="Fire",$R367="Rock",$R367="Water"),1,0)),IF(OR($S367="Bug",$S367="Grass",$S367="Ice",$S367="Steel"),0-1,IF(OR($S367="Dragon",$S367="Fire",$S367="Rock",$S367="Water"),1,0)))</f>
        <v>1</v>
      </c>
      <c r="AJ367" s="507" t="n">
        <f aca="false">SUM(IF(OR($R367="Bug",$R367="Grass",$R367="Fighting"),0-1,IF(OR($R367="Electric",$R367="Rock",$R367="Steel"),1,0)),IF(OR($S367="Bug",$S367="Grass",$S367="Fighting"),0-1,IF(OR($S367="Electric",$S367="Rock",$S367="Steel"),1,0)))</f>
        <v>0</v>
      </c>
      <c r="AK367" s="507" t="n">
        <f aca="false">IF(OR($R367="Normal",$S367="Normal"),4,SUM(IF(OR($R367="Ghost",$R367="Psychic"),0-1,IF($R367="Dark",1,0)),IF(OR($S367="Ghost",$S367="Psychic"),0-1,IF($S367="Dark",1,0))))</f>
        <v>0</v>
      </c>
      <c r="AL367" s="507" t="n">
        <f aca="false">SUM(IF(OR($R367="Ground",$R367="Rock",$R367="Water"),0-1,IF(OR($R367="Bug",$R367="Flying",$R367="Fire",$R367="Dragon",$R367="Poison",$R367="Steel",$R367="Grass"),1,0)),IF(OR($S367="Ground",$S367="Rock",$S367="Water"),0-1,IF(OR($S367="Bug",$S367="Flying",$S367="Fire",$S367="Dragon",$S367="Poison",$S367="Steel",$S367="Grass"),1,0)))</f>
        <v>-1</v>
      </c>
      <c r="AM367" s="507" t="n">
        <f aca="false">IF(OR($R367="Flying",$S367="Flying"),4,SUM(IF(OR($R367="Electric",$R367="Fire",$R367="Rock",$R367="Steel",$R367="Poison"),0-1,IF(OR($R367="Bug",$R367="Grass"),1,0)),IF(OR($S367="Electric",$S367="Fire",$S367="Rock",$S367="Steel",$S367="Poison"),0-1,IF(OR($S367="Bug",$S367="Grass"),1,0))))</f>
        <v>0</v>
      </c>
      <c r="AN367" s="507" t="n">
        <f aca="false">SUM(IF(OR($R367="Flying",$R367="Dragon",$R367="Grass",$R367="Ground"),0-1,IF(OR($R367="Steel",$R367="Ice",$R367="Fire",$R367="Water"),1,0)),IF(OR($S367="Flying",$S367="Dragon",$S367="Grass",$S367="Ground"),0-1,IF(OR($S367="Steel",$S367="Ice",$S367="Fire",$S367="Water"),1,0)))</f>
        <v>1</v>
      </c>
      <c r="AO367" s="507" t="n">
        <f aca="false">IF(OR($R367="Ghost",$S367="Ghost"),4,SUM(IF(OR($R367="Steel",$R367="Rock"),1,0),IF(OR($S367="Steel",$S367="Rock"),1,0)))</f>
        <v>0</v>
      </c>
      <c r="AP367" s="507" t="n">
        <f aca="false">IF(OR($R367="Steel",$S367="Steel"),4,SUM(IF(OR($R367="Fairy",$R367="Grass"),0-1,IF(OR($R367="Ghost",$R367="Rock",$R367="Ground",$R367="Poison"),1,0)),IF(OR($S367="Fairy",$S367="Grass"),0-1,IF(OR($S367="Ghost",$S367="Rock",$S367="Ground",$S367="Poison"),1,0))))</f>
        <v>0</v>
      </c>
      <c r="AQ367" s="507" t="n">
        <f aca="false">IF(OR($R367="Dark",$S367="Dark"),4,SUM(IF(OR($R367="Fighting",$R367="Poison"),0-1,IF(OR($R367="Psychic",$R367="Steel"),1,0)),IF(OR($S367="Fighting",$S367="Poison"),0-1,IF(OR($S367="Psychic",$S367="Steel"),1,0))))</f>
        <v>0</v>
      </c>
      <c r="AR367" s="507" t="n">
        <f aca="false">SUM(IF(OR($R367="Bug",$R367="Fire",$R367="Flying",$R367="Ice"),0-1,IF(OR($R367="Steel",$R367="Fighting",$R367="Ground"),1,0)),IF(OR($S367="Bug",$S367="Fire",$S367="Flying",$S367="Ice"),0-1,IF(OR($S367="Steel",$S367="Fighting",$S367="Ground"),1,0)))</f>
        <v>0</v>
      </c>
      <c r="AS367" s="507" t="n">
        <f aca="false">SUM(IF(OR($R367="Fairy",$R367="Ice",$R367="Rock"),0-1,IF(OR($R367="Steel",$R367="Electric",$R367="Fire",$R367="Water"),1,0)),IF(OR($S367="Fairy",$S367="Ice",$S367="Rock"),0-1,IF(OR($S367="Steel",$S367="Electric",$S367="Fire",$S367="Water"),1,0)))</f>
        <v>1</v>
      </c>
      <c r="AT367" s="508" t="n">
        <f aca="false">SUM(IF(OR($R367="Fire",$R367="Ground",$R367="Rock"),0-1,IF(OR($R367="Dragon",$R367="Grass",$R367="Water"),1,0)),IF(OR($S367="Fire",$S367="Ground",$S367="Rock"),0-1,IF(OR($S367="Dragon",$S367="Grass",$S367="Water"),1,0)))</f>
        <v>1</v>
      </c>
      <c r="AU367" s="518"/>
    </row>
    <row r="368" customFormat="false" ht="15.75" hidden="false" customHeight="false" outlineLevel="0" collapsed="false">
      <c r="A368" s="510" t="str">
        <f aca="false" t="array" ref="A368:A368">IF(ISNA(INDEX(Source!$U$7:$U$95,MATCH(B368,Source!$V$7:$V$95,0))),"FREE",INDEX(Source!$U$7:$U$95,MATCH(B368,Source!$V$7:$V$95,0)))</f>
        <v>FREE</v>
      </c>
      <c r="B368" s="511" t="s">
        <v>607</v>
      </c>
      <c r="C368" s="511"/>
      <c r="D368" s="511"/>
      <c r="E368" s="499" t="str">
        <f aca="false">IF(SUM($W368:$X368)&gt;0,SUM($W368:$X368),IF($H368&gt;0,0,IF($H368&gt;0,0,"-")))</f>
        <v>-</v>
      </c>
      <c r="F368" s="499" t="str">
        <f aca="false">IF(SUM($Y368:$Z368)&gt;0,SUM($Y368:$Z368),IF($H368&gt;0,0,"-"))</f>
        <v>-</v>
      </c>
      <c r="G368" s="499" t="str">
        <f aca="false">IF($H368&gt;0,minus(E368,F368),"-")</f>
        <v>-</v>
      </c>
      <c r="H368" s="500" t="n">
        <f aca="false">SUM(COUNTIF(MatchSource!$A:$A,$B368),COUNTIF(MatchSource!$H:$H,$B368))</f>
        <v>0</v>
      </c>
      <c r="I368" s="501" t="n">
        <f aca="false">SUM($AA368:$AB368)</f>
        <v>0</v>
      </c>
      <c r="J368" s="501" t="s">
        <v>701</v>
      </c>
      <c r="K368" s="512" t="str">
        <f aca="false" t="array" ref="K368:K368">IF(ISNA(INDEX(DraftRosters!$AA$3:$AA$199,MATCH($B368,DraftRosters!$AB$3:$AB$199,0))),"FA",IF(INDEX(DraftRosters!$AA$3:$AA$199,MATCH($B368,DraftRosters!$AB$3:$AB$199,0))="Franchise","Franch",INDEX(DraftRosters!$AA$3:$AA$199,MATCH($B368,DraftRosters!$AB$3:$AB$199,0))))</f>
        <v>FA</v>
      </c>
      <c r="L368" s="507" t="n">
        <v>95</v>
      </c>
      <c r="M368" s="507" t="n">
        <v>85</v>
      </c>
      <c r="N368" s="507" t="n">
        <v>85</v>
      </c>
      <c r="O368" s="507" t="n">
        <v>65</v>
      </c>
      <c r="P368" s="507" t="n">
        <v>65</v>
      </c>
      <c r="Q368" s="508" t="n">
        <v>35</v>
      </c>
      <c r="R368" s="499" t="s">
        <v>907</v>
      </c>
      <c r="S368" s="501" t="s">
        <v>811</v>
      </c>
      <c r="T368" s="504" t="s">
        <v>983</v>
      </c>
      <c r="U368" s="505" t="s">
        <v>884</v>
      </c>
      <c r="V368" s="506" t="s">
        <v>849</v>
      </c>
      <c r="W368" s="500" t="str">
        <f aca="false">IFERROR(__xludf.dummyfunction("if(isna(SUM(FILTER(MatchSource!$A:$D,MatchSource!$A:$A=$B368))),0,SUM(FILTER(MatchSource!$A:$D,MatchSource!$A:$A=$B368)))"),"0")</f>
        <v>0</v>
      </c>
      <c r="X368" s="499" t="str">
        <f aca="false">IFERROR(__xludf.dummyfunction("if(isna(SUM(FILTER(MatchSource!$H:$K,MatchSource!$H:$H=$B368))),0,SUM(FILTER(MatchSource!$H:$K,MatchSource!$H:$H=$B368)))"),"0")</f>
        <v>0</v>
      </c>
      <c r="Y368" s="499" t="str">
        <f aca="false">IFERROR(__xludf.dummyfunction("if(isna(ABS(MINUS(SUM(FILTER(MatchSource!$A:$E,MatchSource!$A:$A=$B368)),SUM($W368)))),0,ABS(MINUS(SUM(FILTER(MatchSource!$A:$E,MatchSource!$A:$A=$B368)),SUM($W368))))"),"0")</f>
        <v>0</v>
      </c>
      <c r="Z368" s="499" t="str">
        <f aca="false">IFERROR(__xludf.dummyfunction("if(isna(ABS(MINUS(SUM(FILTER(MatchSource!$H:$L,MatchSource!$H:$H=$B368)),SUM($X368)))),0,ABS(MINUS(SUM(FILTER(MatchSource!$H:$L,MatchSource!$H:$H=$B368)),SUM($X368))))"),"0")</f>
        <v>0</v>
      </c>
      <c r="AA368" s="499" t="str">
        <f aca="false">IFERROR(__xludf.dummyfunction("if(isna(ABS(MINUS(SUM(FILTER(MatchSource!$A:$F,MatchSource!$A:$A=$B368)),SUM($W368,$Y368)))),0,ABS(MINUS(SUM(FILTER(MatchSource!$A:$F,MatchSource!$A:$A=$B368)),SUM($W368, $Y368,))))"),"0")</f>
        <v>0</v>
      </c>
      <c r="AB368" s="501" t="str">
        <f aca="false">IFERROR(__xludf.dummyfunction("if(isna(ABS(MINUS(SUM(FILTER(MatchSource!$H:$M,MatchSource!$H:$H=$B368)),SUM($X368,$Z368)))),0,ABS(MINUS(SUM(FILTER(MatchSource!$H:$M,MatchSource!$H:$H=$B368)),SUM($X368,$Z368))))"),"0")</f>
        <v>0</v>
      </c>
      <c r="AC368" s="507" t="n">
        <f aca="false">SUM(IF(OR($R368="Grass",$R368="Psychic",$R368="Dark"),0-1,IF(OR($R368="Fighting",$R368="Flying",$R368="Fire",$R368="Ghost",$R368="Poison",$R368="Steel",$R368="Fairy"),1,0)),IF(OR($S368="Grass",$S368="Psychic",$S368="Dark"),0-1,IF(OR($S368="Fighting",$S368="Flying",$S368="Fire",$S368="Ghost",$S368="Poison",$S368="Steel",$S368="Fairy"),1,0)))</f>
        <v>0</v>
      </c>
      <c r="AD368" s="507" t="n">
        <f aca="false">SUM(IF(OR($R368="Ghost",$R368="Psychic"),0-1,IF(OR($R368="Fighting",$R368="Dark",$R368="Fairy"),1,0)),IF(OR($S368="Ghost",$S368="Psychic"),0-1,IF(OR($S368="Fighting",$S368="Dark",$S368="Fairy"),1,0)))</f>
        <v>0</v>
      </c>
      <c r="AE368" s="507" t="n">
        <f aca="false">IF(OR($R368="Fairy",$S368="Fairy"),4,SUM(IF($R368="Dragon",0-1,IF($R368="Steel",1,0)),IF($S368="Dragon",0-1,IF($S368="Steel",1,0))))</f>
        <v>0</v>
      </c>
      <c r="AF368" s="507" t="n">
        <f aca="false">IF(OR($R368="Ground",$S368="Ground"),4,SUM(IF(OR($R368="Flying",$R368="Water"),0-1,IF(OR($R368="Dragon",$R368="Electric",$R368="Grass"),1,0)),IF(OR($S368="Flying",$S368="Water"),0-1,IF(OR($S368="Dragon",$S368="Electric",$S368="Grass"),1,0))))</f>
        <v>4</v>
      </c>
      <c r="AG368" s="507" t="n">
        <f aca="false">SUM(IF(OR($R368="Dark",$R368="Dragon",$R368="Fighting"),0-1,IF(OR($R368="Steel",$R368="Poison",$R368="Fire"),1,0)),IF(OR($S368="Dark",$S368="Dragon",$S368="Fighting"),0-1,IF(OR($S368="Steel",$S368="Poison",$S368="Fire"),1,0)))</f>
        <v>0</v>
      </c>
      <c r="AH368" s="507" t="n">
        <f aca="false">IF(OR($R368="Ghost",$S368="Ghost"),4,SUM(IF(OR($R368="Dark",$R368="Ice",$R368="Normal",$R368="Rock",$R368="Steel"),0-1,IF(OR($R368="Bug",$R368="Fairy",$R368="Flying",$R368="Poison",$R368="Psychic"),1,0)),IF(OR($S368="Dark",$S368="Ice",$S368="Normal",$S368="Rock",$S368="Steel"),0-1,IF(OR($S368="Bug",$S368="Fairy",$S368="Flying",$S368="Poison",$S368="Psychic"),1,0))))</f>
        <v>0</v>
      </c>
      <c r="AI368" s="507" t="n">
        <f aca="false">SUM(IF(OR($R368="Bug",$R368="Grass",$R368="Ice",$R368="Steel"),0-1,IF(OR($R368="Dragon",$R368="Fire",$R368="Rock",$R368="Water"),1,0)),IF(OR($S368="Bug",$S368="Grass",$S368="Ice",$S368="Steel"),0-1,IF(OR($S368="Dragon",$S368="Fire",$S368="Rock",$S368="Water"),1,0)))</f>
        <v>1</v>
      </c>
      <c r="AJ368" s="507" t="n">
        <f aca="false">SUM(IF(OR($R368="Bug",$R368="Grass",$R368="Fighting"),0-1,IF(OR($R368="Electric",$R368="Rock",$R368="Steel"),1,0)),IF(OR($S368="Bug",$S368="Grass",$S368="Fighting"),0-1,IF(OR($S368="Electric",$S368="Rock",$S368="Steel"),1,0)))</f>
        <v>0</v>
      </c>
      <c r="AK368" s="507" t="n">
        <f aca="false">IF(OR($R368="Normal",$S368="Normal"),4,SUM(IF(OR($R368="Ghost",$R368="Psychic"),0-1,IF($R368="Dark",1,0)),IF(OR($S368="Ghost",$S368="Psychic"),0-1,IF($S368="Dark",1,0))))</f>
        <v>0</v>
      </c>
      <c r="AL368" s="507" t="n">
        <f aca="false">SUM(IF(OR($R368="Ground",$R368="Rock",$R368="Water"),0-1,IF(OR($R368="Bug",$R368="Flying",$R368="Fire",$R368="Dragon",$R368="Poison",$R368="Steel",$R368="Grass"),1,0)),IF(OR($S368="Ground",$S368="Rock",$S368="Water"),0-1,IF(OR($S368="Bug",$S368="Flying",$S368="Fire",$S368="Dragon",$S368="Poison",$S368="Steel",$S368="Grass"),1,0)))</f>
        <v>-2</v>
      </c>
      <c r="AM368" s="507" t="n">
        <f aca="false">IF(OR($R368="Flying",$S368="Flying"),4,SUM(IF(OR($R368="Electric",$R368="Fire",$R368="Rock",$R368="Steel",$R368="Poison"),0-1,IF(OR($R368="Bug",$R368="Grass"),1,0)),IF(OR($S368="Electric",$S368="Fire",$S368="Rock",$S368="Steel",$S368="Poison"),0-1,IF(OR($S368="Bug",$S368="Grass"),1,0))))</f>
        <v>0</v>
      </c>
      <c r="AN368" s="507" t="n">
        <f aca="false">SUM(IF(OR($R368="Flying",$R368="Dragon",$R368="Grass",$R368="Ground"),0-1,IF(OR($R368="Steel",$R368="Ice",$R368="Fire",$R368="Water"),1,0)),IF(OR($S368="Flying",$S368="Dragon",$S368="Grass",$S368="Ground"),0-1,IF(OR($S368="Steel",$S368="Ice",$S368="Fire",$S368="Water"),1,0)))</f>
        <v>0</v>
      </c>
      <c r="AO368" s="507" t="n">
        <f aca="false">IF(OR($R368="Ghost",$S368="Ghost"),4,SUM(IF(OR($R368="Steel",$R368="Rock"),1,0),IF(OR($S368="Steel",$S368="Rock"),1,0)))</f>
        <v>0</v>
      </c>
      <c r="AP368" s="507" t="n">
        <f aca="false">IF(OR($R368="Steel",$S368="Steel"),4,SUM(IF(OR($R368="Fairy",$R368="Grass"),0-1,IF(OR($R368="Ghost",$R368="Rock",$R368="Ground",$R368="Poison"),1,0)),IF(OR($S368="Fairy",$S368="Grass"),0-1,IF(OR($S368="Ghost",$S368="Rock",$S368="Ground",$S368="Poison"),1,0))))</f>
        <v>1</v>
      </c>
      <c r="AQ368" s="507" t="n">
        <f aca="false">IF(OR($R368="Dark",$S368="Dark"),4,SUM(IF(OR($R368="Fighting",$R368="Poison"),0-1,IF(OR($R368="Psychic",$R368="Steel"),1,0)),IF(OR($S368="Fighting",$S368="Poison"),0-1,IF(OR($S368="Psychic",$S368="Steel"),1,0))))</f>
        <v>0</v>
      </c>
      <c r="AR368" s="507" t="n">
        <f aca="false">SUM(IF(OR($R368="Bug",$R368="Fire",$R368="Flying",$R368="Ice"),0-1,IF(OR($R368="Steel",$R368="Fighting",$R368="Ground"),1,0)),IF(OR($S368="Bug",$S368="Fire",$S368="Flying",$S368="Ice"),0-1,IF(OR($S368="Steel",$S368="Fighting",$S368="Ground"),1,0)))</f>
        <v>1</v>
      </c>
      <c r="AS368" s="507" t="n">
        <f aca="false">SUM(IF(OR($R368="Fairy",$R368="Ice",$R368="Rock"),0-1,IF(OR($R368="Steel",$R368="Electric",$R368="Fire",$R368="Water"),1,0)),IF(OR($S368="Fairy",$S368="Ice",$S368="Rock"),0-1,IF(OR($S368="Steel",$S368="Electric",$S368="Fire",$S368="Water"),1,0)))</f>
        <v>1</v>
      </c>
      <c r="AT368" s="508" t="n">
        <f aca="false">SUM(IF(OR($R368="Fire",$R368="Ground",$R368="Rock"),0-1,IF(OR($R368="Dragon",$R368="Grass",$R368="Water"),1,0)),IF(OR($S368="Fire",$S368="Ground",$S368="Rock"),0-1,IF(OR($S368="Dragon",$S368="Grass",$S368="Water"),1,0)))</f>
        <v>0</v>
      </c>
      <c r="AU368" s="518"/>
    </row>
    <row r="369" customFormat="false" ht="15.75" hidden="false" customHeight="false" outlineLevel="0" collapsed="false">
      <c r="A369" s="510" t="str">
        <f aca="false" t="array" ref="A369:A369">IF(ISNA(INDEX(Source!$U$7:$U$95,MATCH(B369,Source!$V$7:$V$95,0))),"FREE",INDEX(Source!$U$7:$U$95,MATCH(B369,Source!$V$7:$V$95,0)))</f>
        <v>FREE</v>
      </c>
      <c r="B369" s="511" t="s">
        <v>611</v>
      </c>
      <c r="C369" s="511"/>
      <c r="D369" s="511"/>
      <c r="E369" s="499" t="str">
        <f aca="false">IF(SUM($W369:$X369)&gt;0,SUM($W369:$X369),IF($H369&gt;0,0,IF($H369&gt;0,0,"-")))</f>
        <v>-</v>
      </c>
      <c r="F369" s="499" t="str">
        <f aca="false">IF(SUM($Y369:$Z369)&gt;0,SUM($Y369:$Z369),IF($H369&gt;0,0,"-"))</f>
        <v>-</v>
      </c>
      <c r="G369" s="499" t="str">
        <f aca="false">IF($H369&gt;0,minus(E369,F369),"-")</f>
        <v>-</v>
      </c>
      <c r="H369" s="500" t="n">
        <f aca="false">SUM(COUNTIF(MatchSource!$A:$A,$B369),COUNTIF(MatchSource!$H:$H,$B369))</f>
        <v>0</v>
      </c>
      <c r="I369" s="501" t="n">
        <f aca="false">SUM($AA369:$AB369)</f>
        <v>0</v>
      </c>
      <c r="J369" s="501" t="s">
        <v>701</v>
      </c>
      <c r="K369" s="512" t="str">
        <f aca="false" t="array" ref="K369:K369">IF(ISNA(INDEX(DraftRosters!$AA$3:$AA$199,MATCH($B369,DraftRosters!$AB$3:$AB$199,0))),"FA",IF(INDEX(DraftRosters!$AA$3:$AA$199,MATCH($B369,DraftRosters!$AB$3:$AB$199,0))="Franchise","Franch",INDEX(DraftRosters!$AA$3:$AA$199,MATCH($B369,DraftRosters!$AB$3:$AB$199,0))))</f>
        <v>FA</v>
      </c>
      <c r="L369" s="499" t="n">
        <v>65</v>
      </c>
      <c r="M369" s="499" t="n">
        <v>95</v>
      </c>
      <c r="N369" s="499" t="n">
        <v>85</v>
      </c>
      <c r="O369" s="499" t="n">
        <v>55</v>
      </c>
      <c r="P369" s="499" t="n">
        <v>55</v>
      </c>
      <c r="Q369" s="501" t="n">
        <v>85</v>
      </c>
      <c r="R369" s="499" t="s">
        <v>843</v>
      </c>
      <c r="S369" s="501" t="s">
        <v>811</v>
      </c>
      <c r="T369" s="504" t="s">
        <v>851</v>
      </c>
      <c r="U369" s="505" t="s">
        <v>859</v>
      </c>
      <c r="V369" s="506" t="s">
        <v>952</v>
      </c>
      <c r="W369" s="500" t="str">
        <f aca="false">IFERROR(__xludf.dummyfunction("if(isna(SUM(FILTER(MatchSource!$A:$D,MatchSource!$A:$A=$B369))),0,SUM(FILTER(MatchSource!$A:$D,MatchSource!$A:$A=$B369)))"),"0")</f>
        <v>0</v>
      </c>
      <c r="X369" s="499" t="str">
        <f aca="false">IFERROR(__xludf.dummyfunction("if(isna(SUM(FILTER(MatchSource!$H:$K,MatchSource!$H:$H=$B369))),0,SUM(FILTER(MatchSource!$H:$K,MatchSource!$H:$H=$B369)))"),"0")</f>
        <v>0</v>
      </c>
      <c r="Y369" s="499" t="str">
        <f aca="false">IFERROR(__xludf.dummyfunction("if(isna(ABS(MINUS(SUM(FILTER(MatchSource!$A:$E,MatchSource!$A:$A=$B369)),SUM($W369)))),0,ABS(MINUS(SUM(FILTER(MatchSource!$A:$E,MatchSource!$A:$A=$B369)),SUM($W369))))"),"0")</f>
        <v>0</v>
      </c>
      <c r="Z369" s="499" t="str">
        <f aca="false">IFERROR(__xludf.dummyfunction("if(isna(ABS(MINUS(SUM(FILTER(MatchSource!$H:$L,MatchSource!$H:$H=$B369)),SUM($X369)))),0,ABS(MINUS(SUM(FILTER(MatchSource!$H:$L,MatchSource!$H:$H=$B369)),SUM($X369))))"),"0")</f>
        <v>0</v>
      </c>
      <c r="AA369" s="499" t="str">
        <f aca="false">IFERROR(__xludf.dummyfunction("if(isna(ABS(MINUS(SUM(FILTER(MatchSource!$A:$F,MatchSource!$A:$A=$B369)),SUM($W369,$Y369)))),0,ABS(MINUS(SUM(FILTER(MatchSource!$A:$F,MatchSource!$A:$A=$B369)),SUM($W369, $Y369,))))"),"0")</f>
        <v>0</v>
      </c>
      <c r="AB369" s="501" t="str">
        <f aca="false">IFERROR(__xludf.dummyfunction("if(isna(ABS(MINUS(SUM(FILTER(MatchSource!$H:$M,MatchSource!$H:$H=$B369)),SUM($X369,$Z369)))),0,ABS(MINUS(SUM(FILTER(MatchSource!$H:$M,MatchSource!$H:$H=$B369)),SUM($X369,$Z369))))"),"0")</f>
        <v>0</v>
      </c>
      <c r="AC369" s="507" t="n">
        <f aca="false">SUM(IF(OR($R369="Grass",$R369="Psychic",$R369="Dark"),0-1,IF(OR($R369="Fighting",$R369="Flying",$R369="Fire",$R369="Ghost",$R369="Poison",$R369="Steel",$R369="Fairy"),1,0)),IF(OR($S369="Grass",$S369="Psychic",$S369="Dark"),0-1,IF(OR($S369="Fighting",$S369="Flying",$S369="Fire",$S369="Ghost",$S369="Poison",$S369="Steel",$S369="Fairy"),1,0)))</f>
        <v>1</v>
      </c>
      <c r="AD369" s="507" t="n">
        <f aca="false">SUM(IF(OR($R369="Ghost",$R369="Psychic"),0-1,IF(OR($R369="Fighting",$R369="Dark",$R369="Fairy"),1,0)),IF(OR($S369="Ghost",$S369="Psychic"),0-1,IF(OR($S369="Fighting",$S369="Dark",$S369="Fairy"),1,0)))</f>
        <v>0</v>
      </c>
      <c r="AE369" s="507" t="n">
        <f aca="false">IF(OR($R369="Fairy",$S369="Fairy"),4,SUM(IF($R369="Dragon",0-1,IF($R369="Steel",1,0)),IF($S369="Dragon",0-1,IF($S369="Steel",1,0))))</f>
        <v>0</v>
      </c>
      <c r="AF369" s="507" t="n">
        <f aca="false">IF(OR($R369="Ground",$S369="Ground"),4,SUM(IF(OR($R369="Flying",$R369="Water"),0-1,IF(OR($R369="Dragon",$R369="Electric",$R369="Grass"),1,0)),IF(OR($S369="Flying",$S369="Water"),0-1,IF(OR($S369="Dragon",$S369="Electric",$S369="Grass"),1,0))))</f>
        <v>-1</v>
      </c>
      <c r="AG369" s="507" t="n">
        <f aca="false">SUM(IF(OR($R369="Dark",$R369="Dragon",$R369="Fighting"),0-1,IF(OR($R369="Steel",$R369="Poison",$R369="Fire"),1,0)),IF(OR($S369="Dark",$S369="Dragon",$S369="Fighting"),0-1,IF(OR($S369="Steel",$S369="Poison",$S369="Fire"),1,0)))</f>
        <v>1</v>
      </c>
      <c r="AH369" s="507" t="n">
        <f aca="false">IF(OR($R369="Ghost",$S369="Ghost"),4,SUM(IF(OR($R369="Dark",$R369="Ice",$R369="Normal",$R369="Rock",$R369="Steel"),0-1,IF(OR($R369="Bug",$R369="Fairy",$R369="Flying",$R369="Poison",$R369="Psychic"),1,0)),IF(OR($S369="Dark",$S369="Ice",$S369="Normal",$S369="Rock",$S369="Steel"),0-1,IF(OR($S369="Bug",$S369="Fairy",$S369="Flying",$S369="Poison",$S369="Psychic"),1,0))))</f>
        <v>1</v>
      </c>
      <c r="AI369" s="507" t="n">
        <f aca="false">SUM(IF(OR($R369="Bug",$R369="Grass",$R369="Ice",$R369="Steel"),0-1,IF(OR($R369="Dragon",$R369="Fire",$R369="Rock",$R369="Water"),1,0)),IF(OR($S369="Bug",$S369="Grass",$S369="Ice",$S369="Steel"),0-1,IF(OR($S369="Dragon",$S369="Fire",$S369="Rock",$S369="Water"),1,0)))</f>
        <v>1</v>
      </c>
      <c r="AJ369" s="507" t="n">
        <f aca="false">SUM(IF(OR($R369="Bug",$R369="Grass",$R369="Fighting"),0-1,IF(OR($R369="Electric",$R369="Rock",$R369="Steel"),1,0)),IF(OR($S369="Bug",$S369="Grass",$S369="Fighting"),0-1,IF(OR($S369="Electric",$S369="Rock",$S369="Steel"),1,0)))</f>
        <v>0</v>
      </c>
      <c r="AK369" s="507" t="n">
        <f aca="false">IF(OR($R369="Normal",$S369="Normal"),4,SUM(IF(OR($R369="Ghost",$R369="Psychic"),0-1,IF($R369="Dark",1,0)),IF(OR($S369="Ghost",$S369="Psychic"),0-1,IF($S369="Dark",1,0))))</f>
        <v>0</v>
      </c>
      <c r="AL369" s="507" t="n">
        <f aca="false">SUM(IF(OR($R369="Ground",$R369="Rock",$R369="Water"),0-1,IF(OR($R369="Bug",$R369="Flying",$R369="Fire",$R369="Dragon",$R369="Poison",$R369="Steel",$R369="Grass"),1,0)),IF(OR($S369="Ground",$S369="Rock",$S369="Water"),0-1,IF(OR($S369="Bug",$S369="Flying",$S369="Fire",$S369="Dragon",$S369="Poison",$S369="Steel",$S369="Grass"),1,0)))</f>
        <v>0</v>
      </c>
      <c r="AM369" s="507" t="n">
        <f aca="false">IF(OR($R369="Flying",$S369="Flying"),4,SUM(IF(OR($R369="Electric",$R369="Fire",$R369="Rock",$R369="Steel",$R369="Poison"),0-1,IF(OR($R369="Bug",$R369="Grass"),1,0)),IF(OR($S369="Electric",$S369="Fire",$S369="Rock",$S369="Steel",$S369="Poison"),0-1,IF(OR($S369="Bug",$S369="Grass"),1,0))))</f>
        <v>-1</v>
      </c>
      <c r="AN369" s="507" t="n">
        <f aca="false">SUM(IF(OR($R369="Flying",$R369="Dragon",$R369="Grass",$R369="Ground"),0-1,IF(OR($R369="Steel",$R369="Ice",$R369="Fire",$R369="Water"),1,0)),IF(OR($S369="Flying",$S369="Dragon",$S369="Grass",$S369="Ground"),0-1,IF(OR($S369="Steel",$S369="Ice",$S369="Fire",$S369="Water"),1,0)))</f>
        <v>1</v>
      </c>
      <c r="AO369" s="507" t="n">
        <f aca="false">IF(OR($R369="Ghost",$S369="Ghost"),4,SUM(IF(OR($R369="Steel",$R369="Rock"),1,0),IF(OR($S369="Steel",$S369="Rock"),1,0)))</f>
        <v>0</v>
      </c>
      <c r="AP369" s="507" t="n">
        <f aca="false">IF(OR($R369="Steel",$S369="Steel"),4,SUM(IF(OR($R369="Fairy",$R369="Grass"),0-1,IF(OR($R369="Ghost",$R369="Rock",$R369="Ground",$R369="Poison"),1,0)),IF(OR($S369="Fairy",$S369="Grass"),0-1,IF(OR($S369="Ghost",$S369="Rock",$S369="Ground",$S369="Poison"),1,0))))</f>
        <v>1</v>
      </c>
      <c r="AQ369" s="507" t="n">
        <f aca="false">IF(OR($R369="Dark",$S369="Dark"),4,SUM(IF(OR($R369="Fighting",$R369="Poison"),0-1,IF(OR($R369="Psychic",$R369="Steel"),1,0)),IF(OR($S369="Fighting",$S369="Poison"),0-1,IF(OR($S369="Psychic",$S369="Steel"),1,0))))</f>
        <v>-1</v>
      </c>
      <c r="AR369" s="507" t="n">
        <f aca="false">SUM(IF(OR($R369="Bug",$R369="Fire",$R369="Flying",$R369="Ice"),0-1,IF(OR($R369="Steel",$R369="Fighting",$R369="Ground"),1,0)),IF(OR($S369="Bug",$S369="Fire",$S369="Flying",$S369="Ice"),0-1,IF(OR($S369="Steel",$S369="Fighting",$S369="Ground"),1,0)))</f>
        <v>0</v>
      </c>
      <c r="AS369" s="507" t="n">
        <f aca="false">SUM(IF(OR($R369="Fairy",$R369="Ice",$R369="Rock"),0-1,IF(OR($R369="Steel",$R369="Electric",$R369="Fire",$R369="Water"),1,0)),IF(OR($S369="Fairy",$S369="Ice",$S369="Rock"),0-1,IF(OR($S369="Steel",$S369="Electric",$S369="Fire",$S369="Water"),1,0)))</f>
        <v>1</v>
      </c>
      <c r="AT369" s="508" t="n">
        <f aca="false">SUM(IF(OR($R369="Fire",$R369="Ground",$R369="Rock"),0-1,IF(OR($R369="Dragon",$R369="Grass",$R369="Water"),1,0)),IF(OR($S369="Fire",$S369="Ground",$S369="Rock"),0-1,IF(OR($S369="Dragon",$S369="Grass",$S369="Water"),1,0)))</f>
        <v>1</v>
      </c>
      <c r="AU369" s="518"/>
    </row>
    <row r="370" customFormat="false" ht="15.75" hidden="false" customHeight="false" outlineLevel="0" collapsed="false">
      <c r="A370" s="515" t="str">
        <f aca="false" t="array" ref="A370:A370">IF(ISNA(INDEX(Source!$U$7:$U$95,MATCH(B370,Source!$V$7:$V$95,0))),"FREE",INDEX(Source!$U$7:$U$95,MATCH(B370,Source!$V$7:$V$95,0)))</f>
        <v>FREE</v>
      </c>
      <c r="B370" s="511" t="s">
        <v>497</v>
      </c>
      <c r="C370" s="511"/>
      <c r="D370" s="511"/>
      <c r="E370" s="499" t="str">
        <f aca="false">IF(SUM($W370:$X370)&gt;0,SUM($W370:$X370),IF($H370&gt;0,0,IF($H370&gt;0,0,"-")))</f>
        <v>-</v>
      </c>
      <c r="F370" s="499" t="str">
        <f aca="false">IF(SUM($Y370:$Z370)&gt;0,SUM($Y370:$Z370),IF($H370&gt;0,0,"-"))</f>
        <v>-</v>
      </c>
      <c r="G370" s="499" t="str">
        <f aca="false">IF($H370&gt;0,minus(E370,F370),"-")</f>
        <v>-</v>
      </c>
      <c r="H370" s="500" t="n">
        <f aca="false">SUM(COUNTIF(MatchSource!$A:$A,$B370),COUNTIF(MatchSource!$H:$H,$B370))</f>
        <v>0</v>
      </c>
      <c r="I370" s="501" t="n">
        <f aca="false">SUM($AA370:$AB370)</f>
        <v>0</v>
      </c>
      <c r="J370" s="501" t="s">
        <v>702</v>
      </c>
      <c r="K370" s="512" t="str">
        <f aca="false" t="array" ref="K370:K370">IF(ISNA(INDEX(DraftRosters!$AA$3:$AA$199,MATCH($B370,DraftRosters!$AB$3:$AB$199,0))),"FA",IF(INDEX(DraftRosters!$AA$3:$AA$199,MATCH($B370,DraftRosters!$AB$3:$AB$199,0))="Franchise","Franch",INDEX(DraftRosters!$AA$3:$AA$199,MATCH($B370,DraftRosters!$AB$3:$AB$199,0))))</f>
        <v>FA</v>
      </c>
      <c r="L370" s="499" t="n">
        <v>60</v>
      </c>
      <c r="M370" s="499" t="n">
        <v>90</v>
      </c>
      <c r="N370" s="499" t="n">
        <v>55</v>
      </c>
      <c r="O370" s="499" t="n">
        <v>90</v>
      </c>
      <c r="P370" s="499" t="n">
        <v>80</v>
      </c>
      <c r="Q370" s="501" t="n">
        <v>110</v>
      </c>
      <c r="R370" s="499" t="s">
        <v>845</v>
      </c>
      <c r="S370" s="501"/>
      <c r="T370" s="504" t="s">
        <v>1023</v>
      </c>
      <c r="U370" s="505" t="s">
        <v>847</v>
      </c>
      <c r="V370" s="506"/>
      <c r="W370" s="500" t="str">
        <f aca="false">IFERROR(__xludf.dummyfunction("if(isna(SUM(FILTER(MatchSource!$A:$D,MatchSource!$A:$A=$B370))),0,SUM(FILTER(MatchSource!$A:$D,MatchSource!$A:$A=$B370)))"),"0")</f>
        <v>0</v>
      </c>
      <c r="X370" s="499" t="str">
        <f aca="false">IFERROR(__xludf.dummyfunction("if(isna(SUM(FILTER(MatchSource!$H:$K,MatchSource!$H:$H=$B370))),0,SUM(FILTER(MatchSource!$H:$K,MatchSource!$H:$H=$B370)))"),"0")</f>
        <v>0</v>
      </c>
      <c r="Y370" s="499" t="str">
        <f aca="false">IFERROR(__xludf.dummyfunction("if(isna(ABS(MINUS(SUM(FILTER(MatchSource!$A:$E,MatchSource!$A:$A=$B370)),SUM($W370)))),0,ABS(MINUS(SUM(FILTER(MatchSource!$A:$E,MatchSource!$A:$A=$B370)),SUM($W370))))"),"0")</f>
        <v>0</v>
      </c>
      <c r="Z370" s="499" t="str">
        <f aca="false">IFERROR(__xludf.dummyfunction("if(isna(ABS(MINUS(SUM(FILTER(MatchSource!$H:$L,MatchSource!$H:$H=$B370)),SUM($X370)))),0,ABS(MINUS(SUM(FILTER(MatchSource!$H:$L,MatchSource!$H:$H=$B370)),SUM($X370))))"),"0")</f>
        <v>0</v>
      </c>
      <c r="AA370" s="499" t="str">
        <f aca="false">IFERROR(__xludf.dummyfunction("if(isna(ABS(MINUS(SUM(FILTER(MatchSource!$A:$F,MatchSource!$A:$A=$B370)),SUM($W370,$Y370)))),0,ABS(MINUS(SUM(FILTER(MatchSource!$A:$F,MatchSource!$A:$A=$B370)),SUM($W370, $Y370,))))"),"0")</f>
        <v>0</v>
      </c>
      <c r="AB370" s="501" t="str">
        <f aca="false">IFERROR(__xludf.dummyfunction("if(isna(ABS(MINUS(SUM(FILTER(MatchSource!$H:$M,MatchSource!$H:$H=$B370)),SUM($X370,$Z370)))),0,ABS(MINUS(SUM(FILTER(MatchSource!$H:$M,MatchSource!$H:$H=$B370)),SUM($X370,$Z370))))"),"0")</f>
        <v>0</v>
      </c>
      <c r="AC370" s="507" t="n">
        <f aca="false">SUM(IF(OR($R370="Grass",$R370="Psychic",$R370="Dark"),0-1,IF(OR($R370="Fighting",$R370="Flying",$R370="Fire",$R370="Ghost",$R370="Poison",$R370="Steel",$R370="Fairy"),1,0)),IF(OR($S370="Grass",$S370="Psychic",$S370="Dark"),0-1,IF(OR($S370="Fighting",$S370="Flying",$S370="Fire",$S370="Ghost",$S370="Poison",$S370="Steel",$S370="Fairy"),1,0)))</f>
        <v>0</v>
      </c>
      <c r="AD370" s="507" t="n">
        <f aca="false">SUM(IF(OR($R370="Ghost",$R370="Psychic"),0-1,IF(OR($R370="Fighting",$R370="Dark",$R370="Fairy"),1,0)),IF(OR($S370="Ghost",$S370="Psychic"),0-1,IF(OR($S370="Fighting",$S370="Dark",$S370="Fairy"),1,0)))</f>
        <v>0</v>
      </c>
      <c r="AE370" s="507" t="n">
        <f aca="false">IF(OR($R370="Fairy",$S370="Fairy"),4,SUM(IF($R370="Dragon",0-1,IF($R370="Steel",1,0)),IF($S370="Dragon",0-1,IF($S370="Steel",1,0))))</f>
        <v>0</v>
      </c>
      <c r="AF370" s="507" t="n">
        <f aca="false">IF(OR($R370="Ground",$S370="Ground"),4,SUM(IF(OR($R370="Flying",$R370="Water"),0-1,IF(OR($R370="Dragon",$R370="Electric",$R370="Grass"),1,0)),IF(OR($S370="Flying",$S370="Water"),0-1,IF(OR($S370="Dragon",$S370="Electric",$S370="Grass"),1,0))))</f>
        <v>1</v>
      </c>
      <c r="AG370" s="507" t="n">
        <f aca="false">SUM(IF(OR($R370="Dark",$R370="Dragon",$R370="Fighting"),0-1,IF(OR($R370="Steel",$R370="Poison",$R370="Fire"),1,0)),IF(OR($S370="Dark",$S370="Dragon",$S370="Fighting"),0-1,IF(OR($S370="Steel",$S370="Poison",$S370="Fire"),1,0)))</f>
        <v>0</v>
      </c>
      <c r="AH370" s="507" t="n">
        <f aca="false">IF(OR($R370="Ghost",$S370="Ghost"),4,SUM(IF(OR($R370="Dark",$R370="Ice",$R370="Normal",$R370="Rock",$R370="Steel"),0-1,IF(OR($R370="Bug",$R370="Fairy",$R370="Flying",$R370="Poison",$R370="Psychic"),1,0)),IF(OR($S370="Dark",$S370="Ice",$S370="Normal",$S370="Rock",$S370="Steel"),0-1,IF(OR($S370="Bug",$S370="Fairy",$S370="Flying",$S370="Poison",$S370="Psychic"),1,0))))</f>
        <v>0</v>
      </c>
      <c r="AI370" s="507" t="n">
        <f aca="false">SUM(IF(OR($R370="Bug",$R370="Grass",$R370="Ice",$R370="Steel"),0-1,IF(OR($R370="Dragon",$R370="Fire",$R370="Rock",$R370="Water"),1,0)),IF(OR($S370="Bug",$S370="Grass",$S370="Ice",$S370="Steel"),0-1,IF(OR($S370="Dragon",$S370="Fire",$S370="Rock",$S370="Water"),1,0)))</f>
        <v>0</v>
      </c>
      <c r="AJ370" s="507" t="n">
        <f aca="false">SUM(IF(OR($R370="Bug",$R370="Grass",$R370="Fighting"),0-1,IF(OR($R370="Electric",$R370="Rock",$R370="Steel"),1,0)),IF(OR($S370="Bug",$S370="Grass",$S370="Fighting"),0-1,IF(OR($S370="Electric",$S370="Rock",$S370="Steel"),1,0)))</f>
        <v>1</v>
      </c>
      <c r="AK370" s="507" t="n">
        <f aca="false">IF(OR($R370="Normal",$S370="Normal"),4,SUM(IF(OR($R370="Ghost",$R370="Psychic"),0-1,IF($R370="Dark",1,0)),IF(OR($S370="Ghost",$S370="Psychic"),0-1,IF($S370="Dark",1,0))))</f>
        <v>0</v>
      </c>
      <c r="AL370" s="507" t="n">
        <f aca="false">SUM(IF(OR($R370="Ground",$R370="Rock",$R370="Water"),0-1,IF(OR($R370="Bug",$R370="Flying",$R370="Fire",$R370="Dragon",$R370="Poison",$R370="Steel",$R370="Grass"),1,0)),IF(OR($S370="Ground",$S370="Rock",$S370="Water"),0-1,IF(OR($S370="Bug",$S370="Flying",$S370="Fire",$S370="Dragon",$S370="Poison",$S370="Steel",$S370="Grass"),1,0)))</f>
        <v>0</v>
      </c>
      <c r="AM370" s="507" t="n">
        <f aca="false">IF(OR($R370="Flying",$S370="Flying"),4,SUM(IF(OR($R370="Electric",$R370="Fire",$R370="Rock",$R370="Steel",$R370="Poison"),0-1,IF(OR($R370="Bug",$R370="Grass"),1,0)),IF(OR($S370="Electric",$S370="Fire",$S370="Rock",$S370="Steel",$S370="Poison"),0-1,IF(OR($S370="Bug",$S370="Grass"),1,0))))</f>
        <v>-1</v>
      </c>
      <c r="AN370" s="507" t="n">
        <f aca="false">SUM(IF(OR($R370="Flying",$R370="Dragon",$R370="Grass",$R370="Ground"),0-1,IF(OR($R370="Steel",$R370="Ice",$R370="Fire",$R370="Water"),1,0)),IF(OR($S370="Flying",$S370="Dragon",$S370="Grass",$S370="Ground"),0-1,IF(OR($S370="Steel",$S370="Ice",$S370="Fire",$S370="Water"),1,0)))</f>
        <v>0</v>
      </c>
      <c r="AO370" s="507" t="n">
        <f aca="false">IF(OR($R370="Ghost",$S370="Ghost"),4,SUM(IF(OR($R370="Steel",$R370="Rock"),1,0),IF(OR($S370="Steel",$S370="Rock"),1,0)))</f>
        <v>0</v>
      </c>
      <c r="AP370" s="507" t="n">
        <f aca="false">IF(OR($R370="Steel",$S370="Steel"),4,SUM(IF(OR($R370="Fairy",$R370="Grass"),0-1,IF(OR($R370="Ghost",$R370="Rock",$R370="Ground",$R370="Poison"),1,0)),IF(OR($S370="Fairy",$S370="Grass"),0-1,IF(OR($S370="Ghost",$S370="Rock",$S370="Ground",$S370="Poison"),1,0))))</f>
        <v>0</v>
      </c>
      <c r="AQ370" s="507" t="n">
        <f aca="false">IF(OR($R370="Dark",$S370="Dark"),4,SUM(IF(OR($R370="Fighting",$R370="Poison"),0-1,IF(OR($R370="Psychic",$R370="Steel"),1,0)),IF(OR($S370="Fighting",$S370="Poison"),0-1,IF(OR($S370="Psychic",$S370="Steel"),1,0))))</f>
        <v>0</v>
      </c>
      <c r="AR370" s="507" t="n">
        <f aca="false">SUM(IF(OR($R370="Bug",$R370="Fire",$R370="Flying",$R370="Ice"),0-1,IF(OR($R370="Steel",$R370="Fighting",$R370="Ground"),1,0)),IF(OR($S370="Bug",$S370="Fire",$S370="Flying",$S370="Ice"),0-1,IF(OR($S370="Steel",$S370="Fighting",$S370="Ground"),1,0)))</f>
        <v>0</v>
      </c>
      <c r="AS370" s="507" t="n">
        <f aca="false">SUM(IF(OR($R370="Fairy",$R370="Ice",$R370="Rock"),0-1,IF(OR($R370="Steel",$R370="Electric",$R370="Fire",$R370="Water"),1,0)),IF(OR($S370="Fairy",$S370="Ice",$S370="Rock"),0-1,IF(OR($S370="Steel",$S370="Electric",$S370="Fire",$S370="Water"),1,0)))</f>
        <v>1</v>
      </c>
      <c r="AT370" s="508" t="n">
        <f aca="false">SUM(IF(OR($R370="Fire",$R370="Ground",$R370="Rock"),0-1,IF(OR($R370="Dragon",$R370="Grass",$R370="Water"),1,0)),IF(OR($S370="Fire",$S370="Ground",$S370="Rock"),0-1,IF(OR($S370="Dragon",$S370="Grass",$S370="Water"),1,0)))</f>
        <v>0</v>
      </c>
      <c r="AU370" s="518"/>
    </row>
    <row r="371" customFormat="false" ht="15.75" hidden="false" customHeight="false" outlineLevel="0" collapsed="false">
      <c r="A371" s="510" t="str">
        <f aca="false" t="array" ref="A371:A371">IF(ISNA(INDEX(Source!$U$7:$U$95,MATCH(B371,Source!$V$7:$V$95,0))),"FREE",INDEX(Source!$U$7:$U$95,MATCH(B371,Source!$V$7:$V$95,0)))</f>
        <v>FREE</v>
      </c>
      <c r="B371" s="511" t="s">
        <v>751</v>
      </c>
      <c r="C371" s="511"/>
      <c r="D371" s="511"/>
      <c r="E371" s="499" t="str">
        <f aca="false">IF(SUM($W371:$X371)&gt;0,SUM($W371:$X371),IF($H371&gt;0,0,IF($H371&gt;0,0,"-")))</f>
        <v>-</v>
      </c>
      <c r="F371" s="499" t="str">
        <f aca="false">IF(SUM($Y371:$Z371)&gt;0,SUM($Y371:$Z371),IF($H371&gt;0,0,"-"))</f>
        <v>-</v>
      </c>
      <c r="G371" s="499" t="str">
        <f aca="false">IF($H371&gt;0,minus(E371,F371),"-")</f>
        <v>-</v>
      </c>
      <c r="H371" s="500" t="n">
        <f aca="false">SUM(COUNTIF(MatchSource!$A:$A,$B371),COUNTIF(MatchSource!$H:$H,$B371))</f>
        <v>0</v>
      </c>
      <c r="I371" s="501" t="n">
        <f aca="false">SUM($AA371:$AB371)</f>
        <v>0</v>
      </c>
      <c r="J371" s="501" t="s">
        <v>701</v>
      </c>
      <c r="K371" s="512" t="str">
        <f aca="false" t="array" ref="K371:K371">IF(ISNA(INDEX(DraftRosters!$AA$3:$AA$199,MATCH($B371,DraftRosters!$AB$3:$AB$199,0))),"FA",IF(INDEX(DraftRosters!$AA$3:$AA$199,MATCH($B371,DraftRosters!$AB$3:$AB$199,0))="Franchise","Franch",INDEX(DraftRosters!$AA$3:$AA$199,MATCH($B371,DraftRosters!$AB$3:$AB$199,0))))</f>
        <v>FA</v>
      </c>
      <c r="L371" s="507" t="n">
        <v>60</v>
      </c>
      <c r="M371" s="507" t="n">
        <v>85</v>
      </c>
      <c r="N371" s="507" t="n">
        <v>50</v>
      </c>
      <c r="O371" s="507" t="n">
        <v>95</v>
      </c>
      <c r="P371" s="507" t="n">
        <v>85</v>
      </c>
      <c r="Q371" s="508" t="n">
        <v>110</v>
      </c>
      <c r="R371" s="499" t="s">
        <v>798</v>
      </c>
      <c r="S371" s="501" t="s">
        <v>828</v>
      </c>
      <c r="T371" s="520" t="s">
        <v>1057</v>
      </c>
      <c r="U371" s="513"/>
      <c r="V371" s="514"/>
      <c r="W371" s="500" t="str">
        <f aca="false">IFERROR(__xludf.dummyfunction("if(isna(SUM(FILTER(MatchSource!$A:$D,MatchSource!$A:$A=$B371))),0,SUM(FILTER(MatchSource!$A:$D,MatchSource!$A:$A=$B371)))"),"0")</f>
        <v>0</v>
      </c>
      <c r="X371" s="499" t="str">
        <f aca="false">IFERROR(__xludf.dummyfunction("if(isna(SUM(FILTER(MatchSource!$H:$K,MatchSource!$H:$H=$B371))),0,SUM(FILTER(MatchSource!$H:$K,MatchSource!$H:$H=$B371)))"),"0")</f>
        <v>0</v>
      </c>
      <c r="Y371" s="499" t="str">
        <f aca="false">IFERROR(__xludf.dummyfunction("if(isna(ABS(MINUS(SUM(FILTER(MatchSource!$A:$E,MatchSource!$A:$A=$B371)),SUM($W371)))),0,ABS(MINUS(SUM(FILTER(MatchSource!$A:$E,MatchSource!$A:$A=$B371)),SUM($W371))))"),"0")</f>
        <v>0</v>
      </c>
      <c r="Z371" s="499" t="str">
        <f aca="false">IFERROR(__xludf.dummyfunction("if(isna(ABS(MINUS(SUM(FILTER(MatchSource!$H:$L,MatchSource!$H:$H=$B371)),SUM($X371)))),0,ABS(MINUS(SUM(FILTER(MatchSource!$H:$L,MatchSource!$H:$H=$B371)),SUM($X371))))"),"0")</f>
        <v>0</v>
      </c>
      <c r="AA371" s="499" t="str">
        <f aca="false">IFERROR(__xludf.dummyfunction("if(isna(ABS(MINUS(SUM(FILTER(MatchSource!$A:$F,MatchSource!$A:$A=$B371)),SUM($W371,$Y371)))),0,ABS(MINUS(SUM(FILTER(MatchSource!$A:$F,MatchSource!$A:$A=$B371)),SUM($W371, $Y371,))))"),"0")</f>
        <v>0</v>
      </c>
      <c r="AB371" s="501" t="str">
        <f aca="false">IFERROR(__xludf.dummyfunction("if(isna(ABS(MINUS(SUM(FILTER(MatchSource!$H:$M,MatchSource!$H:$H=$B371)),SUM($X371,$Z371)))),0,ABS(MINUS(SUM(FILTER(MatchSource!$H:$M,MatchSource!$H:$H=$B371)),SUM($X371,$Z371))))"),"0")</f>
        <v>0</v>
      </c>
      <c r="AC371" s="507" t="n">
        <f aca="false">SUM(IF(OR($R371="Grass",$R371="Psychic",$R371="Dark"),0-1,IF(OR($R371="Fighting",$R371="Flying",$R371="Fire",$R371="Ghost",$R371="Poison",$R371="Steel",$R371="Fairy"),1,0)),IF(OR($S371="Grass",$S371="Psychic",$S371="Dark"),0-1,IF(OR($S371="Fighting",$S371="Flying",$S371="Fire",$S371="Ghost",$S371="Poison",$S371="Steel",$S371="Fairy"),1,0)))</f>
        <v>0</v>
      </c>
      <c r="AD371" s="507" t="n">
        <f aca="false">SUM(IF(OR($R371="Ghost",$R371="Psychic"),0-1,IF(OR($R371="Fighting",$R371="Dark",$R371="Fairy"),1,0)),IF(OR($S371="Ghost",$S371="Psychic"),0-1,IF(OR($S371="Fighting",$S371="Dark",$S371="Fairy"),1,0)))</f>
        <v>0</v>
      </c>
      <c r="AE371" s="507" t="n">
        <f aca="false">IF(OR($R371="Fairy",$S371="Fairy"),4,SUM(IF($R371="Dragon",0-1,IF($R371="Steel",1,0)),IF($S371="Dragon",0-1,IF($S371="Steel",1,0))))</f>
        <v>4</v>
      </c>
      <c r="AF371" s="507" t="n">
        <f aca="false">IF(OR($R371="Ground",$S371="Ground"),4,SUM(IF(OR($R371="Flying",$R371="Water"),0-1,IF(OR($R371="Dragon",$R371="Electric",$R371="Grass"),1,0)),IF(OR($S371="Flying",$S371="Water"),0-1,IF(OR($S371="Dragon",$S371="Electric",$S371="Grass"),1,0))))</f>
        <v>0</v>
      </c>
      <c r="AG371" s="507" t="n">
        <f aca="false">SUM(IF(OR($R371="Dark",$R371="Dragon",$R371="Fighting"),0-1,IF(OR($R371="Steel",$R371="Poison",$R371="Fire"),1,0)),IF(OR($S371="Dark",$S371="Dragon",$S371="Fighting"),0-1,IF(OR($S371="Steel",$S371="Poison",$S371="Fire"),1,0)))</f>
        <v>0</v>
      </c>
      <c r="AH371" s="507" t="n">
        <f aca="false">IF(OR($R371="Ghost",$S371="Ghost"),4,SUM(IF(OR($R371="Dark",$R371="Ice",$R371="Normal",$R371="Rock",$R371="Steel"),0-1,IF(OR($R371="Bug",$R371="Fairy",$R371="Flying",$R371="Poison",$R371="Psychic"),1,0)),IF(OR($S371="Dark",$S371="Ice",$S371="Normal",$S371="Rock",$S371="Steel"),0-1,IF(OR($S371="Bug",$S371="Fairy",$S371="Flying",$S371="Poison",$S371="Psychic"),1,0))))</f>
        <v>2</v>
      </c>
      <c r="AI371" s="507" t="n">
        <f aca="false">SUM(IF(OR($R371="Bug",$R371="Grass",$R371="Ice",$R371="Steel"),0-1,IF(OR($R371="Dragon",$R371="Fire",$R371="Rock",$R371="Water"),1,0)),IF(OR($S371="Bug",$S371="Grass",$S371="Ice",$S371="Steel"),0-1,IF(OR($S371="Dragon",$S371="Fire",$S371="Rock",$S371="Water"),1,0)))</f>
        <v>0</v>
      </c>
      <c r="AJ371" s="507" t="n">
        <f aca="false">SUM(IF(OR($R371="Bug",$R371="Grass",$R371="Fighting"),0-1,IF(OR($R371="Electric",$R371="Rock",$R371="Steel"),1,0)),IF(OR($S371="Bug",$S371="Grass",$S371="Fighting"),0-1,IF(OR($S371="Electric",$S371="Rock",$S371="Steel"),1,0)))</f>
        <v>0</v>
      </c>
      <c r="AK371" s="507" t="n">
        <f aca="false">IF(OR($R371="Normal",$S371="Normal"),4,SUM(IF(OR($R371="Ghost",$R371="Psychic"),0-1,IF($R371="Dark",1,0)),IF(OR($S371="Ghost",$S371="Psychic"),0-1,IF($S371="Dark",1,0))))</f>
        <v>-1</v>
      </c>
      <c r="AL371" s="507" t="n">
        <f aca="false">SUM(IF(OR($R371="Ground",$R371="Rock",$R371="Water"),0-1,IF(OR($R371="Bug",$R371="Flying",$R371="Fire",$R371="Dragon",$R371="Poison",$R371="Steel",$R371="Grass"),1,0)),IF(OR($S371="Ground",$S371="Rock",$S371="Water"),0-1,IF(OR($S371="Bug",$S371="Flying",$S371="Fire",$S371="Dragon",$S371="Poison",$S371="Steel",$S371="Grass"),1,0)))</f>
        <v>0</v>
      </c>
      <c r="AM371" s="507" t="n">
        <f aca="false">IF(OR($R371="Flying",$S371="Flying"),4,SUM(IF(OR($R371="Electric",$R371="Fire",$R371="Rock",$R371="Steel",$R371="Poison"),0-1,IF(OR($R371="Bug",$R371="Grass"),1,0)),IF(OR($S371="Electric",$S371="Fire",$S371="Rock",$S371="Steel",$S371="Poison"),0-1,IF(OR($S371="Bug",$S371="Grass"),1,0))))</f>
        <v>0</v>
      </c>
      <c r="AN371" s="507" t="n">
        <f aca="false">SUM(IF(OR($R371="Flying",$R371="Dragon",$R371="Grass",$R371="Ground"),0-1,IF(OR($R371="Steel",$R371="Ice",$R371="Fire",$R371="Water"),1,0)),IF(OR($S371="Flying",$S371="Dragon",$S371="Grass",$S371="Ground"),0-1,IF(OR($S371="Steel",$S371="Ice",$S371="Fire",$S371="Water"),1,0)))</f>
        <v>0</v>
      </c>
      <c r="AO371" s="507" t="n">
        <f aca="false">IF(OR($R371="Ghost",$S371="Ghost"),4,SUM(IF(OR($R371="Steel",$R371="Rock"),1,0),IF(OR($S371="Steel",$S371="Rock"),1,0)))</f>
        <v>0</v>
      </c>
      <c r="AP371" s="507" t="n">
        <f aca="false">IF(OR($R371="Steel",$S371="Steel"),4,SUM(IF(OR($R371="Fairy",$R371="Grass"),0-1,IF(OR($R371="Ghost",$R371="Rock",$R371="Ground",$R371="Poison"),1,0)),IF(OR($S371="Fairy",$S371="Grass"),0-1,IF(OR($S371="Ghost",$S371="Rock",$S371="Ground",$S371="Poison"),1,0))))</f>
        <v>-1</v>
      </c>
      <c r="AQ371" s="507" t="n">
        <f aca="false">IF(OR($R371="Dark",$S371="Dark"),4,SUM(IF(OR($R371="Fighting",$R371="Poison"),0-1,IF(OR($R371="Psychic",$R371="Steel"),1,0)),IF(OR($S371="Fighting",$S371="Poison"),0-1,IF(OR($S371="Psychic",$S371="Steel"),1,0))))</f>
        <v>1</v>
      </c>
      <c r="AR371" s="507" t="n">
        <f aca="false">SUM(IF(OR($R371="Bug",$R371="Fire",$R371="Flying",$R371="Ice"),0-1,IF(OR($R371="Steel",$R371="Fighting",$R371="Ground"),1,0)),IF(OR($S371="Bug",$S371="Fire",$S371="Flying",$S371="Ice"),0-1,IF(OR($S371="Steel",$S371="Fighting",$S371="Ground"),1,0)))</f>
        <v>0</v>
      </c>
      <c r="AS371" s="507" t="n">
        <f aca="false">SUM(IF(OR($R371="Fairy",$R371="Ice",$R371="Rock"),0-1,IF(OR($R371="Steel",$R371="Electric",$R371="Fire",$R371="Water"),1,0)),IF(OR($S371="Fairy",$S371="Ice",$S371="Rock"),0-1,IF(OR($S371="Steel",$S371="Electric",$S371="Fire",$S371="Water"),1,0)))</f>
        <v>-1</v>
      </c>
      <c r="AT371" s="508" t="n">
        <f aca="false">SUM(IF(OR($R371="Fire",$R371="Ground",$R371="Rock"),0-1,IF(OR($R371="Dragon",$R371="Grass",$R371="Water"),1,0)),IF(OR($S371="Fire",$S371="Ground",$S371="Rock"),0-1,IF(OR($S371="Dragon",$S371="Grass",$S371="Water"),1,0)))</f>
        <v>0</v>
      </c>
      <c r="AU371" s="518"/>
    </row>
    <row r="372" customFormat="false" ht="15.75" hidden="false" customHeight="false" outlineLevel="0" collapsed="false">
      <c r="A372" s="515" t="str">
        <f aca="false" t="array" ref="A372:A372">IF(ISNA(INDEX(Source!$U$7:$U$95,MATCH(B372,Source!$V$7:$V$95,0))),"FREE",INDEX(Source!$U$7:$U$95,MATCH(B372,Source!$V$7:$V$95,0)))</f>
        <v>FREE</v>
      </c>
      <c r="B372" s="511" t="s">
        <v>391</v>
      </c>
      <c r="C372" s="511"/>
      <c r="D372" s="511"/>
      <c r="E372" s="499" t="str">
        <f aca="false">IF(SUM($W372:$X372)&gt;0,SUM($W372:$X372),IF($H372&gt;0,0,IF($H372&gt;0,0,"-")))</f>
        <v>-</v>
      </c>
      <c r="F372" s="499" t="str">
        <f aca="false">IF(SUM($Y372:$Z372)&gt;0,SUM($Y372:$Z372),IF($H372&gt;0,0,"-"))</f>
        <v>-</v>
      </c>
      <c r="G372" s="499" t="str">
        <f aca="false">IF($H372&gt;0,minus(E372,F372),"-")</f>
        <v>-</v>
      </c>
      <c r="H372" s="500" t="n">
        <f aca="false">SUM(COUNTIF(MatchSource!$A:$A,$B372),COUNTIF(MatchSource!$H:$H,$B372))</f>
        <v>0</v>
      </c>
      <c r="I372" s="501" t="n">
        <f aca="false">SUM($AA372:$AB372)</f>
        <v>0</v>
      </c>
      <c r="J372" s="501" t="s">
        <v>698</v>
      </c>
      <c r="K372" s="512" t="str">
        <f aca="false" t="array" ref="K372:K372">IF(ISNA(INDEX(DraftRosters!$AA$3:$AA$199,MATCH($B372,DraftRosters!$AB$3:$AB$199,0))),"FA",IF(INDEX(DraftRosters!$AA$3:$AA$199,MATCH($B372,DraftRosters!$AB$3:$AB$199,0))="Franchise","Franch",INDEX(DraftRosters!$AA$3:$AA$199,MATCH($B372,DraftRosters!$AB$3:$AB$199,0))))</f>
        <v>FA</v>
      </c>
      <c r="L372" s="507" t="n">
        <v>90</v>
      </c>
      <c r="M372" s="507" t="n">
        <v>85</v>
      </c>
      <c r="N372" s="507" t="n">
        <v>75</v>
      </c>
      <c r="O372" s="507" t="n">
        <v>115</v>
      </c>
      <c r="P372" s="507" t="n">
        <v>100</v>
      </c>
      <c r="Q372" s="508" t="n">
        <v>115</v>
      </c>
      <c r="R372" s="499" t="s">
        <v>845</v>
      </c>
      <c r="S372" s="501"/>
      <c r="T372" s="504" t="s">
        <v>816</v>
      </c>
      <c r="U372" s="505" t="s">
        <v>829</v>
      </c>
      <c r="V372" s="506"/>
      <c r="W372" s="500" t="str">
        <f aca="false">IFERROR(__xludf.dummyfunction("if(isna(SUM(FILTER(MatchSource!$A:$D,MatchSource!$A:$A=$B372))),0,SUM(FILTER(MatchSource!$A:$D,MatchSource!$A:$A=$B372)))"),"0")</f>
        <v>0</v>
      </c>
      <c r="X372" s="499" t="str">
        <f aca="false">IFERROR(__xludf.dummyfunction("if(isna(SUM(FILTER(MatchSource!$H:$K,MatchSource!$H:$H=$B372))),0,SUM(FILTER(MatchSource!$H:$K,MatchSource!$H:$H=$B372)))"),"0")</f>
        <v>0</v>
      </c>
      <c r="Y372" s="499" t="str">
        <f aca="false">IFERROR(__xludf.dummyfunction("if(isna(ABS(MINUS(SUM(FILTER(MatchSource!$A:$E,MatchSource!$A:$A=$B372)),SUM($W372)))),0,ABS(MINUS(SUM(FILTER(MatchSource!$A:$E,MatchSource!$A:$A=$B372)),SUM($W372))))"),"0")</f>
        <v>0</v>
      </c>
      <c r="Z372" s="499" t="str">
        <f aca="false">IFERROR(__xludf.dummyfunction("if(isna(ABS(MINUS(SUM(FILTER(MatchSource!$H:$L,MatchSource!$H:$H=$B372)),SUM($X372)))),0,ABS(MINUS(SUM(FILTER(MatchSource!$H:$L,MatchSource!$H:$H=$B372)),SUM($X372))))"),"0")</f>
        <v>0</v>
      </c>
      <c r="AA372" s="499" t="str">
        <f aca="false">IFERROR(__xludf.dummyfunction("if(isna(ABS(MINUS(SUM(FILTER(MatchSource!$A:$F,MatchSource!$A:$A=$B372)),SUM($W372,$Y372)))),0,ABS(MINUS(SUM(FILTER(MatchSource!$A:$F,MatchSource!$A:$A=$B372)),SUM($W372, $Y372,))))"),"0")</f>
        <v>0</v>
      </c>
      <c r="AB372" s="501" t="str">
        <f aca="false">IFERROR(__xludf.dummyfunction("if(isna(ABS(MINUS(SUM(FILTER(MatchSource!$H:$M,MatchSource!$H:$H=$B372)),SUM($X372,$Z372)))),0,ABS(MINUS(SUM(FILTER(MatchSource!$H:$M,MatchSource!$H:$H=$B372)),SUM($X372,$Z372))))"),"0")</f>
        <v>0</v>
      </c>
      <c r="AC372" s="507" t="n">
        <f aca="false">SUM(IF(OR($R372="Grass",$R372="Psychic",$R372="Dark"),0-1,IF(OR($R372="Fighting",$R372="Flying",$R372="Fire",$R372="Ghost",$R372="Poison",$R372="Steel",$R372="Fairy"),1,0)),IF(OR($S372="Grass",$S372="Psychic",$S372="Dark"),0-1,IF(OR($S372="Fighting",$S372="Flying",$S372="Fire",$S372="Ghost",$S372="Poison",$S372="Steel",$S372="Fairy"),1,0)))</f>
        <v>0</v>
      </c>
      <c r="AD372" s="507" t="n">
        <f aca="false">SUM(IF(OR($R372="Ghost",$R372="Psychic"),0-1,IF(OR($R372="Fighting",$R372="Dark",$R372="Fairy"),1,0)),IF(OR($S372="Ghost",$S372="Psychic"),0-1,IF(OR($S372="Fighting",$S372="Dark",$S372="Fairy"),1,0)))</f>
        <v>0</v>
      </c>
      <c r="AE372" s="507" t="n">
        <f aca="false">IF(OR($R372="Fairy",$S372="Fairy"),4,SUM(IF($R372="Dragon",0-1,IF($R372="Steel",1,0)),IF($S372="Dragon",0-1,IF($S372="Steel",1,0))))</f>
        <v>0</v>
      </c>
      <c r="AF372" s="507" t="n">
        <f aca="false">IF(OR($R372="Ground",$S372="Ground"),4,SUM(IF(OR($R372="Flying",$R372="Water"),0-1,IF(OR($R372="Dragon",$R372="Electric",$R372="Grass"),1,0)),IF(OR($S372="Flying",$S372="Water"),0-1,IF(OR($S372="Dragon",$S372="Electric",$S372="Grass"),1,0))))</f>
        <v>1</v>
      </c>
      <c r="AG372" s="507" t="n">
        <f aca="false">SUM(IF(OR($R372="Dark",$R372="Dragon",$R372="Fighting"),0-1,IF(OR($R372="Steel",$R372="Poison",$R372="Fire"),1,0)),IF(OR($S372="Dark",$S372="Dragon",$S372="Fighting"),0-1,IF(OR($S372="Steel",$S372="Poison",$S372="Fire"),1,0)))</f>
        <v>0</v>
      </c>
      <c r="AH372" s="507" t="n">
        <f aca="false">IF(OR($R372="Ghost",$S372="Ghost"),4,SUM(IF(OR($R372="Dark",$R372="Ice",$R372="Normal",$R372="Rock",$R372="Steel"),0-1,IF(OR($R372="Bug",$R372="Fairy",$R372="Flying",$R372="Poison",$R372="Psychic"),1,0)),IF(OR($S372="Dark",$S372="Ice",$S372="Normal",$S372="Rock",$S372="Steel"),0-1,IF(OR($S372="Bug",$S372="Fairy",$S372="Flying",$S372="Poison",$S372="Psychic"),1,0))))</f>
        <v>0</v>
      </c>
      <c r="AI372" s="507" t="n">
        <f aca="false">SUM(IF(OR($R372="Bug",$R372="Grass",$R372="Ice",$R372="Steel"),0-1,IF(OR($R372="Dragon",$R372="Fire",$R372="Rock",$R372="Water"),1,0)),IF(OR($S372="Bug",$S372="Grass",$S372="Ice",$S372="Steel"),0-1,IF(OR($S372="Dragon",$S372="Fire",$S372="Rock",$S372="Water"),1,0)))</f>
        <v>0</v>
      </c>
      <c r="AJ372" s="507" t="n">
        <f aca="false">SUM(IF(OR($R372="Bug",$R372="Grass",$R372="Fighting"),0-1,IF(OR($R372="Electric",$R372="Rock",$R372="Steel"),1,0)),IF(OR($S372="Bug",$S372="Grass",$S372="Fighting"),0-1,IF(OR($S372="Electric",$S372="Rock",$S372="Steel"),1,0)))</f>
        <v>1</v>
      </c>
      <c r="AK372" s="507" t="n">
        <f aca="false">IF(OR($R372="Normal",$S372="Normal"),4,SUM(IF(OR($R372="Ghost",$R372="Psychic"),0-1,IF($R372="Dark",1,0)),IF(OR($S372="Ghost",$S372="Psychic"),0-1,IF($S372="Dark",1,0))))</f>
        <v>0</v>
      </c>
      <c r="AL372" s="507" t="n">
        <f aca="false">SUM(IF(OR($R372="Ground",$R372="Rock",$R372="Water"),0-1,IF(OR($R372="Bug",$R372="Flying",$R372="Fire",$R372="Dragon",$R372="Poison",$R372="Steel",$R372="Grass"),1,0)),IF(OR($S372="Ground",$S372="Rock",$S372="Water"),0-1,IF(OR($S372="Bug",$S372="Flying",$S372="Fire",$S372="Dragon",$S372="Poison",$S372="Steel",$S372="Grass"),1,0)))</f>
        <v>0</v>
      </c>
      <c r="AM372" s="507" t="n">
        <f aca="false">IF(OR($R372="Flying",$S372="Flying"),4,SUM(IF(OR($R372="Electric",$R372="Fire",$R372="Rock",$R372="Steel",$R372="Poison"),0-1,IF(OR($R372="Bug",$R372="Grass"),1,0)),IF(OR($S372="Electric",$S372="Fire",$S372="Rock",$S372="Steel",$S372="Poison"),0-1,IF(OR($S372="Bug",$S372="Grass"),1,0))))</f>
        <v>-1</v>
      </c>
      <c r="AN372" s="507" t="n">
        <f aca="false">SUM(IF(OR($R372="Flying",$R372="Dragon",$R372="Grass",$R372="Ground"),0-1,IF(OR($R372="Steel",$R372="Ice",$R372="Fire",$R372="Water"),1,0)),IF(OR($S372="Flying",$S372="Dragon",$S372="Grass",$S372="Ground"),0-1,IF(OR($S372="Steel",$S372="Ice",$S372="Fire",$S372="Water"),1,0)))</f>
        <v>0</v>
      </c>
      <c r="AO372" s="507" t="n">
        <f aca="false">IF(OR($R372="Ghost",$S372="Ghost"),4,SUM(IF(OR($R372="Steel",$R372="Rock"),1,0),IF(OR($S372="Steel",$S372="Rock"),1,0)))</f>
        <v>0</v>
      </c>
      <c r="AP372" s="507" t="n">
        <f aca="false">IF(OR($R372="Steel",$S372="Steel"),4,SUM(IF(OR($R372="Fairy",$R372="Grass"),0-1,IF(OR($R372="Ghost",$R372="Rock",$R372="Ground",$R372="Poison"),1,0)),IF(OR($S372="Fairy",$S372="Grass"),0-1,IF(OR($S372="Ghost",$S372="Rock",$S372="Ground",$S372="Poison"),1,0))))</f>
        <v>0</v>
      </c>
      <c r="AQ372" s="507" t="n">
        <f aca="false">IF(OR($R372="Dark",$S372="Dark"),4,SUM(IF(OR($R372="Fighting",$R372="Poison"),0-1,IF(OR($R372="Psychic",$R372="Steel"),1,0)),IF(OR($S372="Fighting",$S372="Poison"),0-1,IF(OR($S372="Psychic",$S372="Steel"),1,0))))</f>
        <v>0</v>
      </c>
      <c r="AR372" s="507" t="n">
        <f aca="false">SUM(IF(OR($R372="Bug",$R372="Fire",$R372="Flying",$R372="Ice"),0-1,IF(OR($R372="Steel",$R372="Fighting",$R372="Ground"),1,0)),IF(OR($S372="Bug",$S372="Fire",$S372="Flying",$S372="Ice"),0-1,IF(OR($S372="Steel",$S372="Fighting",$S372="Ground"),1,0)))</f>
        <v>0</v>
      </c>
      <c r="AS372" s="507" t="n">
        <f aca="false">SUM(IF(OR($R372="Fairy",$R372="Ice",$R372="Rock"),0-1,IF(OR($R372="Steel",$R372="Electric",$R372="Fire",$R372="Water"),1,0)),IF(OR($S372="Fairy",$S372="Ice",$S372="Rock"),0-1,IF(OR($S372="Steel",$S372="Electric",$S372="Fire",$S372="Water"),1,0)))</f>
        <v>1</v>
      </c>
      <c r="AT372" s="508" t="n">
        <f aca="false">SUM(IF(OR($R372="Fire",$R372="Ground",$R372="Rock"),0-1,IF(OR($R372="Dragon",$R372="Grass",$R372="Water"),1,0)),IF(OR($S372="Fire",$S372="Ground",$S372="Rock"),0-1,IF(OR($S372="Dragon",$S372="Grass",$S372="Water"),1,0)))</f>
        <v>0</v>
      </c>
      <c r="AU372" s="518"/>
    </row>
    <row r="373" customFormat="false" ht="15.75" hidden="false" customHeight="false" outlineLevel="0" collapsed="false">
      <c r="A373" s="515" t="str">
        <f aca="false" t="array" ref="A373:A373">IF(ISNA(INDEX(Source!$U$7:$U$95,MATCH(B373,Source!$V$7:$V$95,0))),"FREE",INDEX(Source!$U$7:$U$95,MATCH(B373,Source!$V$7:$V$95,0)))</f>
        <v>FREE</v>
      </c>
      <c r="B373" s="511" t="s">
        <v>501</v>
      </c>
      <c r="C373" s="511"/>
      <c r="D373" s="511"/>
      <c r="E373" s="499" t="str">
        <f aca="false">IF(SUM($W373:$X373)&gt;0,SUM($W373:$X373),IF($H373&gt;0,0,IF($H373&gt;0,0,"-")))</f>
        <v>-</v>
      </c>
      <c r="F373" s="499" t="str">
        <f aca="false">IF(SUM($Y373:$Z373)&gt;0,SUM($Y373:$Z373),IF($H373&gt;0,0,"-"))</f>
        <v>-</v>
      </c>
      <c r="G373" s="499" t="str">
        <f aca="false">IF($H373&gt;0,minus(E373,F373),"-")</f>
        <v>-</v>
      </c>
      <c r="H373" s="500" t="n">
        <f aca="false">SUM(COUNTIF(MatchSource!$A:$A,$B373),COUNTIF(MatchSource!$H:$H,$B373))</f>
        <v>0</v>
      </c>
      <c r="I373" s="501" t="n">
        <f aca="false">SUM($AA373:$AB373)</f>
        <v>0</v>
      </c>
      <c r="J373" s="501" t="s">
        <v>702</v>
      </c>
      <c r="K373" s="512" t="str">
        <f aca="false" t="array" ref="K373:K373">IF(ISNA(INDEX(DraftRosters!$AA$3:$AA$199,MATCH($B373,DraftRosters!$AB$3:$AB$199,0))),"FA",IF(INDEX(DraftRosters!$AA$3:$AA$199,MATCH($B373,DraftRosters!$AB$3:$AB$199,0))="Franchise","Franch",INDEX(DraftRosters!$AA$3:$AA$199,MATCH($B373,DraftRosters!$AB$3:$AB$199,0))))</f>
        <v>FA</v>
      </c>
      <c r="L373" s="507" t="n">
        <v>97</v>
      </c>
      <c r="M373" s="507" t="n">
        <v>165</v>
      </c>
      <c r="N373" s="507" t="n">
        <v>60</v>
      </c>
      <c r="O373" s="507" t="n">
        <v>65</v>
      </c>
      <c r="P373" s="507" t="n">
        <v>50</v>
      </c>
      <c r="Q373" s="508" t="n">
        <v>58</v>
      </c>
      <c r="R373" s="499" t="s">
        <v>809</v>
      </c>
      <c r="S373" s="501"/>
      <c r="T373" s="504" t="s">
        <v>848</v>
      </c>
      <c r="U373" s="505" t="s">
        <v>898</v>
      </c>
      <c r="V373" s="506"/>
      <c r="W373" s="500" t="str">
        <f aca="false">IFERROR(__xludf.dummyfunction("if(isna(SUM(FILTER(MatchSource!$A:$D,MatchSource!$A:$A=$B373))),0,SUM(FILTER(MatchSource!$A:$D,MatchSource!$A:$A=$B373)))"),"0")</f>
        <v>0</v>
      </c>
      <c r="X373" s="499" t="str">
        <f aca="false">IFERROR(__xludf.dummyfunction("if(isna(SUM(FILTER(MatchSource!$H:$K,MatchSource!$H:$H=$B373))),0,SUM(FILTER(MatchSource!$H:$K,MatchSource!$H:$H=$B373)))"),"0")</f>
        <v>0</v>
      </c>
      <c r="Y373" s="499" t="str">
        <f aca="false">IFERROR(__xludf.dummyfunction("if(isna(ABS(MINUS(SUM(FILTER(MatchSource!$A:$E,MatchSource!$A:$A=$B373)),SUM($W373)))),0,ABS(MINUS(SUM(FILTER(MatchSource!$A:$E,MatchSource!$A:$A=$B373)),SUM($W373))))"),"0")</f>
        <v>0</v>
      </c>
      <c r="Z373" s="499" t="str">
        <f aca="false">IFERROR(__xludf.dummyfunction("if(isna(ABS(MINUS(SUM(FILTER(MatchSource!$H:$L,MatchSource!$H:$H=$B373)),SUM($X373)))),0,ABS(MINUS(SUM(FILTER(MatchSource!$H:$L,MatchSource!$H:$H=$B373)),SUM($X373))))"),"0")</f>
        <v>0</v>
      </c>
      <c r="AA373" s="499" t="str">
        <f aca="false">IFERROR(__xludf.dummyfunction("if(isna(ABS(MINUS(SUM(FILTER(MatchSource!$A:$F,MatchSource!$A:$A=$B373)),SUM($W373,$Y373)))),0,ABS(MINUS(SUM(FILTER(MatchSource!$A:$F,MatchSource!$A:$A=$B373)),SUM($W373, $Y373,))))"),"0")</f>
        <v>0</v>
      </c>
      <c r="AB373" s="501" t="str">
        <f aca="false">IFERROR(__xludf.dummyfunction("if(isna(ABS(MINUS(SUM(FILTER(MatchSource!$H:$M,MatchSource!$H:$H=$B373)),SUM($X373,$Z373)))),0,ABS(MINUS(SUM(FILTER(MatchSource!$H:$M,MatchSource!$H:$H=$B373)),SUM($X373,$Z373))))"),"0")</f>
        <v>0</v>
      </c>
      <c r="AC373" s="507" t="n">
        <f aca="false">SUM(IF(OR($R373="Grass",$R373="Psychic",$R373="Dark"),0-1,IF(OR($R373="Fighting",$R373="Flying",$R373="Fire",$R373="Ghost",$R373="Poison",$R373="Steel",$R373="Fairy"),1,0)),IF(OR($S373="Grass",$S373="Psychic",$S373="Dark"),0-1,IF(OR($S373="Fighting",$S373="Flying",$S373="Fire",$S373="Ghost",$S373="Poison",$S373="Steel",$S373="Fairy"),1,0)))</f>
        <v>0</v>
      </c>
      <c r="AD373" s="507" t="n">
        <f aca="false">SUM(IF(OR($R373="Ghost",$R373="Psychic"),0-1,IF(OR($R373="Fighting",$R373="Dark",$R373="Fairy"),1,0)),IF(OR($S373="Ghost",$S373="Psychic"),0-1,IF(OR($S373="Fighting",$S373="Dark",$S373="Fairy"),1,0)))</f>
        <v>0</v>
      </c>
      <c r="AE373" s="507" t="n">
        <f aca="false">IF(OR($R373="Fairy",$S373="Fairy"),4,SUM(IF($R373="Dragon",0-1,IF($R373="Steel",1,0)),IF($S373="Dragon",0-1,IF($S373="Steel",1,0))))</f>
        <v>0</v>
      </c>
      <c r="AF373" s="507" t="n">
        <f aca="false">IF(OR($R373="Ground",$S373="Ground"),4,SUM(IF(OR($R373="Flying",$R373="Water"),0-1,IF(OR($R373="Dragon",$R373="Electric",$R373="Grass"),1,0)),IF(OR($S373="Flying",$S373="Water"),0-1,IF(OR($S373="Dragon",$S373="Electric",$S373="Grass"),1,0))))</f>
        <v>0</v>
      </c>
      <c r="AG373" s="507" t="n">
        <f aca="false">SUM(IF(OR($R373="Dark",$R373="Dragon",$R373="Fighting"),0-1,IF(OR($R373="Steel",$R373="Poison",$R373="Fire"),1,0)),IF(OR($S373="Dark",$S373="Dragon",$S373="Fighting"),0-1,IF(OR($S373="Steel",$S373="Poison",$S373="Fire"),1,0)))</f>
        <v>0</v>
      </c>
      <c r="AH373" s="507" t="n">
        <f aca="false">IF(OR($R373="Ghost",$S373="Ghost"),4,SUM(IF(OR($R373="Dark",$R373="Ice",$R373="Normal",$R373="Rock",$R373="Steel"),0-1,IF(OR($R373="Bug",$R373="Fairy",$R373="Flying",$R373="Poison",$R373="Psychic"),1,0)),IF(OR($S373="Dark",$S373="Ice",$S373="Normal",$S373="Rock",$S373="Steel"),0-1,IF(OR($S373="Bug",$S373="Fairy",$S373="Flying",$S373="Poison",$S373="Psychic"),1,0))))</f>
        <v>-1</v>
      </c>
      <c r="AI373" s="507" t="n">
        <f aca="false">SUM(IF(OR($R373="Bug",$R373="Grass",$R373="Ice",$R373="Steel"),0-1,IF(OR($R373="Dragon",$R373="Fire",$R373="Rock",$R373="Water"),1,0)),IF(OR($S373="Bug",$S373="Grass",$S373="Ice",$S373="Steel"),0-1,IF(OR($S373="Dragon",$S373="Fire",$S373="Rock",$S373="Water"),1,0)))</f>
        <v>1</v>
      </c>
      <c r="AJ373" s="507" t="n">
        <f aca="false">SUM(IF(OR($R373="Bug",$R373="Grass",$R373="Fighting"),0-1,IF(OR($R373="Electric",$R373="Rock",$R373="Steel"),1,0)),IF(OR($S373="Bug",$S373="Grass",$S373="Fighting"),0-1,IF(OR($S373="Electric",$S373="Rock",$S373="Steel"),1,0)))</f>
        <v>1</v>
      </c>
      <c r="AK373" s="507" t="n">
        <f aca="false">IF(OR($R373="Normal",$S373="Normal"),4,SUM(IF(OR($R373="Ghost",$R373="Psychic"),0-1,IF($R373="Dark",1,0)),IF(OR($S373="Ghost",$S373="Psychic"),0-1,IF($S373="Dark",1,0))))</f>
        <v>0</v>
      </c>
      <c r="AL373" s="507" t="n">
        <f aca="false">SUM(IF(OR($R373="Ground",$R373="Rock",$R373="Water"),0-1,IF(OR($R373="Bug",$R373="Flying",$R373="Fire",$R373="Dragon",$R373="Poison",$R373="Steel",$R373="Grass"),1,0)),IF(OR($S373="Ground",$S373="Rock",$S373="Water"),0-1,IF(OR($S373="Bug",$S373="Flying",$S373="Fire",$S373="Dragon",$S373="Poison",$S373="Steel",$S373="Grass"),1,0)))</f>
        <v>-1</v>
      </c>
      <c r="AM373" s="507" t="n">
        <f aca="false">IF(OR($R373="Flying",$S373="Flying"),4,SUM(IF(OR($R373="Electric",$R373="Fire",$R373="Rock",$R373="Steel",$R373="Poison"),0-1,IF(OR($R373="Bug",$R373="Grass"),1,0)),IF(OR($S373="Electric",$S373="Fire",$S373="Rock",$S373="Steel",$S373="Poison"),0-1,IF(OR($S373="Bug",$S373="Grass"),1,0))))</f>
        <v>-1</v>
      </c>
      <c r="AN373" s="507" t="n">
        <f aca="false">SUM(IF(OR($R373="Flying",$R373="Dragon",$R373="Grass",$R373="Ground"),0-1,IF(OR($R373="Steel",$R373="Ice",$R373="Fire",$R373="Water"),1,0)),IF(OR($S373="Flying",$S373="Dragon",$S373="Grass",$S373="Ground"),0-1,IF(OR($S373="Steel",$S373="Ice",$S373="Fire",$S373="Water"),1,0)))</f>
        <v>0</v>
      </c>
      <c r="AO373" s="507" t="n">
        <f aca="false">IF(OR($R373="Ghost",$S373="Ghost"),4,SUM(IF(OR($R373="Steel",$R373="Rock"),1,0),IF(OR($S373="Steel",$S373="Rock"),1,0)))</f>
        <v>1</v>
      </c>
      <c r="AP373" s="507" t="n">
        <f aca="false">IF(OR($R373="Steel",$S373="Steel"),4,SUM(IF(OR($R373="Fairy",$R373="Grass"),0-1,IF(OR($R373="Ghost",$R373="Rock",$R373="Ground",$R373="Poison"),1,0)),IF(OR($S373="Fairy",$S373="Grass"),0-1,IF(OR($S373="Ghost",$S373="Rock",$S373="Ground",$S373="Poison"),1,0))))</f>
        <v>1</v>
      </c>
      <c r="AQ373" s="507" t="n">
        <f aca="false">IF(OR($R373="Dark",$S373="Dark"),4,SUM(IF(OR($R373="Fighting",$R373="Poison"),0-1,IF(OR($R373="Psychic",$R373="Steel"),1,0)),IF(OR($S373="Fighting",$S373="Poison"),0-1,IF(OR($S373="Psychic",$S373="Steel"),1,0))))</f>
        <v>0</v>
      </c>
      <c r="AR373" s="507" t="n">
        <f aca="false">SUM(IF(OR($R373="Bug",$R373="Fire",$R373="Flying",$R373="Ice"),0-1,IF(OR($R373="Steel",$R373="Fighting",$R373="Ground"),1,0)),IF(OR($S373="Bug",$S373="Fire",$S373="Flying",$S373="Ice"),0-1,IF(OR($S373="Steel",$S373="Fighting",$S373="Ground"),1,0)))</f>
        <v>0</v>
      </c>
      <c r="AS373" s="507" t="n">
        <f aca="false">SUM(IF(OR($R373="Fairy",$R373="Ice",$R373="Rock"),0-1,IF(OR($R373="Steel",$R373="Electric",$R373="Fire",$R373="Water"),1,0)),IF(OR($S373="Fairy",$S373="Ice",$S373="Rock"),0-1,IF(OR($S373="Steel",$S373="Electric",$S373="Fire",$S373="Water"),1,0)))</f>
        <v>-1</v>
      </c>
      <c r="AT373" s="508" t="n">
        <f aca="false">SUM(IF(OR($R373="Fire",$R373="Ground",$R373="Rock"),0-1,IF(OR($R373="Dragon",$R373="Grass",$R373="Water"),1,0)),IF(OR($S373="Fire",$S373="Ground",$S373="Rock"),0-1,IF(OR($S373="Dragon",$S373="Grass",$S373="Water"),1,0)))</f>
        <v>-1</v>
      </c>
      <c r="AU373" s="518"/>
    </row>
    <row r="374" customFormat="false" ht="15.75" hidden="false" customHeight="false" outlineLevel="0" collapsed="false">
      <c r="A374" s="510" t="str">
        <f aca="false" t="array" ref="A374:A374">IF(ISNA(INDEX(Source!$U$7:$U$95,MATCH(B374,Source!$V$7:$V$95,0))),"FREE",INDEX(Source!$U$7:$U$95,MATCH(B374,Source!$V$7:$V$95,0)))</f>
        <v>FREE</v>
      </c>
      <c r="B374" s="511" t="s">
        <v>506</v>
      </c>
      <c r="C374" s="511"/>
      <c r="D374" s="511"/>
      <c r="E374" s="499" t="str">
        <f aca="false">IF(SUM($W374:$X374)&gt;0,SUM($W374:$X374),IF($H374&gt;0,0,IF($H374&gt;0,0,"-")))</f>
        <v>-</v>
      </c>
      <c r="F374" s="499" t="str">
        <f aca="false">IF(SUM($Y374:$Z374)&gt;0,SUM($Y374:$Z374),IF($H374&gt;0,0,"-"))</f>
        <v>-</v>
      </c>
      <c r="G374" s="499" t="str">
        <f aca="false">IF($H374&gt;0,minus(E374,F374),"-")</f>
        <v>-</v>
      </c>
      <c r="H374" s="500" t="n">
        <f aca="false">SUM(COUNTIF(MatchSource!$A:$A,$B374),COUNTIF(MatchSource!$H:$H,$B374))</f>
        <v>0</v>
      </c>
      <c r="I374" s="501" t="n">
        <f aca="false">SUM($AA374:$AB374)</f>
        <v>0</v>
      </c>
      <c r="J374" s="501" t="s">
        <v>702</v>
      </c>
      <c r="K374" s="512" t="str">
        <f aca="false" t="array" ref="K374:K374">IF(ISNA(INDEX(DraftRosters!$AA$3:$AA$199,MATCH($B374,DraftRosters!$AB$3:$AB$199,0))),"FA",IF(INDEX(DraftRosters!$AA$3:$AA$199,MATCH($B374,DraftRosters!$AB$3:$AB$199,0))="Franchise","Franch",INDEX(DraftRosters!$AA$3:$AA$199,MATCH($B374,DraftRosters!$AB$3:$AB$199,0))))</f>
        <v>FA</v>
      </c>
      <c r="L374" s="507" t="n">
        <v>65</v>
      </c>
      <c r="M374" s="507" t="n">
        <v>100</v>
      </c>
      <c r="N374" s="507" t="n">
        <v>70</v>
      </c>
      <c r="O374" s="507" t="n">
        <v>80</v>
      </c>
      <c r="P374" s="507" t="n">
        <v>80</v>
      </c>
      <c r="Q374" s="508" t="n">
        <v>105</v>
      </c>
      <c r="R374" s="499" t="s">
        <v>800</v>
      </c>
      <c r="S374" s="501"/>
      <c r="T374" s="504" t="s">
        <v>913</v>
      </c>
      <c r="U374" s="505" t="s">
        <v>853</v>
      </c>
      <c r="V374" s="506" t="s">
        <v>949</v>
      </c>
      <c r="W374" s="500" t="str">
        <f aca="false">IFERROR(__xludf.dummyfunction("if(isna(SUM(FILTER(MatchSource!$A:$D,MatchSource!$A:$A=$B374))),0,SUM(FILTER(MatchSource!$A:$D,MatchSource!$A:$A=$B374)))"),"0")</f>
        <v>0</v>
      </c>
      <c r="X374" s="499" t="str">
        <f aca="false">IFERROR(__xludf.dummyfunction("if(isna(SUM(FILTER(MatchSource!$H:$K,MatchSource!$H:$H=$B374))),0,SUM(FILTER(MatchSource!$H:$K,MatchSource!$H:$H=$B374)))"),"0")</f>
        <v>0</v>
      </c>
      <c r="Y374" s="499" t="str">
        <f aca="false">IFERROR(__xludf.dummyfunction("if(isna(ABS(MINUS(SUM(FILTER(MatchSource!$A:$E,MatchSource!$A:$A=$B374)),SUM($W374)))),0,ABS(MINUS(SUM(FILTER(MatchSource!$A:$E,MatchSource!$A:$A=$B374)),SUM($W374))))"),"0")</f>
        <v>0</v>
      </c>
      <c r="Z374" s="499" t="str">
        <f aca="false">IFERROR(__xludf.dummyfunction("if(isna(ABS(MINUS(SUM(FILTER(MatchSource!$H:$L,MatchSource!$H:$H=$B374)),SUM($X374)))),0,ABS(MINUS(SUM(FILTER(MatchSource!$H:$L,MatchSource!$H:$H=$B374)),SUM($X374))))"),"0")</f>
        <v>0</v>
      </c>
      <c r="AA374" s="499" t="str">
        <f aca="false">IFERROR(__xludf.dummyfunction("if(isna(ABS(MINUS(SUM(FILTER(MatchSource!$A:$F,MatchSource!$A:$A=$B374)),SUM($W374,$Y374)))),0,ABS(MINUS(SUM(FILTER(MatchSource!$A:$F,MatchSource!$A:$A=$B374)),SUM($W374, $Y374,))))"),"0")</f>
        <v>0</v>
      </c>
      <c r="AB374" s="501" t="str">
        <f aca="false">IFERROR(__xludf.dummyfunction("if(isna(ABS(MINUS(SUM(FILTER(MatchSource!$H:$M,MatchSource!$H:$H=$B374)),SUM($X374,$Z374)))),0,ABS(MINUS(SUM(FILTER(MatchSource!$H:$M,MatchSource!$H:$H=$B374)),SUM($X374,$Z374))))"),"0")</f>
        <v>0</v>
      </c>
      <c r="AC374" s="507" t="n">
        <f aca="false">SUM(IF(OR($R374="Grass",$R374="Psychic",$R374="Dark"),0-1,IF(OR($R374="Fighting",$R374="Flying",$R374="Fire",$R374="Ghost",$R374="Poison",$R374="Steel",$R374="Fairy"),1,0)),IF(OR($S374="Grass",$S374="Psychic",$S374="Dark"),0-1,IF(OR($S374="Fighting",$S374="Flying",$S374="Fire",$S374="Ghost",$S374="Poison",$S374="Steel",$S374="Fairy"),1,0)))</f>
        <v>1</v>
      </c>
      <c r="AD374" s="507" t="n">
        <f aca="false">SUM(IF(OR($R374="Ghost",$R374="Psychic"),0-1,IF(OR($R374="Fighting",$R374="Dark",$R374="Fairy"),1,0)),IF(OR($S374="Ghost",$S374="Psychic"),0-1,IF(OR($S374="Fighting",$S374="Dark",$S374="Fairy"),1,0)))</f>
        <v>0</v>
      </c>
      <c r="AE374" s="507" t="n">
        <f aca="false">IF(OR($R374="Fairy",$S374="Fairy"),4,SUM(IF($R374="Dragon",0-1,IF($R374="Steel",1,0)),IF($S374="Dragon",0-1,IF($S374="Steel",1,0))))</f>
        <v>0</v>
      </c>
      <c r="AF374" s="507" t="n">
        <f aca="false">IF(OR($R374="Ground",$S374="Ground"),4,SUM(IF(OR($R374="Flying",$R374="Water"),0-1,IF(OR($R374="Dragon",$R374="Electric",$R374="Grass"),1,0)),IF(OR($S374="Flying",$S374="Water"),0-1,IF(OR($S374="Dragon",$S374="Electric",$S374="Grass"),1,0))))</f>
        <v>0</v>
      </c>
      <c r="AG374" s="507" t="n">
        <f aca="false">SUM(IF(OR($R374="Dark",$R374="Dragon",$R374="Fighting"),0-1,IF(OR($R374="Steel",$R374="Poison",$R374="Fire"),1,0)),IF(OR($S374="Dark",$S374="Dragon",$S374="Fighting"),0-1,IF(OR($S374="Steel",$S374="Poison",$S374="Fire"),1,0)))</f>
        <v>1</v>
      </c>
      <c r="AH374" s="507" t="n">
        <f aca="false">IF(OR($R374="Ghost",$S374="Ghost"),4,SUM(IF(OR($R374="Dark",$R374="Ice",$R374="Normal",$R374="Rock",$R374="Steel"),0-1,IF(OR($R374="Bug",$R374="Fairy",$R374="Flying",$R374="Poison",$R374="Psychic"),1,0)),IF(OR($S374="Dark",$S374="Ice",$S374="Normal",$S374="Rock",$S374="Steel"),0-1,IF(OR($S374="Bug",$S374="Fairy",$S374="Flying",$S374="Poison",$S374="Psychic"),1,0))))</f>
        <v>0</v>
      </c>
      <c r="AI374" s="507" t="n">
        <f aca="false">SUM(IF(OR($R374="Bug",$R374="Grass",$R374="Ice",$R374="Steel"),0-1,IF(OR($R374="Dragon",$R374="Fire",$R374="Rock",$R374="Water"),1,0)),IF(OR($S374="Bug",$S374="Grass",$S374="Ice",$S374="Steel"),0-1,IF(OR($S374="Dragon",$S374="Fire",$S374="Rock",$S374="Water"),1,0)))</f>
        <v>1</v>
      </c>
      <c r="AJ374" s="507" t="n">
        <f aca="false">SUM(IF(OR($R374="Bug",$R374="Grass",$R374="Fighting"),0-1,IF(OR($R374="Electric",$R374="Rock",$R374="Steel"),1,0)),IF(OR($S374="Bug",$S374="Grass",$S374="Fighting"),0-1,IF(OR($S374="Electric",$S374="Rock",$S374="Steel"),1,0)))</f>
        <v>0</v>
      </c>
      <c r="AK374" s="507" t="n">
        <f aca="false">IF(OR($R374="Normal",$S374="Normal"),4,SUM(IF(OR($R374="Ghost",$R374="Psychic"),0-1,IF($R374="Dark",1,0)),IF(OR($S374="Ghost",$S374="Psychic"),0-1,IF($S374="Dark",1,0))))</f>
        <v>0</v>
      </c>
      <c r="AL374" s="507" t="n">
        <f aca="false">SUM(IF(OR($R374="Ground",$R374="Rock",$R374="Water"),0-1,IF(OR($R374="Bug",$R374="Flying",$R374="Fire",$R374="Dragon",$R374="Poison",$R374="Steel",$R374="Grass"),1,0)),IF(OR($S374="Ground",$S374="Rock",$S374="Water"),0-1,IF(OR($S374="Bug",$S374="Flying",$S374="Fire",$S374="Dragon",$S374="Poison",$S374="Steel",$S374="Grass"),1,0)))</f>
        <v>1</v>
      </c>
      <c r="AM374" s="507" t="n">
        <f aca="false">IF(OR($R374="Flying",$S374="Flying"),4,SUM(IF(OR($R374="Electric",$R374="Fire",$R374="Rock",$R374="Steel",$R374="Poison"),0-1,IF(OR($R374="Bug",$R374="Grass"),1,0)),IF(OR($S374="Electric",$S374="Fire",$S374="Rock",$S374="Steel",$S374="Poison"),0-1,IF(OR($S374="Bug",$S374="Grass"),1,0))))</f>
        <v>-1</v>
      </c>
      <c r="AN374" s="507" t="n">
        <f aca="false">SUM(IF(OR($R374="Flying",$R374="Dragon",$R374="Grass",$R374="Ground"),0-1,IF(OR($R374="Steel",$R374="Ice",$R374="Fire",$R374="Water"),1,0)),IF(OR($S374="Flying",$S374="Dragon",$S374="Grass",$S374="Ground"),0-1,IF(OR($S374="Steel",$S374="Ice",$S374="Fire",$S374="Water"),1,0)))</f>
        <v>1</v>
      </c>
      <c r="AO374" s="507" t="n">
        <f aca="false">IF(OR($R374="Ghost",$S374="Ghost"),4,SUM(IF(OR($R374="Steel",$R374="Rock"),1,0),IF(OR($S374="Steel",$S374="Rock"),1,0)))</f>
        <v>0</v>
      </c>
      <c r="AP374" s="507" t="n">
        <f aca="false">IF(OR($R374="Steel",$S374="Steel"),4,SUM(IF(OR($R374="Fairy",$R374="Grass"),0-1,IF(OR($R374="Ghost",$R374="Rock",$R374="Ground",$R374="Poison"),1,0)),IF(OR($S374="Fairy",$S374="Grass"),0-1,IF(OR($S374="Ghost",$S374="Rock",$S374="Ground",$S374="Poison"),1,0))))</f>
        <v>0</v>
      </c>
      <c r="AQ374" s="507" t="n">
        <f aca="false">IF(OR($R374="Dark",$S374="Dark"),4,SUM(IF(OR($R374="Fighting",$R374="Poison"),0-1,IF(OR($R374="Psychic",$R374="Steel"),1,0)),IF(OR($S374="Fighting",$S374="Poison"),0-1,IF(OR($S374="Psychic",$S374="Steel"),1,0))))</f>
        <v>0</v>
      </c>
      <c r="AR374" s="507" t="n">
        <f aca="false">SUM(IF(OR($R374="Bug",$R374="Fire",$R374="Flying",$R374="Ice"),0-1,IF(OR($R374="Steel",$R374="Fighting",$R374="Ground"),1,0)),IF(OR($S374="Bug",$S374="Fire",$S374="Flying",$S374="Ice"),0-1,IF(OR($S374="Steel",$S374="Fighting",$S374="Ground"),1,0)))</f>
        <v>-1</v>
      </c>
      <c r="AS374" s="507" t="n">
        <f aca="false">SUM(IF(OR($R374="Fairy",$R374="Ice",$R374="Rock"),0-1,IF(OR($R374="Steel",$R374="Electric",$R374="Fire",$R374="Water"),1,0)),IF(OR($S374="Fairy",$S374="Ice",$S374="Rock"),0-1,IF(OR($S374="Steel",$S374="Electric",$S374="Fire",$S374="Water"),1,0)))</f>
        <v>1</v>
      </c>
      <c r="AT374" s="508" t="n">
        <f aca="false">SUM(IF(OR($R374="Fire",$R374="Ground",$R374="Rock"),0-1,IF(OR($R374="Dragon",$R374="Grass",$R374="Water"),1,0)),IF(OR($S374="Fire",$S374="Ground",$S374="Rock"),0-1,IF(OR($S374="Dragon",$S374="Grass",$S374="Water"),1,0)))</f>
        <v>-1</v>
      </c>
      <c r="AU374" s="518"/>
    </row>
    <row r="375" customFormat="false" ht="15.75" hidden="false" customHeight="false" outlineLevel="0" collapsed="false">
      <c r="A375" s="510" t="str">
        <f aca="false" t="array" ref="A375:A375">IF(ISNA(INDEX(Source!$U$7:$U$95,MATCH(B375,Source!$V$7:$V$95,0))),"FREE",INDEX(Source!$U$7:$U$95,MATCH(B375,Source!$V$7:$V$95,0)))</f>
        <v>FREE</v>
      </c>
      <c r="B375" s="511" t="s">
        <v>510</v>
      </c>
      <c r="C375" s="511"/>
      <c r="D375" s="511"/>
      <c r="E375" s="499" t="str">
        <f aca="false">IF(SUM($W375:$X375)&gt;0,SUM($W375:$X375),IF($H375&gt;0,0,IF($H375&gt;0,0,"-")))</f>
        <v>-</v>
      </c>
      <c r="F375" s="499" t="str">
        <f aca="false">IF(SUM($Y375:$Z375)&gt;0,SUM($Y375:$Z375),IF($H375&gt;0,0,"-"))</f>
        <v>-</v>
      </c>
      <c r="G375" s="499" t="str">
        <f aca="false">IF($H375&gt;0,minus(E375,F375),"-")</f>
        <v>-</v>
      </c>
      <c r="H375" s="500" t="n">
        <f aca="false">SUM(COUNTIF(MatchSource!$A:$A,$B375),COUNTIF(MatchSource!$H:$H,$B375))</f>
        <v>0</v>
      </c>
      <c r="I375" s="501" t="n">
        <f aca="false">SUM($AA375:$AB375)</f>
        <v>0</v>
      </c>
      <c r="J375" s="501" t="s">
        <v>702</v>
      </c>
      <c r="K375" s="512" t="str">
        <f aca="false" t="array" ref="K375:K375">IF(ISNA(INDEX(DraftRosters!$AA$3:$AA$199,MATCH($B375,DraftRosters!$AB$3:$AB$199,0))),"FA",IF(INDEX(DraftRosters!$AA$3:$AA$199,MATCH($B375,DraftRosters!$AB$3:$AB$199,0))="Franchise","Franch",INDEX(DraftRosters!$AA$3:$AA$199,MATCH($B375,DraftRosters!$AB$3:$AB$199,0))))</f>
        <v>FA</v>
      </c>
      <c r="L375" s="499" t="n">
        <v>55</v>
      </c>
      <c r="M375" s="499" t="n">
        <v>81</v>
      </c>
      <c r="N375" s="499" t="n">
        <v>60</v>
      </c>
      <c r="O375" s="499" t="n">
        <v>50</v>
      </c>
      <c r="P375" s="499" t="n">
        <v>70</v>
      </c>
      <c r="Q375" s="501" t="n">
        <v>97</v>
      </c>
      <c r="R375" s="499" t="s">
        <v>839</v>
      </c>
      <c r="S375" s="501"/>
      <c r="T375" s="504" t="s">
        <v>930</v>
      </c>
      <c r="U375" s="505" t="s">
        <v>949</v>
      </c>
      <c r="V375" s="506" t="s">
        <v>932</v>
      </c>
      <c r="W375" s="500" t="str">
        <f aca="false">IFERROR(__xludf.dummyfunction("if(isna(SUM(FILTER(MatchSource!$A:$D,MatchSource!$A:$A=$B375))),0,SUM(FILTER(MatchSource!$A:$D,MatchSource!$A:$A=$B375)))"),"0")</f>
        <v>0</v>
      </c>
      <c r="X375" s="499" t="str">
        <f aca="false">IFERROR(__xludf.dummyfunction("if(isna(SUM(FILTER(MatchSource!$H:$K,MatchSource!$H:$H=$B375))),0,SUM(FILTER(MatchSource!$H:$K,MatchSource!$H:$H=$B375)))"),"0")</f>
        <v>0</v>
      </c>
      <c r="Y375" s="499" t="str">
        <f aca="false">IFERROR(__xludf.dummyfunction("if(isna(ABS(MINUS(SUM(FILTER(MatchSource!$A:$E,MatchSource!$A:$A=$B375)),SUM($W375)))),0,ABS(MINUS(SUM(FILTER(MatchSource!$A:$E,MatchSource!$A:$A=$B375)),SUM($W375))))"),"0")</f>
        <v>0</v>
      </c>
      <c r="Z375" s="499" t="str">
        <f aca="false">IFERROR(__xludf.dummyfunction("if(isna(ABS(MINUS(SUM(FILTER(MatchSource!$H:$L,MatchSource!$H:$H=$B375)),SUM($X375)))),0,ABS(MINUS(SUM(FILTER(MatchSource!$H:$L,MatchSource!$H:$H=$B375)),SUM($X375))))"),"0")</f>
        <v>0</v>
      </c>
      <c r="AA375" s="499" t="str">
        <f aca="false">IFERROR(__xludf.dummyfunction("if(isna(ABS(MINUS(SUM(FILTER(MatchSource!$A:$F,MatchSource!$A:$A=$B375)),SUM($W375,$Y375)))),0,ABS(MINUS(SUM(FILTER(MatchSource!$A:$F,MatchSource!$A:$A=$B375)),SUM($W375, $Y375,))))"),"0")</f>
        <v>0</v>
      </c>
      <c r="AB375" s="501" t="str">
        <f aca="false">IFERROR(__xludf.dummyfunction("if(isna(ABS(MINUS(SUM(FILTER(MatchSource!$H:$M,MatchSource!$H:$H=$B375)),SUM($X375,$Z375)))),0,ABS(MINUS(SUM(FILTER(MatchSource!$H:$M,MatchSource!$H:$H=$B375)),SUM($X375,$Z375))))"),"0")</f>
        <v>0</v>
      </c>
      <c r="AC375" s="507" t="n">
        <f aca="false">SUM(IF(OR($R375="Grass",$R375="Psychic",$R375="Dark"),0-1,IF(OR($R375="Fighting",$R375="Flying",$R375="Fire",$R375="Ghost",$R375="Poison",$R375="Steel",$R375="Fairy"),1,0)),IF(OR($S375="Grass",$S375="Psychic",$S375="Dark"),0-1,IF(OR($S375="Fighting",$S375="Flying",$S375="Fire",$S375="Ghost",$S375="Poison",$S375="Steel",$S375="Fairy"),1,0)))</f>
        <v>0</v>
      </c>
      <c r="AD375" s="507" t="n">
        <f aca="false">SUM(IF(OR($R375="Ghost",$R375="Psychic"),0-1,IF(OR($R375="Fighting",$R375="Dark",$R375="Fairy"),1,0)),IF(OR($S375="Ghost",$S375="Psychic"),0-1,IF(OR($S375="Fighting",$S375="Dark",$S375="Fairy"),1,0)))</f>
        <v>0</v>
      </c>
      <c r="AE375" s="507" t="n">
        <f aca="false">IF(OR($R375="Fairy",$S375="Fairy"),4,SUM(IF($R375="Dragon",0-1,IF($R375="Steel",1,0)),IF($S375="Dragon",0-1,IF($S375="Steel",1,0))))</f>
        <v>0</v>
      </c>
      <c r="AF375" s="507" t="n">
        <f aca="false">IF(OR($R375="Ground",$S375="Ground"),4,SUM(IF(OR($R375="Flying",$R375="Water"),0-1,IF(OR($R375="Dragon",$R375="Electric",$R375="Grass"),1,0)),IF(OR($S375="Flying",$S375="Water"),0-1,IF(OR($S375="Dragon",$S375="Electric",$S375="Grass"),1,0))))</f>
        <v>0</v>
      </c>
      <c r="AG375" s="507" t="n">
        <f aca="false">SUM(IF(OR($R375="Dark",$R375="Dragon",$R375="Fighting"),0-1,IF(OR($R375="Steel",$R375="Poison",$R375="Fire"),1,0)),IF(OR($S375="Dark",$S375="Dragon",$S375="Fighting"),0-1,IF(OR($S375="Steel",$S375="Poison",$S375="Fire"),1,0)))</f>
        <v>0</v>
      </c>
      <c r="AH375" s="507" t="n">
        <f aca="false">IF(OR($R375="Ghost",$S375="Ghost"),4,SUM(IF(OR($R375="Dark",$R375="Ice",$R375="Normal",$R375="Rock",$R375="Steel"),0-1,IF(OR($R375="Bug",$R375="Fairy",$R375="Flying",$R375="Poison",$R375="Psychic"),1,0)),IF(OR($S375="Dark",$S375="Ice",$S375="Normal",$S375="Rock",$S375="Steel"),0-1,IF(OR($S375="Bug",$S375="Fairy",$S375="Flying",$S375="Poison",$S375="Psychic"),1,0))))</f>
        <v>-1</v>
      </c>
      <c r="AI375" s="507" t="n">
        <f aca="false">SUM(IF(OR($R375="Bug",$R375="Grass",$R375="Ice",$R375="Steel"),0-1,IF(OR($R375="Dragon",$R375="Fire",$R375="Rock",$R375="Water"),1,0)),IF(OR($S375="Bug",$S375="Grass",$S375="Ice",$S375="Steel"),0-1,IF(OR($S375="Dragon",$S375="Fire",$S375="Rock",$S375="Water"),1,0)))</f>
        <v>0</v>
      </c>
      <c r="AJ375" s="507" t="n">
        <f aca="false">SUM(IF(OR($R375="Bug",$R375="Grass",$R375="Fighting"),0-1,IF(OR($R375="Electric",$R375="Rock",$R375="Steel"),1,0)),IF(OR($S375="Bug",$S375="Grass",$S375="Fighting"),0-1,IF(OR($S375="Electric",$S375="Rock",$S375="Steel"),1,0)))</f>
        <v>0</v>
      </c>
      <c r="AK375" s="507" t="n">
        <f aca="false">IF(OR($R375="Normal",$S375="Normal"),4,SUM(IF(OR($R375="Ghost",$R375="Psychic"),0-1,IF($R375="Dark",1,0)),IF(OR($S375="Ghost",$S375="Psychic"),0-1,IF($S375="Dark",1,0))))</f>
        <v>4</v>
      </c>
      <c r="AL375" s="507" t="n">
        <f aca="false">SUM(IF(OR($R375="Ground",$R375="Rock",$R375="Water"),0-1,IF(OR($R375="Bug",$R375="Flying",$R375="Fire",$R375="Dragon",$R375="Poison",$R375="Steel",$R375="Grass"),1,0)),IF(OR($S375="Ground",$S375="Rock",$S375="Water"),0-1,IF(OR($S375="Bug",$S375="Flying",$S375="Fire",$S375="Dragon",$S375="Poison",$S375="Steel",$S375="Grass"),1,0)))</f>
        <v>0</v>
      </c>
      <c r="AM375" s="507" t="n">
        <f aca="false">IF(OR($R375="Flying",$S375="Flying"),4,SUM(IF(OR($R375="Electric",$R375="Fire",$R375="Rock",$R375="Steel",$R375="Poison"),0-1,IF(OR($R375="Bug",$R375="Grass"),1,0)),IF(OR($S375="Electric",$S375="Fire",$S375="Rock",$S375="Steel",$S375="Poison"),0-1,IF(OR($S375="Bug",$S375="Grass"),1,0))))</f>
        <v>0</v>
      </c>
      <c r="AN375" s="507" t="n">
        <f aca="false">SUM(IF(OR($R375="Flying",$R375="Dragon",$R375="Grass",$R375="Ground"),0-1,IF(OR($R375="Steel",$R375="Ice",$R375="Fire",$R375="Water"),1,0)),IF(OR($S375="Flying",$S375="Dragon",$S375="Grass",$S375="Ground"),0-1,IF(OR($S375="Steel",$S375="Ice",$S375="Fire",$S375="Water"),1,0)))</f>
        <v>0</v>
      </c>
      <c r="AO375" s="507" t="n">
        <f aca="false">IF(OR($R375="Ghost",$S375="Ghost"),4,SUM(IF(OR($R375="Steel",$R375="Rock"),1,0),IF(OR($S375="Steel",$S375="Rock"),1,0)))</f>
        <v>0</v>
      </c>
      <c r="AP375" s="507" t="n">
        <f aca="false">IF(OR($R375="Steel",$S375="Steel"),4,SUM(IF(OR($R375="Fairy",$R375="Grass"),0-1,IF(OR($R375="Ghost",$R375="Rock",$R375="Ground",$R375="Poison"),1,0)),IF(OR($S375="Fairy",$S375="Grass"),0-1,IF(OR($S375="Ghost",$S375="Rock",$S375="Ground",$S375="Poison"),1,0))))</f>
        <v>0</v>
      </c>
      <c r="AQ375" s="507" t="n">
        <f aca="false">IF(OR($R375="Dark",$S375="Dark"),4,SUM(IF(OR($R375="Fighting",$R375="Poison"),0-1,IF(OR($R375="Psychic",$R375="Steel"),1,0)),IF(OR($S375="Fighting",$S375="Poison"),0-1,IF(OR($S375="Psychic",$S375="Steel"),1,0))))</f>
        <v>0</v>
      </c>
      <c r="AR375" s="507" t="n">
        <f aca="false">SUM(IF(OR($R375="Bug",$R375="Fire",$R375="Flying",$R375="Ice"),0-1,IF(OR($R375="Steel",$R375="Fighting",$R375="Ground"),1,0)),IF(OR($S375="Bug",$S375="Fire",$S375="Flying",$S375="Ice"),0-1,IF(OR($S375="Steel",$S375="Fighting",$S375="Ground"),1,0)))</f>
        <v>0</v>
      </c>
      <c r="AS375" s="507" t="n">
        <f aca="false">SUM(IF(OR($R375="Fairy",$R375="Ice",$R375="Rock"),0-1,IF(OR($R375="Steel",$R375="Electric",$R375="Fire",$R375="Water"),1,0)),IF(OR($S375="Fairy",$S375="Ice",$S375="Rock"),0-1,IF(OR($S375="Steel",$S375="Electric",$S375="Fire",$S375="Water"),1,0)))</f>
        <v>0</v>
      </c>
      <c r="AT375" s="508" t="n">
        <f aca="false">SUM(IF(OR($R375="Fire",$R375="Ground",$R375="Rock"),0-1,IF(OR($R375="Dragon",$R375="Grass",$R375="Water"),1,0)),IF(OR($S375="Fire",$S375="Ground",$S375="Rock"),0-1,IF(OR($S375="Dragon",$S375="Grass",$S375="Water"),1,0)))</f>
        <v>0</v>
      </c>
      <c r="AU375" s="518"/>
    </row>
    <row r="376" customFormat="false" ht="15.75" hidden="false" customHeight="false" outlineLevel="0" collapsed="false">
      <c r="A376" s="510" t="str">
        <f aca="false" t="array" ref="A376:A376">IF(ISNA(INDEX(Source!$U$7:$U$95,MATCH(B376,Source!$V$7:$V$95,0))),"FREE",INDEX(Source!$U$7:$U$95,MATCH(B376,Source!$V$7:$V$95,0)))</f>
        <v>FREE</v>
      </c>
      <c r="B376" s="511" t="s">
        <v>764</v>
      </c>
      <c r="C376" s="511"/>
      <c r="D376" s="511"/>
      <c r="E376" s="499" t="str">
        <f aca="false">IF(SUM($W376:$X376)&gt;0,SUM($W376:$X376),IF($H376&gt;0,0,IF($H376&gt;0,0,"-")))</f>
        <v>-</v>
      </c>
      <c r="F376" s="499" t="str">
        <f aca="false">IF(SUM($Y376:$Z376)&gt;0,SUM($Y376:$Z376),IF($H376&gt;0,0,"-"))</f>
        <v>-</v>
      </c>
      <c r="G376" s="499" t="str">
        <f aca="false">IF($H376&gt;0,minus(E376,F376),"-")</f>
        <v>-</v>
      </c>
      <c r="H376" s="500" t="n">
        <f aca="false">SUM(COUNTIF(MatchSource!$A:$A,$B376),COUNTIF(MatchSource!$H:$H,$B376))</f>
        <v>0</v>
      </c>
      <c r="I376" s="501" t="n">
        <f aca="false">SUM($AA376:$AB376)</f>
        <v>0</v>
      </c>
      <c r="J376" s="501" t="s">
        <v>702</v>
      </c>
      <c r="K376" s="512" t="str">
        <f aca="false" t="array" ref="K376:K376">IF(ISNA(INDEX(DraftRosters!$AA$3:$AA$199,MATCH($B376,DraftRosters!$AB$3:$AB$199,0))),"FA",IF(INDEX(DraftRosters!$AA$3:$AA$199,MATCH($B376,DraftRosters!$AB$3:$AB$199,0))="Franchise","Franch",INDEX(DraftRosters!$AA$3:$AA$199,MATCH($B376,DraftRosters!$AB$3:$AB$199,0))))</f>
        <v>FA</v>
      </c>
      <c r="L376" s="507" t="n">
        <v>75</v>
      </c>
      <c r="M376" s="507" t="n">
        <v>71</v>
      </c>
      <c r="N376" s="507" t="n">
        <v>70</v>
      </c>
      <c r="O376" s="507" t="n">
        <v>40</v>
      </c>
      <c r="P376" s="507" t="n">
        <v>80</v>
      </c>
      <c r="Q376" s="508" t="n">
        <v>77</v>
      </c>
      <c r="R376" s="499" t="s">
        <v>795</v>
      </c>
      <c r="S376" s="501" t="s">
        <v>839</v>
      </c>
      <c r="T376" s="520" t="s">
        <v>868</v>
      </c>
      <c r="U376" s="513" t="s">
        <v>995</v>
      </c>
      <c r="V376" s="514" t="s">
        <v>868</v>
      </c>
      <c r="W376" s="500" t="str">
        <f aca="false">IFERROR(__xludf.dummyfunction("if(isna(SUM(FILTER(MatchSource!$A:$D,MatchSource!$A:$A=$B376))),0,SUM(FILTER(MatchSource!$A:$D,MatchSource!$A:$A=$B376)))"),"0")</f>
        <v>0</v>
      </c>
      <c r="X376" s="499" t="str">
        <f aca="false">IFERROR(__xludf.dummyfunction("if(isna(SUM(FILTER(MatchSource!$H:$K,MatchSource!$H:$H=$B376))),0,SUM(FILTER(MatchSource!$H:$K,MatchSource!$H:$H=$B376)))"),"0")</f>
        <v>0</v>
      </c>
      <c r="Y376" s="499" t="str">
        <f aca="false">IFERROR(__xludf.dummyfunction("if(isna(ABS(MINUS(SUM(FILTER(MatchSource!$A:$E,MatchSource!$A:$A=$B376)),SUM($W376)))),0,ABS(MINUS(SUM(FILTER(MatchSource!$A:$E,MatchSource!$A:$A=$B376)),SUM($W376))))"),"0")</f>
        <v>0</v>
      </c>
      <c r="Z376" s="499" t="str">
        <f aca="false">IFERROR(__xludf.dummyfunction("if(isna(ABS(MINUS(SUM(FILTER(MatchSource!$H:$L,MatchSource!$H:$H=$B376)),SUM($X376)))),0,ABS(MINUS(SUM(FILTER(MatchSource!$H:$L,MatchSource!$H:$H=$B376)),SUM($X376))))"),"0")</f>
        <v>0</v>
      </c>
      <c r="AA376" s="499" t="str">
        <f aca="false">IFERROR(__xludf.dummyfunction("if(isna(ABS(MINUS(SUM(FILTER(MatchSource!$A:$F,MatchSource!$A:$A=$B376)),SUM($W376,$Y376)))),0,ABS(MINUS(SUM(FILTER(MatchSource!$A:$F,MatchSource!$A:$A=$B376)),SUM($W376, $Y376,))))"),"0")</f>
        <v>0</v>
      </c>
      <c r="AB376" s="501" t="str">
        <f aca="false">IFERROR(__xludf.dummyfunction("if(isna(ABS(MINUS(SUM(FILTER(MatchSource!$H:$M,MatchSource!$H:$H=$B376)),SUM($X376,$Z376)))),0,ABS(MINUS(SUM(FILTER(MatchSource!$H:$M,MatchSource!$H:$H=$B376)),SUM($X376,$Z376))))"),"0")</f>
        <v>0</v>
      </c>
      <c r="AC376" s="507" t="n">
        <f aca="false">SUM(IF(OR($R376="Grass",$R376="Psychic",$R376="Dark"),0-1,IF(OR($R376="Fighting",$R376="Flying",$R376="Fire",$R376="Ghost",$R376="Poison",$R376="Steel",$R376="Fairy"),1,0)),IF(OR($S376="Grass",$S376="Psychic",$S376="Dark"),0-1,IF(OR($S376="Fighting",$S376="Flying",$S376="Fire",$S376="Ghost",$S376="Poison",$S376="Steel",$S376="Fairy"),1,0)))</f>
        <v>-1</v>
      </c>
      <c r="AD376" s="507" t="n">
        <f aca="false">SUM(IF(OR($R376="Ghost",$R376="Psychic"),0-1,IF(OR($R376="Fighting",$R376="Dark",$R376="Fairy"),1,0)),IF(OR($S376="Ghost",$S376="Psychic"),0-1,IF(OR($S376="Fighting",$S376="Dark",$S376="Fairy"),1,0)))</f>
        <v>1</v>
      </c>
      <c r="AE376" s="507" t="n">
        <f aca="false">IF(OR($R376="Fairy",$S376="Fairy"),4,SUM(IF($R376="Dragon",0-1,IF($R376="Steel",1,0)),IF($S376="Dragon",0-1,IF($S376="Steel",1,0))))</f>
        <v>0</v>
      </c>
      <c r="AF376" s="507" t="n">
        <f aca="false">IF(OR($R376="Ground",$S376="Ground"),4,SUM(IF(OR($R376="Flying",$R376="Water"),0-1,IF(OR($R376="Dragon",$R376="Electric",$R376="Grass"),1,0)),IF(OR($S376="Flying",$S376="Water"),0-1,IF(OR($S376="Dragon",$S376="Electric",$S376="Grass"),1,0))))</f>
        <v>0</v>
      </c>
      <c r="AG376" s="507" t="n">
        <f aca="false">SUM(IF(OR($R376="Dark",$R376="Dragon",$R376="Fighting"),0-1,IF(OR($R376="Steel",$R376="Poison",$R376="Fire"),1,0)),IF(OR($S376="Dark",$S376="Dragon",$S376="Fighting"),0-1,IF(OR($S376="Steel",$S376="Poison",$S376="Fire"),1,0)))</f>
        <v>-1</v>
      </c>
      <c r="AH376" s="507" t="n">
        <f aca="false">IF(OR($R376="Ghost",$S376="Ghost"),4,SUM(IF(OR($R376="Dark",$R376="Ice",$R376="Normal",$R376="Rock",$R376="Steel"),0-1,IF(OR($R376="Bug",$R376="Fairy",$R376="Flying",$R376="Poison",$R376="Psychic"),1,0)),IF(OR($S376="Dark",$S376="Ice",$S376="Normal",$S376="Rock",$S376="Steel"),0-1,IF(OR($S376="Bug",$S376="Fairy",$S376="Flying",$S376="Poison",$S376="Psychic"),1,0))))</f>
        <v>-2</v>
      </c>
      <c r="AI376" s="507" t="n">
        <f aca="false">SUM(IF(OR($R376="Bug",$R376="Grass",$R376="Ice",$R376="Steel"),0-1,IF(OR($R376="Dragon",$R376="Fire",$R376="Rock",$R376="Water"),1,0)),IF(OR($S376="Bug",$S376="Grass",$S376="Ice",$S376="Steel"),0-1,IF(OR($S376="Dragon",$S376="Fire",$S376="Rock",$S376="Water"),1,0)))</f>
        <v>0</v>
      </c>
      <c r="AJ376" s="507" t="n">
        <f aca="false">SUM(IF(OR($R376="Bug",$R376="Grass",$R376="Fighting"),0-1,IF(OR($R376="Electric",$R376="Rock",$R376="Steel"),1,0)),IF(OR($S376="Bug",$S376="Grass",$S376="Fighting"),0-1,IF(OR($S376="Electric",$S376="Rock",$S376="Steel"),1,0)))</f>
        <v>0</v>
      </c>
      <c r="AK376" s="507" t="n">
        <f aca="false">IF(OR($R376="Normal",$S376="Normal"),4,SUM(IF(OR($R376="Ghost",$R376="Psychic"),0-1,IF($R376="Dark",1,0)),IF(OR($S376="Ghost",$S376="Psychic"),0-1,IF($S376="Dark",1,0))))</f>
        <v>4</v>
      </c>
      <c r="AL376" s="507" t="n">
        <f aca="false">SUM(IF(OR($R376="Ground",$R376="Rock",$R376="Water"),0-1,IF(OR($R376="Bug",$R376="Flying",$R376="Fire",$R376="Dragon",$R376="Poison",$R376="Steel",$R376="Grass"),1,0)),IF(OR($S376="Ground",$S376="Rock",$S376="Water"),0-1,IF(OR($S376="Bug",$S376="Flying",$S376="Fire",$S376="Dragon",$S376="Poison",$S376="Steel",$S376="Grass"),1,0)))</f>
        <v>0</v>
      </c>
      <c r="AM376" s="507" t="n">
        <f aca="false">IF(OR($R376="Flying",$S376="Flying"),4,SUM(IF(OR($R376="Electric",$R376="Fire",$R376="Rock",$R376="Steel",$R376="Poison"),0-1,IF(OR($R376="Bug",$R376="Grass"),1,0)),IF(OR($S376="Electric",$S376="Fire",$S376="Rock",$S376="Steel",$S376="Poison"),0-1,IF(OR($S376="Bug",$S376="Grass"),1,0))))</f>
        <v>0</v>
      </c>
      <c r="AN376" s="507" t="n">
        <f aca="false">SUM(IF(OR($R376="Flying",$R376="Dragon",$R376="Grass",$R376="Ground"),0-1,IF(OR($R376="Steel",$R376="Ice",$R376="Fire",$R376="Water"),1,0)),IF(OR($S376="Flying",$S376="Dragon",$S376="Grass",$S376="Ground"),0-1,IF(OR($S376="Steel",$S376="Ice",$S376="Fire",$S376="Water"),1,0)))</f>
        <v>0</v>
      </c>
      <c r="AO376" s="507" t="n">
        <f aca="false">IF(OR($R376="Ghost",$S376="Ghost"),4,SUM(IF(OR($R376="Steel",$R376="Rock"),1,0),IF(OR($S376="Steel",$S376="Rock"),1,0)))</f>
        <v>0</v>
      </c>
      <c r="AP376" s="507" t="n">
        <f aca="false">IF(OR($R376="Steel",$S376="Steel"),4,SUM(IF(OR($R376="Fairy",$R376="Grass"),0-1,IF(OR($R376="Ghost",$R376="Rock",$R376="Ground",$R376="Poison"),1,0)),IF(OR($S376="Fairy",$S376="Grass"),0-1,IF(OR($S376="Ghost",$S376="Rock",$S376="Ground",$S376="Poison"),1,0))))</f>
        <v>0</v>
      </c>
      <c r="AQ376" s="507" t="n">
        <f aca="false">IF(OR($R376="Dark",$S376="Dark"),4,SUM(IF(OR($R376="Fighting",$R376="Poison"),0-1,IF(OR($R376="Psychic",$R376="Steel"),1,0)),IF(OR($S376="Fighting",$S376="Poison"),0-1,IF(OR($S376="Psychic",$S376="Steel"),1,0))))</f>
        <v>4</v>
      </c>
      <c r="AR376" s="507" t="n">
        <f aca="false">SUM(IF(OR($R376="Bug",$R376="Fire",$R376="Flying",$R376="Ice"),0-1,IF(OR($R376="Steel",$R376="Fighting",$R376="Ground"),1,0)),IF(OR($S376="Bug",$S376="Fire",$S376="Flying",$S376="Ice"),0-1,IF(OR($S376="Steel",$S376="Fighting",$S376="Ground"),1,0)))</f>
        <v>0</v>
      </c>
      <c r="AS376" s="507" t="n">
        <f aca="false">SUM(IF(OR($R376="Fairy",$R376="Ice",$R376="Rock"),0-1,IF(OR($R376="Steel",$R376="Electric",$R376="Fire",$R376="Water"),1,0)),IF(OR($S376="Fairy",$S376="Ice",$S376="Rock"),0-1,IF(OR($S376="Steel",$S376="Electric",$S376="Fire",$S376="Water"),1,0)))</f>
        <v>0</v>
      </c>
      <c r="AT376" s="508" t="n">
        <f aca="false">SUM(IF(OR($R376="Fire",$R376="Ground",$R376="Rock"),0-1,IF(OR($R376="Dragon",$R376="Grass",$R376="Water"),1,0)),IF(OR($S376="Fire",$S376="Ground",$S376="Rock"),0-1,IF(OR($S376="Dragon",$S376="Grass",$S376="Water"),1,0)))</f>
        <v>0</v>
      </c>
      <c r="AU376" s="518"/>
    </row>
    <row r="377" customFormat="false" ht="15.75" hidden="false" customHeight="false" outlineLevel="0" collapsed="false">
      <c r="A377" s="510" t="str">
        <f aca="false" t="array" ref="A377:A377">IF(ISNA(INDEX(Source!$U$7:$U$95,MATCH(B377,Source!$V$7:$V$95,0))),"FREE",INDEX(Source!$U$7:$U$95,MATCH(B377,Source!$V$7:$V$95,0)))</f>
        <v>FREE</v>
      </c>
      <c r="B377" s="511" t="s">
        <v>513</v>
      </c>
      <c r="C377" s="511"/>
      <c r="D377" s="511"/>
      <c r="E377" s="499" t="str">
        <f aca="false">IF(SUM($W377:$X377)&gt;0,SUM($W377:$X377),IF($H377&gt;0,0,IF($H377&gt;0,0,"-")))</f>
        <v>-</v>
      </c>
      <c r="F377" s="499" t="str">
        <f aca="false">IF(SUM($Y377:$Z377)&gt;0,SUM($Y377:$Z377),IF($H377&gt;0,0,"-"))</f>
        <v>-</v>
      </c>
      <c r="G377" s="499" t="str">
        <f aca="false">IF($H377&gt;0,minus(E377,F377),"-")</f>
        <v>-</v>
      </c>
      <c r="H377" s="500" t="n">
        <f aca="false">SUM(COUNTIF(MatchSource!$A:$A,$B377),COUNTIF(MatchSource!$H:$H,$B377))</f>
        <v>0</v>
      </c>
      <c r="I377" s="501" t="n">
        <f aca="false">SUM($AA377:$AB377)</f>
        <v>0</v>
      </c>
      <c r="J377" s="501" t="s">
        <v>702</v>
      </c>
      <c r="K377" s="512" t="str">
        <f aca="false" t="array" ref="K377:K377">IF(ISNA(INDEX(DraftRosters!$AA$3:$AA$199,MATCH($B377,DraftRosters!$AB$3:$AB$199,0))),"FA",IF(INDEX(DraftRosters!$AA$3:$AA$199,MATCH($B377,DraftRosters!$AB$3:$AB$199,0))="Franchise","Franch",INDEX(DraftRosters!$AA$3:$AA$199,MATCH($B377,DraftRosters!$AB$3:$AB$199,0))))</f>
        <v>FA</v>
      </c>
      <c r="L377" s="499" t="n">
        <v>80</v>
      </c>
      <c r="M377" s="499" t="n">
        <v>50</v>
      </c>
      <c r="N377" s="499" t="n">
        <v>100</v>
      </c>
      <c r="O377" s="499" t="n">
        <v>100</v>
      </c>
      <c r="P377" s="499" t="n">
        <v>200</v>
      </c>
      <c r="Q377" s="501" t="n">
        <v>50</v>
      </c>
      <c r="R377" s="499" t="s">
        <v>805</v>
      </c>
      <c r="S377" s="501"/>
      <c r="T377" s="504" t="s">
        <v>911</v>
      </c>
      <c r="U377" s="505"/>
      <c r="V377" s="506"/>
      <c r="W377" s="500" t="str">
        <f aca="false">IFERROR(__xludf.dummyfunction("if(isna(SUM(FILTER(MatchSource!$A:$D,MatchSource!$A:$A=$B377))),0,SUM(FILTER(MatchSource!$A:$D,MatchSource!$A:$A=$B377)))"),"0")</f>
        <v>0</v>
      </c>
      <c r="X377" s="499" t="str">
        <f aca="false">IFERROR(__xludf.dummyfunction("if(isna(SUM(FILTER(MatchSource!$H:$K,MatchSource!$H:$H=$B377))),0,SUM(FILTER(MatchSource!$H:$K,MatchSource!$H:$H=$B377)))"),"0")</f>
        <v>0</v>
      </c>
      <c r="Y377" s="499" t="str">
        <f aca="false">IFERROR(__xludf.dummyfunction("if(isna(ABS(MINUS(SUM(FILTER(MatchSource!$A:$E,MatchSource!$A:$A=$B377)),SUM($W377)))),0,ABS(MINUS(SUM(FILTER(MatchSource!$A:$E,MatchSource!$A:$A=$B377)),SUM($W377))))"),"0")</f>
        <v>0</v>
      </c>
      <c r="Z377" s="499" t="str">
        <f aca="false">IFERROR(__xludf.dummyfunction("if(isna(ABS(MINUS(SUM(FILTER(MatchSource!$H:$L,MatchSource!$H:$H=$B377)),SUM($X377)))),0,ABS(MINUS(SUM(FILTER(MatchSource!$H:$L,MatchSource!$H:$H=$B377)),SUM($X377))))"),"0")</f>
        <v>0</v>
      </c>
      <c r="AA377" s="499" t="str">
        <f aca="false">IFERROR(__xludf.dummyfunction("if(isna(ABS(MINUS(SUM(FILTER(MatchSource!$A:$F,MatchSource!$A:$A=$B377)),SUM($W377,$Y377)))),0,ABS(MINUS(SUM(FILTER(MatchSource!$A:$F,MatchSource!$A:$A=$B377)),SUM($W377, $Y377,))))"),"0")</f>
        <v>0</v>
      </c>
      <c r="AB377" s="501" t="str">
        <f aca="false">IFERROR(__xludf.dummyfunction("if(isna(ABS(MINUS(SUM(FILTER(MatchSource!$H:$M,MatchSource!$H:$H=$B377)),SUM($X377,$Z377)))),0,ABS(MINUS(SUM(FILTER(MatchSource!$H:$M,MatchSource!$H:$H=$B377)),SUM($X377,$Z377))))"),"0")</f>
        <v>0</v>
      </c>
      <c r="AC377" s="507" t="n">
        <f aca="false">SUM(IF(OR($R377="Grass",$R377="Psychic",$R377="Dark"),0-1,IF(OR($R377="Fighting",$R377="Flying",$R377="Fire",$R377="Ghost",$R377="Poison",$R377="Steel",$R377="Fairy"),1,0)),IF(OR($S377="Grass",$S377="Psychic",$S377="Dark"),0-1,IF(OR($S377="Fighting",$S377="Flying",$S377="Fire",$S377="Ghost",$S377="Poison",$S377="Steel",$S377="Fairy"),1,0)))</f>
        <v>0</v>
      </c>
      <c r="AD377" s="507" t="n">
        <f aca="false">SUM(IF(OR($R377="Ghost",$R377="Psychic"),0-1,IF(OR($R377="Fighting",$R377="Dark",$R377="Fairy"),1,0)),IF(OR($S377="Ghost",$S377="Psychic"),0-1,IF(OR($S377="Fighting",$S377="Dark",$S377="Fairy"),1,0)))</f>
        <v>0</v>
      </c>
      <c r="AE377" s="507" t="n">
        <f aca="false">IF(OR($R377="Fairy",$S377="Fairy"),4,SUM(IF($R377="Dragon",0-1,IF($R377="Steel",1,0)),IF($S377="Dragon",0-1,IF($S377="Steel",1,0))))</f>
        <v>0</v>
      </c>
      <c r="AF377" s="507" t="n">
        <f aca="false">IF(OR($R377="Ground",$S377="Ground"),4,SUM(IF(OR($R377="Flying",$R377="Water"),0-1,IF(OR($R377="Dragon",$R377="Electric",$R377="Grass"),1,0)),IF(OR($S377="Flying",$S377="Water"),0-1,IF(OR($S377="Dragon",$S377="Electric",$S377="Grass"),1,0))))</f>
        <v>0</v>
      </c>
      <c r="AG377" s="507" t="n">
        <f aca="false">SUM(IF(OR($R377="Dark",$R377="Dragon",$R377="Fighting"),0-1,IF(OR($R377="Steel",$R377="Poison",$R377="Fire"),1,0)),IF(OR($S377="Dark",$S377="Dragon",$S377="Fighting"),0-1,IF(OR($S377="Steel",$S377="Poison",$S377="Fire"),1,0)))</f>
        <v>0</v>
      </c>
      <c r="AH377" s="507" t="n">
        <f aca="false">IF(OR($R377="Ghost",$S377="Ghost"),4,SUM(IF(OR($R377="Dark",$R377="Ice",$R377="Normal",$R377="Rock",$R377="Steel"),0-1,IF(OR($R377="Bug",$R377="Fairy",$R377="Flying",$R377="Poison",$R377="Psychic"),1,0)),IF(OR($S377="Dark",$S377="Ice",$S377="Normal",$S377="Rock",$S377="Steel"),0-1,IF(OR($S377="Bug",$S377="Fairy",$S377="Flying",$S377="Poison",$S377="Psychic"),1,0))))</f>
        <v>-1</v>
      </c>
      <c r="AI377" s="507" t="n">
        <f aca="false">SUM(IF(OR($R377="Bug",$R377="Grass",$R377="Ice",$R377="Steel"),0-1,IF(OR($R377="Dragon",$R377="Fire",$R377="Rock",$R377="Water"),1,0)),IF(OR($S377="Bug",$S377="Grass",$S377="Ice",$S377="Steel"),0-1,IF(OR($S377="Dragon",$S377="Fire",$S377="Rock",$S377="Water"),1,0)))</f>
        <v>-1</v>
      </c>
      <c r="AJ377" s="507" t="n">
        <f aca="false">SUM(IF(OR($R377="Bug",$R377="Grass",$R377="Fighting"),0-1,IF(OR($R377="Electric",$R377="Rock",$R377="Steel"),1,0)),IF(OR($S377="Bug",$S377="Grass",$S377="Fighting"),0-1,IF(OR($S377="Electric",$S377="Rock",$S377="Steel"),1,0)))</f>
        <v>0</v>
      </c>
      <c r="AK377" s="507" t="n">
        <f aca="false">IF(OR($R377="Normal",$S377="Normal"),4,SUM(IF(OR($R377="Ghost",$R377="Psychic"),0-1,IF($R377="Dark",1,0)),IF(OR($S377="Ghost",$S377="Psychic"),0-1,IF($S377="Dark",1,0))))</f>
        <v>0</v>
      </c>
      <c r="AL377" s="507" t="n">
        <f aca="false">SUM(IF(OR($R377="Ground",$R377="Rock",$R377="Water"),0-1,IF(OR($R377="Bug",$R377="Flying",$R377="Fire",$R377="Dragon",$R377="Poison",$R377="Steel",$R377="Grass"),1,0)),IF(OR($S377="Ground",$S377="Rock",$S377="Water"),0-1,IF(OR($S377="Bug",$S377="Flying",$S377="Fire",$S377="Dragon",$S377="Poison",$S377="Steel",$S377="Grass"),1,0)))</f>
        <v>0</v>
      </c>
      <c r="AM377" s="507" t="n">
        <f aca="false">IF(OR($R377="Flying",$S377="Flying"),4,SUM(IF(OR($R377="Electric",$R377="Fire",$R377="Rock",$R377="Steel",$R377="Poison"),0-1,IF(OR($R377="Bug",$R377="Grass"),1,0)),IF(OR($S377="Electric",$S377="Fire",$S377="Rock",$S377="Steel",$S377="Poison"),0-1,IF(OR($S377="Bug",$S377="Grass"),1,0))))</f>
        <v>0</v>
      </c>
      <c r="AN377" s="507" t="n">
        <f aca="false">SUM(IF(OR($R377="Flying",$R377="Dragon",$R377="Grass",$R377="Ground"),0-1,IF(OR($R377="Steel",$R377="Ice",$R377="Fire",$R377="Water"),1,0)),IF(OR($S377="Flying",$S377="Dragon",$S377="Grass",$S377="Ground"),0-1,IF(OR($S377="Steel",$S377="Ice",$S377="Fire",$S377="Water"),1,0)))</f>
        <v>1</v>
      </c>
      <c r="AO377" s="507" t="n">
        <f aca="false">IF(OR($R377="Ghost",$S377="Ghost"),4,SUM(IF(OR($R377="Steel",$R377="Rock"),1,0),IF(OR($S377="Steel",$S377="Rock"),1,0)))</f>
        <v>0</v>
      </c>
      <c r="AP377" s="507" t="n">
        <f aca="false">IF(OR($R377="Steel",$S377="Steel"),4,SUM(IF(OR($R377="Fairy",$R377="Grass"),0-1,IF(OR($R377="Ghost",$R377="Rock",$R377="Ground",$R377="Poison"),1,0)),IF(OR($S377="Fairy",$S377="Grass"),0-1,IF(OR($S377="Ghost",$S377="Rock",$S377="Ground",$S377="Poison"),1,0))))</f>
        <v>0</v>
      </c>
      <c r="AQ377" s="507" t="n">
        <f aca="false">IF(OR($R377="Dark",$S377="Dark"),4,SUM(IF(OR($R377="Fighting",$R377="Poison"),0-1,IF(OR($R377="Psychic",$R377="Steel"),1,0)),IF(OR($S377="Fighting",$S377="Poison"),0-1,IF(OR($S377="Psychic",$S377="Steel"),1,0))))</f>
        <v>0</v>
      </c>
      <c r="AR377" s="507" t="n">
        <f aca="false">SUM(IF(OR($R377="Bug",$R377="Fire",$R377="Flying",$R377="Ice"),0-1,IF(OR($R377="Steel",$R377="Fighting",$R377="Ground"),1,0)),IF(OR($S377="Bug",$S377="Fire",$S377="Flying",$S377="Ice"),0-1,IF(OR($S377="Steel",$S377="Fighting",$S377="Ground"),1,0)))</f>
        <v>-1</v>
      </c>
      <c r="AS377" s="507" t="n">
        <f aca="false">SUM(IF(OR($R377="Fairy",$R377="Ice",$R377="Rock"),0-1,IF(OR($R377="Steel",$R377="Electric",$R377="Fire",$R377="Water"),1,0)),IF(OR($S377="Fairy",$S377="Ice",$S377="Rock"),0-1,IF(OR($S377="Steel",$S377="Electric",$S377="Fire",$S377="Water"),1,0)))</f>
        <v>-1</v>
      </c>
      <c r="AT377" s="508" t="n">
        <f aca="false">SUM(IF(OR($R377="Fire",$R377="Ground",$R377="Rock"),0-1,IF(OR($R377="Dragon",$R377="Grass",$R377="Water"),1,0)),IF(OR($S377="Fire",$S377="Ground",$S377="Rock"),0-1,IF(OR($S377="Dragon",$S377="Grass",$S377="Water"),1,0)))</f>
        <v>0</v>
      </c>
      <c r="AU377" s="518"/>
    </row>
    <row r="378" customFormat="false" ht="15.75" hidden="false" customHeight="false" outlineLevel="0" collapsed="false">
      <c r="A378" s="510" t="str">
        <f aca="false" t="array" ref="A378:A378">IF(ISNA(INDEX(Source!$U$7:$U$95,MATCH(B378,Source!$V$7:$V$95,0))),"FREE",INDEX(Source!$U$7:$U$95,MATCH(B378,Source!$V$7:$V$95,0)))</f>
        <v>FREE</v>
      </c>
      <c r="B378" s="511" t="s">
        <v>517</v>
      </c>
      <c r="C378" s="511"/>
      <c r="D378" s="511"/>
      <c r="E378" s="499" t="str">
        <f aca="false">IF(SUM($W378:$X378)&gt;0,SUM($W378:$X378),IF($H378&gt;0,0,IF($H378&gt;0,0,"-")))</f>
        <v>-</v>
      </c>
      <c r="F378" s="499" t="str">
        <f aca="false">IF(SUM($Y378:$Z378)&gt;0,SUM($Y378:$Z378),IF($H378&gt;0,0,"-"))</f>
        <v>-</v>
      </c>
      <c r="G378" s="499" t="str">
        <f aca="false">IF($H378&gt;0,minus(E378,F378),"-")</f>
        <v>-</v>
      </c>
      <c r="H378" s="500" t="n">
        <f aca="false">SUM(COUNTIF(MatchSource!$A:$A,$B378),COUNTIF(MatchSource!$H:$H,$B378))</f>
        <v>0</v>
      </c>
      <c r="I378" s="501" t="n">
        <f aca="false">SUM($AA378:$AB378)</f>
        <v>0</v>
      </c>
      <c r="J378" s="501" t="s">
        <v>702</v>
      </c>
      <c r="K378" s="512" t="str">
        <f aca="false" t="array" ref="K378:K378">IF(ISNA(INDEX(DraftRosters!$AA$3:$AA$199,MATCH($B378,DraftRosters!$AB$3:$AB$199,0))),"FA",IF(INDEX(DraftRosters!$AA$3:$AA$199,MATCH($B378,DraftRosters!$AB$3:$AB$199,0))="Franchise","Franch",INDEX(DraftRosters!$AA$3:$AA$199,MATCH($B378,DraftRosters!$AB$3:$AB$199,0))))</f>
        <v>FA</v>
      </c>
      <c r="L378" s="499" t="n">
        <v>110</v>
      </c>
      <c r="M378" s="499" t="n">
        <v>160</v>
      </c>
      <c r="N378" s="499" t="n">
        <v>110</v>
      </c>
      <c r="O378" s="499" t="n">
        <v>80</v>
      </c>
      <c r="P378" s="499" t="n">
        <v>110</v>
      </c>
      <c r="Q378" s="501" t="n">
        <v>100</v>
      </c>
      <c r="R378" s="499" t="s">
        <v>839</v>
      </c>
      <c r="S378" s="501"/>
      <c r="T378" s="504" t="s">
        <v>1058</v>
      </c>
      <c r="U378" s="505"/>
      <c r="V378" s="506"/>
      <c r="W378" s="500" t="str">
        <f aca="false">IFERROR(__xludf.dummyfunction("if(isna(SUM(FILTER(MatchSource!$A:$D,MatchSource!$A:$A=$B378))),0,SUM(FILTER(MatchSource!$A:$D,MatchSource!$A:$A=$B378)))"),"0")</f>
        <v>0</v>
      </c>
      <c r="X378" s="499" t="str">
        <f aca="false">IFERROR(__xludf.dummyfunction("if(isna(SUM(FILTER(MatchSource!$H:$K,MatchSource!$H:$H=$B378))),0,SUM(FILTER(MatchSource!$H:$K,MatchSource!$H:$H=$B378)))"),"0")</f>
        <v>0</v>
      </c>
      <c r="Y378" s="499" t="str">
        <f aca="false">IFERROR(__xludf.dummyfunction("if(isna(ABS(MINUS(SUM(FILTER(MatchSource!$A:$E,MatchSource!$A:$A=$B378)),SUM($W378)))),0,ABS(MINUS(SUM(FILTER(MatchSource!$A:$E,MatchSource!$A:$A=$B378)),SUM($W378))))"),"0")</f>
        <v>0</v>
      </c>
      <c r="Z378" s="499" t="str">
        <f aca="false">IFERROR(__xludf.dummyfunction("if(isna(ABS(MINUS(SUM(FILTER(MatchSource!$H:$L,MatchSource!$H:$H=$B378)),SUM($X378)))),0,ABS(MINUS(SUM(FILTER(MatchSource!$H:$L,MatchSource!$H:$H=$B378)),SUM($X378))))"),"0")</f>
        <v>0</v>
      </c>
      <c r="AA378" s="499" t="str">
        <f aca="false">IFERROR(__xludf.dummyfunction("if(isna(ABS(MINUS(SUM(FILTER(MatchSource!$A:$F,MatchSource!$A:$A=$B378)),SUM($W378,$Y378)))),0,ABS(MINUS(SUM(FILTER(MatchSource!$A:$F,MatchSource!$A:$A=$B378)),SUM($W378, $Y378,))))"),"0")</f>
        <v>0</v>
      </c>
      <c r="AB378" s="501" t="str">
        <f aca="false">IFERROR(__xludf.dummyfunction("if(isna(ABS(MINUS(SUM(FILTER(MatchSource!$H:$M,MatchSource!$H:$H=$B378)),SUM($X378,$Z378)))),0,ABS(MINUS(SUM(FILTER(MatchSource!$H:$M,MatchSource!$H:$H=$B378)),SUM($X378,$Z378))))"),"0")</f>
        <v>0</v>
      </c>
      <c r="AC378" s="507" t="n">
        <f aca="false">SUM(IF(OR($R378="Grass",$R378="Psychic",$R378="Dark"),0-1,IF(OR($R378="Fighting",$R378="Flying",$R378="Fire",$R378="Ghost",$R378="Poison",$R378="Steel",$R378="Fairy"),1,0)),IF(OR($S378="Grass",$S378="Psychic",$S378="Dark"),0-1,IF(OR($S378="Fighting",$S378="Flying",$S378="Fire",$S378="Ghost",$S378="Poison",$S378="Steel",$S378="Fairy"),1,0)))</f>
        <v>0</v>
      </c>
      <c r="AD378" s="507" t="n">
        <f aca="false">SUM(IF(OR($R378="Ghost",$R378="Psychic"),0-1,IF(OR($R378="Fighting",$R378="Dark",$R378="Fairy"),1,0)),IF(OR($S378="Ghost",$S378="Psychic"),0-1,IF(OR($S378="Fighting",$S378="Dark",$S378="Fairy"),1,0)))</f>
        <v>0</v>
      </c>
      <c r="AE378" s="507" t="n">
        <f aca="false">IF(OR($R378="Fairy",$S378="Fairy"),4,SUM(IF($R378="Dragon",0-1,IF($R378="Steel",1,0)),IF($S378="Dragon",0-1,IF($S378="Steel",1,0))))</f>
        <v>0</v>
      </c>
      <c r="AF378" s="507" t="n">
        <f aca="false">IF(OR($R378="Ground",$S378="Ground"),4,SUM(IF(OR($R378="Flying",$R378="Water"),0-1,IF(OR($R378="Dragon",$R378="Electric",$R378="Grass"),1,0)),IF(OR($S378="Flying",$S378="Water"),0-1,IF(OR($S378="Dragon",$S378="Electric",$S378="Grass"),1,0))))</f>
        <v>0</v>
      </c>
      <c r="AG378" s="507" t="n">
        <f aca="false">SUM(IF(OR($R378="Dark",$R378="Dragon",$R378="Fighting"),0-1,IF(OR($R378="Steel",$R378="Poison",$R378="Fire"),1,0)),IF(OR($S378="Dark",$S378="Dragon",$S378="Fighting"),0-1,IF(OR($S378="Steel",$S378="Poison",$S378="Fire"),1,0)))</f>
        <v>0</v>
      </c>
      <c r="AH378" s="507" t="n">
        <f aca="false">IF(OR($R378="Ghost",$S378="Ghost"),4,SUM(IF(OR($R378="Dark",$R378="Ice",$R378="Normal",$R378="Rock",$R378="Steel"),0-1,IF(OR($R378="Bug",$R378="Fairy",$R378="Flying",$R378="Poison",$R378="Psychic"),1,0)),IF(OR($S378="Dark",$S378="Ice",$S378="Normal",$S378="Rock",$S378="Steel"),0-1,IF(OR($S378="Bug",$S378="Fairy",$S378="Flying",$S378="Poison",$S378="Psychic"),1,0))))</f>
        <v>-1</v>
      </c>
      <c r="AI378" s="507" t="n">
        <f aca="false">SUM(IF(OR($R378="Bug",$R378="Grass",$R378="Ice",$R378="Steel"),0-1,IF(OR($R378="Dragon",$R378="Fire",$R378="Rock",$R378="Water"),1,0)),IF(OR($S378="Bug",$S378="Grass",$S378="Ice",$S378="Steel"),0-1,IF(OR($S378="Dragon",$S378="Fire",$S378="Rock",$S378="Water"),1,0)))</f>
        <v>0</v>
      </c>
      <c r="AJ378" s="507" t="n">
        <f aca="false">SUM(IF(OR($R378="Bug",$R378="Grass",$R378="Fighting"),0-1,IF(OR($R378="Electric",$R378="Rock",$R378="Steel"),1,0)),IF(OR($S378="Bug",$S378="Grass",$S378="Fighting"),0-1,IF(OR($S378="Electric",$S378="Rock",$S378="Steel"),1,0)))</f>
        <v>0</v>
      </c>
      <c r="AK378" s="507" t="n">
        <f aca="false">IF(OR($R378="Normal",$S378="Normal"),4,SUM(IF(OR($R378="Ghost",$R378="Psychic"),0-1,IF($R378="Dark",1,0)),IF(OR($S378="Ghost",$S378="Psychic"),0-1,IF($S378="Dark",1,0))))</f>
        <v>4</v>
      </c>
      <c r="AL378" s="507" t="n">
        <f aca="false">SUM(IF(OR($R378="Ground",$R378="Rock",$R378="Water"),0-1,IF(OR($R378="Bug",$R378="Flying",$R378="Fire",$R378="Dragon",$R378="Poison",$R378="Steel",$R378="Grass"),1,0)),IF(OR($S378="Ground",$S378="Rock",$S378="Water"),0-1,IF(OR($S378="Bug",$S378="Flying",$S378="Fire",$S378="Dragon",$S378="Poison",$S378="Steel",$S378="Grass"),1,0)))</f>
        <v>0</v>
      </c>
      <c r="AM378" s="507" t="n">
        <f aca="false">IF(OR($R378="Flying",$S378="Flying"),4,SUM(IF(OR($R378="Electric",$R378="Fire",$R378="Rock",$R378="Steel",$R378="Poison"),0-1,IF(OR($R378="Bug",$R378="Grass"),1,0)),IF(OR($S378="Electric",$S378="Fire",$S378="Rock",$S378="Steel",$S378="Poison"),0-1,IF(OR($S378="Bug",$S378="Grass"),1,0))))</f>
        <v>0</v>
      </c>
      <c r="AN378" s="507" t="n">
        <f aca="false">SUM(IF(OR($R378="Flying",$R378="Dragon",$R378="Grass",$R378="Ground"),0-1,IF(OR($R378="Steel",$R378="Ice",$R378="Fire",$R378="Water"),1,0)),IF(OR($S378="Flying",$S378="Dragon",$S378="Grass",$S378="Ground"),0-1,IF(OR($S378="Steel",$S378="Ice",$S378="Fire",$S378="Water"),1,0)))</f>
        <v>0</v>
      </c>
      <c r="AO378" s="507" t="n">
        <f aca="false">IF(OR($R378="Ghost",$S378="Ghost"),4,SUM(IF(OR($R378="Steel",$R378="Rock"),1,0),IF(OR($S378="Steel",$S378="Rock"),1,0)))</f>
        <v>0</v>
      </c>
      <c r="AP378" s="507" t="n">
        <f aca="false">IF(OR($R378="Steel",$S378="Steel"),4,SUM(IF(OR($R378="Fairy",$R378="Grass"),0-1,IF(OR($R378="Ghost",$R378="Rock",$R378="Ground",$R378="Poison"),1,0)),IF(OR($S378="Fairy",$S378="Grass"),0-1,IF(OR($S378="Ghost",$S378="Rock",$S378="Ground",$S378="Poison"),1,0))))</f>
        <v>0</v>
      </c>
      <c r="AQ378" s="507" t="n">
        <f aca="false">IF(OR($R378="Dark",$S378="Dark"),4,SUM(IF(OR($R378="Fighting",$R378="Poison"),0-1,IF(OR($R378="Psychic",$R378="Steel"),1,0)),IF(OR($S378="Fighting",$S378="Poison"),0-1,IF(OR($S378="Psychic",$S378="Steel"),1,0))))</f>
        <v>0</v>
      </c>
      <c r="AR378" s="507" t="n">
        <f aca="false">SUM(IF(OR($R378="Bug",$R378="Fire",$R378="Flying",$R378="Ice"),0-1,IF(OR($R378="Steel",$R378="Fighting",$R378="Ground"),1,0)),IF(OR($S378="Bug",$S378="Fire",$S378="Flying",$S378="Ice"),0-1,IF(OR($S378="Steel",$S378="Fighting",$S378="Ground"),1,0)))</f>
        <v>0</v>
      </c>
      <c r="AS378" s="507" t="n">
        <f aca="false">SUM(IF(OR($R378="Fairy",$R378="Ice",$R378="Rock"),0-1,IF(OR($R378="Steel",$R378="Electric",$R378="Fire",$R378="Water"),1,0)),IF(OR($S378="Fairy",$S378="Ice",$S378="Rock"),0-1,IF(OR($S378="Steel",$S378="Electric",$S378="Fire",$S378="Water"),1,0)))</f>
        <v>0</v>
      </c>
      <c r="AT378" s="508" t="n">
        <f aca="false">SUM(IF(OR($R378="Fire",$R378="Ground",$R378="Rock"),0-1,IF(OR($R378="Dragon",$R378="Grass",$R378="Water"),1,0)),IF(OR($S378="Fire",$S378="Ground",$S378="Rock"),0-1,IF(OR($S378="Dragon",$S378="Grass",$S378="Water"),1,0)))</f>
        <v>0</v>
      </c>
      <c r="AU378" s="518"/>
    </row>
    <row r="379" customFormat="false" ht="15.75" hidden="false" customHeight="false" outlineLevel="0" collapsed="false">
      <c r="A379" s="510" t="str">
        <f aca="false" t="array" ref="A379:A379">IF(ISNA(INDEX(Source!$U$7:$U$95,MATCH(B379,Source!$V$7:$V$95,0))),"FREE",INDEX(Source!$U$7:$U$95,MATCH(B379,Source!$V$7:$V$95,0)))</f>
        <v>FREE</v>
      </c>
      <c r="B379" s="511" t="s">
        <v>614</v>
      </c>
      <c r="C379" s="511"/>
      <c r="D379" s="511"/>
      <c r="E379" s="499" t="str">
        <f aca="false">IF(SUM($W379:$X379)&gt;0,SUM($W379:$X379),IF($H379&gt;0,0,IF($H379&gt;0,0,"-")))</f>
        <v>-</v>
      </c>
      <c r="F379" s="499" t="str">
        <f aca="false">IF(SUM($Y379:$Z379)&gt;0,SUM($Y379:$Z379),IF($H379&gt;0,0,"-"))</f>
        <v>-</v>
      </c>
      <c r="G379" s="499" t="str">
        <f aca="false">IF($H379&gt;0,minus(E379,F379),"-")</f>
        <v>-</v>
      </c>
      <c r="H379" s="500" t="n">
        <f aca="false">SUM(COUNTIF(MatchSource!$A:$A,$B379),COUNTIF(MatchSource!$H:$H,$B379))</f>
        <v>0</v>
      </c>
      <c r="I379" s="501" t="n">
        <f aca="false">SUM($AA379:$AB379)</f>
        <v>0</v>
      </c>
      <c r="J379" s="501" t="s">
        <v>701</v>
      </c>
      <c r="K379" s="512" t="str">
        <f aca="false" t="array" ref="K379:K379">IF(ISNA(INDEX(DraftRosters!$AA$3:$AA$199,MATCH($B379,DraftRosters!$AB$3:$AB$199,0))),"FA",IF(INDEX(DraftRosters!$AA$3:$AA$199,MATCH($B379,DraftRosters!$AB$3:$AB$199,0))="Franchise","Franch",INDEX(DraftRosters!$AA$3:$AA$199,MATCH($B379,DraftRosters!$AB$3:$AB$199,0))))</f>
        <v>FA</v>
      </c>
      <c r="L379" s="507" t="n">
        <v>80</v>
      </c>
      <c r="M379" s="507" t="n">
        <v>100</v>
      </c>
      <c r="N379" s="507" t="n">
        <v>200</v>
      </c>
      <c r="O379" s="507" t="n">
        <v>50</v>
      </c>
      <c r="P379" s="507" t="n">
        <v>100</v>
      </c>
      <c r="Q379" s="508" t="n">
        <v>50</v>
      </c>
      <c r="R379" s="499" t="s">
        <v>809</v>
      </c>
      <c r="S379" s="501"/>
      <c r="T379" s="504" t="s">
        <v>911</v>
      </c>
      <c r="U379" s="505"/>
      <c r="V379" s="506"/>
      <c r="W379" s="500" t="str">
        <f aca="false">IFERROR(__xludf.dummyfunction("if(isna(SUM(FILTER(MatchSource!$A:$D,MatchSource!$A:$A=$B379))),0,SUM(FILTER(MatchSource!$A:$D,MatchSource!$A:$A=$B379)))"),"0")</f>
        <v>0</v>
      </c>
      <c r="X379" s="499" t="str">
        <f aca="false">IFERROR(__xludf.dummyfunction("if(isna(SUM(FILTER(MatchSource!$H:$K,MatchSource!$H:$H=$B379))),0,SUM(FILTER(MatchSource!$H:$K,MatchSource!$H:$H=$B379)))"),"0")</f>
        <v>0</v>
      </c>
      <c r="Y379" s="499" t="str">
        <f aca="false">IFERROR(__xludf.dummyfunction("if(isna(ABS(MINUS(SUM(FILTER(MatchSource!$A:$E,MatchSource!$A:$A=$B379)),SUM($W379)))),0,ABS(MINUS(SUM(FILTER(MatchSource!$A:$E,MatchSource!$A:$A=$B379)),SUM($W379))))"),"0")</f>
        <v>0</v>
      </c>
      <c r="Z379" s="499" t="str">
        <f aca="false">IFERROR(__xludf.dummyfunction("if(isna(ABS(MINUS(SUM(FILTER(MatchSource!$H:$L,MatchSource!$H:$H=$B379)),SUM($X379)))),0,ABS(MINUS(SUM(FILTER(MatchSource!$H:$L,MatchSource!$H:$H=$B379)),SUM($X379))))"),"0")</f>
        <v>0</v>
      </c>
      <c r="AA379" s="499" t="str">
        <f aca="false">IFERROR(__xludf.dummyfunction("if(isna(ABS(MINUS(SUM(FILTER(MatchSource!$A:$F,MatchSource!$A:$A=$B379)),SUM($W379,$Y379)))),0,ABS(MINUS(SUM(FILTER(MatchSource!$A:$F,MatchSource!$A:$A=$B379)),SUM($W379, $Y379,))))"),"0")</f>
        <v>0</v>
      </c>
      <c r="AB379" s="501" t="str">
        <f aca="false">IFERROR(__xludf.dummyfunction("if(isna(ABS(MINUS(SUM(FILTER(MatchSource!$H:$M,MatchSource!$H:$H=$B379)),SUM($X379,$Z379)))),0,ABS(MINUS(SUM(FILTER(MatchSource!$H:$M,MatchSource!$H:$H=$B379)),SUM($X379,$Z379))))"),"0")</f>
        <v>0</v>
      </c>
      <c r="AC379" s="507" t="n">
        <f aca="false">SUM(IF(OR($R379="Grass",$R379="Psychic",$R379="Dark"),0-1,IF(OR($R379="Fighting",$R379="Flying",$R379="Fire",$R379="Ghost",$R379="Poison",$R379="Steel",$R379="Fairy"),1,0)),IF(OR($S379="Grass",$S379="Psychic",$S379="Dark"),0-1,IF(OR($S379="Fighting",$S379="Flying",$S379="Fire",$S379="Ghost",$S379="Poison",$S379="Steel",$S379="Fairy"),1,0)))</f>
        <v>0</v>
      </c>
      <c r="AD379" s="507" t="n">
        <f aca="false">SUM(IF(OR($R379="Ghost",$R379="Psychic"),0-1,IF(OR($R379="Fighting",$R379="Dark",$R379="Fairy"),1,0)),IF(OR($S379="Ghost",$S379="Psychic"),0-1,IF(OR($S379="Fighting",$S379="Dark",$S379="Fairy"),1,0)))</f>
        <v>0</v>
      </c>
      <c r="AE379" s="507" t="n">
        <f aca="false">IF(OR($R379="Fairy",$S379="Fairy"),4,SUM(IF($R379="Dragon",0-1,IF($R379="Steel",1,0)),IF($S379="Dragon",0-1,IF($S379="Steel",1,0))))</f>
        <v>0</v>
      </c>
      <c r="AF379" s="507" t="n">
        <f aca="false">IF(OR($R379="Ground",$S379="Ground"),4,SUM(IF(OR($R379="Flying",$R379="Water"),0-1,IF(OR($R379="Dragon",$R379="Electric",$R379="Grass"),1,0)),IF(OR($S379="Flying",$S379="Water"),0-1,IF(OR($S379="Dragon",$S379="Electric",$S379="Grass"),1,0))))</f>
        <v>0</v>
      </c>
      <c r="AG379" s="507" t="n">
        <f aca="false">SUM(IF(OR($R379="Dark",$R379="Dragon",$R379="Fighting"),0-1,IF(OR($R379="Steel",$R379="Poison",$R379="Fire"),1,0)),IF(OR($S379="Dark",$S379="Dragon",$S379="Fighting"),0-1,IF(OR($S379="Steel",$S379="Poison",$S379="Fire"),1,0)))</f>
        <v>0</v>
      </c>
      <c r="AH379" s="507" t="n">
        <f aca="false">IF(OR($R379="Ghost",$S379="Ghost"),4,SUM(IF(OR($R379="Dark",$R379="Ice",$R379="Normal",$R379="Rock",$R379="Steel"),0-1,IF(OR($R379="Bug",$R379="Fairy",$R379="Flying",$R379="Poison",$R379="Psychic"),1,0)),IF(OR($S379="Dark",$S379="Ice",$S379="Normal",$S379="Rock",$S379="Steel"),0-1,IF(OR($S379="Bug",$S379="Fairy",$S379="Flying",$S379="Poison",$S379="Psychic"),1,0))))</f>
        <v>-1</v>
      </c>
      <c r="AI379" s="507" t="n">
        <f aca="false">SUM(IF(OR($R379="Bug",$R379="Grass",$R379="Ice",$R379="Steel"),0-1,IF(OR($R379="Dragon",$R379="Fire",$R379="Rock",$R379="Water"),1,0)),IF(OR($S379="Bug",$S379="Grass",$S379="Ice",$S379="Steel"),0-1,IF(OR($S379="Dragon",$S379="Fire",$S379="Rock",$S379="Water"),1,0)))</f>
        <v>1</v>
      </c>
      <c r="AJ379" s="507" t="n">
        <f aca="false">SUM(IF(OR($R379="Bug",$R379="Grass",$R379="Fighting"),0-1,IF(OR($R379="Electric",$R379="Rock",$R379="Steel"),1,0)),IF(OR($S379="Bug",$S379="Grass",$S379="Fighting"),0-1,IF(OR($S379="Electric",$S379="Rock",$S379="Steel"),1,0)))</f>
        <v>1</v>
      </c>
      <c r="AK379" s="507" t="n">
        <f aca="false">IF(OR($R379="Normal",$S379="Normal"),4,SUM(IF(OR($R379="Ghost",$R379="Psychic"),0-1,IF($R379="Dark",1,0)),IF(OR($S379="Ghost",$S379="Psychic"),0-1,IF($S379="Dark",1,0))))</f>
        <v>0</v>
      </c>
      <c r="AL379" s="507" t="n">
        <f aca="false">SUM(IF(OR($R379="Ground",$R379="Rock",$R379="Water"),0-1,IF(OR($R379="Bug",$R379="Flying",$R379="Fire",$R379="Dragon",$R379="Poison",$R379="Steel",$R379="Grass"),1,0)),IF(OR($S379="Ground",$S379="Rock",$S379="Water"),0-1,IF(OR($S379="Bug",$S379="Flying",$S379="Fire",$S379="Dragon",$S379="Poison",$S379="Steel",$S379="Grass"),1,0)))</f>
        <v>-1</v>
      </c>
      <c r="AM379" s="507" t="n">
        <f aca="false">IF(OR($R379="Flying",$S379="Flying"),4,SUM(IF(OR($R379="Electric",$R379="Fire",$R379="Rock",$R379="Steel",$R379="Poison"),0-1,IF(OR($R379="Bug",$R379="Grass"),1,0)),IF(OR($S379="Electric",$S379="Fire",$S379="Rock",$S379="Steel",$S379="Poison"),0-1,IF(OR($S379="Bug",$S379="Grass"),1,0))))</f>
        <v>-1</v>
      </c>
      <c r="AN379" s="507" t="n">
        <f aca="false">SUM(IF(OR($R379="Flying",$R379="Dragon",$R379="Grass",$R379="Ground"),0-1,IF(OR($R379="Steel",$R379="Ice",$R379="Fire",$R379="Water"),1,0)),IF(OR($S379="Flying",$S379="Dragon",$S379="Grass",$S379="Ground"),0-1,IF(OR($S379="Steel",$S379="Ice",$S379="Fire",$S379="Water"),1,0)))</f>
        <v>0</v>
      </c>
      <c r="AO379" s="507" t="n">
        <f aca="false">IF(OR($R379="Ghost",$S379="Ghost"),4,SUM(IF(OR($R379="Steel",$R379="Rock"),1,0),IF(OR($S379="Steel",$S379="Rock"),1,0)))</f>
        <v>1</v>
      </c>
      <c r="AP379" s="507" t="n">
        <f aca="false">IF(OR($R379="Steel",$S379="Steel"),4,SUM(IF(OR($R379="Fairy",$R379="Grass"),0-1,IF(OR($R379="Ghost",$R379="Rock",$R379="Ground",$R379="Poison"),1,0)),IF(OR($S379="Fairy",$S379="Grass"),0-1,IF(OR($S379="Ghost",$S379="Rock",$S379="Ground",$S379="Poison"),1,0))))</f>
        <v>1</v>
      </c>
      <c r="AQ379" s="507" t="n">
        <f aca="false">IF(OR($R379="Dark",$S379="Dark"),4,SUM(IF(OR($R379="Fighting",$R379="Poison"),0-1,IF(OR($R379="Psychic",$R379="Steel"),1,0)),IF(OR($S379="Fighting",$S379="Poison"),0-1,IF(OR($S379="Psychic",$S379="Steel"),1,0))))</f>
        <v>0</v>
      </c>
      <c r="AR379" s="507" t="n">
        <f aca="false">SUM(IF(OR($R379="Bug",$R379="Fire",$R379="Flying",$R379="Ice"),0-1,IF(OR($R379="Steel",$R379="Fighting",$R379="Ground"),1,0)),IF(OR($S379="Bug",$S379="Fire",$S379="Flying",$S379="Ice"),0-1,IF(OR($S379="Steel",$S379="Fighting",$S379="Ground"),1,0)))</f>
        <v>0</v>
      </c>
      <c r="AS379" s="507" t="n">
        <f aca="false">SUM(IF(OR($R379="Fairy",$R379="Ice",$R379="Rock"),0-1,IF(OR($R379="Steel",$R379="Electric",$R379="Fire",$R379="Water"),1,0)),IF(OR($S379="Fairy",$S379="Ice",$S379="Rock"),0-1,IF(OR($S379="Steel",$S379="Electric",$S379="Fire",$S379="Water"),1,0)))</f>
        <v>-1</v>
      </c>
      <c r="AT379" s="508" t="n">
        <f aca="false">SUM(IF(OR($R379="Fire",$R379="Ground",$R379="Rock"),0-1,IF(OR($R379="Dragon",$R379="Grass",$R379="Water"),1,0)),IF(OR($S379="Fire",$S379="Ground",$S379="Rock"),0-1,IF(OR($S379="Dragon",$S379="Grass",$S379="Water"),1,0)))</f>
        <v>-1</v>
      </c>
      <c r="AU379" s="518"/>
    </row>
    <row r="380" customFormat="false" ht="15.75" hidden="false" customHeight="false" outlineLevel="0" collapsed="false">
      <c r="A380" s="510" t="str">
        <f aca="false" t="array" ref="A380:A380">IF(ISNA(INDEX(Source!$U$7:$U$95,MATCH(B380,Source!$V$7:$V$95,0))),"FREE",INDEX(Source!$U$7:$U$95,MATCH(B380,Source!$V$7:$V$95,0)))</f>
        <v>FREE</v>
      </c>
      <c r="B380" s="511" t="s">
        <v>618</v>
      </c>
      <c r="C380" s="511"/>
      <c r="D380" s="511"/>
      <c r="E380" s="499" t="str">
        <f aca="false">IF(SUM($W380:$X380)&gt;0,SUM($W380:$X380),IF($H380&gt;0,0,IF($H380&gt;0,0,"-")))</f>
        <v>-</v>
      </c>
      <c r="F380" s="499" t="str">
        <f aca="false">IF(SUM($Y380:$Z380)&gt;0,SUM($Y380:$Z380),IF($H380&gt;0,0,"-"))</f>
        <v>-</v>
      </c>
      <c r="G380" s="499" t="str">
        <f aca="false">IF($H380&gt;0,minus(E380,F380),"-")</f>
        <v>-</v>
      </c>
      <c r="H380" s="500" t="n">
        <f aca="false">SUM(COUNTIF(MatchSource!$A:$A,$B380),COUNTIF(MatchSource!$H:$H,$B380))</f>
        <v>0</v>
      </c>
      <c r="I380" s="501" t="n">
        <f aca="false">SUM($AA380:$AB380)</f>
        <v>0</v>
      </c>
      <c r="J380" s="501" t="s">
        <v>701</v>
      </c>
      <c r="K380" s="512" t="str">
        <f aca="false" t="array" ref="K380:K380">IF(ISNA(INDEX(DraftRosters!$AA$3:$AA$199,MATCH($B380,DraftRosters!$AB$3:$AB$199,0))),"FA",IF(INDEX(DraftRosters!$AA$3:$AA$199,MATCH($B380,DraftRosters!$AB$3:$AB$199,0))="Franchise","Franch",INDEX(DraftRosters!$AA$3:$AA$199,MATCH($B380,DraftRosters!$AB$3:$AB$199,0))))</f>
        <v>FA</v>
      </c>
      <c r="L380" s="499" t="n">
        <v>80</v>
      </c>
      <c r="M380" s="499" t="n">
        <v>75</v>
      </c>
      <c r="N380" s="499" t="n">
        <v>150</v>
      </c>
      <c r="O380" s="499" t="n">
        <v>75</v>
      </c>
      <c r="P380" s="499" t="n">
        <v>150</v>
      </c>
      <c r="Q380" s="501" t="n">
        <v>50</v>
      </c>
      <c r="R380" s="499" t="s">
        <v>810</v>
      </c>
      <c r="S380" s="501"/>
      <c r="T380" s="504" t="s">
        <v>911</v>
      </c>
      <c r="U380" s="505"/>
      <c r="V380" s="506"/>
      <c r="W380" s="500" t="str">
        <f aca="false">IFERROR(__xludf.dummyfunction("if(isna(SUM(FILTER(MatchSource!$A:$D,MatchSource!$A:$A=$B380))),0,SUM(FILTER(MatchSource!$A:$D,MatchSource!$A:$A=$B380)))"),"0")</f>
        <v>0</v>
      </c>
      <c r="X380" s="499" t="str">
        <f aca="false">IFERROR(__xludf.dummyfunction("if(isna(SUM(FILTER(MatchSource!$H:$K,MatchSource!$H:$H=$B380))),0,SUM(FILTER(MatchSource!$H:$K,MatchSource!$H:$H=$B380)))"),"0")</f>
        <v>0</v>
      </c>
      <c r="Y380" s="499" t="str">
        <f aca="false">IFERROR(__xludf.dummyfunction("if(isna(ABS(MINUS(SUM(FILTER(MatchSource!$A:$E,MatchSource!$A:$A=$B380)),SUM($W380)))),0,ABS(MINUS(SUM(FILTER(MatchSource!$A:$E,MatchSource!$A:$A=$B380)),SUM($W380))))"),"0")</f>
        <v>0</v>
      </c>
      <c r="Z380" s="499" t="str">
        <f aca="false">IFERROR(__xludf.dummyfunction("if(isna(ABS(MINUS(SUM(FILTER(MatchSource!$H:$L,MatchSource!$H:$H=$B380)),SUM($X380)))),0,ABS(MINUS(SUM(FILTER(MatchSource!$H:$L,MatchSource!$H:$H=$B380)),SUM($X380))))"),"0")</f>
        <v>0</v>
      </c>
      <c r="AA380" s="499" t="str">
        <f aca="false">IFERROR(__xludf.dummyfunction("if(isna(ABS(MINUS(SUM(FILTER(MatchSource!$A:$F,MatchSource!$A:$A=$B380)),SUM($W380,$Y380)))),0,ABS(MINUS(SUM(FILTER(MatchSource!$A:$F,MatchSource!$A:$A=$B380)),SUM($W380, $Y380,))))"),"0")</f>
        <v>0</v>
      </c>
      <c r="AB380" s="501" t="str">
        <f aca="false">IFERROR(__xludf.dummyfunction("if(isna(ABS(MINUS(SUM(FILTER(MatchSource!$H:$M,MatchSource!$H:$H=$B380)),SUM($X380,$Z380)))),0,ABS(MINUS(SUM(FILTER(MatchSource!$H:$M,MatchSource!$H:$H=$B380)),SUM($X380,$Z380))))"),"0")</f>
        <v>0</v>
      </c>
      <c r="AC380" s="507" t="n">
        <f aca="false">SUM(IF(OR($R380="Grass",$R380="Psychic",$R380="Dark"),0-1,IF(OR($R380="Fighting",$R380="Flying",$R380="Fire",$R380="Ghost",$R380="Poison",$R380="Steel",$R380="Fairy"),1,0)),IF(OR($S380="Grass",$S380="Psychic",$S380="Dark"),0-1,IF(OR($S380="Fighting",$S380="Flying",$S380="Fire",$S380="Ghost",$S380="Poison",$S380="Steel",$S380="Fairy"),1,0)))</f>
        <v>1</v>
      </c>
      <c r="AD380" s="507" t="n">
        <f aca="false">SUM(IF(OR($R380="Ghost",$R380="Psychic"),0-1,IF(OR($R380="Fighting",$R380="Dark",$R380="Fairy"),1,0)),IF(OR($S380="Ghost",$S380="Psychic"),0-1,IF(OR($S380="Fighting",$S380="Dark",$S380="Fairy"),1,0)))</f>
        <v>0</v>
      </c>
      <c r="AE380" s="507" t="n">
        <f aca="false">IF(OR($R380="Fairy",$S380="Fairy"),4,SUM(IF($R380="Dragon",0-1,IF($R380="Steel",1,0)),IF($S380="Dragon",0-1,IF($S380="Steel",1,0))))</f>
        <v>1</v>
      </c>
      <c r="AF380" s="507" t="n">
        <f aca="false">IF(OR($R380="Ground",$S380="Ground"),4,SUM(IF(OR($R380="Flying",$R380="Water"),0-1,IF(OR($R380="Dragon",$R380="Electric",$R380="Grass"),1,0)),IF(OR($S380="Flying",$S380="Water"),0-1,IF(OR($S380="Dragon",$S380="Electric",$S380="Grass"),1,0))))</f>
        <v>0</v>
      </c>
      <c r="AG380" s="507" t="n">
        <f aca="false">SUM(IF(OR($R380="Dark",$R380="Dragon",$R380="Fighting"),0-1,IF(OR($R380="Steel",$R380="Poison",$R380="Fire"),1,0)),IF(OR($S380="Dark",$S380="Dragon",$S380="Fighting"),0-1,IF(OR($S380="Steel",$S380="Poison",$S380="Fire"),1,0)))</f>
        <v>1</v>
      </c>
      <c r="AH380" s="507" t="n">
        <f aca="false">IF(OR($R380="Ghost",$S380="Ghost"),4,SUM(IF(OR($R380="Dark",$R380="Ice",$R380="Normal",$R380="Rock",$R380="Steel"),0-1,IF(OR($R380="Bug",$R380="Fairy",$R380="Flying",$R380="Poison",$R380="Psychic"),1,0)),IF(OR($S380="Dark",$S380="Ice",$S380="Normal",$S380="Rock",$S380="Steel"),0-1,IF(OR($S380="Bug",$S380="Fairy",$S380="Flying",$S380="Poison",$S380="Psychic"),1,0))))</f>
        <v>-1</v>
      </c>
      <c r="AI380" s="507" t="n">
        <f aca="false">SUM(IF(OR($R380="Bug",$R380="Grass",$R380="Ice",$R380="Steel"),0-1,IF(OR($R380="Dragon",$R380="Fire",$R380="Rock",$R380="Water"),1,0)),IF(OR($S380="Bug",$S380="Grass",$S380="Ice",$S380="Steel"),0-1,IF(OR($S380="Dragon",$S380="Fire",$S380="Rock",$S380="Water"),1,0)))</f>
        <v>-1</v>
      </c>
      <c r="AJ380" s="507" t="n">
        <f aca="false">SUM(IF(OR($R380="Bug",$R380="Grass",$R380="Fighting"),0-1,IF(OR($R380="Electric",$R380="Rock",$R380="Steel"),1,0)),IF(OR($S380="Bug",$S380="Grass",$S380="Fighting"),0-1,IF(OR($S380="Electric",$S380="Rock",$S380="Steel"),1,0)))</f>
        <v>1</v>
      </c>
      <c r="AK380" s="507" t="n">
        <f aca="false">IF(OR($R380="Normal",$S380="Normal"),4,SUM(IF(OR($R380="Ghost",$R380="Psychic"),0-1,IF($R380="Dark",1,0)),IF(OR($S380="Ghost",$S380="Psychic"),0-1,IF($S380="Dark",1,0))))</f>
        <v>0</v>
      </c>
      <c r="AL380" s="507" t="n">
        <f aca="false">SUM(IF(OR($R380="Ground",$R380="Rock",$R380="Water"),0-1,IF(OR($R380="Bug",$R380="Flying",$R380="Fire",$R380="Dragon",$R380="Poison",$R380="Steel",$R380="Grass"),1,0)),IF(OR($S380="Ground",$S380="Rock",$S380="Water"),0-1,IF(OR($S380="Bug",$S380="Flying",$S380="Fire",$S380="Dragon",$S380="Poison",$S380="Steel",$S380="Grass"),1,0)))</f>
        <v>1</v>
      </c>
      <c r="AM380" s="507" t="n">
        <f aca="false">IF(OR($R380="Flying",$S380="Flying"),4,SUM(IF(OR($R380="Electric",$R380="Fire",$R380="Rock",$R380="Steel",$R380="Poison"),0-1,IF(OR($R380="Bug",$R380="Grass"),1,0)),IF(OR($S380="Electric",$S380="Fire",$S380="Rock",$S380="Steel",$S380="Poison"),0-1,IF(OR($S380="Bug",$S380="Grass"),1,0))))</f>
        <v>-1</v>
      </c>
      <c r="AN380" s="507" t="n">
        <f aca="false">SUM(IF(OR($R380="Flying",$R380="Dragon",$R380="Grass",$R380="Ground"),0-1,IF(OR($R380="Steel",$R380="Ice",$R380="Fire",$R380="Water"),1,0)),IF(OR($S380="Flying",$S380="Dragon",$S380="Grass",$S380="Ground"),0-1,IF(OR($S380="Steel",$S380="Ice",$S380="Fire",$S380="Water"),1,0)))</f>
        <v>1</v>
      </c>
      <c r="AO380" s="507" t="n">
        <f aca="false">IF(OR($R380="Ghost",$S380="Ghost"),4,SUM(IF(OR($R380="Steel",$R380="Rock"),1,0),IF(OR($S380="Steel",$S380="Rock"),1,0)))</f>
        <v>1</v>
      </c>
      <c r="AP380" s="507" t="n">
        <f aca="false">IF(OR($R380="Steel",$S380="Steel"),4,SUM(IF(OR($R380="Fairy",$R380="Grass"),0-1,IF(OR($R380="Ghost",$R380="Rock",$R380="Ground",$R380="Poison"),1,0)),IF(OR($S380="Fairy",$S380="Grass"),0-1,IF(OR($S380="Ghost",$S380="Rock",$S380="Ground",$S380="Poison"),1,0))))</f>
        <v>4</v>
      </c>
      <c r="AQ380" s="507" t="n">
        <f aca="false">IF(OR($R380="Dark",$S380="Dark"),4,SUM(IF(OR($R380="Fighting",$R380="Poison"),0-1,IF(OR($R380="Psychic",$R380="Steel"),1,0)),IF(OR($S380="Fighting",$S380="Poison"),0-1,IF(OR($S380="Psychic",$S380="Steel"),1,0))))</f>
        <v>1</v>
      </c>
      <c r="AR380" s="507" t="n">
        <f aca="false">SUM(IF(OR($R380="Bug",$R380="Fire",$R380="Flying",$R380="Ice"),0-1,IF(OR($R380="Steel",$R380="Fighting",$R380="Ground"),1,0)),IF(OR($S380="Bug",$S380="Fire",$S380="Flying",$S380="Ice"),0-1,IF(OR($S380="Steel",$S380="Fighting",$S380="Ground"),1,0)))</f>
        <v>1</v>
      </c>
      <c r="AS380" s="507" t="n">
        <f aca="false">SUM(IF(OR($R380="Fairy",$R380="Ice",$R380="Rock"),0-1,IF(OR($R380="Steel",$R380="Electric",$R380="Fire",$R380="Water"),1,0)),IF(OR($S380="Fairy",$S380="Ice",$S380="Rock"),0-1,IF(OR($S380="Steel",$S380="Electric",$S380="Fire",$S380="Water"),1,0)))</f>
        <v>1</v>
      </c>
      <c r="AT380" s="508" t="n">
        <f aca="false">SUM(IF(OR($R380="Fire",$R380="Ground",$R380="Rock"),0-1,IF(OR($R380="Dragon",$R380="Grass",$R380="Water"),1,0)),IF(OR($S380="Fire",$S380="Ground",$S380="Rock"),0-1,IF(OR($S380="Dragon",$S380="Grass",$S380="Water"),1,0)))</f>
        <v>0</v>
      </c>
      <c r="AU380" s="518"/>
    </row>
    <row r="381" customFormat="false" ht="15.75" hidden="false" customHeight="false" outlineLevel="0" collapsed="false">
      <c r="A381" s="515" t="str">
        <f aca="false" t="array" ref="A381:A381">IF(ISNA(INDEX(Source!$U$7:$U$95,MATCH(B381,Source!$V$7:$V$95,0))),"FREE",INDEX(Source!$U$7:$U$95,MATCH(B381,Source!$V$7:$V$95,0)))</f>
        <v>FREE</v>
      </c>
      <c r="B381" s="511" t="s">
        <v>521</v>
      </c>
      <c r="C381" s="511"/>
      <c r="D381" s="511"/>
      <c r="E381" s="499" t="str">
        <f aca="false">IF(SUM($W381:$X381)&gt;0,SUM($W381:$X381),IF($H381&gt;0,0,IF($H381&gt;0,0,"-")))</f>
        <v>-</v>
      </c>
      <c r="F381" s="499" t="str">
        <f aca="false">IF(SUM($Y381:$Z381)&gt;0,SUM($Y381:$Z381),IF($H381&gt;0,0,"-"))</f>
        <v>-</v>
      </c>
      <c r="G381" s="499" t="str">
        <f aca="false">IF($H381&gt;0,minus(E381,F381),"-")</f>
        <v>-</v>
      </c>
      <c r="H381" s="500" t="n">
        <f aca="false">SUM(COUNTIF(MatchSource!$A:$A,$B381),COUNTIF(MatchSource!$H:$H,$B381))</f>
        <v>0</v>
      </c>
      <c r="I381" s="501" t="n">
        <f aca="false">SUM($AA381:$AB381)</f>
        <v>0</v>
      </c>
      <c r="J381" s="501" t="s">
        <v>702</v>
      </c>
      <c r="K381" s="512" t="str">
        <f aca="false" t="array" ref="K381:K381">IF(ISNA(INDEX(DraftRosters!$AA$3:$AA$199,MATCH($B381,DraftRosters!$AB$3:$AB$199,0))),"FA",IF(INDEX(DraftRosters!$AA$3:$AA$199,MATCH($B381,DraftRosters!$AB$3:$AB$199,0))="Franchise","Franch",INDEX(DraftRosters!$AA$3:$AA$199,MATCH($B381,DraftRosters!$AB$3:$AB$199,0))))</f>
        <v>FA</v>
      </c>
      <c r="L381" s="499" t="n">
        <v>100</v>
      </c>
      <c r="M381" s="499" t="n">
        <v>90</v>
      </c>
      <c r="N381" s="499" t="n">
        <v>130</v>
      </c>
      <c r="O381" s="499" t="n">
        <v>45</v>
      </c>
      <c r="P381" s="499" t="n">
        <v>65</v>
      </c>
      <c r="Q381" s="501" t="n">
        <v>55</v>
      </c>
      <c r="R381" s="499" t="s">
        <v>809</v>
      </c>
      <c r="S381" s="501" t="s">
        <v>811</v>
      </c>
      <c r="T381" s="504" t="s">
        <v>823</v>
      </c>
      <c r="U381" s="505" t="s">
        <v>859</v>
      </c>
      <c r="V381" s="506" t="s">
        <v>826</v>
      </c>
      <c r="W381" s="500" t="str">
        <f aca="false">IFERROR(__xludf.dummyfunction("if(isna(SUM(FILTER(MatchSource!$A:$D,MatchSource!$A:$A=$B381))),0,SUM(FILTER(MatchSource!$A:$D,MatchSource!$A:$A=$B381)))"),"0")</f>
        <v>0</v>
      </c>
      <c r="X381" s="499" t="str">
        <f aca="false">IFERROR(__xludf.dummyfunction("if(isna(SUM(FILTER(MatchSource!$H:$K,MatchSource!$H:$H=$B381))),0,SUM(FILTER(MatchSource!$H:$K,MatchSource!$H:$H=$B381)))"),"0")</f>
        <v>0</v>
      </c>
      <c r="Y381" s="499" t="str">
        <f aca="false">IFERROR(__xludf.dummyfunction("if(isna(ABS(MINUS(SUM(FILTER(MatchSource!$A:$E,MatchSource!$A:$A=$B381)),SUM($W381)))),0,ABS(MINUS(SUM(FILTER(MatchSource!$A:$E,MatchSource!$A:$A=$B381)),SUM($W381))))"),"0")</f>
        <v>0</v>
      </c>
      <c r="Z381" s="499" t="str">
        <f aca="false">IFERROR(__xludf.dummyfunction("if(isna(ABS(MINUS(SUM(FILTER(MatchSource!$H:$L,MatchSource!$H:$H=$B381)),SUM($X381)))),0,ABS(MINUS(SUM(FILTER(MatchSource!$H:$L,MatchSource!$H:$H=$B381)),SUM($X381))))"),"0")</f>
        <v>0</v>
      </c>
      <c r="AA381" s="499" t="str">
        <f aca="false">IFERROR(__xludf.dummyfunction("if(isna(ABS(MINUS(SUM(FILTER(MatchSource!$A:$F,MatchSource!$A:$A=$B381)),SUM($W381,$Y381)))),0,ABS(MINUS(SUM(FILTER(MatchSource!$A:$F,MatchSource!$A:$A=$B381)),SUM($W381, $Y381,))))"),"0")</f>
        <v>0</v>
      </c>
      <c r="AB381" s="501" t="str">
        <f aca="false">IFERROR(__xludf.dummyfunction("if(isna(ABS(MINUS(SUM(FILTER(MatchSource!$H:$M,MatchSource!$H:$H=$B381)),SUM($X381,$Z381)))),0,ABS(MINUS(SUM(FILTER(MatchSource!$H:$M,MatchSource!$H:$H=$B381)),SUM($X381,$Z381))))"),"0")</f>
        <v>0</v>
      </c>
      <c r="AC381" s="507" t="n">
        <f aca="false">SUM(IF(OR($R381="Grass",$R381="Psychic",$R381="Dark"),0-1,IF(OR($R381="Fighting",$R381="Flying",$R381="Fire",$R381="Ghost",$R381="Poison",$R381="Steel",$R381="Fairy"),1,0)),IF(OR($S381="Grass",$S381="Psychic",$S381="Dark"),0-1,IF(OR($S381="Fighting",$S381="Flying",$S381="Fire",$S381="Ghost",$S381="Poison",$S381="Steel",$S381="Fairy"),1,0)))</f>
        <v>0</v>
      </c>
      <c r="AD381" s="507" t="n">
        <f aca="false">SUM(IF(OR($R381="Ghost",$R381="Psychic"),0-1,IF(OR($R381="Fighting",$R381="Dark",$R381="Fairy"),1,0)),IF(OR($S381="Ghost",$S381="Psychic"),0-1,IF(OR($S381="Fighting",$S381="Dark",$S381="Fairy"),1,0)))</f>
        <v>0</v>
      </c>
      <c r="AE381" s="507" t="n">
        <f aca="false">IF(OR($R381="Fairy",$S381="Fairy"),4,SUM(IF($R381="Dragon",0-1,IF($R381="Steel",1,0)),IF($S381="Dragon",0-1,IF($S381="Steel",1,0))))</f>
        <v>0</v>
      </c>
      <c r="AF381" s="507" t="n">
        <f aca="false">IF(OR($R381="Ground",$S381="Ground"),4,SUM(IF(OR($R381="Flying",$R381="Water"),0-1,IF(OR($R381="Dragon",$R381="Electric",$R381="Grass"),1,0)),IF(OR($S381="Flying",$S381="Water"),0-1,IF(OR($S381="Dragon",$S381="Electric",$S381="Grass"),1,0))))</f>
        <v>-1</v>
      </c>
      <c r="AG381" s="507" t="n">
        <f aca="false">SUM(IF(OR($R381="Dark",$R381="Dragon",$R381="Fighting"),0-1,IF(OR($R381="Steel",$R381="Poison",$R381="Fire"),1,0)),IF(OR($S381="Dark",$S381="Dragon",$S381="Fighting"),0-1,IF(OR($S381="Steel",$S381="Poison",$S381="Fire"),1,0)))</f>
        <v>0</v>
      </c>
      <c r="AH381" s="507" t="n">
        <f aca="false">IF(OR($R381="Ghost",$S381="Ghost"),4,SUM(IF(OR($R381="Dark",$R381="Ice",$R381="Normal",$R381="Rock",$R381="Steel"),0-1,IF(OR($R381="Bug",$R381="Fairy",$R381="Flying",$R381="Poison",$R381="Psychic"),1,0)),IF(OR($S381="Dark",$S381="Ice",$S381="Normal",$S381="Rock",$S381="Steel"),0-1,IF(OR($S381="Bug",$S381="Fairy",$S381="Flying",$S381="Poison",$S381="Psychic"),1,0))))</f>
        <v>-1</v>
      </c>
      <c r="AI381" s="507" t="n">
        <f aca="false">SUM(IF(OR($R381="Bug",$R381="Grass",$R381="Ice",$R381="Steel"),0-1,IF(OR($R381="Dragon",$R381="Fire",$R381="Rock",$R381="Water"),1,0)),IF(OR($S381="Bug",$S381="Grass",$S381="Ice",$S381="Steel"),0-1,IF(OR($S381="Dragon",$S381="Fire",$S381="Rock",$S381="Water"),1,0)))</f>
        <v>2</v>
      </c>
      <c r="AJ381" s="507" t="n">
        <f aca="false">SUM(IF(OR($R381="Bug",$R381="Grass",$R381="Fighting"),0-1,IF(OR($R381="Electric",$R381="Rock",$R381="Steel"),1,0)),IF(OR($S381="Bug",$S381="Grass",$S381="Fighting"),0-1,IF(OR($S381="Electric",$S381="Rock",$S381="Steel"),1,0)))</f>
        <v>1</v>
      </c>
      <c r="AK381" s="507" t="n">
        <f aca="false">IF(OR($R381="Normal",$S381="Normal"),4,SUM(IF(OR($R381="Ghost",$R381="Psychic"),0-1,IF($R381="Dark",1,0)),IF(OR($S381="Ghost",$S381="Psychic"),0-1,IF($S381="Dark",1,0))))</f>
        <v>0</v>
      </c>
      <c r="AL381" s="507" t="n">
        <f aca="false">SUM(IF(OR($R381="Ground",$R381="Rock",$R381="Water"),0-1,IF(OR($R381="Bug",$R381="Flying",$R381="Fire",$R381="Dragon",$R381="Poison",$R381="Steel",$R381="Grass"),1,0)),IF(OR($S381="Ground",$S381="Rock",$S381="Water"),0-1,IF(OR($S381="Bug",$S381="Flying",$S381="Fire",$S381="Dragon",$S381="Poison",$S381="Steel",$S381="Grass"),1,0)))</f>
        <v>-2</v>
      </c>
      <c r="AM381" s="507" t="n">
        <f aca="false">IF(OR($R381="Flying",$S381="Flying"),4,SUM(IF(OR($R381="Electric",$R381="Fire",$R381="Rock",$R381="Steel",$R381="Poison"),0-1,IF(OR($R381="Bug",$R381="Grass"),1,0)),IF(OR($S381="Electric",$S381="Fire",$S381="Rock",$S381="Steel",$S381="Poison"),0-1,IF(OR($S381="Bug",$S381="Grass"),1,0))))</f>
        <v>-1</v>
      </c>
      <c r="AN381" s="507" t="n">
        <f aca="false">SUM(IF(OR($R381="Flying",$R381="Dragon",$R381="Grass",$R381="Ground"),0-1,IF(OR($R381="Steel",$R381="Ice",$R381="Fire",$R381="Water"),1,0)),IF(OR($S381="Flying",$S381="Dragon",$S381="Grass",$S381="Ground"),0-1,IF(OR($S381="Steel",$S381="Ice",$S381="Fire",$S381="Water"),1,0)))</f>
        <v>1</v>
      </c>
      <c r="AO381" s="507" t="n">
        <f aca="false">IF(OR($R381="Ghost",$S381="Ghost"),4,SUM(IF(OR($R381="Steel",$R381="Rock"),1,0),IF(OR($S381="Steel",$S381="Rock"),1,0)))</f>
        <v>1</v>
      </c>
      <c r="AP381" s="507" t="n">
        <f aca="false">IF(OR($R381="Steel",$S381="Steel"),4,SUM(IF(OR($R381="Fairy",$R381="Grass"),0-1,IF(OR($R381="Ghost",$R381="Rock",$R381="Ground",$R381="Poison"),1,0)),IF(OR($S381="Fairy",$S381="Grass"),0-1,IF(OR($S381="Ghost",$S381="Rock",$S381="Ground",$S381="Poison"),1,0))))</f>
        <v>1</v>
      </c>
      <c r="AQ381" s="507" t="n">
        <f aca="false">IF(OR($R381="Dark",$S381="Dark"),4,SUM(IF(OR($R381="Fighting",$R381="Poison"),0-1,IF(OR($R381="Psychic",$R381="Steel"),1,0)),IF(OR($S381="Fighting",$S381="Poison"),0-1,IF(OR($S381="Psychic",$S381="Steel"),1,0))))</f>
        <v>0</v>
      </c>
      <c r="AR381" s="507" t="n">
        <f aca="false">SUM(IF(OR($R381="Bug",$R381="Fire",$R381="Flying",$R381="Ice"),0-1,IF(OR($R381="Steel",$R381="Fighting",$R381="Ground"),1,0)),IF(OR($S381="Bug",$S381="Fire",$S381="Flying",$S381="Ice"),0-1,IF(OR($S381="Steel",$S381="Fighting",$S381="Ground"),1,0)))</f>
        <v>0</v>
      </c>
      <c r="AS381" s="507" t="n">
        <f aca="false">SUM(IF(OR($R381="Fairy",$R381="Ice",$R381="Rock"),0-1,IF(OR($R381="Steel",$R381="Electric",$R381="Fire",$R381="Water"),1,0)),IF(OR($S381="Fairy",$S381="Ice",$S381="Rock"),0-1,IF(OR($S381="Steel",$S381="Electric",$S381="Fire",$S381="Water"),1,0)))</f>
        <v>0</v>
      </c>
      <c r="AT381" s="508" t="n">
        <f aca="false">SUM(IF(OR($R381="Fire",$R381="Ground",$R381="Rock"),0-1,IF(OR($R381="Dragon",$R381="Grass",$R381="Water"),1,0)),IF(OR($S381="Fire",$S381="Ground",$S381="Rock"),0-1,IF(OR($S381="Dragon",$S381="Grass",$S381="Water"),1,0)))</f>
        <v>0</v>
      </c>
      <c r="AU381" s="518"/>
    </row>
    <row r="382" customFormat="false" ht="15.75" hidden="false" customHeight="false" outlineLevel="0" collapsed="false">
      <c r="A382" s="515" t="str">
        <f aca="false" t="array" ref="A382:A382">IF(ISNA(INDEX(Source!$U$7:$U$95,MATCH(B382,Source!$V$7:$V$95,0))),"FREE",INDEX(Source!$U$7:$U$95,MATCH(B382,Source!$V$7:$V$95,0)))</f>
        <v>FREE</v>
      </c>
      <c r="B382" s="511" t="s">
        <v>476</v>
      </c>
      <c r="C382" s="511"/>
      <c r="D382" s="511"/>
      <c r="E382" s="499" t="str">
        <f aca="false">IF(SUM($W382:$X382)&gt;0,SUM($W382:$X382),IF($H382&gt;0,0,IF($H382&gt;0,0,"-")))</f>
        <v>-</v>
      </c>
      <c r="F382" s="499" t="str">
        <f aca="false">IF(SUM($Y382:$Z382)&gt;0,SUM($Y382:$Z382),IF($H382&gt;0,0,"-"))</f>
        <v>-</v>
      </c>
      <c r="G382" s="499" t="str">
        <f aca="false">IF($H382&gt;0,minus(E382,F382),"-")</f>
        <v>-</v>
      </c>
      <c r="H382" s="500" t="n">
        <f aca="false">SUM(COUNTIF(MatchSource!$A:$A,$B382),COUNTIF(MatchSource!$H:$H,$B382))</f>
        <v>0</v>
      </c>
      <c r="I382" s="501" t="n">
        <f aca="false">SUM($AA382:$AB382)</f>
        <v>0</v>
      </c>
      <c r="J382" s="501" t="s">
        <v>699</v>
      </c>
      <c r="K382" s="512" t="str">
        <f aca="false" t="array" ref="K382:K382">IF(ISNA(INDEX(DraftRosters!$AA$3:$AA$199,MATCH($B382,DraftRosters!$AB$3:$AB$199,0))),"FA",IF(INDEX(DraftRosters!$AA$3:$AA$199,MATCH($B382,DraftRosters!$AB$3:$AB$199,0))="Franchise","Franch",INDEX(DraftRosters!$AA$3:$AA$199,MATCH($B382,DraftRosters!$AB$3:$AB$199,0))))</f>
        <v>FA</v>
      </c>
      <c r="L382" s="507" t="n">
        <v>110</v>
      </c>
      <c r="M382" s="507" t="n">
        <v>65</v>
      </c>
      <c r="N382" s="507" t="n">
        <v>75</v>
      </c>
      <c r="O382" s="507" t="n">
        <v>125</v>
      </c>
      <c r="P382" s="507" t="n">
        <v>85</v>
      </c>
      <c r="Q382" s="508" t="n">
        <v>30</v>
      </c>
      <c r="R382" s="499" t="s">
        <v>828</v>
      </c>
      <c r="S382" s="501"/>
      <c r="T382" s="504" t="s">
        <v>830</v>
      </c>
      <c r="U382" s="505" t="s">
        <v>834</v>
      </c>
      <c r="V382" s="506" t="s">
        <v>924</v>
      </c>
      <c r="W382" s="500" t="str">
        <f aca="false">IFERROR(__xludf.dummyfunction("if(isna(SUM(FILTER(MatchSource!$A:$D,MatchSource!$A:$A=$B382))),0,SUM(FILTER(MatchSource!$A:$D,MatchSource!$A:$A=$B382)))"),"0")</f>
        <v>0</v>
      </c>
      <c r="X382" s="499" t="str">
        <f aca="false">IFERROR(__xludf.dummyfunction("if(isna(SUM(FILTER(MatchSource!$H:$K,MatchSource!$H:$H=$B382))),0,SUM(FILTER(MatchSource!$H:$K,MatchSource!$H:$H=$B382)))"),"0")</f>
        <v>0</v>
      </c>
      <c r="Y382" s="499" t="str">
        <f aca="false">IFERROR(__xludf.dummyfunction("if(isna(ABS(MINUS(SUM(FILTER(MatchSource!$A:$E,MatchSource!$A:$A=$B382)),SUM($W382)))),0,ABS(MINUS(SUM(FILTER(MatchSource!$A:$E,MatchSource!$A:$A=$B382)),SUM($W382))))"),"0")</f>
        <v>0</v>
      </c>
      <c r="Z382" s="499" t="str">
        <f aca="false">IFERROR(__xludf.dummyfunction("if(isna(ABS(MINUS(SUM(FILTER(MatchSource!$H:$L,MatchSource!$H:$H=$B382)),SUM($X382)))),0,ABS(MINUS(SUM(FILTER(MatchSource!$H:$L,MatchSource!$H:$H=$B382)),SUM($X382))))"),"0")</f>
        <v>0</v>
      </c>
      <c r="AA382" s="499" t="str">
        <f aca="false">IFERROR(__xludf.dummyfunction("if(isna(ABS(MINUS(SUM(FILTER(MatchSource!$A:$F,MatchSource!$A:$A=$B382)),SUM($W382,$Y382)))),0,ABS(MINUS(SUM(FILTER(MatchSource!$A:$F,MatchSource!$A:$A=$B382)),SUM($W382, $Y382,))))"),"0")</f>
        <v>0</v>
      </c>
      <c r="AB382" s="501" t="str">
        <f aca="false">IFERROR(__xludf.dummyfunction("if(isna(ABS(MINUS(SUM(FILTER(MatchSource!$H:$M,MatchSource!$H:$H=$B382)),SUM($X382,$Z382)))),0,ABS(MINUS(SUM(FILTER(MatchSource!$H:$M,MatchSource!$H:$H=$B382)),SUM($X382,$Z382))))"),"0")</f>
        <v>0</v>
      </c>
      <c r="AC382" s="507" t="n">
        <f aca="false">SUM(IF(OR($R382="Grass",$R382="Psychic",$R382="Dark"),0-1,IF(OR($R382="Fighting",$R382="Flying",$R382="Fire",$R382="Ghost",$R382="Poison",$R382="Steel",$R382="Fairy"),1,0)),IF(OR($S382="Grass",$S382="Psychic",$S382="Dark"),0-1,IF(OR($S382="Fighting",$S382="Flying",$S382="Fire",$S382="Ghost",$S382="Poison",$S382="Steel",$S382="Fairy"),1,0)))</f>
        <v>-1</v>
      </c>
      <c r="AD382" s="507" t="n">
        <f aca="false">SUM(IF(OR($R382="Ghost",$R382="Psychic"),0-1,IF(OR($R382="Fighting",$R382="Dark",$R382="Fairy"),1,0)),IF(OR($S382="Ghost",$S382="Psychic"),0-1,IF(OR($S382="Fighting",$S382="Dark",$S382="Fairy"),1,0)))</f>
        <v>-1</v>
      </c>
      <c r="AE382" s="507" t="n">
        <f aca="false">IF(OR($R382="Fairy",$S382="Fairy"),4,SUM(IF($R382="Dragon",0-1,IF($R382="Steel",1,0)),IF($S382="Dragon",0-1,IF($S382="Steel",1,0))))</f>
        <v>0</v>
      </c>
      <c r="AF382" s="507" t="n">
        <f aca="false">IF(OR($R382="Ground",$S382="Ground"),4,SUM(IF(OR($R382="Flying",$R382="Water"),0-1,IF(OR($R382="Dragon",$R382="Electric",$R382="Grass"),1,0)),IF(OR($S382="Flying",$S382="Water"),0-1,IF(OR($S382="Dragon",$S382="Electric",$S382="Grass"),1,0))))</f>
        <v>0</v>
      </c>
      <c r="AG382" s="507" t="n">
        <f aca="false">SUM(IF(OR($R382="Dark",$R382="Dragon",$R382="Fighting"),0-1,IF(OR($R382="Steel",$R382="Poison",$R382="Fire"),1,0)),IF(OR($S382="Dark",$S382="Dragon",$S382="Fighting"),0-1,IF(OR($S382="Steel",$S382="Poison",$S382="Fire"),1,0)))</f>
        <v>0</v>
      </c>
      <c r="AH382" s="507" t="n">
        <f aca="false">IF(OR($R382="Ghost",$S382="Ghost"),4,SUM(IF(OR($R382="Dark",$R382="Ice",$R382="Normal",$R382="Rock",$R382="Steel"),0-1,IF(OR($R382="Bug",$R382="Fairy",$R382="Flying",$R382="Poison",$R382="Psychic"),1,0)),IF(OR($S382="Dark",$S382="Ice",$S382="Normal",$S382="Rock",$S382="Steel"),0-1,IF(OR($S382="Bug",$S382="Fairy",$S382="Flying",$S382="Poison",$S382="Psychic"),1,0))))</f>
        <v>1</v>
      </c>
      <c r="AI382" s="507" t="n">
        <f aca="false">SUM(IF(OR($R382="Bug",$R382="Grass",$R382="Ice",$R382="Steel"),0-1,IF(OR($R382="Dragon",$R382="Fire",$R382="Rock",$R382="Water"),1,0)),IF(OR($S382="Bug",$S382="Grass",$S382="Ice",$S382="Steel"),0-1,IF(OR($S382="Dragon",$S382="Fire",$S382="Rock",$S382="Water"),1,0)))</f>
        <v>0</v>
      </c>
      <c r="AJ382" s="507" t="n">
        <f aca="false">SUM(IF(OR($R382="Bug",$R382="Grass",$R382="Fighting"),0-1,IF(OR($R382="Electric",$R382="Rock",$R382="Steel"),1,0)),IF(OR($S382="Bug",$S382="Grass",$S382="Fighting"),0-1,IF(OR($S382="Electric",$S382="Rock",$S382="Steel"),1,0)))</f>
        <v>0</v>
      </c>
      <c r="AK382" s="507" t="n">
        <f aca="false">IF(OR($R382="Normal",$S382="Normal"),4,SUM(IF(OR($R382="Ghost",$R382="Psychic"),0-1,IF($R382="Dark",1,0)),IF(OR($S382="Ghost",$S382="Psychic"),0-1,IF($S382="Dark",1,0))))</f>
        <v>-1</v>
      </c>
      <c r="AL382" s="507" t="n">
        <f aca="false">SUM(IF(OR($R382="Ground",$R382="Rock",$R382="Water"),0-1,IF(OR($R382="Bug",$R382="Flying",$R382="Fire",$R382="Dragon",$R382="Poison",$R382="Steel",$R382="Grass"),1,0)),IF(OR($S382="Ground",$S382="Rock",$S382="Water"),0-1,IF(OR($S382="Bug",$S382="Flying",$S382="Fire",$S382="Dragon",$S382="Poison",$S382="Steel",$S382="Grass"),1,0)))</f>
        <v>0</v>
      </c>
      <c r="AM382" s="507" t="n">
        <f aca="false">IF(OR($R382="Flying",$S382="Flying"),4,SUM(IF(OR($R382="Electric",$R382="Fire",$R382="Rock",$R382="Steel",$R382="Poison"),0-1,IF(OR($R382="Bug",$R382="Grass"),1,0)),IF(OR($S382="Electric",$S382="Fire",$S382="Rock",$S382="Steel",$S382="Poison"),0-1,IF(OR($S382="Bug",$S382="Grass"),1,0))))</f>
        <v>0</v>
      </c>
      <c r="AN382" s="507" t="n">
        <f aca="false">SUM(IF(OR($R382="Flying",$R382="Dragon",$R382="Grass",$R382="Ground"),0-1,IF(OR($R382="Steel",$R382="Ice",$R382="Fire",$R382="Water"),1,0)),IF(OR($S382="Flying",$S382="Dragon",$S382="Grass",$S382="Ground"),0-1,IF(OR($S382="Steel",$S382="Ice",$S382="Fire",$S382="Water"),1,0)))</f>
        <v>0</v>
      </c>
      <c r="AO382" s="507" t="n">
        <f aca="false">IF(OR($R382="Ghost",$S382="Ghost"),4,SUM(IF(OR($R382="Steel",$R382="Rock"),1,0),IF(OR($S382="Steel",$S382="Rock"),1,0)))</f>
        <v>0</v>
      </c>
      <c r="AP382" s="507" t="n">
        <f aca="false">IF(OR($R382="Steel",$S382="Steel"),4,SUM(IF(OR($R382="Fairy",$R382="Grass"),0-1,IF(OR($R382="Ghost",$R382="Rock",$R382="Ground",$R382="Poison"),1,0)),IF(OR($S382="Fairy",$S382="Grass"),0-1,IF(OR($S382="Ghost",$S382="Rock",$S382="Ground",$S382="Poison"),1,0))))</f>
        <v>0</v>
      </c>
      <c r="AQ382" s="507" t="n">
        <f aca="false">IF(OR($R382="Dark",$S382="Dark"),4,SUM(IF(OR($R382="Fighting",$R382="Poison"),0-1,IF(OR($R382="Psychic",$R382="Steel"),1,0)),IF(OR($S382="Fighting",$S382="Poison"),0-1,IF(OR($S382="Psychic",$S382="Steel"),1,0))))</f>
        <v>1</v>
      </c>
      <c r="AR382" s="507" t="n">
        <f aca="false">SUM(IF(OR($R382="Bug",$R382="Fire",$R382="Flying",$R382="Ice"),0-1,IF(OR($R382="Steel",$R382="Fighting",$R382="Ground"),1,0)),IF(OR($S382="Bug",$S382="Fire",$S382="Flying",$S382="Ice"),0-1,IF(OR($S382="Steel",$S382="Fighting",$S382="Ground"),1,0)))</f>
        <v>0</v>
      </c>
      <c r="AS382" s="507" t="n">
        <f aca="false">SUM(IF(OR($R382="Fairy",$R382="Ice",$R382="Rock"),0-1,IF(OR($R382="Steel",$R382="Electric",$R382="Fire",$R382="Water"),1,0)),IF(OR($S382="Fairy",$S382="Ice",$S382="Rock"),0-1,IF(OR($S382="Steel",$S382="Electric",$S382="Fire",$S382="Water"),1,0)))</f>
        <v>0</v>
      </c>
      <c r="AT382" s="508" t="n">
        <f aca="false">SUM(IF(OR($R382="Fire",$R382="Ground",$R382="Rock"),0-1,IF(OR($R382="Dragon",$R382="Grass",$R382="Water"),1,0)),IF(OR($S382="Fire",$S382="Ground",$S382="Rock"),0-1,IF(OR($S382="Dragon",$S382="Grass",$S382="Water"),1,0)))</f>
        <v>0</v>
      </c>
      <c r="AU382" s="518"/>
    </row>
    <row r="383" customFormat="false" ht="15.75" hidden="false" customHeight="false" outlineLevel="0" collapsed="false">
      <c r="A383" s="515" t="str">
        <f aca="false" t="array" ref="A383:A383">IF(ISNA(INDEX(Source!$U$7:$U$95,MATCH(B383,Source!$V$7:$V$95,0))),"FREE",INDEX(Source!$U$7:$U$95,MATCH(B383,Source!$V$7:$V$95,0)))</f>
        <v>FREE</v>
      </c>
      <c r="B383" s="511" t="s">
        <v>525</v>
      </c>
      <c r="C383" s="511"/>
      <c r="D383" s="511"/>
      <c r="E383" s="499" t="str">
        <f aca="false">IF(SUM($W383:$X383)&gt;0,SUM($W383:$X383),IF($H383&gt;0,0,IF($H383&gt;0,0,"-")))</f>
        <v>-</v>
      </c>
      <c r="F383" s="499" t="str">
        <f aca="false">IF(SUM($Y383:$Z383)&gt;0,SUM($Y383:$Z383),IF($H383&gt;0,0,"-"))</f>
        <v>-</v>
      </c>
      <c r="G383" s="499" t="str">
        <f aca="false">IF($H383&gt;0,minus(E383,F383),"-")</f>
        <v>-</v>
      </c>
      <c r="H383" s="500" t="n">
        <f aca="false">SUM(COUNTIF(MatchSource!$A:$A,$B383),COUNTIF(MatchSource!$H:$H,$B383))</f>
        <v>0</v>
      </c>
      <c r="I383" s="501" t="n">
        <f aca="false">SUM($AA383:$AB383)</f>
        <v>0</v>
      </c>
      <c r="J383" s="501" t="s">
        <v>702</v>
      </c>
      <c r="K383" s="512" t="str">
        <f aca="false" t="array" ref="K383:K383">IF(ISNA(INDEX(DraftRosters!$AA$3:$AA$199,MATCH($B383,DraftRosters!$AB$3:$AB$199,0))),"FA",IF(INDEX(DraftRosters!$AA$3:$AA$199,MATCH($B383,DraftRosters!$AB$3:$AB$199,0))="Franchise","Franch",INDEX(DraftRosters!$AA$3:$AA$199,MATCH($B383,DraftRosters!$AB$3:$AB$199,0))))</f>
        <v>FA</v>
      </c>
      <c r="L383" s="499" t="n">
        <v>105</v>
      </c>
      <c r="M383" s="499" t="n">
        <v>130</v>
      </c>
      <c r="N383" s="499" t="n">
        <v>120</v>
      </c>
      <c r="O383" s="499" t="n">
        <v>45</v>
      </c>
      <c r="P383" s="499" t="n">
        <v>45</v>
      </c>
      <c r="Q383" s="501" t="n">
        <v>40</v>
      </c>
      <c r="R383" s="499" t="s">
        <v>907</v>
      </c>
      <c r="S383" s="501" t="s">
        <v>809</v>
      </c>
      <c r="T383" s="504" t="s">
        <v>1059</v>
      </c>
      <c r="U383" s="505" t="s">
        <v>896</v>
      </c>
      <c r="V383" s="506" t="s">
        <v>823</v>
      </c>
      <c r="W383" s="500" t="str">
        <f aca="false">IFERROR(__xludf.dummyfunction("if(isna(SUM(FILTER(MatchSource!$A:$D,MatchSource!$A:$A=$B383))),0,SUM(FILTER(MatchSource!$A:$D,MatchSource!$A:$A=$B383)))"),"0")</f>
        <v>0</v>
      </c>
      <c r="X383" s="499" t="str">
        <f aca="false">IFERROR(__xludf.dummyfunction("if(isna(SUM(FILTER(MatchSource!$H:$K,MatchSource!$H:$H=$B383))),0,SUM(FILTER(MatchSource!$H:$K,MatchSource!$H:$H=$B383)))"),"0")</f>
        <v>0</v>
      </c>
      <c r="Y383" s="499" t="str">
        <f aca="false">IFERROR(__xludf.dummyfunction("if(isna(ABS(MINUS(SUM(FILTER(MatchSource!$A:$E,MatchSource!$A:$A=$B383)),SUM($W383)))),0,ABS(MINUS(SUM(FILTER(MatchSource!$A:$E,MatchSource!$A:$A=$B383)),SUM($W383))))"),"0")</f>
        <v>0</v>
      </c>
      <c r="Z383" s="499" t="str">
        <f aca="false">IFERROR(__xludf.dummyfunction("if(isna(ABS(MINUS(SUM(FILTER(MatchSource!$H:$L,MatchSource!$H:$H=$B383)),SUM($X383)))),0,ABS(MINUS(SUM(FILTER(MatchSource!$H:$L,MatchSource!$H:$H=$B383)),SUM($X383))))"),"0")</f>
        <v>0</v>
      </c>
      <c r="AA383" s="499" t="str">
        <f aca="false">IFERROR(__xludf.dummyfunction("if(isna(ABS(MINUS(SUM(FILTER(MatchSource!$A:$F,MatchSource!$A:$A=$B383)),SUM($W383,$Y383)))),0,ABS(MINUS(SUM(FILTER(MatchSource!$A:$F,MatchSource!$A:$A=$B383)),SUM($W383, $Y383,))))"),"0")</f>
        <v>0</v>
      </c>
      <c r="AB383" s="501" t="str">
        <f aca="false">IFERROR(__xludf.dummyfunction("if(isna(ABS(MINUS(SUM(FILTER(MatchSource!$H:$M,MatchSource!$H:$H=$B383)),SUM($X383,$Z383)))),0,ABS(MINUS(SUM(FILTER(MatchSource!$H:$M,MatchSource!$H:$H=$B383)),SUM($X383,$Z383))))"),"0")</f>
        <v>0</v>
      </c>
      <c r="AC383" s="507" t="n">
        <f aca="false">SUM(IF(OR($R383="Grass",$R383="Psychic",$R383="Dark"),0-1,IF(OR($R383="Fighting",$R383="Flying",$R383="Fire",$R383="Ghost",$R383="Poison",$R383="Steel",$R383="Fairy"),1,0)),IF(OR($S383="Grass",$S383="Psychic",$S383="Dark"),0-1,IF(OR($S383="Fighting",$S383="Flying",$S383="Fire",$S383="Ghost",$S383="Poison",$S383="Steel",$S383="Fairy"),1,0)))</f>
        <v>0</v>
      </c>
      <c r="AD383" s="507" t="n">
        <f aca="false">SUM(IF(OR($R383="Ghost",$R383="Psychic"),0-1,IF(OR($R383="Fighting",$R383="Dark",$R383="Fairy"),1,0)),IF(OR($S383="Ghost",$S383="Psychic"),0-1,IF(OR($S383="Fighting",$S383="Dark",$S383="Fairy"),1,0)))</f>
        <v>0</v>
      </c>
      <c r="AE383" s="507" t="n">
        <f aca="false">IF(OR($R383="Fairy",$S383="Fairy"),4,SUM(IF($R383="Dragon",0-1,IF($R383="Steel",1,0)),IF($S383="Dragon",0-1,IF($S383="Steel",1,0))))</f>
        <v>0</v>
      </c>
      <c r="AF383" s="507" t="n">
        <f aca="false">IF(OR($R383="Ground",$S383="Ground"),4,SUM(IF(OR($R383="Flying",$R383="Water"),0-1,IF(OR($R383="Dragon",$R383="Electric",$R383="Grass"),1,0)),IF(OR($S383="Flying",$S383="Water"),0-1,IF(OR($S383="Dragon",$S383="Electric",$S383="Grass"),1,0))))</f>
        <v>4</v>
      </c>
      <c r="AG383" s="507" t="n">
        <f aca="false">SUM(IF(OR($R383="Dark",$R383="Dragon",$R383="Fighting"),0-1,IF(OR($R383="Steel",$R383="Poison",$R383="Fire"),1,0)),IF(OR($S383="Dark",$S383="Dragon",$S383="Fighting"),0-1,IF(OR($S383="Steel",$S383="Poison",$S383="Fire"),1,0)))</f>
        <v>0</v>
      </c>
      <c r="AH383" s="507" t="n">
        <f aca="false">IF(OR($R383="Ghost",$S383="Ghost"),4,SUM(IF(OR($R383="Dark",$R383="Ice",$R383="Normal",$R383="Rock",$R383="Steel"),0-1,IF(OR($R383="Bug",$R383="Fairy",$R383="Flying",$R383="Poison",$R383="Psychic"),1,0)),IF(OR($S383="Dark",$S383="Ice",$S383="Normal",$S383="Rock",$S383="Steel"),0-1,IF(OR($S383="Bug",$S383="Fairy",$S383="Flying",$S383="Poison",$S383="Psychic"),1,0))))</f>
        <v>-1</v>
      </c>
      <c r="AI383" s="507" t="n">
        <f aca="false">SUM(IF(OR($R383="Bug",$R383="Grass",$R383="Ice",$R383="Steel"),0-1,IF(OR($R383="Dragon",$R383="Fire",$R383="Rock",$R383="Water"),1,0)),IF(OR($S383="Bug",$S383="Grass",$S383="Ice",$S383="Steel"),0-1,IF(OR($S383="Dragon",$S383="Fire",$S383="Rock",$S383="Water"),1,0)))</f>
        <v>1</v>
      </c>
      <c r="AJ383" s="507" t="n">
        <f aca="false">SUM(IF(OR($R383="Bug",$R383="Grass",$R383="Fighting"),0-1,IF(OR($R383="Electric",$R383="Rock",$R383="Steel"),1,0)),IF(OR($S383="Bug",$S383="Grass",$S383="Fighting"),0-1,IF(OR($S383="Electric",$S383="Rock",$S383="Steel"),1,0)))</f>
        <v>1</v>
      </c>
      <c r="AK383" s="507" t="n">
        <f aca="false">IF(OR($R383="Normal",$S383="Normal"),4,SUM(IF(OR($R383="Ghost",$R383="Psychic"),0-1,IF($R383="Dark",1,0)),IF(OR($S383="Ghost",$S383="Psychic"),0-1,IF($S383="Dark",1,0))))</f>
        <v>0</v>
      </c>
      <c r="AL383" s="507" t="n">
        <f aca="false">SUM(IF(OR($R383="Ground",$R383="Rock",$R383="Water"),0-1,IF(OR($R383="Bug",$R383="Flying",$R383="Fire",$R383="Dragon",$R383="Poison",$R383="Steel",$R383="Grass"),1,0)),IF(OR($S383="Ground",$S383="Rock",$S383="Water"),0-1,IF(OR($S383="Bug",$S383="Flying",$S383="Fire",$S383="Dragon",$S383="Poison",$S383="Steel",$S383="Grass"),1,0)))</f>
        <v>-2</v>
      </c>
      <c r="AM383" s="507" t="n">
        <f aca="false">IF(OR($R383="Flying",$S383="Flying"),4,SUM(IF(OR($R383="Electric",$R383="Fire",$R383="Rock",$R383="Steel",$R383="Poison"),0-1,IF(OR($R383="Bug",$R383="Grass"),1,0)),IF(OR($S383="Electric",$S383="Fire",$S383="Rock",$S383="Steel",$S383="Poison"),0-1,IF(OR($S383="Bug",$S383="Grass"),1,0))))</f>
        <v>-1</v>
      </c>
      <c r="AN383" s="507" t="n">
        <f aca="false">SUM(IF(OR($R383="Flying",$R383="Dragon",$R383="Grass",$R383="Ground"),0-1,IF(OR($R383="Steel",$R383="Ice",$R383="Fire",$R383="Water"),1,0)),IF(OR($S383="Flying",$S383="Dragon",$S383="Grass",$S383="Ground"),0-1,IF(OR($S383="Steel",$S383="Ice",$S383="Fire",$S383="Water"),1,0)))</f>
        <v>-1</v>
      </c>
      <c r="AO383" s="507" t="n">
        <f aca="false">IF(OR($R383="Ghost",$S383="Ghost"),4,SUM(IF(OR($R383="Steel",$R383="Rock"),1,0),IF(OR($S383="Steel",$S383="Rock"),1,0)))</f>
        <v>1</v>
      </c>
      <c r="AP383" s="507" t="n">
        <f aca="false">IF(OR($R383="Steel",$S383="Steel"),4,SUM(IF(OR($R383="Fairy",$R383="Grass"),0-1,IF(OR($R383="Ghost",$R383="Rock",$R383="Ground",$R383="Poison"),1,0)),IF(OR($S383="Fairy",$S383="Grass"),0-1,IF(OR($S383="Ghost",$S383="Rock",$S383="Ground",$S383="Poison"),1,0))))</f>
        <v>2</v>
      </c>
      <c r="AQ383" s="507" t="n">
        <f aca="false">IF(OR($R383="Dark",$S383="Dark"),4,SUM(IF(OR($R383="Fighting",$R383="Poison"),0-1,IF(OR($R383="Psychic",$R383="Steel"),1,0)),IF(OR($S383="Fighting",$S383="Poison"),0-1,IF(OR($S383="Psychic",$S383="Steel"),1,0))))</f>
        <v>0</v>
      </c>
      <c r="AR383" s="507" t="n">
        <f aca="false">SUM(IF(OR($R383="Bug",$R383="Fire",$R383="Flying",$R383="Ice"),0-1,IF(OR($R383="Steel",$R383="Fighting",$R383="Ground"),1,0)),IF(OR($S383="Bug",$S383="Fire",$S383="Flying",$S383="Ice"),0-1,IF(OR($S383="Steel",$S383="Fighting",$S383="Ground"),1,0)))</f>
        <v>1</v>
      </c>
      <c r="AS383" s="507" t="n">
        <f aca="false">SUM(IF(OR($R383="Fairy",$R383="Ice",$R383="Rock"),0-1,IF(OR($R383="Steel",$R383="Electric",$R383="Fire",$R383="Water"),1,0)),IF(OR($S383="Fairy",$S383="Ice",$S383="Rock"),0-1,IF(OR($S383="Steel",$S383="Electric",$S383="Fire",$S383="Water"),1,0)))</f>
        <v>-1</v>
      </c>
      <c r="AT383" s="508" t="n">
        <f aca="false">SUM(IF(OR($R383="Fire",$R383="Ground",$R383="Rock"),0-1,IF(OR($R383="Dragon",$R383="Grass",$R383="Water"),1,0)),IF(OR($S383="Fire",$S383="Ground",$S383="Rock"),0-1,IF(OR($S383="Dragon",$S383="Grass",$S383="Water"),1,0)))</f>
        <v>-2</v>
      </c>
      <c r="AU383" s="518"/>
    </row>
    <row r="384" customFormat="false" ht="15.75" hidden="false" customHeight="false" outlineLevel="0" collapsed="false">
      <c r="A384" s="510" t="str">
        <f aca="false" t="array" ref="A384:A384">IF(ISNA(INDEX(Source!$U$7:$U$95,MATCH(B384,Source!$V$7:$V$95,0))),"FREE",INDEX(Source!$U$7:$U$95,MATCH(B384,Source!$V$7:$V$95,0)))</f>
        <v>FREE</v>
      </c>
      <c r="B384" s="511" t="s">
        <v>270</v>
      </c>
      <c r="C384" s="511"/>
      <c r="D384" s="511"/>
      <c r="E384" s="499" t="str">
        <f aca="false">IF(SUM($W384:$X384)&gt;0,SUM($W384:$X384),IF($H384&gt;0,0,IF($H384&gt;0,0,"-")))</f>
        <v>-</v>
      </c>
      <c r="F384" s="499" t="str">
        <f aca="false">IF(SUM($Y384:$Z384)&gt;0,SUM($Y384:$Z384),IF($H384&gt;0,0,"-"))</f>
        <v>-</v>
      </c>
      <c r="G384" s="499" t="str">
        <f aca="false">IF($H384&gt;0,minus(E384,F384),"-")</f>
        <v>-</v>
      </c>
      <c r="H384" s="500" t="n">
        <f aca="false">SUM(COUNTIF(MatchSource!$A:$A,$B384),COUNTIF(MatchSource!$H:$H,$B384))</f>
        <v>0</v>
      </c>
      <c r="I384" s="501" t="n">
        <f aca="false">SUM($AA384:$AB384)</f>
        <v>0</v>
      </c>
      <c r="J384" s="501" t="s">
        <v>701</v>
      </c>
      <c r="K384" s="512" t="n">
        <f aca="false" t="array" ref="K384:K384">IF(ISNA(INDEX(DraftRosters!$AA$3:$AA$199,MATCH($B384,DraftRosters!$AB$3:$AB$199,0))),"FA",IF(INDEX(DraftRosters!$AA$3:$AA$199,MATCH($B384,DraftRosters!$AB$3:$AB$199,0))="Franchise","Franch",INDEX(DraftRosters!$AA$3:$AA$199,MATCH($B384,DraftRosters!$AB$3:$AB$199,0))))</f>
        <v>77</v>
      </c>
      <c r="L384" s="499" t="n">
        <v>115</v>
      </c>
      <c r="M384" s="499" t="n">
        <v>140</v>
      </c>
      <c r="N384" s="499" t="n">
        <v>130</v>
      </c>
      <c r="O384" s="499" t="n">
        <v>55</v>
      </c>
      <c r="P384" s="499" t="n">
        <v>55</v>
      </c>
      <c r="Q384" s="501" t="n">
        <v>40</v>
      </c>
      <c r="R384" s="499" t="s">
        <v>907</v>
      </c>
      <c r="S384" s="501" t="s">
        <v>809</v>
      </c>
      <c r="T384" s="504" t="s">
        <v>1059</v>
      </c>
      <c r="U384" s="505" t="s">
        <v>896</v>
      </c>
      <c r="V384" s="506" t="s">
        <v>909</v>
      </c>
      <c r="W384" s="500" t="str">
        <f aca="false">IFERROR(__xludf.dummyfunction("if(isna(SUM(FILTER(MatchSource!$A:$D,MatchSource!$A:$A=$B384))),0,SUM(FILTER(MatchSource!$A:$D,MatchSource!$A:$A=$B384)))"),"0")</f>
        <v>0</v>
      </c>
      <c r="X384" s="499" t="str">
        <f aca="false">IFERROR(__xludf.dummyfunction("if(isna(SUM(FILTER(MatchSource!$H:$K,MatchSource!$H:$H=$B384))),0,SUM(FILTER(MatchSource!$H:$K,MatchSource!$H:$H=$B384)))"),"0")</f>
        <v>0</v>
      </c>
      <c r="Y384" s="499" t="str">
        <f aca="false">IFERROR(__xludf.dummyfunction("if(isna(ABS(MINUS(SUM(FILTER(MatchSource!$A:$E,MatchSource!$A:$A=$B384)),SUM($W384)))),0,ABS(MINUS(SUM(FILTER(MatchSource!$A:$E,MatchSource!$A:$A=$B384)),SUM($W384))))"),"0")</f>
        <v>0</v>
      </c>
      <c r="Z384" s="499" t="str">
        <f aca="false">IFERROR(__xludf.dummyfunction("if(isna(ABS(MINUS(SUM(FILTER(MatchSource!$H:$L,MatchSource!$H:$H=$B384)),SUM($X384)))),0,ABS(MINUS(SUM(FILTER(MatchSource!$H:$L,MatchSource!$H:$H=$B384)),SUM($X384))))"),"0")</f>
        <v>0</v>
      </c>
      <c r="AA384" s="499" t="str">
        <f aca="false">IFERROR(__xludf.dummyfunction("if(isna(ABS(MINUS(SUM(FILTER(MatchSource!$A:$F,MatchSource!$A:$A=$B384)),SUM($W384,$Y384)))),0,ABS(MINUS(SUM(FILTER(MatchSource!$A:$F,MatchSource!$A:$A=$B384)),SUM($W384, $Y384,))))"),"0")</f>
        <v>0</v>
      </c>
      <c r="AB384" s="501" t="str">
        <f aca="false">IFERROR(__xludf.dummyfunction("if(isna(ABS(MINUS(SUM(FILTER(MatchSource!$H:$M,MatchSource!$H:$H=$B384)),SUM($X384,$Z384)))),0,ABS(MINUS(SUM(FILTER(MatchSource!$H:$M,MatchSource!$H:$H=$B384)),SUM($X384,$Z384))))"),"0")</f>
        <v>0</v>
      </c>
      <c r="AC384" s="507" t="n">
        <f aca="false">SUM(IF(OR($R384="Grass",$R384="Psychic",$R384="Dark"),0-1,IF(OR($R384="Fighting",$R384="Flying",$R384="Fire",$R384="Ghost",$R384="Poison",$R384="Steel",$R384="Fairy"),1,0)),IF(OR($S384="Grass",$S384="Psychic",$S384="Dark"),0-1,IF(OR($S384="Fighting",$S384="Flying",$S384="Fire",$S384="Ghost",$S384="Poison",$S384="Steel",$S384="Fairy"),1,0)))</f>
        <v>0</v>
      </c>
      <c r="AD384" s="507" t="n">
        <f aca="false">SUM(IF(OR($R384="Ghost",$R384="Psychic"),0-1,IF(OR($R384="Fighting",$R384="Dark",$R384="Fairy"),1,0)),IF(OR($S384="Ghost",$S384="Psychic"),0-1,IF(OR($S384="Fighting",$S384="Dark",$S384="Fairy"),1,0)))</f>
        <v>0</v>
      </c>
      <c r="AE384" s="507" t="n">
        <f aca="false">IF(OR($R384="Fairy",$S384="Fairy"),4,SUM(IF($R384="Dragon",0-1,IF($R384="Steel",1,0)),IF($S384="Dragon",0-1,IF($S384="Steel",1,0))))</f>
        <v>0</v>
      </c>
      <c r="AF384" s="507" t="n">
        <f aca="false">IF(OR($R384="Ground",$S384="Ground"),4,SUM(IF(OR($R384="Flying",$R384="Water"),0-1,IF(OR($R384="Dragon",$R384="Electric",$R384="Grass"),1,0)),IF(OR($S384="Flying",$S384="Water"),0-1,IF(OR($S384="Dragon",$S384="Electric",$S384="Grass"),1,0))))</f>
        <v>4</v>
      </c>
      <c r="AG384" s="507" t="n">
        <f aca="false">SUM(IF(OR($R384="Dark",$R384="Dragon",$R384="Fighting"),0-1,IF(OR($R384="Steel",$R384="Poison",$R384="Fire"),1,0)),IF(OR($S384="Dark",$S384="Dragon",$S384="Fighting"),0-1,IF(OR($S384="Steel",$S384="Poison",$S384="Fire"),1,0)))</f>
        <v>0</v>
      </c>
      <c r="AH384" s="507" t="n">
        <f aca="false">IF(OR($R384="Ghost",$S384="Ghost"),4,SUM(IF(OR($R384="Dark",$R384="Ice",$R384="Normal",$R384="Rock",$R384="Steel"),0-1,IF(OR($R384="Bug",$R384="Fairy",$R384="Flying",$R384="Poison",$R384="Psychic"),1,0)),IF(OR($S384="Dark",$S384="Ice",$S384="Normal",$S384="Rock",$S384="Steel"),0-1,IF(OR($S384="Bug",$S384="Fairy",$S384="Flying",$S384="Poison",$S384="Psychic"),1,0))))</f>
        <v>-1</v>
      </c>
      <c r="AI384" s="507" t="n">
        <f aca="false">SUM(IF(OR($R384="Bug",$R384="Grass",$R384="Ice",$R384="Steel"),0-1,IF(OR($R384="Dragon",$R384="Fire",$R384="Rock",$R384="Water"),1,0)),IF(OR($S384="Bug",$S384="Grass",$S384="Ice",$S384="Steel"),0-1,IF(OR($S384="Dragon",$S384="Fire",$S384="Rock",$S384="Water"),1,0)))</f>
        <v>1</v>
      </c>
      <c r="AJ384" s="507" t="n">
        <f aca="false">SUM(IF(OR($R384="Bug",$R384="Grass",$R384="Fighting"),0-1,IF(OR($R384="Electric",$R384="Rock",$R384="Steel"),1,0)),IF(OR($S384="Bug",$S384="Grass",$S384="Fighting"),0-1,IF(OR($S384="Electric",$S384="Rock",$S384="Steel"),1,0)))</f>
        <v>1</v>
      </c>
      <c r="AK384" s="507" t="n">
        <f aca="false">IF(OR($R384="Normal",$S384="Normal"),4,SUM(IF(OR($R384="Ghost",$R384="Psychic"),0-1,IF($R384="Dark",1,0)),IF(OR($S384="Ghost",$S384="Psychic"),0-1,IF($S384="Dark",1,0))))</f>
        <v>0</v>
      </c>
      <c r="AL384" s="507" t="n">
        <f aca="false">SUM(IF(OR($R384="Ground",$R384="Rock",$R384="Water"),0-1,IF(OR($R384="Bug",$R384="Flying",$R384="Fire",$R384="Dragon",$R384="Poison",$R384="Steel",$R384="Grass"),1,0)),IF(OR($S384="Ground",$S384="Rock",$S384="Water"),0-1,IF(OR($S384="Bug",$S384="Flying",$S384="Fire",$S384="Dragon",$S384="Poison",$S384="Steel",$S384="Grass"),1,0)))</f>
        <v>-2</v>
      </c>
      <c r="AM384" s="507" t="n">
        <f aca="false">IF(OR($R384="Flying",$S384="Flying"),4,SUM(IF(OR($R384="Electric",$R384="Fire",$R384="Rock",$R384="Steel",$R384="Poison"),0-1,IF(OR($R384="Bug",$R384="Grass"),1,0)),IF(OR($S384="Electric",$S384="Fire",$S384="Rock",$S384="Steel",$S384="Poison"),0-1,IF(OR($S384="Bug",$S384="Grass"),1,0))))</f>
        <v>-1</v>
      </c>
      <c r="AN384" s="507" t="n">
        <f aca="false">SUM(IF(OR($R384="Flying",$R384="Dragon",$R384="Grass",$R384="Ground"),0-1,IF(OR($R384="Steel",$R384="Ice",$R384="Fire",$R384="Water"),1,0)),IF(OR($S384="Flying",$S384="Dragon",$S384="Grass",$S384="Ground"),0-1,IF(OR($S384="Steel",$S384="Ice",$S384="Fire",$S384="Water"),1,0)))</f>
        <v>-1</v>
      </c>
      <c r="AO384" s="507" t="n">
        <f aca="false">IF(OR($R384="Ghost",$S384="Ghost"),4,SUM(IF(OR($R384="Steel",$R384="Rock"),1,0),IF(OR($S384="Steel",$S384="Rock"),1,0)))</f>
        <v>1</v>
      </c>
      <c r="AP384" s="507" t="n">
        <f aca="false">IF(OR($R384="Steel",$S384="Steel"),4,SUM(IF(OR($R384="Fairy",$R384="Grass"),0-1,IF(OR($R384="Ghost",$R384="Rock",$R384="Ground",$R384="Poison"),1,0)),IF(OR($S384="Fairy",$S384="Grass"),0-1,IF(OR($S384="Ghost",$S384="Rock",$S384="Ground",$S384="Poison"),1,0))))</f>
        <v>2</v>
      </c>
      <c r="AQ384" s="507" t="n">
        <f aca="false">IF(OR($R384="Dark",$S384="Dark"),4,SUM(IF(OR($R384="Fighting",$R384="Poison"),0-1,IF(OR($R384="Psychic",$R384="Steel"),1,0)),IF(OR($S384="Fighting",$S384="Poison"),0-1,IF(OR($S384="Psychic",$S384="Steel"),1,0))))</f>
        <v>0</v>
      </c>
      <c r="AR384" s="507" t="n">
        <f aca="false">SUM(IF(OR($R384="Bug",$R384="Fire",$R384="Flying",$R384="Ice"),0-1,IF(OR($R384="Steel",$R384="Fighting",$R384="Ground"),1,0)),IF(OR($S384="Bug",$S384="Fire",$S384="Flying",$S384="Ice"),0-1,IF(OR($S384="Steel",$S384="Fighting",$S384="Ground"),1,0)))</f>
        <v>1</v>
      </c>
      <c r="AS384" s="507" t="n">
        <f aca="false">SUM(IF(OR($R384="Fairy",$R384="Ice",$R384="Rock"),0-1,IF(OR($R384="Steel",$R384="Electric",$R384="Fire",$R384="Water"),1,0)),IF(OR($S384="Fairy",$S384="Ice",$S384="Rock"),0-1,IF(OR($S384="Steel",$S384="Electric",$S384="Fire",$S384="Water"),1,0)))</f>
        <v>-1</v>
      </c>
      <c r="AT384" s="508" t="n">
        <f aca="false">SUM(IF(OR($R384="Fire",$R384="Ground",$R384="Rock"),0-1,IF(OR($R384="Dragon",$R384="Grass",$R384="Water"),1,0)),IF(OR($S384="Fire",$S384="Ground",$S384="Rock"),0-1,IF(OR($S384="Dragon",$S384="Grass",$S384="Water"),1,0)))</f>
        <v>-2</v>
      </c>
      <c r="AU384" s="518"/>
    </row>
    <row r="385" customFormat="false" ht="15.75" hidden="false" customHeight="false" outlineLevel="0" collapsed="false">
      <c r="A385" s="515" t="str">
        <f aca="false" t="array" ref="A385:A385">IF(ISNA(INDEX(Source!$U$7:$U$95,MATCH(B385,Source!$V$7:$V$95,0))),"FREE",INDEX(Source!$U$7:$U$95,MATCH(B385,Source!$V$7:$V$95,0)))</f>
        <v>SGP</v>
      </c>
      <c r="B385" s="511" t="s">
        <v>93</v>
      </c>
      <c r="C385" s="511"/>
      <c r="D385" s="511"/>
      <c r="E385" s="499" t="n">
        <f aca="false">IF(SUM($W385:$X385)&gt;0,SUM($W385:$X385),IF($H385&gt;0,0,IF($H385&gt;0,0,"-")))</f>
        <v>0</v>
      </c>
      <c r="F385" s="499" t="n">
        <f aca="false">IF(SUM($Y385:$Z385)&gt;0,SUM($Y385:$Z385),IF($H385&gt;0,0,"-"))</f>
        <v>0</v>
      </c>
      <c r="G385" s="499" t="e">
        <f aca="false">IF($H385&gt;0,minus(E385,F385),"-")</f>
        <v>#NAME?</v>
      </c>
      <c r="H385" s="500" t="n">
        <f aca="false">SUM(COUNTIF(MatchSource!$A:$A,$B385),COUNTIF(MatchSource!$H:$H,$B385))</f>
        <v>8</v>
      </c>
      <c r="I385" s="501" t="n">
        <f aca="false">SUM($AA385:$AB385)</f>
        <v>0</v>
      </c>
      <c r="J385" s="501" t="s">
        <v>701</v>
      </c>
      <c r="K385" s="512" t="str">
        <f aca="false" t="array" ref="K385:K385">IF(ISNA(INDEX(DraftRosters!$AA$3:$AA$199,MATCH($B385,DraftRosters!$AB$3:$AB$199,0))),"FA",IF(INDEX(DraftRosters!$AA$3:$AA$199,MATCH($B385,DraftRosters!$AB$3:$AB$199,0))="Franchise","Franch",INDEX(DraftRosters!$AA$3:$AA$199,MATCH($B385,DraftRosters!$AB$3:$AB$199,0))))</f>
        <v>FA</v>
      </c>
      <c r="L385" s="507" t="n">
        <v>60</v>
      </c>
      <c r="M385" s="507" t="n">
        <v>55</v>
      </c>
      <c r="N385" s="507" t="n">
        <v>60</v>
      </c>
      <c r="O385" s="507" t="n">
        <v>95</v>
      </c>
      <c r="P385" s="507" t="n">
        <v>70</v>
      </c>
      <c r="Q385" s="508" t="n">
        <v>124</v>
      </c>
      <c r="R385" s="499" t="s">
        <v>794</v>
      </c>
      <c r="S385" s="501" t="s">
        <v>798</v>
      </c>
      <c r="T385" s="520" t="s">
        <v>1060</v>
      </c>
      <c r="U385" s="513" t="s">
        <v>963</v>
      </c>
      <c r="V385" s="514" t="s">
        <v>1061</v>
      </c>
      <c r="W385" s="500" t="str">
        <f aca="false">IFERROR(__xludf.dummyfunction("if(isna(SUM(FILTER(MatchSource!$A:$D,MatchSource!$A:$A=$B385))),0,SUM(FILTER(MatchSource!$A:$D,MatchSource!$A:$A=$B385)))"),"1")</f>
        <v>1</v>
      </c>
      <c r="X385" s="499" t="str">
        <f aca="false">IFERROR(__xludf.dummyfunction("if(isna(SUM(FILTER(MatchSource!$H:$K,MatchSource!$H:$H=$B385))),0,SUM(FILTER(MatchSource!$H:$K,MatchSource!$H:$H=$B385)))"),"1")</f>
        <v>1</v>
      </c>
      <c r="Y385" s="499" t="str">
        <f aca="false">IFERROR(__xludf.dummyfunction("if(isna(ABS(MINUS(SUM(FILTER(MatchSource!$A:$E,MatchSource!$A:$A=$B385)),SUM($W385)))),0,ABS(MINUS(SUM(FILTER(MatchSource!$A:$E,MatchSource!$A:$A=$B385)),SUM($W385))))"),"3")</f>
        <v>3</v>
      </c>
      <c r="Z385" s="499" t="str">
        <f aca="false">IFERROR(__xludf.dummyfunction("if(isna(ABS(MINUS(SUM(FILTER(MatchSource!$H:$L,MatchSource!$H:$H=$B385)),SUM($X385)))),0,ABS(MINUS(SUM(FILTER(MatchSource!$H:$L,MatchSource!$H:$H=$B385)),SUM($X385))))"),"5")</f>
        <v>5</v>
      </c>
      <c r="AA385" s="499" t="str">
        <f aca="false">IFERROR(__xludf.dummyfunction("if(isna(ABS(MINUS(SUM(FILTER(MatchSource!$A:$F,MatchSource!$A:$A=$B385)),SUM($W385,$Y385)))),0,ABS(MINUS(SUM(FILTER(MatchSource!$A:$F,MatchSource!$A:$A=$B385)),SUM($W385, $Y385,))))"),"0")</f>
        <v>0</v>
      </c>
      <c r="AB385" s="501" t="str">
        <f aca="false">IFERROR(__xludf.dummyfunction("if(isna(ABS(MINUS(SUM(FILTER(MatchSource!$H:$M,MatchSource!$H:$H=$B385)),SUM($X385,$Z385)))),0,ABS(MINUS(SUM(FILTER(MatchSource!$H:$M,MatchSource!$H:$H=$B385)),SUM($X385,$Z385))))"),"0")</f>
        <v>0</v>
      </c>
      <c r="AC385" s="507" t="n">
        <f aca="false">SUM(IF(OR($R385="Grass",$R385="Psychic",$R385="Dark"),0-1,IF(OR($R385="Fighting",$R385="Flying",$R385="Fire",$R385="Ghost",$R385="Poison",$R385="Steel",$R385="Fairy"),1,0)),IF(OR($S385="Grass",$S385="Psychic",$S385="Dark"),0-1,IF(OR($S385="Fighting",$S385="Flying",$S385="Fire",$S385="Ghost",$S385="Poison",$S385="Steel",$S385="Fairy"),1,0)))</f>
        <v>1</v>
      </c>
      <c r="AD385" s="507" t="n">
        <f aca="false">SUM(IF(OR($R385="Ghost",$R385="Psychic"),0-1,IF(OR($R385="Fighting",$R385="Dark",$R385="Fairy"),1,0)),IF(OR($S385="Ghost",$S385="Psychic"),0-1,IF(OR($S385="Fighting",$S385="Dark",$S385="Fairy"),1,0)))</f>
        <v>1</v>
      </c>
      <c r="AE385" s="507" t="n">
        <f aca="false">IF(OR($R385="Fairy",$S385="Fairy"),4,SUM(IF($R385="Dragon",0-1,IF($R385="Steel",1,0)),IF($S385="Dragon",0-1,IF($S385="Steel",1,0))))</f>
        <v>4</v>
      </c>
      <c r="AF385" s="507" t="n">
        <f aca="false">IF(OR($R385="Ground",$S385="Ground"),4,SUM(IF(OR($R385="Flying",$R385="Water"),0-1,IF(OR($R385="Dragon",$R385="Electric",$R385="Grass"),1,0)),IF(OR($S385="Flying",$S385="Water"),0-1,IF(OR($S385="Dragon",$S385="Electric",$S385="Grass"),1,0))))</f>
        <v>0</v>
      </c>
      <c r="AG385" s="507" t="n">
        <f aca="false">SUM(IF(OR($R385="Dark",$R385="Dragon",$R385="Fighting"),0-1,IF(OR($R385="Steel",$R385="Poison",$R385="Fire"),1,0)),IF(OR($S385="Dark",$S385="Dragon",$S385="Fighting"),0-1,IF(OR($S385="Steel",$S385="Poison",$S385="Fire"),1,0)))</f>
        <v>0</v>
      </c>
      <c r="AH385" s="507" t="n">
        <f aca="false">IF(OR($R385="Ghost",$S385="Ghost"),4,SUM(IF(OR($R385="Dark",$R385="Ice",$R385="Normal",$R385="Rock",$R385="Steel"),0-1,IF(OR($R385="Bug",$R385="Fairy",$R385="Flying",$R385="Poison",$R385="Psychic"),1,0)),IF(OR($S385="Dark",$S385="Ice",$S385="Normal",$S385="Rock",$S385="Steel"),0-1,IF(OR($S385="Bug",$S385="Fairy",$S385="Flying",$S385="Poison",$S385="Psychic"),1,0))))</f>
        <v>2</v>
      </c>
      <c r="AI385" s="507" t="n">
        <f aca="false">SUM(IF(OR($R385="Bug",$R385="Grass",$R385="Ice",$R385="Steel"),0-1,IF(OR($R385="Dragon",$R385="Fire",$R385="Rock",$R385="Water"),1,0)),IF(OR($S385="Bug",$S385="Grass",$S385="Ice",$S385="Steel"),0-1,IF(OR($S385="Dragon",$S385="Fire",$S385="Rock",$S385="Water"),1,0)))</f>
        <v>-1</v>
      </c>
      <c r="AJ385" s="507" t="n">
        <f aca="false">SUM(IF(OR($R385="Bug",$R385="Grass",$R385="Fighting"),0-1,IF(OR($R385="Electric",$R385="Rock",$R385="Steel"),1,0)),IF(OR($S385="Bug",$S385="Grass",$S385="Fighting"),0-1,IF(OR($S385="Electric",$S385="Rock",$S385="Steel"),1,0)))</f>
        <v>-1</v>
      </c>
      <c r="AK385" s="507" t="n">
        <f aca="false">IF(OR($R385="Normal",$S385="Normal"),4,SUM(IF(OR($R385="Ghost",$R385="Psychic"),0-1,IF($R385="Dark",1,0)),IF(OR($S385="Ghost",$S385="Psychic"),0-1,IF($S385="Dark",1,0))))</f>
        <v>0</v>
      </c>
      <c r="AL385" s="507" t="n">
        <f aca="false">SUM(IF(OR($R385="Ground",$R385="Rock",$R385="Water"),0-1,IF(OR($R385="Bug",$R385="Flying",$R385="Fire",$R385="Dragon",$R385="Poison",$R385="Steel",$R385="Grass"),1,0)),IF(OR($S385="Ground",$S385="Rock",$S385="Water"),0-1,IF(OR($S385="Bug",$S385="Flying",$S385="Fire",$S385="Dragon",$S385="Poison",$S385="Steel",$S385="Grass"),1,0)))</f>
        <v>1</v>
      </c>
      <c r="AM385" s="507" t="n">
        <f aca="false">IF(OR($R385="Flying",$S385="Flying"),4,SUM(IF(OR($R385="Electric",$R385="Fire",$R385="Rock",$R385="Steel",$R385="Poison"),0-1,IF(OR($R385="Bug",$R385="Grass"),1,0)),IF(OR($S385="Electric",$S385="Fire",$S385="Rock",$S385="Steel",$S385="Poison"),0-1,IF(OR($S385="Bug",$S385="Grass"),1,0))))</f>
        <v>1</v>
      </c>
      <c r="AN385" s="507" t="n">
        <f aca="false">SUM(IF(OR($R385="Flying",$R385="Dragon",$R385="Grass",$R385="Ground"),0-1,IF(OR($R385="Steel",$R385="Ice",$R385="Fire",$R385="Water"),1,0)),IF(OR($S385="Flying",$S385="Dragon",$S385="Grass",$S385="Ground"),0-1,IF(OR($S385="Steel",$S385="Ice",$S385="Fire",$S385="Water"),1,0)))</f>
        <v>0</v>
      </c>
      <c r="AO385" s="507" t="n">
        <f aca="false">IF(OR($R385="Ghost",$S385="Ghost"),4,SUM(IF(OR($R385="Steel",$R385="Rock"),1,0),IF(OR($S385="Steel",$S385="Rock"),1,0)))</f>
        <v>0</v>
      </c>
      <c r="AP385" s="507" t="n">
        <f aca="false">IF(OR($R385="Steel",$S385="Steel"),4,SUM(IF(OR($R385="Fairy",$R385="Grass"),0-1,IF(OR($R385="Ghost",$R385="Rock",$R385="Ground",$R385="Poison"),1,0)),IF(OR($S385="Fairy",$S385="Grass"),0-1,IF(OR($S385="Ghost",$S385="Rock",$S385="Ground",$S385="Poison"),1,0))))</f>
        <v>-1</v>
      </c>
      <c r="AQ385" s="507" t="n">
        <f aca="false">IF(OR($R385="Dark",$S385="Dark"),4,SUM(IF(OR($R385="Fighting",$R385="Poison"),0-1,IF(OR($R385="Psychic",$R385="Steel"),1,0)),IF(OR($S385="Fighting",$S385="Poison"),0-1,IF(OR($S385="Psychic",$S385="Steel"),1,0))))</f>
        <v>0</v>
      </c>
      <c r="AR385" s="507" t="n">
        <f aca="false">SUM(IF(OR($R385="Bug",$R385="Fire",$R385="Flying",$R385="Ice"),0-1,IF(OR($R385="Steel",$R385="Fighting",$R385="Ground"),1,0)),IF(OR($S385="Bug",$S385="Fire",$S385="Flying",$S385="Ice"),0-1,IF(OR($S385="Steel",$S385="Fighting",$S385="Ground"),1,0)))</f>
        <v>-1</v>
      </c>
      <c r="AS385" s="507" t="n">
        <f aca="false">SUM(IF(OR($R385="Fairy",$R385="Ice",$R385="Rock"),0-1,IF(OR($R385="Steel",$R385="Electric",$R385="Fire",$R385="Water"),1,0)),IF(OR($S385="Fairy",$S385="Ice",$S385="Rock"),0-1,IF(OR($S385="Steel",$S385="Electric",$S385="Fire",$S385="Water"),1,0)))</f>
        <v>-1</v>
      </c>
      <c r="AT385" s="508" t="n">
        <f aca="false">SUM(IF(OR($R385="Fire",$R385="Ground",$R385="Rock"),0-1,IF(OR($R385="Dragon",$R385="Grass",$R385="Water"),1,0)),IF(OR($S385="Fire",$S385="Ground",$S385="Rock"),0-1,IF(OR($S385="Dragon",$S385="Grass",$S385="Water"),1,0)))</f>
        <v>0</v>
      </c>
      <c r="AU385" s="518"/>
    </row>
    <row r="386" customFormat="false" ht="15.75" hidden="false" customHeight="false" outlineLevel="0" collapsed="false">
      <c r="A386" s="510" t="str">
        <f aca="false" t="array" ref="A386:A386">IF(ISNA(INDEX(Source!$U$7:$U$95,MATCH(B386,Source!$V$7:$V$95,0))),"FREE",INDEX(Source!$U$7:$U$95,MATCH(B386,Source!$V$7:$V$95,0)))</f>
        <v>FREE</v>
      </c>
      <c r="B386" s="511" t="s">
        <v>528</v>
      </c>
      <c r="C386" s="511"/>
      <c r="D386" s="511"/>
      <c r="E386" s="499" t="str">
        <f aca="false">IF(SUM($W386:$X386)&gt;0,SUM($W386:$X386),IF($H386&gt;0,0,IF($H386&gt;0,0,"-")))</f>
        <v>-</v>
      </c>
      <c r="F386" s="499" t="str">
        <f aca="false">IF(SUM($Y386:$Z386)&gt;0,SUM($Y386:$Z386),IF($H386&gt;0,0,"-"))</f>
        <v>-</v>
      </c>
      <c r="G386" s="499" t="str">
        <f aca="false">IF($H386&gt;0,minus(E386,F386),"-")</f>
        <v>-</v>
      </c>
      <c r="H386" s="500" t="n">
        <f aca="false">SUM(COUNTIF(MatchSource!$A:$A,$B386),COUNTIF(MatchSource!$H:$H,$B386))</f>
        <v>0</v>
      </c>
      <c r="I386" s="501" t="n">
        <f aca="false">SUM($AA386:$AB386)</f>
        <v>0</v>
      </c>
      <c r="J386" s="501" t="s">
        <v>702</v>
      </c>
      <c r="K386" s="512" t="str">
        <f aca="false" t="array" ref="K386:K386">IF(ISNA(INDEX(DraftRosters!$AA$3:$AA$199,MATCH($B386,DraftRosters!$AB$3:$AB$199,0))),"FA",IF(INDEX(DraftRosters!$AA$3:$AA$199,MATCH($B386,DraftRosters!$AB$3:$AB$199,0))="Franchise","Franch",INDEX(DraftRosters!$AA$3:$AA$199,MATCH($B386,DraftRosters!$AB$3:$AB$199,0))))</f>
        <v>FA</v>
      </c>
      <c r="L386" s="499" t="n">
        <v>50</v>
      </c>
      <c r="M386" s="499" t="n">
        <v>60</v>
      </c>
      <c r="N386" s="499" t="n">
        <v>45</v>
      </c>
      <c r="O386" s="499" t="n">
        <v>100</v>
      </c>
      <c r="P386" s="499" t="n">
        <v>80</v>
      </c>
      <c r="Q386" s="501" t="n">
        <v>65</v>
      </c>
      <c r="R386" s="499" t="s">
        <v>803</v>
      </c>
      <c r="S386" s="501" t="s">
        <v>843</v>
      </c>
      <c r="T386" s="504" t="s">
        <v>1004</v>
      </c>
      <c r="U386" s="505" t="s">
        <v>952</v>
      </c>
      <c r="V386" s="506" t="s">
        <v>837</v>
      </c>
      <c r="W386" s="500" t="str">
        <f aca="false">IFERROR(__xludf.dummyfunction("if(isna(SUM(FILTER(MatchSource!$A:$D,MatchSource!$A:$A=$B386))),0,SUM(FILTER(MatchSource!$A:$D,MatchSource!$A:$A=$B386)))"),"0")</f>
        <v>0</v>
      </c>
      <c r="X386" s="499" t="str">
        <f aca="false">IFERROR(__xludf.dummyfunction("if(isna(SUM(FILTER(MatchSource!$H:$K,MatchSource!$H:$H=$B386))),0,SUM(FILTER(MatchSource!$H:$K,MatchSource!$H:$H=$B386)))"),"0")</f>
        <v>0</v>
      </c>
      <c r="Y386" s="499" t="str">
        <f aca="false">IFERROR(__xludf.dummyfunction("if(isna(ABS(MINUS(SUM(FILTER(MatchSource!$A:$E,MatchSource!$A:$A=$B386)),SUM($W386)))),0,ABS(MINUS(SUM(FILTER(MatchSource!$A:$E,MatchSource!$A:$A=$B386)),SUM($W386))))"),"0")</f>
        <v>0</v>
      </c>
      <c r="Z386" s="499" t="str">
        <f aca="false">IFERROR(__xludf.dummyfunction("if(isna(ABS(MINUS(SUM(FILTER(MatchSource!$H:$L,MatchSource!$H:$H=$B386)),SUM($X386)))),0,ABS(MINUS(SUM(FILTER(MatchSource!$H:$L,MatchSource!$H:$H=$B386)),SUM($X386))))"),"0")</f>
        <v>0</v>
      </c>
      <c r="AA386" s="499" t="str">
        <f aca="false">IFERROR(__xludf.dummyfunction("if(isna(ABS(MINUS(SUM(FILTER(MatchSource!$A:$F,MatchSource!$A:$A=$B386)),SUM($W386,$Y386)))),0,ABS(MINUS(SUM(FILTER(MatchSource!$A:$F,MatchSource!$A:$A=$B386)),SUM($W386, $Y386,))))"),"0")</f>
        <v>0</v>
      </c>
      <c r="AB386" s="501" t="str">
        <f aca="false">IFERROR(__xludf.dummyfunction("if(isna(ABS(MINUS(SUM(FILTER(MatchSource!$H:$M,MatchSource!$H:$H=$B386)),SUM($X386,$Z386)))),0,ABS(MINUS(SUM(FILTER(MatchSource!$H:$M,MatchSource!$H:$H=$B386)),SUM($X386,$Z386))))"),"0")</f>
        <v>0</v>
      </c>
      <c r="AC386" s="507" t="n">
        <f aca="false">SUM(IF(OR($R386="Grass",$R386="Psychic",$R386="Dark"),0-1,IF(OR($R386="Fighting",$R386="Flying",$R386="Fire",$R386="Ghost",$R386="Poison",$R386="Steel",$R386="Fairy"),1,0)),IF(OR($S386="Grass",$S386="Psychic",$S386="Dark"),0-1,IF(OR($S386="Fighting",$S386="Flying",$S386="Fire",$S386="Ghost",$S386="Poison",$S386="Steel",$S386="Fairy"),1,0)))</f>
        <v>0</v>
      </c>
      <c r="AD386" s="507" t="n">
        <f aca="false">SUM(IF(OR($R386="Ghost",$R386="Psychic"),0-1,IF(OR($R386="Fighting",$R386="Dark",$R386="Fairy"),1,0)),IF(OR($S386="Ghost",$S386="Psychic"),0-1,IF(OR($S386="Fighting",$S386="Dark",$S386="Fairy"),1,0)))</f>
        <v>0</v>
      </c>
      <c r="AE386" s="507" t="n">
        <f aca="false">IF(OR($R386="Fairy",$S386="Fairy"),4,SUM(IF($R386="Dragon",0-1,IF($R386="Steel",1,0)),IF($S386="Dragon",0-1,IF($S386="Steel",1,0))))</f>
        <v>0</v>
      </c>
      <c r="AF386" s="507" t="n">
        <f aca="false">IF(OR($R386="Ground",$S386="Ground"),4,SUM(IF(OR($R386="Flying",$R386="Water"),0-1,IF(OR($R386="Dragon",$R386="Electric",$R386="Grass"),1,0)),IF(OR($S386="Flying",$S386="Water"),0-1,IF(OR($S386="Dragon",$S386="Electric",$S386="Grass"),1,0))))</f>
        <v>1</v>
      </c>
      <c r="AG386" s="507" t="n">
        <f aca="false">SUM(IF(OR($R386="Dark",$R386="Dragon",$R386="Fighting"),0-1,IF(OR($R386="Steel",$R386="Poison",$R386="Fire"),1,0)),IF(OR($S386="Dark",$S386="Dragon",$S386="Fighting"),0-1,IF(OR($S386="Steel",$S386="Poison",$S386="Fire"),1,0)))</f>
        <v>1</v>
      </c>
      <c r="AH386" s="507" t="n">
        <f aca="false">IF(OR($R386="Ghost",$S386="Ghost"),4,SUM(IF(OR($R386="Dark",$R386="Ice",$R386="Normal",$R386="Rock",$R386="Steel"),0-1,IF(OR($R386="Bug",$R386="Fairy",$R386="Flying",$R386="Poison",$R386="Psychic"),1,0)),IF(OR($S386="Dark",$S386="Ice",$S386="Normal",$S386="Rock",$S386="Steel"),0-1,IF(OR($S386="Bug",$S386="Fairy",$S386="Flying",$S386="Poison",$S386="Psychic"),1,0))))</f>
        <v>1</v>
      </c>
      <c r="AI386" s="507" t="n">
        <f aca="false">SUM(IF(OR($R386="Bug",$R386="Grass",$R386="Ice",$R386="Steel"),0-1,IF(OR($R386="Dragon",$R386="Fire",$R386="Rock",$R386="Water"),1,0)),IF(OR($S386="Bug",$S386="Grass",$S386="Ice",$S386="Steel"),0-1,IF(OR($S386="Dragon",$S386="Fire",$S386="Rock",$S386="Water"),1,0)))</f>
        <v>-1</v>
      </c>
      <c r="AJ386" s="507" t="n">
        <f aca="false">SUM(IF(OR($R386="Bug",$R386="Grass",$R386="Fighting"),0-1,IF(OR($R386="Electric",$R386="Rock",$R386="Steel"),1,0)),IF(OR($S386="Bug",$S386="Grass",$S386="Fighting"),0-1,IF(OR($S386="Electric",$S386="Rock",$S386="Steel"),1,0)))</f>
        <v>-1</v>
      </c>
      <c r="AK386" s="507" t="n">
        <f aca="false">IF(OR($R386="Normal",$S386="Normal"),4,SUM(IF(OR($R386="Ghost",$R386="Psychic"),0-1,IF($R386="Dark",1,0)),IF(OR($S386="Ghost",$S386="Psychic"),0-1,IF($S386="Dark",1,0))))</f>
        <v>0</v>
      </c>
      <c r="AL386" s="507" t="n">
        <f aca="false">SUM(IF(OR($R386="Ground",$R386="Rock",$R386="Water"),0-1,IF(OR($R386="Bug",$R386="Flying",$R386="Fire",$R386="Dragon",$R386="Poison",$R386="Steel",$R386="Grass"),1,0)),IF(OR($S386="Ground",$S386="Rock",$S386="Water"),0-1,IF(OR($S386="Bug",$S386="Flying",$S386="Fire",$S386="Dragon",$S386="Poison",$S386="Steel",$S386="Grass"),1,0)))</f>
        <v>2</v>
      </c>
      <c r="AM386" s="507" t="n">
        <f aca="false">IF(OR($R386="Flying",$S386="Flying"),4,SUM(IF(OR($R386="Electric",$R386="Fire",$R386="Rock",$R386="Steel",$R386="Poison"),0-1,IF(OR($R386="Bug",$R386="Grass"),1,0)),IF(OR($S386="Electric",$S386="Fire",$S386="Rock",$S386="Steel",$S386="Poison"),0-1,IF(OR($S386="Bug",$S386="Grass"),1,0))))</f>
        <v>0</v>
      </c>
      <c r="AN386" s="507" t="n">
        <f aca="false">SUM(IF(OR($R386="Flying",$R386="Dragon",$R386="Grass",$R386="Ground"),0-1,IF(OR($R386="Steel",$R386="Ice",$R386="Fire",$R386="Water"),1,0)),IF(OR($S386="Flying",$S386="Dragon",$S386="Grass",$S386="Ground"),0-1,IF(OR($S386="Steel",$S386="Ice",$S386="Fire",$S386="Water"),1,0)))</f>
        <v>-1</v>
      </c>
      <c r="AO386" s="507" t="n">
        <f aca="false">IF(OR($R386="Ghost",$S386="Ghost"),4,SUM(IF(OR($R386="Steel",$R386="Rock"),1,0),IF(OR($S386="Steel",$S386="Rock"),1,0)))</f>
        <v>0</v>
      </c>
      <c r="AP386" s="507" t="n">
        <f aca="false">IF(OR($R386="Steel",$S386="Steel"),4,SUM(IF(OR($R386="Fairy",$R386="Grass"),0-1,IF(OR($R386="Ghost",$R386="Rock",$R386="Ground",$R386="Poison"),1,0)),IF(OR($S386="Fairy",$S386="Grass"),0-1,IF(OR($S386="Ghost",$S386="Rock",$S386="Ground",$S386="Poison"),1,0))))</f>
        <v>0</v>
      </c>
      <c r="AQ386" s="507" t="n">
        <f aca="false">IF(OR($R386="Dark",$S386="Dark"),4,SUM(IF(OR($R386="Fighting",$R386="Poison"),0-1,IF(OR($R386="Psychic",$R386="Steel"),1,0)),IF(OR($S386="Fighting",$S386="Poison"),0-1,IF(OR($S386="Psychic",$S386="Steel"),1,0))))</f>
        <v>-1</v>
      </c>
      <c r="AR386" s="507" t="n">
        <f aca="false">SUM(IF(OR($R386="Bug",$R386="Fire",$R386="Flying",$R386="Ice"),0-1,IF(OR($R386="Steel",$R386="Fighting",$R386="Ground"),1,0)),IF(OR($S386="Bug",$S386="Fire",$S386="Flying",$S386="Ice"),0-1,IF(OR($S386="Steel",$S386="Fighting",$S386="Ground"),1,0)))</f>
        <v>0</v>
      </c>
      <c r="AS386" s="507" t="n">
        <f aca="false">SUM(IF(OR($R386="Fairy",$R386="Ice",$R386="Rock"),0-1,IF(OR($R386="Steel",$R386="Electric",$R386="Fire",$R386="Water"),1,0)),IF(OR($S386="Fairy",$S386="Ice",$S386="Rock"),0-1,IF(OR($S386="Steel",$S386="Electric",$S386="Fire",$S386="Water"),1,0)))</f>
        <v>0</v>
      </c>
      <c r="AT386" s="508" t="n">
        <f aca="false">SUM(IF(OR($R386="Fire",$R386="Ground",$R386="Rock"),0-1,IF(OR($R386="Dragon",$R386="Grass",$R386="Water"),1,0)),IF(OR($S386="Fire",$S386="Ground",$S386="Rock"),0-1,IF(OR($S386="Dragon",$S386="Grass",$S386="Water"),1,0)))</f>
        <v>1</v>
      </c>
      <c r="AU386" s="518"/>
    </row>
    <row r="387" customFormat="false" ht="15.75" hidden="false" customHeight="false" outlineLevel="0" collapsed="false">
      <c r="A387" s="510" t="str">
        <f aca="false" t="array" ref="A387:A387">IF(ISNA(INDEX(Source!$U$7:$U$95,MATCH(B387,Source!$V$7:$V$95,0))),"FREE",INDEX(Source!$U$7:$U$95,MATCH(B387,Source!$V$7:$V$95,0)))</f>
        <v>FREE</v>
      </c>
      <c r="B387" s="511" t="s">
        <v>540</v>
      </c>
      <c r="C387" s="511"/>
      <c r="D387" s="511"/>
      <c r="E387" s="499" t="str">
        <f aca="false">IF(SUM($W387:$X387)&gt;0,SUM($W387:$X387),IF($H387&gt;0,0,IF($H387&gt;0,0,"-")))</f>
        <v>-</v>
      </c>
      <c r="F387" s="499" t="str">
        <f aca="false">IF(SUM($Y387:$Z387)&gt;0,SUM($Y387:$Z387),IF($H387&gt;0,0,"-"))</f>
        <v>-</v>
      </c>
      <c r="G387" s="499" t="str">
        <f aca="false">IF($H387&gt;0,minus(E387,F387),"-")</f>
        <v>-</v>
      </c>
      <c r="H387" s="500" t="n">
        <f aca="false">SUM(COUNTIF(MatchSource!$A:$A,$B387),COUNTIF(MatchSource!$H:$H,$B387))</f>
        <v>0</v>
      </c>
      <c r="I387" s="501" t="n">
        <f aca="false">SUM($AA387:$AB387)</f>
        <v>0</v>
      </c>
      <c r="J387" s="501" t="s">
        <v>700</v>
      </c>
      <c r="K387" s="512" t="str">
        <f aca="false" t="array" ref="K387:K387">IF(ISNA(INDEX(DraftRosters!$AA$3:$AA$199,MATCH($B387,DraftRosters!$AB$3:$AB$199,0))),"FA",IF(INDEX(DraftRosters!$AA$3:$AA$199,MATCH($B387,DraftRosters!$AB$3:$AB$199,0))="Franchise","Franch",INDEX(DraftRosters!$AA$3:$AA$199,MATCH($B387,DraftRosters!$AB$3:$AB$199,0))))</f>
        <v>FA</v>
      </c>
      <c r="L387" s="499" t="n">
        <v>60</v>
      </c>
      <c r="M387" s="499" t="n">
        <v>70</v>
      </c>
      <c r="N387" s="499" t="n">
        <v>65</v>
      </c>
      <c r="O387" s="499" t="n">
        <v>125</v>
      </c>
      <c r="P387" s="499" t="n">
        <v>105</v>
      </c>
      <c r="Q387" s="501" t="n">
        <v>90</v>
      </c>
      <c r="R387" s="499" t="s">
        <v>803</v>
      </c>
      <c r="S387" s="501" t="s">
        <v>843</v>
      </c>
      <c r="T387" s="504" t="s">
        <v>837</v>
      </c>
      <c r="U387" s="505" t="s">
        <v>842</v>
      </c>
      <c r="V387" s="506" t="s">
        <v>952</v>
      </c>
      <c r="W387" s="500" t="str">
        <f aca="false">IFERROR(__xludf.dummyfunction("if(isna(SUM(FILTER(MatchSource!$A:$D,MatchSource!$A:$A=$B387))),0,SUM(FILTER(MatchSource!$A:$D,MatchSource!$A:$A=$B387)))"),"0")</f>
        <v>0</v>
      </c>
      <c r="X387" s="499" t="str">
        <f aca="false">IFERROR(__xludf.dummyfunction("if(isna(SUM(FILTER(MatchSource!$H:$K,MatchSource!$H:$H=$B387))),0,SUM(FILTER(MatchSource!$H:$K,MatchSource!$H:$H=$B387)))"),"0")</f>
        <v>0</v>
      </c>
      <c r="Y387" s="499" t="str">
        <f aca="false">IFERROR(__xludf.dummyfunction("if(isna(ABS(MINUS(SUM(FILTER(MatchSource!$A:$E,MatchSource!$A:$A=$B387)),SUM($W387)))),0,ABS(MINUS(SUM(FILTER(MatchSource!$A:$E,MatchSource!$A:$A=$B387)),SUM($W387))))"),"0")</f>
        <v>0</v>
      </c>
      <c r="Z387" s="499" t="str">
        <f aca="false">IFERROR(__xludf.dummyfunction("if(isna(ABS(MINUS(SUM(FILTER(MatchSource!$H:$L,MatchSource!$H:$H=$B387)),SUM($X387)))),0,ABS(MINUS(SUM(FILTER(MatchSource!$H:$L,MatchSource!$H:$H=$B387)),SUM($X387))))"),"0")</f>
        <v>0</v>
      </c>
      <c r="AA387" s="499" t="str">
        <f aca="false">IFERROR(__xludf.dummyfunction("if(isna(ABS(MINUS(SUM(FILTER(MatchSource!$A:$F,MatchSource!$A:$A=$B387)),SUM($W387,$Y387)))),0,ABS(MINUS(SUM(FILTER(MatchSource!$A:$F,MatchSource!$A:$A=$B387)),SUM($W387, $Y387,))))"),"0")</f>
        <v>0</v>
      </c>
      <c r="AB387" s="501" t="str">
        <f aca="false">IFERROR(__xludf.dummyfunction("if(isna(ABS(MINUS(SUM(FILTER(MatchSource!$H:$M,MatchSource!$H:$H=$B387)),SUM($X387,$Z387)))),0,ABS(MINUS(SUM(FILTER(MatchSource!$H:$M,MatchSource!$H:$H=$B387)),SUM($X387,$Z387))))"),"0")</f>
        <v>0</v>
      </c>
      <c r="AC387" s="507" t="n">
        <f aca="false">SUM(IF(OR($R387="Grass",$R387="Psychic",$R387="Dark"),0-1,IF(OR($R387="Fighting",$R387="Flying",$R387="Fire",$R387="Ghost",$R387="Poison",$R387="Steel",$R387="Fairy"),1,0)),IF(OR($S387="Grass",$S387="Psychic",$S387="Dark"),0-1,IF(OR($S387="Fighting",$S387="Flying",$S387="Fire",$S387="Ghost",$S387="Poison",$S387="Steel",$S387="Fairy"),1,0)))</f>
        <v>0</v>
      </c>
      <c r="AD387" s="507" t="n">
        <f aca="false">SUM(IF(OR($R387="Ghost",$R387="Psychic"),0-1,IF(OR($R387="Fighting",$R387="Dark",$R387="Fairy"),1,0)),IF(OR($S387="Ghost",$S387="Psychic"),0-1,IF(OR($S387="Fighting",$S387="Dark",$S387="Fairy"),1,0)))</f>
        <v>0</v>
      </c>
      <c r="AE387" s="507" t="n">
        <f aca="false">IF(OR($R387="Fairy",$S387="Fairy"),4,SUM(IF($R387="Dragon",0-1,IF($R387="Steel",1,0)),IF($S387="Dragon",0-1,IF($S387="Steel",1,0))))</f>
        <v>0</v>
      </c>
      <c r="AF387" s="507" t="n">
        <f aca="false">IF(OR($R387="Ground",$S387="Ground"),4,SUM(IF(OR($R387="Flying",$R387="Water"),0-1,IF(OR($R387="Dragon",$R387="Electric",$R387="Grass"),1,0)),IF(OR($S387="Flying",$S387="Water"),0-1,IF(OR($S387="Dragon",$S387="Electric",$S387="Grass"),1,0))))</f>
        <v>1</v>
      </c>
      <c r="AG387" s="507" t="n">
        <f aca="false">SUM(IF(OR($R387="Dark",$R387="Dragon",$R387="Fighting"),0-1,IF(OR($R387="Steel",$R387="Poison",$R387="Fire"),1,0)),IF(OR($S387="Dark",$S387="Dragon",$S387="Fighting"),0-1,IF(OR($S387="Steel",$S387="Poison",$S387="Fire"),1,0)))</f>
        <v>1</v>
      </c>
      <c r="AH387" s="507" t="n">
        <f aca="false">IF(OR($R387="Ghost",$S387="Ghost"),4,SUM(IF(OR($R387="Dark",$R387="Ice",$R387="Normal",$R387="Rock",$R387="Steel"),0-1,IF(OR($R387="Bug",$R387="Fairy",$R387="Flying",$R387="Poison",$R387="Psychic"),1,0)),IF(OR($S387="Dark",$S387="Ice",$S387="Normal",$S387="Rock",$S387="Steel"),0-1,IF(OR($S387="Bug",$S387="Fairy",$S387="Flying",$S387="Poison",$S387="Psychic"),1,0))))</f>
        <v>1</v>
      </c>
      <c r="AI387" s="507" t="n">
        <f aca="false">SUM(IF(OR($R387="Bug",$R387="Grass",$R387="Ice",$R387="Steel"),0-1,IF(OR($R387="Dragon",$R387="Fire",$R387="Rock",$R387="Water"),1,0)),IF(OR($S387="Bug",$S387="Grass",$S387="Ice",$S387="Steel"),0-1,IF(OR($S387="Dragon",$S387="Fire",$S387="Rock",$S387="Water"),1,0)))</f>
        <v>-1</v>
      </c>
      <c r="AJ387" s="507" t="n">
        <f aca="false">SUM(IF(OR($R387="Bug",$R387="Grass",$R387="Fighting"),0-1,IF(OR($R387="Electric",$R387="Rock",$R387="Steel"),1,0)),IF(OR($S387="Bug",$S387="Grass",$S387="Fighting"),0-1,IF(OR($S387="Electric",$S387="Rock",$S387="Steel"),1,0)))</f>
        <v>-1</v>
      </c>
      <c r="AK387" s="507" t="n">
        <f aca="false">IF(OR($R387="Normal",$S387="Normal"),4,SUM(IF(OR($R387="Ghost",$R387="Psychic"),0-1,IF($R387="Dark",1,0)),IF(OR($S387="Ghost",$S387="Psychic"),0-1,IF($S387="Dark",1,0))))</f>
        <v>0</v>
      </c>
      <c r="AL387" s="507" t="n">
        <f aca="false">SUM(IF(OR($R387="Ground",$R387="Rock",$R387="Water"),0-1,IF(OR($R387="Bug",$R387="Flying",$R387="Fire",$R387="Dragon",$R387="Poison",$R387="Steel",$R387="Grass"),1,0)),IF(OR($S387="Ground",$S387="Rock",$S387="Water"),0-1,IF(OR($S387="Bug",$S387="Flying",$S387="Fire",$S387="Dragon",$S387="Poison",$S387="Steel",$S387="Grass"),1,0)))</f>
        <v>2</v>
      </c>
      <c r="AM387" s="507" t="n">
        <f aca="false">IF(OR($R387="Flying",$S387="Flying"),4,SUM(IF(OR($R387="Electric",$R387="Fire",$R387="Rock",$R387="Steel",$R387="Poison"),0-1,IF(OR($R387="Bug",$R387="Grass"),1,0)),IF(OR($S387="Electric",$S387="Fire",$S387="Rock",$S387="Steel",$S387="Poison"),0-1,IF(OR($S387="Bug",$S387="Grass"),1,0))))</f>
        <v>0</v>
      </c>
      <c r="AN387" s="507" t="n">
        <f aca="false">SUM(IF(OR($R387="Flying",$R387="Dragon",$R387="Grass",$R387="Ground"),0-1,IF(OR($R387="Steel",$R387="Ice",$R387="Fire",$R387="Water"),1,0)),IF(OR($S387="Flying",$S387="Dragon",$S387="Grass",$S387="Ground"),0-1,IF(OR($S387="Steel",$S387="Ice",$S387="Fire",$S387="Water"),1,0)))</f>
        <v>-1</v>
      </c>
      <c r="AO387" s="507" t="n">
        <f aca="false">IF(OR($R387="Ghost",$S387="Ghost"),4,SUM(IF(OR($R387="Steel",$R387="Rock"),1,0),IF(OR($S387="Steel",$S387="Rock"),1,0)))</f>
        <v>0</v>
      </c>
      <c r="AP387" s="507" t="n">
        <f aca="false">IF(OR($R387="Steel",$S387="Steel"),4,SUM(IF(OR($R387="Fairy",$R387="Grass"),0-1,IF(OR($R387="Ghost",$R387="Rock",$R387="Ground",$R387="Poison"),1,0)),IF(OR($S387="Fairy",$S387="Grass"),0-1,IF(OR($S387="Ghost",$S387="Rock",$S387="Ground",$S387="Poison"),1,0))))</f>
        <v>0</v>
      </c>
      <c r="AQ387" s="507" t="n">
        <f aca="false">IF(OR($R387="Dark",$S387="Dark"),4,SUM(IF(OR($R387="Fighting",$R387="Poison"),0-1,IF(OR($R387="Psychic",$R387="Steel"),1,0)),IF(OR($S387="Fighting",$S387="Poison"),0-1,IF(OR($S387="Psychic",$S387="Steel"),1,0))))</f>
        <v>-1</v>
      </c>
      <c r="AR387" s="507" t="n">
        <f aca="false">SUM(IF(OR($R387="Bug",$R387="Fire",$R387="Flying",$R387="Ice"),0-1,IF(OR($R387="Steel",$R387="Fighting",$R387="Ground"),1,0)),IF(OR($S387="Bug",$S387="Fire",$S387="Flying",$S387="Ice"),0-1,IF(OR($S387="Steel",$S387="Fighting",$S387="Ground"),1,0)))</f>
        <v>0</v>
      </c>
      <c r="AS387" s="507" t="n">
        <f aca="false">SUM(IF(OR($R387="Fairy",$R387="Ice",$R387="Rock"),0-1,IF(OR($R387="Steel",$R387="Electric",$R387="Fire",$R387="Water"),1,0)),IF(OR($S387="Fairy",$S387="Ice",$S387="Rock"),0-1,IF(OR($S387="Steel",$S387="Electric",$S387="Fire",$S387="Water"),1,0)))</f>
        <v>0</v>
      </c>
      <c r="AT387" s="508" t="n">
        <f aca="false">SUM(IF(OR($R387="Fire",$R387="Ground",$R387="Rock"),0-1,IF(OR($R387="Dragon",$R387="Grass",$R387="Water"),1,0)),IF(OR($S387="Fire",$S387="Ground",$S387="Rock"),0-1,IF(OR($S387="Dragon",$S387="Grass",$S387="Water"),1,0)))</f>
        <v>1</v>
      </c>
      <c r="AU387" s="518"/>
    </row>
    <row r="388" customFormat="false" ht="15.75" hidden="false" customHeight="false" outlineLevel="0" collapsed="false">
      <c r="A388" s="510" t="str">
        <f aca="false" t="array" ref="A388:A388">IF(ISNA(INDEX(Source!$U$7:$U$95,MATCH(B388,Source!$V$7:$V$95,0))),"FREE",INDEX(Source!$U$7:$U$95,MATCH(B388,Source!$V$7:$V$95,0)))</f>
        <v>FREE</v>
      </c>
      <c r="B388" s="511" t="s">
        <v>532</v>
      </c>
      <c r="C388" s="511"/>
      <c r="D388" s="511"/>
      <c r="E388" s="499" t="str">
        <f aca="false">IF(SUM($W388:$X388)&gt;0,SUM($W388:$X388),IF($H388&gt;0,0,IF($H388&gt;0,0,"-")))</f>
        <v>-</v>
      </c>
      <c r="F388" s="499" t="str">
        <f aca="false">IF(SUM($Y388:$Z388)&gt;0,SUM($Y388:$Z388),IF($H388&gt;0,0,"-"))</f>
        <v>-</v>
      </c>
      <c r="G388" s="499" t="str">
        <f aca="false">IF($H388&gt;0,minus(E388,F388),"-")</f>
        <v>-</v>
      </c>
      <c r="H388" s="500" t="n">
        <f aca="false">SUM(COUNTIF(MatchSource!$A:$A,$B388),COUNTIF(MatchSource!$H:$H,$B388))</f>
        <v>0</v>
      </c>
      <c r="I388" s="501" t="n">
        <f aca="false">SUM($AA388:$AB388)</f>
        <v>0</v>
      </c>
      <c r="J388" s="501" t="s">
        <v>702</v>
      </c>
      <c r="K388" s="512" t="str">
        <f aca="false" t="array" ref="K388:K388">IF(ISNA(INDEX(DraftRosters!$AA$3:$AA$199,MATCH($B388,DraftRosters!$AB$3:$AB$199,0))),"FA",IF(INDEX(DraftRosters!$AA$3:$AA$199,MATCH($B388,DraftRosters!$AB$3:$AB$199,0))="Franchise","Franch",INDEX(DraftRosters!$AA$3:$AA$199,MATCH($B388,DraftRosters!$AB$3:$AB$199,0))))</f>
        <v>FA</v>
      </c>
      <c r="L388" s="499" t="n">
        <v>50</v>
      </c>
      <c r="M388" s="499" t="n">
        <v>50</v>
      </c>
      <c r="N388" s="499" t="n">
        <v>77</v>
      </c>
      <c r="O388" s="499" t="n">
        <v>95</v>
      </c>
      <c r="P388" s="499" t="n">
        <v>77</v>
      </c>
      <c r="Q388" s="501" t="n">
        <v>91</v>
      </c>
      <c r="R388" s="499" t="s">
        <v>845</v>
      </c>
      <c r="S388" s="501" t="s">
        <v>802</v>
      </c>
      <c r="T388" s="504" t="s">
        <v>866</v>
      </c>
      <c r="U388" s="505"/>
      <c r="V388" s="506"/>
      <c r="W388" s="500" t="str">
        <f aca="false">IFERROR(__xludf.dummyfunction("if(isna(SUM(FILTER(MatchSource!$A:$D,MatchSource!$A:$A=$B388))),0,SUM(FILTER(MatchSource!$A:$D,MatchSource!$A:$A=$B388)))"),"0")</f>
        <v>0</v>
      </c>
      <c r="X388" s="499" t="str">
        <f aca="false">IFERROR(__xludf.dummyfunction("if(isna(SUM(FILTER(MatchSource!$H:$K,MatchSource!$H:$H=$B388))),0,SUM(FILTER(MatchSource!$H:$K,MatchSource!$H:$H=$B388)))"),"0")</f>
        <v>0</v>
      </c>
      <c r="Y388" s="499" t="str">
        <f aca="false">IFERROR(__xludf.dummyfunction("if(isna(ABS(MINUS(SUM(FILTER(MatchSource!$A:$E,MatchSource!$A:$A=$B388)),SUM($W388)))),0,ABS(MINUS(SUM(FILTER(MatchSource!$A:$E,MatchSource!$A:$A=$B388)),SUM($W388))))"),"0")</f>
        <v>0</v>
      </c>
      <c r="Z388" s="499" t="str">
        <f aca="false">IFERROR(__xludf.dummyfunction("if(isna(ABS(MINUS(SUM(FILTER(MatchSource!$H:$L,MatchSource!$H:$H=$B388)),SUM($X388)))),0,ABS(MINUS(SUM(FILTER(MatchSource!$H:$L,MatchSource!$H:$H=$B388)),SUM($X388))))"),"0")</f>
        <v>0</v>
      </c>
      <c r="AA388" s="499" t="str">
        <f aca="false">IFERROR(__xludf.dummyfunction("if(isna(ABS(MINUS(SUM(FILTER(MatchSource!$A:$F,MatchSource!$A:$A=$B388)),SUM($W388,$Y388)))),0,ABS(MINUS(SUM(FILTER(MatchSource!$A:$F,MatchSource!$A:$A=$B388)),SUM($W388, $Y388,))))"),"0")</f>
        <v>0</v>
      </c>
      <c r="AB388" s="501" t="str">
        <f aca="false">IFERROR(__xludf.dummyfunction("if(isna(ABS(MINUS(SUM(FILTER(MatchSource!$H:$M,MatchSource!$H:$H=$B388)),SUM($X388,$Z388)))),0,ABS(MINUS(SUM(FILTER(MatchSource!$H:$M,MatchSource!$H:$H=$B388)),SUM($X388,$Z388))))"),"0")</f>
        <v>0</v>
      </c>
      <c r="AC388" s="507" t="n">
        <f aca="false">SUM(IF(OR($R388="Grass",$R388="Psychic",$R388="Dark"),0-1,IF(OR($R388="Fighting",$R388="Flying",$R388="Fire",$R388="Ghost",$R388="Poison",$R388="Steel",$R388="Fairy"),1,0)),IF(OR($S388="Grass",$S388="Psychic",$S388="Dark"),0-1,IF(OR($S388="Fighting",$S388="Flying",$S388="Fire",$S388="Ghost",$S388="Poison",$S388="Steel",$S388="Fairy"),1,0)))</f>
        <v>1</v>
      </c>
      <c r="AD388" s="507" t="n">
        <f aca="false">SUM(IF(OR($R388="Ghost",$R388="Psychic"),0-1,IF(OR($R388="Fighting",$R388="Dark",$R388="Fairy"),1,0)),IF(OR($S388="Ghost",$S388="Psychic"),0-1,IF(OR($S388="Fighting",$S388="Dark",$S388="Fairy"),1,0)))</f>
        <v>-1</v>
      </c>
      <c r="AE388" s="507" t="n">
        <f aca="false">IF(OR($R388="Fairy",$S388="Fairy"),4,SUM(IF($R388="Dragon",0-1,IF($R388="Steel",1,0)),IF($S388="Dragon",0-1,IF($S388="Steel",1,0))))</f>
        <v>0</v>
      </c>
      <c r="AF388" s="507" t="n">
        <f aca="false">IF(OR($R388="Ground",$S388="Ground"),4,SUM(IF(OR($R388="Flying",$R388="Water"),0-1,IF(OR($R388="Dragon",$R388="Electric",$R388="Grass"),1,0)),IF(OR($S388="Flying",$S388="Water"),0-1,IF(OR($S388="Dragon",$S388="Electric",$S388="Grass"),1,0))))</f>
        <v>1</v>
      </c>
      <c r="AG388" s="507" t="n">
        <f aca="false">SUM(IF(OR($R388="Dark",$R388="Dragon",$R388="Fighting"),0-1,IF(OR($R388="Steel",$R388="Poison",$R388="Fire"),1,0)),IF(OR($S388="Dark",$S388="Dragon",$S388="Fighting"),0-1,IF(OR($S388="Steel",$S388="Poison",$S388="Fire"),1,0)))</f>
        <v>0</v>
      </c>
      <c r="AH388" s="507" t="n">
        <f aca="false">IF(OR($R388="Ghost",$S388="Ghost"),4,SUM(IF(OR($R388="Dark",$R388="Ice",$R388="Normal",$R388="Rock",$R388="Steel"),0-1,IF(OR($R388="Bug",$R388="Fairy",$R388="Flying",$R388="Poison",$R388="Psychic"),1,0)),IF(OR($S388="Dark",$S388="Ice",$S388="Normal",$S388="Rock",$S388="Steel"),0-1,IF(OR($S388="Bug",$S388="Fairy",$S388="Flying",$S388="Poison",$S388="Psychic"),1,0))))</f>
        <v>4</v>
      </c>
      <c r="AI388" s="507" t="n">
        <f aca="false">SUM(IF(OR($R388="Bug",$R388="Grass",$R388="Ice",$R388="Steel"),0-1,IF(OR($R388="Dragon",$R388="Fire",$R388="Rock",$R388="Water"),1,0)),IF(OR($S388="Bug",$S388="Grass",$S388="Ice",$S388="Steel"),0-1,IF(OR($S388="Dragon",$S388="Fire",$S388="Rock",$S388="Water"),1,0)))</f>
        <v>0</v>
      </c>
      <c r="AJ388" s="507" t="n">
        <f aca="false">SUM(IF(OR($R388="Bug",$R388="Grass",$R388="Fighting"),0-1,IF(OR($R388="Electric",$R388="Rock",$R388="Steel"),1,0)),IF(OR($S388="Bug",$S388="Grass",$S388="Fighting"),0-1,IF(OR($S388="Electric",$S388="Rock",$S388="Steel"),1,0)))</f>
        <v>1</v>
      </c>
      <c r="AK388" s="507" t="n">
        <f aca="false">IF(OR($R388="Normal",$S388="Normal"),4,SUM(IF(OR($R388="Ghost",$R388="Psychic"),0-1,IF($R388="Dark",1,0)),IF(OR($S388="Ghost",$S388="Psychic"),0-1,IF($S388="Dark",1,0))))</f>
        <v>-1</v>
      </c>
      <c r="AL388" s="507" t="n">
        <f aca="false">SUM(IF(OR($R388="Ground",$R388="Rock",$R388="Water"),0-1,IF(OR($R388="Bug",$R388="Flying",$R388="Fire",$R388="Dragon",$R388="Poison",$R388="Steel",$R388="Grass"),1,0)),IF(OR($S388="Ground",$S388="Rock",$S388="Water"),0-1,IF(OR($S388="Bug",$S388="Flying",$S388="Fire",$S388="Dragon",$S388="Poison",$S388="Steel",$S388="Grass"),1,0)))</f>
        <v>0</v>
      </c>
      <c r="AM388" s="507" t="n">
        <f aca="false">IF(OR($R388="Flying",$S388="Flying"),4,SUM(IF(OR($R388="Electric",$R388="Fire",$R388="Rock",$R388="Steel",$R388="Poison"),0-1,IF(OR($R388="Bug",$R388="Grass"),1,0)),IF(OR($S388="Electric",$S388="Fire",$S388="Rock",$S388="Steel",$S388="Poison"),0-1,IF(OR($S388="Bug",$S388="Grass"),1,0))))</f>
        <v>-1</v>
      </c>
      <c r="AN388" s="507" t="n">
        <f aca="false">SUM(IF(OR($R388="Flying",$R388="Dragon",$R388="Grass",$R388="Ground"),0-1,IF(OR($R388="Steel",$R388="Ice",$R388="Fire",$R388="Water"),1,0)),IF(OR($S388="Flying",$S388="Dragon",$S388="Grass",$S388="Ground"),0-1,IF(OR($S388="Steel",$S388="Ice",$S388="Fire",$S388="Water"),1,0)))</f>
        <v>0</v>
      </c>
      <c r="AO388" s="507" t="n">
        <f aca="false">IF(OR($R388="Ghost",$S388="Ghost"),4,SUM(IF(OR($R388="Steel",$R388="Rock"),1,0),IF(OR($S388="Steel",$S388="Rock"),1,0)))</f>
        <v>4</v>
      </c>
      <c r="AP388" s="507" t="n">
        <f aca="false">IF(OR($R388="Steel",$S388="Steel"),4,SUM(IF(OR($R388="Fairy",$R388="Grass"),0-1,IF(OR($R388="Ghost",$R388="Rock",$R388="Ground",$R388="Poison"),1,0)),IF(OR($S388="Fairy",$S388="Grass"),0-1,IF(OR($S388="Ghost",$S388="Rock",$S388="Ground",$S388="Poison"),1,0))))</f>
        <v>1</v>
      </c>
      <c r="AQ388" s="507" t="n">
        <f aca="false">IF(OR($R388="Dark",$S388="Dark"),4,SUM(IF(OR($R388="Fighting",$R388="Poison"),0-1,IF(OR($R388="Psychic",$R388="Steel"),1,0)),IF(OR($S388="Fighting",$S388="Poison"),0-1,IF(OR($S388="Psychic",$S388="Steel"),1,0))))</f>
        <v>0</v>
      </c>
      <c r="AR388" s="507" t="n">
        <f aca="false">SUM(IF(OR($R388="Bug",$R388="Fire",$R388="Flying",$R388="Ice"),0-1,IF(OR($R388="Steel",$R388="Fighting",$R388="Ground"),1,0)),IF(OR($S388="Bug",$S388="Fire",$S388="Flying",$S388="Ice"),0-1,IF(OR($S388="Steel",$S388="Fighting",$S388="Ground"),1,0)))</f>
        <v>0</v>
      </c>
      <c r="AS388" s="507" t="n">
        <f aca="false">SUM(IF(OR($R388="Fairy",$R388="Ice",$R388="Rock"),0-1,IF(OR($R388="Steel",$R388="Electric",$R388="Fire",$R388="Water"),1,0)),IF(OR($S388="Fairy",$S388="Ice",$S388="Rock"),0-1,IF(OR($S388="Steel",$S388="Electric",$S388="Fire",$S388="Water"),1,0)))</f>
        <v>1</v>
      </c>
      <c r="AT388" s="508" t="n">
        <f aca="false">SUM(IF(OR($R388="Fire",$R388="Ground",$R388="Rock"),0-1,IF(OR($R388="Dragon",$R388="Grass",$R388="Water"),1,0)),IF(OR($S388="Fire",$S388="Ground",$S388="Rock"),0-1,IF(OR($S388="Dragon",$S388="Grass",$S388="Water"),1,0)))</f>
        <v>0</v>
      </c>
      <c r="AU388" s="518"/>
    </row>
    <row r="389" customFormat="false" ht="15.75" hidden="false" customHeight="false" outlineLevel="0" collapsed="false">
      <c r="A389" s="510" t="str">
        <f aca="false" t="array" ref="A389:A389">IF(ISNA(INDEX(Source!$U$7:$U$95,MATCH(B389,Source!$V$7:$V$95,0))),"FREE",INDEX(Source!$U$7:$U$95,MATCH(B389,Source!$V$7:$V$95,0)))</f>
        <v>FREE</v>
      </c>
      <c r="B389" s="511" t="s">
        <v>765</v>
      </c>
      <c r="C389" s="511"/>
      <c r="D389" s="511"/>
      <c r="E389" s="499" t="str">
        <f aca="false">IF(SUM($W389:$X389)&gt;0,SUM($W389:$X389),IF($H389&gt;0,0,IF($H389&gt;0,0,"-")))</f>
        <v>-</v>
      </c>
      <c r="F389" s="499" t="str">
        <f aca="false">IF(SUM($Y389:$Z389)&gt;0,SUM($Y389:$Z389),IF($H389&gt;0,0,"-"))</f>
        <v>-</v>
      </c>
      <c r="G389" s="499" t="str">
        <f aca="false">IF($H389&gt;0,minus(E389,F389),"-")</f>
        <v>-</v>
      </c>
      <c r="H389" s="500" t="n">
        <f aca="false">SUM(COUNTIF(MatchSource!$A:$A,$B389),COUNTIF(MatchSource!$H:$H,$B389))</f>
        <v>0</v>
      </c>
      <c r="I389" s="501" t="n">
        <f aca="false">SUM($AA389:$AB389)</f>
        <v>0</v>
      </c>
      <c r="J389" s="501" t="s">
        <v>702</v>
      </c>
      <c r="K389" s="512" t="str">
        <f aca="false" t="array" ref="K389:K389">IF(ISNA(INDEX(DraftRosters!$AA$3:$AA$199,MATCH($B389,DraftRosters!$AB$3:$AB$199,0))),"FA",IF(INDEX(DraftRosters!$AA$3:$AA$199,MATCH($B389,DraftRosters!$AB$3:$AB$199,0))="Franchise","Franch",INDEX(DraftRosters!$AA$3:$AA$199,MATCH($B389,DraftRosters!$AB$3:$AB$199,0))))</f>
        <v>FA</v>
      </c>
      <c r="L389" s="499" t="n">
        <v>50</v>
      </c>
      <c r="M389" s="499" t="n">
        <v>65</v>
      </c>
      <c r="N389" s="499" t="n">
        <v>107</v>
      </c>
      <c r="O389" s="499" t="n">
        <v>105</v>
      </c>
      <c r="P389" s="499" t="n">
        <v>107</v>
      </c>
      <c r="Q389" s="501" t="n">
        <v>86</v>
      </c>
      <c r="R389" s="499" t="s">
        <v>845</v>
      </c>
      <c r="S389" s="501" t="s">
        <v>801</v>
      </c>
      <c r="T389" s="504" t="s">
        <v>866</v>
      </c>
      <c r="U389" s="505"/>
      <c r="V389" s="506"/>
      <c r="W389" s="500" t="str">
        <f aca="false">IFERROR(__xludf.dummyfunction("if(isna(SUM(FILTER(MatchSource!$A:$D,MatchSource!$A:$A=$B389))),0,SUM(FILTER(MatchSource!$A:$D,MatchSource!$A:$A=$B389)))"),"0")</f>
        <v>0</v>
      </c>
      <c r="X389" s="499" t="str">
        <f aca="false">IFERROR(__xludf.dummyfunction("if(isna(SUM(FILTER(MatchSource!$H:$K,MatchSource!$H:$H=$B389))),0,SUM(FILTER(MatchSource!$H:$K,MatchSource!$H:$H=$B389)))"),"0")</f>
        <v>0</v>
      </c>
      <c r="Y389" s="499" t="str">
        <f aca="false">IFERROR(__xludf.dummyfunction("if(isna(ABS(MINUS(SUM(FILTER(MatchSource!$A:$E,MatchSource!$A:$A=$B389)),SUM($W389)))),0,ABS(MINUS(SUM(FILTER(MatchSource!$A:$E,MatchSource!$A:$A=$B389)),SUM($W389))))"),"0")</f>
        <v>0</v>
      </c>
      <c r="Z389" s="499" t="str">
        <f aca="false">IFERROR(__xludf.dummyfunction("if(isna(ABS(MINUS(SUM(FILTER(MatchSource!$H:$L,MatchSource!$H:$H=$B389)),SUM($X389)))),0,ABS(MINUS(SUM(FILTER(MatchSource!$H:$L,MatchSource!$H:$H=$B389)),SUM($X389))))"),"0")</f>
        <v>0</v>
      </c>
      <c r="AA389" s="499" t="str">
        <f aca="false">IFERROR(__xludf.dummyfunction("if(isna(ABS(MINUS(SUM(FILTER(MatchSource!$A:$F,MatchSource!$A:$A=$B389)),SUM($W389,$Y389)))),0,ABS(MINUS(SUM(FILTER(MatchSource!$A:$F,MatchSource!$A:$A=$B389)),SUM($W389, $Y389,))))"),"0")</f>
        <v>0</v>
      </c>
      <c r="AB389" s="501" t="str">
        <f aca="false">IFERROR(__xludf.dummyfunction("if(isna(ABS(MINUS(SUM(FILTER(MatchSource!$H:$M,MatchSource!$H:$H=$B389)),SUM($X389,$Z389)))),0,ABS(MINUS(SUM(FILTER(MatchSource!$H:$M,MatchSource!$H:$H=$B389)),SUM($X389,$Z389))))"),"0")</f>
        <v>0</v>
      </c>
      <c r="AC389" s="507" t="n">
        <f aca="false">SUM(IF(OR($R389="Grass",$R389="Psychic",$R389="Dark"),0-1,IF(OR($R389="Fighting",$R389="Flying",$R389="Fire",$R389="Ghost",$R389="Poison",$R389="Steel",$R389="Fairy"),1,0)),IF(OR($S389="Grass",$S389="Psychic",$S389="Dark"),0-1,IF(OR($S389="Fighting",$S389="Flying",$S389="Fire",$S389="Ghost",$S389="Poison",$S389="Steel",$S389="Fairy"),1,0)))</f>
        <v>1</v>
      </c>
      <c r="AD389" s="507" t="n">
        <f aca="false">SUM(IF(OR($R389="Ghost",$R389="Psychic"),0-1,IF(OR($R389="Fighting",$R389="Dark",$R389="Fairy"),1,0)),IF(OR($S389="Ghost",$S389="Psychic"),0-1,IF(OR($S389="Fighting",$S389="Dark",$S389="Fairy"),1,0)))</f>
        <v>0</v>
      </c>
      <c r="AE389" s="507" t="n">
        <f aca="false">IF(OR($R389="Fairy",$S389="Fairy"),4,SUM(IF($R389="Dragon",0-1,IF($R389="Steel",1,0)),IF($S389="Dragon",0-1,IF($S389="Steel",1,0))))</f>
        <v>0</v>
      </c>
      <c r="AF389" s="507" t="n">
        <f aca="false">IF(OR($R389="Ground",$S389="Ground"),4,SUM(IF(OR($R389="Flying",$R389="Water"),0-1,IF(OR($R389="Dragon",$R389="Electric",$R389="Grass"),1,0)),IF(OR($S389="Flying",$S389="Water"),0-1,IF(OR($S389="Dragon",$S389="Electric",$S389="Grass"),1,0))))</f>
        <v>0</v>
      </c>
      <c r="AG389" s="507" t="n">
        <f aca="false">SUM(IF(OR($R389="Dark",$R389="Dragon",$R389="Fighting"),0-1,IF(OR($R389="Steel",$R389="Poison",$R389="Fire"),1,0)),IF(OR($S389="Dark",$S389="Dragon",$S389="Fighting"),0-1,IF(OR($S389="Steel",$S389="Poison",$S389="Fire"),1,0)))</f>
        <v>0</v>
      </c>
      <c r="AH389" s="507" t="n">
        <f aca="false">IF(OR($R389="Ghost",$S389="Ghost"),4,SUM(IF(OR($R389="Dark",$R389="Ice",$R389="Normal",$R389="Rock",$R389="Steel"),0-1,IF(OR($R389="Bug",$R389="Fairy",$R389="Flying",$R389="Poison",$R389="Psychic"),1,0)),IF(OR($S389="Dark",$S389="Ice",$S389="Normal",$S389="Rock",$S389="Steel"),0-1,IF(OR($S389="Bug",$S389="Fairy",$S389="Flying",$S389="Poison",$S389="Psychic"),1,0))))</f>
        <v>1</v>
      </c>
      <c r="AI389" s="507" t="n">
        <f aca="false">SUM(IF(OR($R389="Bug",$R389="Grass",$R389="Ice",$R389="Steel"),0-1,IF(OR($R389="Dragon",$R389="Fire",$R389="Rock",$R389="Water"),1,0)),IF(OR($S389="Bug",$S389="Grass",$S389="Ice",$S389="Steel"),0-1,IF(OR($S389="Dragon",$S389="Fire",$S389="Rock",$S389="Water"),1,0)))</f>
        <v>0</v>
      </c>
      <c r="AJ389" s="507" t="n">
        <f aca="false">SUM(IF(OR($R389="Bug",$R389="Grass",$R389="Fighting"),0-1,IF(OR($R389="Electric",$R389="Rock",$R389="Steel"),1,0)),IF(OR($S389="Bug",$S389="Grass",$S389="Fighting"),0-1,IF(OR($S389="Electric",$S389="Rock",$S389="Steel"),1,0)))</f>
        <v>1</v>
      </c>
      <c r="AK389" s="507" t="n">
        <f aca="false">IF(OR($R389="Normal",$S389="Normal"),4,SUM(IF(OR($R389="Ghost",$R389="Psychic"),0-1,IF($R389="Dark",1,0)),IF(OR($S389="Ghost",$S389="Psychic"),0-1,IF($S389="Dark",1,0))))</f>
        <v>0</v>
      </c>
      <c r="AL389" s="507" t="n">
        <f aca="false">SUM(IF(OR($R389="Ground",$R389="Rock",$R389="Water"),0-1,IF(OR($R389="Bug",$R389="Flying",$R389="Fire",$R389="Dragon",$R389="Poison",$R389="Steel",$R389="Grass"),1,0)),IF(OR($S389="Ground",$S389="Rock",$S389="Water"),0-1,IF(OR($S389="Bug",$S389="Flying",$S389="Fire",$S389="Dragon",$S389="Poison",$S389="Steel",$S389="Grass"),1,0)))</f>
        <v>1</v>
      </c>
      <c r="AM389" s="507" t="n">
        <f aca="false">IF(OR($R389="Flying",$S389="Flying"),4,SUM(IF(OR($R389="Electric",$R389="Fire",$R389="Rock",$R389="Steel",$R389="Poison"),0-1,IF(OR($R389="Bug",$R389="Grass"),1,0)),IF(OR($S389="Electric",$S389="Fire",$S389="Rock",$S389="Steel",$S389="Poison"),0-1,IF(OR($S389="Bug",$S389="Grass"),1,0))))</f>
        <v>4</v>
      </c>
      <c r="AN389" s="507" t="n">
        <f aca="false">SUM(IF(OR($R389="Flying",$R389="Dragon",$R389="Grass",$R389="Ground"),0-1,IF(OR($R389="Steel",$R389="Ice",$R389="Fire",$R389="Water"),1,0)),IF(OR($S389="Flying",$S389="Dragon",$S389="Grass",$S389="Ground"),0-1,IF(OR($S389="Steel",$S389="Ice",$S389="Fire",$S389="Water"),1,0)))</f>
        <v>-1</v>
      </c>
      <c r="AO389" s="507" t="n">
        <f aca="false">IF(OR($R389="Ghost",$S389="Ghost"),4,SUM(IF(OR($R389="Steel",$R389="Rock"),1,0),IF(OR($S389="Steel",$S389="Rock"),1,0)))</f>
        <v>0</v>
      </c>
      <c r="AP389" s="507" t="n">
        <f aca="false">IF(OR($R389="Steel",$S389="Steel"),4,SUM(IF(OR($R389="Fairy",$R389="Grass"),0-1,IF(OR($R389="Ghost",$R389="Rock",$R389="Ground",$R389="Poison"),1,0)),IF(OR($S389="Fairy",$S389="Grass"),0-1,IF(OR($S389="Ghost",$S389="Rock",$S389="Ground",$S389="Poison"),1,0))))</f>
        <v>0</v>
      </c>
      <c r="AQ389" s="507" t="n">
        <f aca="false">IF(OR($R389="Dark",$S389="Dark"),4,SUM(IF(OR($R389="Fighting",$R389="Poison"),0-1,IF(OR($R389="Psychic",$R389="Steel"),1,0)),IF(OR($S389="Fighting",$S389="Poison"),0-1,IF(OR($S389="Psychic",$S389="Steel"),1,0))))</f>
        <v>0</v>
      </c>
      <c r="AR389" s="507" t="n">
        <f aca="false">SUM(IF(OR($R389="Bug",$R389="Fire",$R389="Flying",$R389="Ice"),0-1,IF(OR($R389="Steel",$R389="Fighting",$R389="Ground"),1,0)),IF(OR($S389="Bug",$S389="Fire",$S389="Flying",$S389="Ice"),0-1,IF(OR($S389="Steel",$S389="Fighting",$S389="Ground"),1,0)))</f>
        <v>-1</v>
      </c>
      <c r="AS389" s="507" t="n">
        <f aca="false">SUM(IF(OR($R389="Fairy",$R389="Ice",$R389="Rock"),0-1,IF(OR($R389="Steel",$R389="Electric",$R389="Fire",$R389="Water"),1,0)),IF(OR($S389="Fairy",$S389="Ice",$S389="Rock"),0-1,IF(OR($S389="Steel",$S389="Electric",$S389="Fire",$S389="Water"),1,0)))</f>
        <v>1</v>
      </c>
      <c r="AT389" s="508" t="n">
        <f aca="false">SUM(IF(OR($R389="Fire",$R389="Ground",$R389="Rock"),0-1,IF(OR($R389="Dragon",$R389="Grass",$R389="Water"),1,0)),IF(OR($S389="Fire",$S389="Ground",$S389="Rock"),0-1,IF(OR($S389="Dragon",$S389="Grass",$S389="Water"),1,0)))</f>
        <v>0</v>
      </c>
      <c r="AU389" s="518"/>
    </row>
    <row r="390" customFormat="false" ht="15.75" hidden="false" customHeight="false" outlineLevel="0" collapsed="false">
      <c r="A390" s="510" t="str">
        <f aca="false" t="array" ref="A390:A390">IF(ISNA(INDEX(Source!$U$7:$U$95,MATCH(B390,Source!$V$7:$V$95,0))),"FREE",INDEX(Source!$U$7:$U$95,MATCH(B390,Source!$V$7:$V$95,0)))</f>
        <v>FREE</v>
      </c>
      <c r="B390" s="511" t="s">
        <v>766</v>
      </c>
      <c r="C390" s="511"/>
      <c r="D390" s="511"/>
      <c r="E390" s="499" t="str">
        <f aca="false">IF(SUM($W390:$X390)&gt;0,SUM($W390:$X390),IF($H390&gt;0,0,IF($H390&gt;0,0,"-")))</f>
        <v>-</v>
      </c>
      <c r="F390" s="499" t="str">
        <f aca="false">IF(SUM($Y390:$Z390)&gt;0,SUM($Y390:$Z390),IF($H390&gt;0,0,"-"))</f>
        <v>-</v>
      </c>
      <c r="G390" s="499" t="str">
        <f aca="false">IF($H390&gt;0,minus(E390,F390),"-")</f>
        <v>-</v>
      </c>
      <c r="H390" s="500" t="n">
        <f aca="false">SUM(COUNTIF(MatchSource!$A:$A,$B390),COUNTIF(MatchSource!$H:$H,$B390))</f>
        <v>0</v>
      </c>
      <c r="I390" s="501" t="n">
        <f aca="false">SUM($AA390:$AB390)</f>
        <v>0</v>
      </c>
      <c r="J390" s="501" t="s">
        <v>702</v>
      </c>
      <c r="K390" s="512" t="str">
        <f aca="false" t="array" ref="K390:K390">IF(ISNA(INDEX(DraftRosters!$AA$3:$AA$199,MATCH($B390,DraftRosters!$AB$3:$AB$199,0))),"FA",IF(INDEX(DraftRosters!$AA$3:$AA$199,MATCH($B390,DraftRosters!$AB$3:$AB$199,0))="Franchise","Franch",INDEX(DraftRosters!$AA$3:$AA$199,MATCH($B390,DraftRosters!$AB$3:$AB$199,0))))</f>
        <v>FA</v>
      </c>
      <c r="L390" s="499" t="n">
        <v>50</v>
      </c>
      <c r="M390" s="499" t="n">
        <v>65</v>
      </c>
      <c r="N390" s="499" t="n">
        <v>107</v>
      </c>
      <c r="O390" s="499" t="n">
        <v>105</v>
      </c>
      <c r="P390" s="499" t="n">
        <v>107</v>
      </c>
      <c r="Q390" s="501" t="n">
        <v>86</v>
      </c>
      <c r="R390" s="499" t="s">
        <v>845</v>
      </c>
      <c r="S390" s="501" t="s">
        <v>805</v>
      </c>
      <c r="T390" s="504" t="s">
        <v>866</v>
      </c>
      <c r="U390" s="505"/>
      <c r="V390" s="506"/>
      <c r="W390" s="500" t="str">
        <f aca="false">IFERROR(__xludf.dummyfunction("if(isna(SUM(FILTER(MatchSource!$A:$D,MatchSource!$A:$A=$B390))),0,SUM(FILTER(MatchSource!$A:$D,MatchSource!$A:$A=$B390)))"),"0")</f>
        <v>0</v>
      </c>
      <c r="X390" s="499" t="str">
        <f aca="false">IFERROR(__xludf.dummyfunction("if(isna(SUM(FILTER(MatchSource!$H:$K,MatchSource!$H:$H=$B390))),0,SUM(FILTER(MatchSource!$H:$K,MatchSource!$H:$H=$B390)))"),"0")</f>
        <v>0</v>
      </c>
      <c r="Y390" s="499" t="str">
        <f aca="false">IFERROR(__xludf.dummyfunction("if(isna(ABS(MINUS(SUM(FILTER(MatchSource!$A:$E,MatchSource!$A:$A=$B390)),SUM($W390)))),0,ABS(MINUS(SUM(FILTER(MatchSource!$A:$E,MatchSource!$A:$A=$B390)),SUM($W390))))"),"0")</f>
        <v>0</v>
      </c>
      <c r="Z390" s="499" t="str">
        <f aca="false">IFERROR(__xludf.dummyfunction("if(isna(ABS(MINUS(SUM(FILTER(MatchSource!$H:$L,MatchSource!$H:$H=$B390)),SUM($X390)))),0,ABS(MINUS(SUM(FILTER(MatchSource!$H:$L,MatchSource!$H:$H=$B390)),SUM($X390))))"),"0")</f>
        <v>0</v>
      </c>
      <c r="AA390" s="499" t="str">
        <f aca="false">IFERROR(__xludf.dummyfunction("if(isna(ABS(MINUS(SUM(FILTER(MatchSource!$A:$F,MatchSource!$A:$A=$B390)),SUM($W390,$Y390)))),0,ABS(MINUS(SUM(FILTER(MatchSource!$A:$F,MatchSource!$A:$A=$B390)),SUM($W390, $Y390,))))"),"0")</f>
        <v>0</v>
      </c>
      <c r="AB390" s="501" t="str">
        <f aca="false">IFERROR(__xludf.dummyfunction("if(isna(ABS(MINUS(SUM(FILTER(MatchSource!$H:$M,MatchSource!$H:$H=$B390)),SUM($X390,$Z390)))),0,ABS(MINUS(SUM(FILTER(MatchSource!$H:$M,MatchSource!$H:$H=$B390)),SUM($X390,$Z390))))"),"0")</f>
        <v>0</v>
      </c>
      <c r="AC390" s="507" t="n">
        <f aca="false">SUM(IF(OR($R390="Grass",$R390="Psychic",$R390="Dark"),0-1,IF(OR($R390="Fighting",$R390="Flying",$R390="Fire",$R390="Ghost",$R390="Poison",$R390="Steel",$R390="Fairy"),1,0)),IF(OR($S390="Grass",$S390="Psychic",$S390="Dark"),0-1,IF(OR($S390="Fighting",$S390="Flying",$S390="Fire",$S390="Ghost",$S390="Poison",$S390="Steel",$S390="Fairy"),1,0)))</f>
        <v>0</v>
      </c>
      <c r="AD390" s="507" t="n">
        <f aca="false">SUM(IF(OR($R390="Ghost",$R390="Psychic"),0-1,IF(OR($R390="Fighting",$R390="Dark",$R390="Fairy"),1,0)),IF(OR($S390="Ghost",$S390="Psychic"),0-1,IF(OR($S390="Fighting",$S390="Dark",$S390="Fairy"),1,0)))</f>
        <v>0</v>
      </c>
      <c r="AE390" s="507" t="n">
        <f aca="false">IF(OR($R390="Fairy",$S390="Fairy"),4,SUM(IF($R390="Dragon",0-1,IF($R390="Steel",1,0)),IF($S390="Dragon",0-1,IF($S390="Steel",1,0))))</f>
        <v>0</v>
      </c>
      <c r="AF390" s="507" t="n">
        <f aca="false">IF(OR($R390="Ground",$S390="Ground"),4,SUM(IF(OR($R390="Flying",$R390="Water"),0-1,IF(OR($R390="Dragon",$R390="Electric",$R390="Grass"),1,0)),IF(OR($S390="Flying",$S390="Water"),0-1,IF(OR($S390="Dragon",$S390="Electric",$S390="Grass"),1,0))))</f>
        <v>1</v>
      </c>
      <c r="AG390" s="507" t="n">
        <f aca="false">SUM(IF(OR($R390="Dark",$R390="Dragon",$R390="Fighting"),0-1,IF(OR($R390="Steel",$R390="Poison",$R390="Fire"),1,0)),IF(OR($S390="Dark",$S390="Dragon",$S390="Fighting"),0-1,IF(OR($S390="Steel",$S390="Poison",$S390="Fire"),1,0)))</f>
        <v>0</v>
      </c>
      <c r="AH390" s="507" t="n">
        <f aca="false">IF(OR($R390="Ghost",$S390="Ghost"),4,SUM(IF(OR($R390="Dark",$R390="Ice",$R390="Normal",$R390="Rock",$R390="Steel"),0-1,IF(OR($R390="Bug",$R390="Fairy",$R390="Flying",$R390="Poison",$R390="Psychic"),1,0)),IF(OR($S390="Dark",$S390="Ice",$S390="Normal",$S390="Rock",$S390="Steel"),0-1,IF(OR($S390="Bug",$S390="Fairy",$S390="Flying",$S390="Poison",$S390="Psychic"),1,0))))</f>
        <v>-1</v>
      </c>
      <c r="AI390" s="507" t="n">
        <f aca="false">SUM(IF(OR($R390="Bug",$R390="Grass",$R390="Ice",$R390="Steel"),0-1,IF(OR($R390="Dragon",$R390="Fire",$R390="Rock",$R390="Water"),1,0)),IF(OR($S390="Bug",$S390="Grass",$S390="Ice",$S390="Steel"),0-1,IF(OR($S390="Dragon",$S390="Fire",$S390="Rock",$S390="Water"),1,0)))</f>
        <v>-1</v>
      </c>
      <c r="AJ390" s="507" t="n">
        <f aca="false">SUM(IF(OR($R390="Bug",$R390="Grass",$R390="Fighting"),0-1,IF(OR($R390="Electric",$R390="Rock",$R390="Steel"),1,0)),IF(OR($S390="Bug",$S390="Grass",$S390="Fighting"),0-1,IF(OR($S390="Electric",$S390="Rock",$S390="Steel"),1,0)))</f>
        <v>1</v>
      </c>
      <c r="AK390" s="507" t="n">
        <f aca="false">IF(OR($R390="Normal",$S390="Normal"),4,SUM(IF(OR($R390="Ghost",$R390="Psychic"),0-1,IF($R390="Dark",1,0)),IF(OR($S390="Ghost",$S390="Psychic"),0-1,IF($S390="Dark",1,0))))</f>
        <v>0</v>
      </c>
      <c r="AL390" s="507" t="n">
        <f aca="false">SUM(IF(OR($R390="Ground",$R390="Rock",$R390="Water"),0-1,IF(OR($R390="Bug",$R390="Flying",$R390="Fire",$R390="Dragon",$R390="Poison",$R390="Steel",$R390="Grass"),1,0)),IF(OR($S390="Ground",$S390="Rock",$S390="Water"),0-1,IF(OR($S390="Bug",$S390="Flying",$S390="Fire",$S390="Dragon",$S390="Poison",$S390="Steel",$S390="Grass"),1,0)))</f>
        <v>0</v>
      </c>
      <c r="AM390" s="507" t="n">
        <f aca="false">IF(OR($R390="Flying",$S390="Flying"),4,SUM(IF(OR($R390="Electric",$R390="Fire",$R390="Rock",$R390="Steel",$R390="Poison"),0-1,IF(OR($R390="Bug",$R390="Grass"),1,0)),IF(OR($S390="Electric",$S390="Fire",$S390="Rock",$S390="Steel",$S390="Poison"),0-1,IF(OR($S390="Bug",$S390="Grass"),1,0))))</f>
        <v>-1</v>
      </c>
      <c r="AN390" s="507" t="n">
        <f aca="false">SUM(IF(OR($R390="Flying",$R390="Dragon",$R390="Grass",$R390="Ground"),0-1,IF(OR($R390="Steel",$R390="Ice",$R390="Fire",$R390="Water"),1,0)),IF(OR($S390="Flying",$S390="Dragon",$S390="Grass",$S390="Ground"),0-1,IF(OR($S390="Steel",$S390="Ice",$S390="Fire",$S390="Water"),1,0)))</f>
        <v>1</v>
      </c>
      <c r="AO390" s="507" t="n">
        <f aca="false">IF(OR($R390="Ghost",$S390="Ghost"),4,SUM(IF(OR($R390="Steel",$R390="Rock"),1,0),IF(OR($S390="Steel",$S390="Rock"),1,0)))</f>
        <v>0</v>
      </c>
      <c r="AP390" s="507" t="n">
        <f aca="false">IF(OR($R390="Steel",$S390="Steel"),4,SUM(IF(OR($R390="Fairy",$R390="Grass"),0-1,IF(OR($R390="Ghost",$R390="Rock",$R390="Ground",$R390="Poison"),1,0)),IF(OR($S390="Fairy",$S390="Grass"),0-1,IF(OR($S390="Ghost",$S390="Rock",$S390="Ground",$S390="Poison"),1,0))))</f>
        <v>0</v>
      </c>
      <c r="AQ390" s="507" t="n">
        <f aca="false">IF(OR($R390="Dark",$S390="Dark"),4,SUM(IF(OR($R390="Fighting",$R390="Poison"),0-1,IF(OR($R390="Psychic",$R390="Steel"),1,0)),IF(OR($S390="Fighting",$S390="Poison"),0-1,IF(OR($S390="Psychic",$S390="Steel"),1,0))))</f>
        <v>0</v>
      </c>
      <c r="AR390" s="507" t="n">
        <f aca="false">SUM(IF(OR($R390="Bug",$R390="Fire",$R390="Flying",$R390="Ice"),0-1,IF(OR($R390="Steel",$R390="Fighting",$R390="Ground"),1,0)),IF(OR($S390="Bug",$S390="Fire",$S390="Flying",$S390="Ice"),0-1,IF(OR($S390="Steel",$S390="Fighting",$S390="Ground"),1,0)))</f>
        <v>-1</v>
      </c>
      <c r="AS390" s="507" t="n">
        <f aca="false">SUM(IF(OR($R390="Fairy",$R390="Ice",$R390="Rock"),0-1,IF(OR($R390="Steel",$R390="Electric",$R390="Fire",$R390="Water"),1,0)),IF(OR($S390="Fairy",$S390="Ice",$S390="Rock"),0-1,IF(OR($S390="Steel",$S390="Electric",$S390="Fire",$S390="Water"),1,0)))</f>
        <v>0</v>
      </c>
      <c r="AT390" s="508" t="n">
        <f aca="false">SUM(IF(OR($R390="Fire",$R390="Ground",$R390="Rock"),0-1,IF(OR($R390="Dragon",$R390="Grass",$R390="Water"),1,0)),IF(OR($S390="Fire",$S390="Ground",$S390="Rock"),0-1,IF(OR($S390="Dragon",$S390="Grass",$S390="Water"),1,0)))</f>
        <v>0</v>
      </c>
      <c r="AU390" s="518"/>
    </row>
    <row r="391" customFormat="false" ht="15.75" hidden="false" customHeight="false" outlineLevel="0" collapsed="false">
      <c r="A391" s="515" t="str">
        <f aca="false" t="array" ref="A391:A391">IF(ISNA(INDEX(Source!$U$7:$U$95,MATCH(B391,Source!$V$7:$V$95,0))),"FREE",INDEX(Source!$U$7:$U$95,MATCH(B391,Source!$V$7:$V$95,0)))</f>
        <v>FREE</v>
      </c>
      <c r="B391" s="511" t="s">
        <v>98</v>
      </c>
      <c r="C391" s="511"/>
      <c r="D391" s="511"/>
      <c r="E391" s="499" t="n">
        <f aca="false">IF(SUM($W391:$X391)&gt;0,SUM($W391:$X391),IF($H391&gt;0,0,IF($H391&gt;0,0,"-")))</f>
        <v>0</v>
      </c>
      <c r="F391" s="499" t="n">
        <f aca="false">IF(SUM($Y391:$Z391)&gt;0,SUM($Y391:$Z391),IF($H391&gt;0,0,"-"))</f>
        <v>0</v>
      </c>
      <c r="G391" s="499" t="e">
        <f aca="false">IF($H391&gt;0,minus(E391,F391),"-")</f>
        <v>#NAME?</v>
      </c>
      <c r="H391" s="500" t="n">
        <f aca="false">SUM(COUNTIF(MatchSource!$A:$A,$B391),COUNTIF(MatchSource!$H:$H,$B391))</f>
        <v>3</v>
      </c>
      <c r="I391" s="501" t="n">
        <f aca="false">SUM($AA391:$AB391)</f>
        <v>0</v>
      </c>
      <c r="J391" s="501" t="s">
        <v>700</v>
      </c>
      <c r="K391" s="512" t="str">
        <f aca="false" t="array" ref="K391:K391">IF(ISNA(INDEX(DraftRosters!$AA$3:$AA$199,MATCH($B391,DraftRosters!$AB$3:$AB$199,0))),"FA",IF(INDEX(DraftRosters!$AA$3:$AA$199,MATCH($B391,DraftRosters!$AB$3:$AB$199,0))="Franchise","Franch",INDEX(DraftRosters!$AA$3:$AA$199,MATCH($B391,DraftRosters!$AB$3:$AB$199,0))))</f>
        <v>FA</v>
      </c>
      <c r="L391" s="499" t="n">
        <v>50</v>
      </c>
      <c r="M391" s="499" t="n">
        <v>65</v>
      </c>
      <c r="N391" s="499" t="n">
        <v>107</v>
      </c>
      <c r="O391" s="499" t="n">
        <v>105</v>
      </c>
      <c r="P391" s="499" t="n">
        <v>107</v>
      </c>
      <c r="Q391" s="501" t="n">
        <v>86</v>
      </c>
      <c r="R391" s="499" t="s">
        <v>845</v>
      </c>
      <c r="S391" s="501" t="s">
        <v>800</v>
      </c>
      <c r="T391" s="504" t="s">
        <v>866</v>
      </c>
      <c r="U391" s="505"/>
      <c r="V391" s="506"/>
      <c r="W391" s="500" t="str">
        <f aca="false">IFERROR(__xludf.dummyfunction("if(isna(SUM(FILTER(MatchSource!$A:$D,MatchSource!$A:$A=$B391))),0,SUM(FILTER(MatchSource!$A:$D,MatchSource!$A:$A=$B391)))"),"0")</f>
        <v>0</v>
      </c>
      <c r="X391" s="499" t="str">
        <f aca="false">IFERROR(__xludf.dummyfunction("if(isna(SUM(FILTER(MatchSource!$H:$K,MatchSource!$H:$H=$B391))),0,SUM(FILTER(MatchSource!$H:$K,MatchSource!$H:$H=$B391)))"),"0")</f>
        <v>0</v>
      </c>
      <c r="Y391" s="499" t="str">
        <f aca="false">IFERROR(__xludf.dummyfunction("if(isna(ABS(MINUS(SUM(FILTER(MatchSource!$A:$E,MatchSource!$A:$A=$B391)),SUM($W391)))),0,ABS(MINUS(SUM(FILTER(MatchSource!$A:$E,MatchSource!$A:$A=$B391)),SUM($W391))))"),"2")</f>
        <v>2</v>
      </c>
      <c r="Z391" s="499" t="str">
        <f aca="false">IFERROR(__xludf.dummyfunction("if(isna(ABS(MINUS(SUM(FILTER(MatchSource!$H:$L,MatchSource!$H:$H=$B391)),SUM($X391)))),0,ABS(MINUS(SUM(FILTER(MatchSource!$H:$L,MatchSource!$H:$H=$B391)),SUM($X391))))"),"0")</f>
        <v>0</v>
      </c>
      <c r="AA391" s="499" t="str">
        <f aca="false">IFERROR(__xludf.dummyfunction("if(isna(ABS(MINUS(SUM(FILTER(MatchSource!$A:$F,MatchSource!$A:$A=$B391)),SUM($W391,$Y391)))),0,ABS(MINUS(SUM(FILTER(MatchSource!$A:$F,MatchSource!$A:$A=$B391)),SUM($W391, $Y391,))))"),"0")</f>
        <v>0</v>
      </c>
      <c r="AB391" s="501" t="str">
        <f aca="false">IFERROR(__xludf.dummyfunction("if(isna(ABS(MINUS(SUM(FILTER(MatchSource!$H:$M,MatchSource!$H:$H=$B391)),SUM($X391,$Z391)))),0,ABS(MINUS(SUM(FILTER(MatchSource!$H:$M,MatchSource!$H:$H=$B391)),SUM($X391,$Z391))))"),"1")</f>
        <v>1</v>
      </c>
      <c r="AC391" s="507" t="n">
        <f aca="false">SUM(IF(OR($R391="Grass",$R391="Psychic",$R391="Dark"),0-1,IF(OR($R391="Fighting",$R391="Flying",$R391="Fire",$R391="Ghost",$R391="Poison",$R391="Steel",$R391="Fairy"),1,0)),IF(OR($S391="Grass",$S391="Psychic",$S391="Dark"),0-1,IF(OR($S391="Fighting",$S391="Flying",$S391="Fire",$S391="Ghost",$S391="Poison",$S391="Steel",$S391="Fairy"),1,0)))</f>
        <v>1</v>
      </c>
      <c r="AD391" s="507" t="n">
        <f aca="false">SUM(IF(OR($R391="Ghost",$R391="Psychic"),0-1,IF(OR($R391="Fighting",$R391="Dark",$R391="Fairy"),1,0)),IF(OR($S391="Ghost",$S391="Psychic"),0-1,IF(OR($S391="Fighting",$S391="Dark",$S391="Fairy"),1,0)))</f>
        <v>0</v>
      </c>
      <c r="AE391" s="507" t="n">
        <f aca="false">IF(OR($R391="Fairy",$S391="Fairy"),4,SUM(IF($R391="Dragon",0-1,IF($R391="Steel",1,0)),IF($S391="Dragon",0-1,IF($S391="Steel",1,0))))</f>
        <v>0</v>
      </c>
      <c r="AF391" s="507" t="n">
        <f aca="false">IF(OR($R391="Ground",$S391="Ground"),4,SUM(IF(OR($R391="Flying",$R391="Water"),0-1,IF(OR($R391="Dragon",$R391="Electric",$R391="Grass"),1,0)),IF(OR($S391="Flying",$S391="Water"),0-1,IF(OR($S391="Dragon",$S391="Electric",$S391="Grass"),1,0))))</f>
        <v>1</v>
      </c>
      <c r="AG391" s="507" t="n">
        <f aca="false">SUM(IF(OR($R391="Dark",$R391="Dragon",$R391="Fighting"),0-1,IF(OR($R391="Steel",$R391="Poison",$R391="Fire"),1,0)),IF(OR($S391="Dark",$S391="Dragon",$S391="Fighting"),0-1,IF(OR($S391="Steel",$S391="Poison",$S391="Fire"),1,0)))</f>
        <v>1</v>
      </c>
      <c r="AH391" s="507" t="n">
        <f aca="false">IF(OR($R391="Ghost",$S391="Ghost"),4,SUM(IF(OR($R391="Dark",$R391="Ice",$R391="Normal",$R391="Rock",$R391="Steel"),0-1,IF(OR($R391="Bug",$R391="Fairy",$R391="Flying",$R391="Poison",$R391="Psychic"),1,0)),IF(OR($S391="Dark",$S391="Ice",$S391="Normal",$S391="Rock",$S391="Steel"),0-1,IF(OR($S391="Bug",$S391="Fairy",$S391="Flying",$S391="Poison",$S391="Psychic"),1,0))))</f>
        <v>0</v>
      </c>
      <c r="AI391" s="507" t="n">
        <f aca="false">SUM(IF(OR($R391="Bug",$R391="Grass",$R391="Ice",$R391="Steel"),0-1,IF(OR($R391="Dragon",$R391="Fire",$R391="Rock",$R391="Water"),1,0)),IF(OR($S391="Bug",$S391="Grass",$S391="Ice",$S391="Steel"),0-1,IF(OR($S391="Dragon",$S391="Fire",$S391="Rock",$S391="Water"),1,0)))</f>
        <v>1</v>
      </c>
      <c r="AJ391" s="507" t="n">
        <f aca="false">SUM(IF(OR($R391="Bug",$R391="Grass",$R391="Fighting"),0-1,IF(OR($R391="Electric",$R391="Rock",$R391="Steel"),1,0)),IF(OR($S391="Bug",$S391="Grass",$S391="Fighting"),0-1,IF(OR($S391="Electric",$S391="Rock",$S391="Steel"),1,0)))</f>
        <v>1</v>
      </c>
      <c r="AK391" s="507" t="n">
        <f aca="false">IF(OR($R391="Normal",$S391="Normal"),4,SUM(IF(OR($R391="Ghost",$R391="Psychic"),0-1,IF($R391="Dark",1,0)),IF(OR($S391="Ghost",$S391="Psychic"),0-1,IF($S391="Dark",1,0))))</f>
        <v>0</v>
      </c>
      <c r="AL391" s="507" t="n">
        <f aca="false">SUM(IF(OR($R391="Ground",$R391="Rock",$R391="Water"),0-1,IF(OR($R391="Bug",$R391="Flying",$R391="Fire",$R391="Dragon",$R391="Poison",$R391="Steel",$R391="Grass"),1,0)),IF(OR($S391="Ground",$S391="Rock",$S391="Water"),0-1,IF(OR($S391="Bug",$S391="Flying",$S391="Fire",$S391="Dragon",$S391="Poison",$S391="Steel",$S391="Grass"),1,0)))</f>
        <v>1</v>
      </c>
      <c r="AM391" s="507" t="n">
        <f aca="false">IF(OR($R391="Flying",$S391="Flying"),4,SUM(IF(OR($R391="Electric",$R391="Fire",$R391="Rock",$R391="Steel",$R391="Poison"),0-1,IF(OR($R391="Bug",$R391="Grass"),1,0)),IF(OR($S391="Electric",$S391="Fire",$S391="Rock",$S391="Steel",$S391="Poison"),0-1,IF(OR($S391="Bug",$S391="Grass"),1,0))))</f>
        <v>-2</v>
      </c>
      <c r="AN391" s="507" t="n">
        <f aca="false">SUM(IF(OR($R391="Flying",$R391="Dragon",$R391="Grass",$R391="Ground"),0-1,IF(OR($R391="Steel",$R391="Ice",$R391="Fire",$R391="Water"),1,0)),IF(OR($S391="Flying",$S391="Dragon",$S391="Grass",$S391="Ground"),0-1,IF(OR($S391="Steel",$S391="Ice",$S391="Fire",$S391="Water"),1,0)))</f>
        <v>1</v>
      </c>
      <c r="AO391" s="507" t="n">
        <f aca="false">IF(OR($R391="Ghost",$S391="Ghost"),4,SUM(IF(OR($R391="Steel",$R391="Rock"),1,0),IF(OR($S391="Steel",$S391="Rock"),1,0)))</f>
        <v>0</v>
      </c>
      <c r="AP391" s="507" t="n">
        <f aca="false">IF(OR($R391="Steel",$S391="Steel"),4,SUM(IF(OR($R391="Fairy",$R391="Grass"),0-1,IF(OR($R391="Ghost",$R391="Rock",$R391="Ground",$R391="Poison"),1,0)),IF(OR($S391="Fairy",$S391="Grass"),0-1,IF(OR($S391="Ghost",$S391="Rock",$S391="Ground",$S391="Poison"),1,0))))</f>
        <v>0</v>
      </c>
      <c r="AQ391" s="507" t="n">
        <f aca="false">IF(OR($R391="Dark",$S391="Dark"),4,SUM(IF(OR($R391="Fighting",$R391="Poison"),0-1,IF(OR($R391="Psychic",$R391="Steel"),1,0)),IF(OR($S391="Fighting",$S391="Poison"),0-1,IF(OR($S391="Psychic",$S391="Steel"),1,0))))</f>
        <v>0</v>
      </c>
      <c r="AR391" s="507" t="n">
        <f aca="false">SUM(IF(OR($R391="Bug",$R391="Fire",$R391="Flying",$R391="Ice"),0-1,IF(OR($R391="Steel",$R391="Fighting",$R391="Ground"),1,0)),IF(OR($S391="Bug",$S391="Fire",$S391="Flying",$S391="Ice"),0-1,IF(OR($S391="Steel",$S391="Fighting",$S391="Ground"),1,0)))</f>
        <v>-1</v>
      </c>
      <c r="AS391" s="507" t="n">
        <f aca="false">SUM(IF(OR($R391="Fairy",$R391="Ice",$R391="Rock"),0-1,IF(OR($R391="Steel",$R391="Electric",$R391="Fire",$R391="Water"),1,0)),IF(OR($S391="Fairy",$S391="Ice",$S391="Rock"),0-1,IF(OR($S391="Steel",$S391="Electric",$S391="Fire",$S391="Water"),1,0)))</f>
        <v>2</v>
      </c>
      <c r="AT391" s="508" t="n">
        <f aca="false">SUM(IF(OR($R391="Fire",$R391="Ground",$R391="Rock"),0-1,IF(OR($R391="Dragon",$R391="Grass",$R391="Water"),1,0)),IF(OR($S391="Fire",$S391="Ground",$S391="Rock"),0-1,IF(OR($S391="Dragon",$S391="Grass",$S391="Water"),1,0)))</f>
        <v>-1</v>
      </c>
      <c r="AU391" s="518"/>
    </row>
    <row r="392" customFormat="false" ht="15.75" hidden="false" customHeight="false" outlineLevel="0" collapsed="false">
      <c r="A392" s="497" t="str">
        <f aca="false" t="array" ref="A392:A392">IF(ISNA(INDEX(Source!$U$7:$U$95,MATCH(B392,Source!$V$7:$V$95,0))),"FREE",INDEX(Source!$U$7:$U$95,MATCH(B392,Source!$V$7:$V$95,0)))</f>
        <v>FREE</v>
      </c>
      <c r="B392" s="511" t="s">
        <v>752</v>
      </c>
      <c r="C392" s="511"/>
      <c r="D392" s="511"/>
      <c r="E392" s="499" t="str">
        <f aca="false">IF(SUM($W392:$X392)&gt;0,SUM($W392:$X392),IF($H392&gt;0,0,IF($H392&gt;0,0,"-")))</f>
        <v>-</v>
      </c>
      <c r="F392" s="499" t="str">
        <f aca="false">IF(SUM($Y392:$Z392)&gt;0,SUM($Y392:$Z392),IF($H392&gt;0,0,"-"))</f>
        <v>-</v>
      </c>
      <c r="G392" s="499" t="str">
        <f aca="false">IF($H392&gt;0,minus(E392,F392),"-")</f>
        <v>-</v>
      </c>
      <c r="H392" s="500" t="n">
        <f aca="false">SUM(COUNTIF(MatchSource!$A:$A,$B392),COUNTIF(MatchSource!$H:$H,$B392))</f>
        <v>0</v>
      </c>
      <c r="I392" s="501" t="n">
        <f aca="false">SUM($AA392:$AB392)</f>
        <v>0</v>
      </c>
      <c r="J392" s="501" t="s">
        <v>701</v>
      </c>
      <c r="K392" s="512" t="str">
        <f aca="false" t="array" ref="K392:K392">IF(ISNA(INDEX(DraftRosters!$AA$3:$AA$199,MATCH($B392,DraftRosters!$AB$3:$AB$199,0))),"FA",IF(INDEX(DraftRosters!$AA$3:$AA$199,MATCH($B392,DraftRosters!$AB$3:$AB$199,0))="Franchise","Franch",INDEX(DraftRosters!$AA$3:$AA$199,MATCH($B392,DraftRosters!$AB$3:$AB$199,0))))</f>
        <v>FA</v>
      </c>
      <c r="L392" s="499" t="n">
        <v>50</v>
      </c>
      <c r="M392" s="499" t="n">
        <v>65</v>
      </c>
      <c r="N392" s="499" t="n">
        <v>107</v>
      </c>
      <c r="O392" s="499" t="n">
        <v>105</v>
      </c>
      <c r="P392" s="499" t="n">
        <v>107</v>
      </c>
      <c r="Q392" s="501" t="n">
        <v>86</v>
      </c>
      <c r="R392" s="499" t="s">
        <v>845</v>
      </c>
      <c r="S392" s="501" t="s">
        <v>803</v>
      </c>
      <c r="T392" s="504" t="s">
        <v>866</v>
      </c>
      <c r="U392" s="505"/>
      <c r="V392" s="506"/>
      <c r="W392" s="500" t="str">
        <f aca="false">IFERROR(__xludf.dummyfunction("if(isna(SUM(FILTER(MatchSource!$A:$D,MatchSource!$A:$A=$B392))),0,SUM(FILTER(MatchSource!$A:$D,MatchSource!$A:$A=$B392)))"),"0")</f>
        <v>0</v>
      </c>
      <c r="X392" s="499" t="str">
        <f aca="false">IFERROR(__xludf.dummyfunction("if(isna(SUM(FILTER(MatchSource!$H:$K,MatchSource!$H:$H=$B392))),0,SUM(FILTER(MatchSource!$H:$K,MatchSource!$H:$H=$B392)))"),"0")</f>
        <v>0</v>
      </c>
      <c r="Y392" s="499" t="str">
        <f aca="false">IFERROR(__xludf.dummyfunction("if(isna(ABS(MINUS(SUM(FILTER(MatchSource!$A:$E,MatchSource!$A:$A=$B392)),SUM($W392)))),0,ABS(MINUS(SUM(FILTER(MatchSource!$A:$E,MatchSource!$A:$A=$B392)),SUM($W392))))"),"0")</f>
        <v>0</v>
      </c>
      <c r="Z392" s="499" t="str">
        <f aca="false">IFERROR(__xludf.dummyfunction("if(isna(ABS(MINUS(SUM(FILTER(MatchSource!$H:$L,MatchSource!$H:$H=$B392)),SUM($X392)))),0,ABS(MINUS(SUM(FILTER(MatchSource!$H:$L,MatchSource!$H:$H=$B392)),SUM($X392))))"),"0")</f>
        <v>0</v>
      </c>
      <c r="AA392" s="499" t="str">
        <f aca="false">IFERROR(__xludf.dummyfunction("if(isna(ABS(MINUS(SUM(FILTER(MatchSource!$A:$F,MatchSource!$A:$A=$B392)),SUM($W392,$Y392)))),0,ABS(MINUS(SUM(FILTER(MatchSource!$A:$F,MatchSource!$A:$A=$B392)),SUM($W392, $Y392,))))"),"0")</f>
        <v>0</v>
      </c>
      <c r="AB392" s="501" t="str">
        <f aca="false">IFERROR(__xludf.dummyfunction("if(isna(ABS(MINUS(SUM(FILTER(MatchSource!$H:$M,MatchSource!$H:$H=$B392)),SUM($X392,$Z392)))),0,ABS(MINUS(SUM(FILTER(MatchSource!$H:$M,MatchSource!$H:$H=$B392)),SUM($X392,$Z392))))"),"0")</f>
        <v>0</v>
      </c>
      <c r="AC392" s="507" t="n">
        <f aca="false">SUM(IF(OR($R392="Grass",$R392="Psychic",$R392="Dark"),0-1,IF(OR($R392="Fighting",$R392="Flying",$R392="Fire",$R392="Ghost",$R392="Poison",$R392="Steel",$R392="Fairy"),1,0)),IF(OR($S392="Grass",$S392="Psychic",$S392="Dark"),0-1,IF(OR($S392="Fighting",$S392="Flying",$S392="Fire",$S392="Ghost",$S392="Poison",$S392="Steel",$S392="Fairy"),1,0)))</f>
        <v>-1</v>
      </c>
      <c r="AD392" s="507" t="n">
        <f aca="false">SUM(IF(OR($R392="Ghost",$R392="Psychic"),0-1,IF(OR($R392="Fighting",$R392="Dark",$R392="Fairy"),1,0)),IF(OR($S392="Ghost",$S392="Psychic"),0-1,IF(OR($S392="Fighting",$S392="Dark",$S392="Fairy"),1,0)))</f>
        <v>0</v>
      </c>
      <c r="AE392" s="507" t="n">
        <f aca="false">IF(OR($R392="Fairy",$S392="Fairy"),4,SUM(IF($R392="Dragon",0-1,IF($R392="Steel",1,0)),IF($S392="Dragon",0-1,IF($S392="Steel",1,0))))</f>
        <v>0</v>
      </c>
      <c r="AF392" s="507" t="n">
        <f aca="false">IF(OR($R392="Ground",$S392="Ground"),4,SUM(IF(OR($R392="Flying",$R392="Water"),0-1,IF(OR($R392="Dragon",$R392="Electric",$R392="Grass"),1,0)),IF(OR($S392="Flying",$S392="Water"),0-1,IF(OR($S392="Dragon",$S392="Electric",$S392="Grass"),1,0))))</f>
        <v>2</v>
      </c>
      <c r="AG392" s="507" t="n">
        <f aca="false">SUM(IF(OR($R392="Dark",$R392="Dragon",$R392="Fighting"),0-1,IF(OR($R392="Steel",$R392="Poison",$R392="Fire"),1,0)),IF(OR($S392="Dark",$S392="Dragon",$S392="Fighting"),0-1,IF(OR($S392="Steel",$S392="Poison",$S392="Fire"),1,0)))</f>
        <v>0</v>
      </c>
      <c r="AH392" s="507" t="n">
        <f aca="false">IF(OR($R392="Ghost",$S392="Ghost"),4,SUM(IF(OR($R392="Dark",$R392="Ice",$R392="Normal",$R392="Rock",$R392="Steel"),0-1,IF(OR($R392="Bug",$R392="Fairy",$R392="Flying",$R392="Poison",$R392="Psychic"),1,0)),IF(OR($S392="Dark",$S392="Ice",$S392="Normal",$S392="Rock",$S392="Steel"),0-1,IF(OR($S392="Bug",$S392="Fairy",$S392="Flying",$S392="Poison",$S392="Psychic"),1,0))))</f>
        <v>0</v>
      </c>
      <c r="AI392" s="507" t="n">
        <f aca="false">SUM(IF(OR($R392="Bug",$R392="Grass",$R392="Ice",$R392="Steel"),0-1,IF(OR($R392="Dragon",$R392="Fire",$R392="Rock",$R392="Water"),1,0)),IF(OR($S392="Bug",$S392="Grass",$S392="Ice",$S392="Steel"),0-1,IF(OR($S392="Dragon",$S392="Fire",$S392="Rock",$S392="Water"),1,0)))</f>
        <v>-1</v>
      </c>
      <c r="AJ392" s="507" t="n">
        <f aca="false">SUM(IF(OR($R392="Bug",$R392="Grass",$R392="Fighting"),0-1,IF(OR($R392="Electric",$R392="Rock",$R392="Steel"),1,0)),IF(OR($S392="Bug",$S392="Grass",$S392="Fighting"),0-1,IF(OR($S392="Electric",$S392="Rock",$S392="Steel"),1,0)))</f>
        <v>0</v>
      </c>
      <c r="AK392" s="507" t="n">
        <f aca="false">IF(OR($R392="Normal",$S392="Normal"),4,SUM(IF(OR($R392="Ghost",$R392="Psychic"),0-1,IF($R392="Dark",1,0)),IF(OR($S392="Ghost",$S392="Psychic"),0-1,IF($S392="Dark",1,0))))</f>
        <v>0</v>
      </c>
      <c r="AL392" s="507" t="n">
        <f aca="false">SUM(IF(OR($R392="Ground",$R392="Rock",$R392="Water"),0-1,IF(OR($R392="Bug",$R392="Flying",$R392="Fire",$R392="Dragon",$R392="Poison",$R392="Steel",$R392="Grass"),1,0)),IF(OR($S392="Ground",$S392="Rock",$S392="Water"),0-1,IF(OR($S392="Bug",$S392="Flying",$S392="Fire",$S392="Dragon",$S392="Poison",$S392="Steel",$S392="Grass"),1,0)))</f>
        <v>1</v>
      </c>
      <c r="AM392" s="507" t="n">
        <f aca="false">IF(OR($R392="Flying",$S392="Flying"),4,SUM(IF(OR($R392="Electric",$R392="Fire",$R392="Rock",$R392="Steel",$R392="Poison"),0-1,IF(OR($R392="Bug",$R392="Grass"),1,0)),IF(OR($S392="Electric",$S392="Fire",$S392="Rock",$S392="Steel",$S392="Poison"),0-1,IF(OR($S392="Bug",$S392="Grass"),1,0))))</f>
        <v>0</v>
      </c>
      <c r="AN392" s="507" t="n">
        <f aca="false">SUM(IF(OR($R392="Flying",$R392="Dragon",$R392="Grass",$R392="Ground"),0-1,IF(OR($R392="Steel",$R392="Ice",$R392="Fire",$R392="Water"),1,0)),IF(OR($S392="Flying",$S392="Dragon",$S392="Grass",$S392="Ground"),0-1,IF(OR($S392="Steel",$S392="Ice",$S392="Fire",$S392="Water"),1,0)))</f>
        <v>-1</v>
      </c>
      <c r="AO392" s="507" t="n">
        <f aca="false">IF(OR($R392="Ghost",$S392="Ghost"),4,SUM(IF(OR($R392="Steel",$R392="Rock"),1,0),IF(OR($S392="Steel",$S392="Rock"),1,0)))</f>
        <v>0</v>
      </c>
      <c r="AP392" s="507" t="n">
        <f aca="false">IF(OR($R392="Steel",$S392="Steel"),4,SUM(IF(OR($R392="Fairy",$R392="Grass"),0-1,IF(OR($R392="Ghost",$R392="Rock",$R392="Ground",$R392="Poison"),1,0)),IF(OR($S392="Fairy",$S392="Grass"),0-1,IF(OR($S392="Ghost",$S392="Rock",$S392="Ground",$S392="Poison"),1,0))))</f>
        <v>-1</v>
      </c>
      <c r="AQ392" s="507" t="n">
        <f aca="false">IF(OR($R392="Dark",$S392="Dark"),4,SUM(IF(OR($R392="Fighting",$R392="Poison"),0-1,IF(OR($R392="Psychic",$R392="Steel"),1,0)),IF(OR($S392="Fighting",$S392="Poison"),0-1,IF(OR($S392="Psychic",$S392="Steel"),1,0))))</f>
        <v>0</v>
      </c>
      <c r="AR392" s="507" t="n">
        <f aca="false">SUM(IF(OR($R392="Bug",$R392="Fire",$R392="Flying",$R392="Ice"),0-1,IF(OR($R392="Steel",$R392="Fighting",$R392="Ground"),1,0)),IF(OR($S392="Bug",$S392="Fire",$S392="Flying",$S392="Ice"),0-1,IF(OR($S392="Steel",$S392="Fighting",$S392="Ground"),1,0)))</f>
        <v>0</v>
      </c>
      <c r="AS392" s="507" t="n">
        <f aca="false">SUM(IF(OR($R392="Fairy",$R392="Ice",$R392="Rock"),0-1,IF(OR($R392="Steel",$R392="Electric",$R392="Fire",$R392="Water"),1,0)),IF(OR($S392="Fairy",$S392="Ice",$S392="Rock"),0-1,IF(OR($S392="Steel",$S392="Electric",$S392="Fire",$S392="Water"),1,0)))</f>
        <v>1</v>
      </c>
      <c r="AT392" s="508" t="n">
        <f aca="false">SUM(IF(OR($R392="Fire",$R392="Ground",$R392="Rock"),0-1,IF(OR($R392="Dragon",$R392="Grass",$R392="Water"),1,0)),IF(OR($S392="Fire",$S392="Ground",$S392="Rock"),0-1,IF(OR($S392="Dragon",$S392="Grass",$S392="Water"),1,0)))</f>
        <v>1</v>
      </c>
      <c r="AU392" s="518"/>
    </row>
    <row r="393" customFormat="false" ht="15.75" hidden="false" customHeight="false" outlineLevel="0" collapsed="false">
      <c r="A393" s="515" t="str">
        <f aca="false" t="array" ref="A393:A393">IF(ISNA(INDEX(Source!$U$7:$U$95,MATCH(B393,Source!$V$7:$V$95,0))),"FREE",INDEX(Source!$U$7:$U$95,MATCH(B393,Source!$V$7:$V$95,0)))</f>
        <v>JVJ</v>
      </c>
      <c r="B393" s="511" t="s">
        <v>125</v>
      </c>
      <c r="C393" s="511"/>
      <c r="D393" s="511"/>
      <c r="E393" s="499" t="n">
        <f aca="false">IF(SUM($W393:$X393)&gt;0,SUM($W393:$X393),IF($H393&gt;0,0,IF($H393&gt;0,0,"-")))</f>
        <v>0</v>
      </c>
      <c r="F393" s="499" t="n">
        <f aca="false">IF(SUM($Y393:$Z393)&gt;0,SUM($Y393:$Z393),IF($H393&gt;0,0,"-"))</f>
        <v>0</v>
      </c>
      <c r="G393" s="499" t="e">
        <f aca="false">IF($H393&gt;0,minus(E393,F393),"-")</f>
        <v>#NAME?</v>
      </c>
      <c r="H393" s="500" t="n">
        <f aca="false">SUM(COUNTIF(MatchSource!$A:$A,$B393),COUNTIF(MatchSource!$H:$H,$B393))</f>
        <v>1</v>
      </c>
      <c r="I393" s="501" t="n">
        <f aca="false">SUM($AA393:$AB393)</f>
        <v>0</v>
      </c>
      <c r="J393" s="501" t="s">
        <v>699</v>
      </c>
      <c r="K393" s="512" t="str">
        <f aca="false" t="array" ref="K393:K393">IF(ISNA(INDEX(DraftRosters!$AA$3:$AA$199,MATCH($B393,DraftRosters!$AB$3:$AB$199,0))),"FA",IF(INDEX(DraftRosters!$AA$3:$AA$199,MATCH($B393,DraftRosters!$AB$3:$AB$199,0))="Franchise","Franch",INDEX(DraftRosters!$AA$3:$AA$199,MATCH($B393,DraftRosters!$AB$3:$AB$199,0))))</f>
        <v>FA</v>
      </c>
      <c r="L393" s="499" t="n">
        <v>50</v>
      </c>
      <c r="M393" s="499" t="n">
        <v>65</v>
      </c>
      <c r="N393" s="499" t="n">
        <v>107</v>
      </c>
      <c r="O393" s="499" t="n">
        <v>105</v>
      </c>
      <c r="P393" s="499" t="n">
        <v>107</v>
      </c>
      <c r="Q393" s="501" t="n">
        <v>86</v>
      </c>
      <c r="R393" s="499" t="s">
        <v>845</v>
      </c>
      <c r="S393" s="501" t="s">
        <v>811</v>
      </c>
      <c r="T393" s="504" t="s">
        <v>866</v>
      </c>
      <c r="U393" s="505"/>
      <c r="V393" s="506"/>
      <c r="W393" s="500" t="str">
        <f aca="false">IFERROR(__xludf.dummyfunction("if(isna(SUM(FILTER(MatchSource!$A:$D,MatchSource!$A:$A=$B393))),0,SUM(FILTER(MatchSource!$A:$D,MatchSource!$A:$A=$B393)))"),"0")</f>
        <v>0</v>
      </c>
      <c r="X393" s="499" t="str">
        <f aca="false">IFERROR(__xludf.dummyfunction("if(isna(SUM(FILTER(MatchSource!$H:$K,MatchSource!$H:$H=$B393))),0,SUM(FILTER(MatchSource!$H:$K,MatchSource!$H:$H=$B393)))"),"0")</f>
        <v>0</v>
      </c>
      <c r="Y393" s="499" t="str">
        <f aca="false">IFERROR(__xludf.dummyfunction("if(isna(ABS(MINUS(SUM(FILTER(MatchSource!$A:$E,MatchSource!$A:$A=$B393)),SUM($W393)))),0,ABS(MINUS(SUM(FILTER(MatchSource!$A:$E,MatchSource!$A:$A=$B393)),SUM($W393))))"),"0")</f>
        <v>0</v>
      </c>
      <c r="Z393" s="499" t="str">
        <f aca="false">IFERROR(__xludf.dummyfunction("if(isna(ABS(MINUS(SUM(FILTER(MatchSource!$H:$L,MatchSource!$H:$H=$B393)),SUM($X393)))),0,ABS(MINUS(SUM(FILTER(MatchSource!$H:$L,MatchSource!$H:$H=$B393)),SUM($X393))))"),"1")</f>
        <v>1</v>
      </c>
      <c r="AA393" s="499" t="str">
        <f aca="false">IFERROR(__xludf.dummyfunction("if(isna(ABS(MINUS(SUM(FILTER(MatchSource!$A:$F,MatchSource!$A:$A=$B393)),SUM($W393,$Y393)))),0,ABS(MINUS(SUM(FILTER(MatchSource!$A:$F,MatchSource!$A:$A=$B393)),SUM($W393, $Y393,))))"),"0")</f>
        <v>0</v>
      </c>
      <c r="AB393" s="501" t="str">
        <f aca="false">IFERROR(__xludf.dummyfunction("if(isna(ABS(MINUS(SUM(FILTER(MatchSource!$H:$M,MatchSource!$H:$H=$B393)),SUM($X393,$Z393)))),0,ABS(MINUS(SUM(FILTER(MatchSource!$H:$M,MatchSource!$H:$H=$B393)),SUM($X393,$Z393))))"),"0")</f>
        <v>0</v>
      </c>
      <c r="AC393" s="507" t="n">
        <f aca="false">SUM(IF(OR($R393="Grass",$R393="Psychic",$R393="Dark"),0-1,IF(OR($R393="Fighting",$R393="Flying",$R393="Fire",$R393="Ghost",$R393="Poison",$R393="Steel",$R393="Fairy"),1,0)),IF(OR($S393="Grass",$S393="Psychic",$S393="Dark"),0-1,IF(OR($S393="Fighting",$S393="Flying",$S393="Fire",$S393="Ghost",$S393="Poison",$S393="Steel",$S393="Fairy"),1,0)))</f>
        <v>0</v>
      </c>
      <c r="AD393" s="507" t="n">
        <f aca="false">SUM(IF(OR($R393="Ghost",$R393="Psychic"),0-1,IF(OR($R393="Fighting",$R393="Dark",$R393="Fairy"),1,0)),IF(OR($S393="Ghost",$S393="Psychic"),0-1,IF(OR($S393="Fighting",$S393="Dark",$S393="Fairy"),1,0)))</f>
        <v>0</v>
      </c>
      <c r="AE393" s="507" t="n">
        <f aca="false">IF(OR($R393="Fairy",$S393="Fairy"),4,SUM(IF($R393="Dragon",0-1,IF($R393="Steel",1,0)),IF($S393="Dragon",0-1,IF($S393="Steel",1,0))))</f>
        <v>0</v>
      </c>
      <c r="AF393" s="507" t="n">
        <f aca="false">IF(OR($R393="Ground",$S393="Ground"),4,SUM(IF(OR($R393="Flying",$R393="Water"),0-1,IF(OR($R393="Dragon",$R393="Electric",$R393="Grass"),1,0)),IF(OR($S393="Flying",$S393="Water"),0-1,IF(OR($S393="Dragon",$S393="Electric",$S393="Grass"),1,0))))</f>
        <v>0</v>
      </c>
      <c r="AG393" s="507" t="n">
        <f aca="false">SUM(IF(OR($R393="Dark",$R393="Dragon",$R393="Fighting"),0-1,IF(OR($R393="Steel",$R393="Poison",$R393="Fire"),1,0)),IF(OR($S393="Dark",$S393="Dragon",$S393="Fighting"),0-1,IF(OR($S393="Steel",$S393="Poison",$S393="Fire"),1,0)))</f>
        <v>0</v>
      </c>
      <c r="AH393" s="507" t="n">
        <f aca="false">IF(OR($R393="Ghost",$S393="Ghost"),4,SUM(IF(OR($R393="Dark",$R393="Ice",$R393="Normal",$R393="Rock",$R393="Steel"),0-1,IF(OR($R393="Bug",$R393="Fairy",$R393="Flying",$R393="Poison",$R393="Psychic"),1,0)),IF(OR($S393="Dark",$S393="Ice",$S393="Normal",$S393="Rock",$S393="Steel"),0-1,IF(OR($S393="Bug",$S393="Fairy",$S393="Flying",$S393="Poison",$S393="Psychic"),1,0))))</f>
        <v>0</v>
      </c>
      <c r="AI393" s="507" t="n">
        <f aca="false">SUM(IF(OR($R393="Bug",$R393="Grass",$R393="Ice",$R393="Steel"),0-1,IF(OR($R393="Dragon",$R393="Fire",$R393="Rock",$R393="Water"),1,0)),IF(OR($S393="Bug",$S393="Grass",$S393="Ice",$S393="Steel"),0-1,IF(OR($S393="Dragon",$S393="Fire",$S393="Rock",$S393="Water"),1,0)))</f>
        <v>1</v>
      </c>
      <c r="AJ393" s="507" t="n">
        <f aca="false">SUM(IF(OR($R393="Bug",$R393="Grass",$R393="Fighting"),0-1,IF(OR($R393="Electric",$R393="Rock",$R393="Steel"),1,0)),IF(OR($S393="Bug",$S393="Grass",$S393="Fighting"),0-1,IF(OR($S393="Electric",$S393="Rock",$S393="Steel"),1,0)))</f>
        <v>1</v>
      </c>
      <c r="AK393" s="507" t="n">
        <f aca="false">IF(OR($R393="Normal",$S393="Normal"),4,SUM(IF(OR($R393="Ghost",$R393="Psychic"),0-1,IF($R393="Dark",1,0)),IF(OR($S393="Ghost",$S393="Psychic"),0-1,IF($S393="Dark",1,0))))</f>
        <v>0</v>
      </c>
      <c r="AL393" s="507" t="n">
        <f aca="false">SUM(IF(OR($R393="Ground",$R393="Rock",$R393="Water"),0-1,IF(OR($R393="Bug",$R393="Flying",$R393="Fire",$R393="Dragon",$R393="Poison",$R393="Steel",$R393="Grass"),1,0)),IF(OR($S393="Ground",$S393="Rock",$S393="Water"),0-1,IF(OR($S393="Bug",$S393="Flying",$S393="Fire",$S393="Dragon",$S393="Poison",$S393="Steel",$S393="Grass"),1,0)))</f>
        <v>-1</v>
      </c>
      <c r="AM393" s="507" t="n">
        <f aca="false">IF(OR($R393="Flying",$S393="Flying"),4,SUM(IF(OR($R393="Electric",$R393="Fire",$R393="Rock",$R393="Steel",$R393="Poison"),0-1,IF(OR($R393="Bug",$R393="Grass"),1,0)),IF(OR($S393="Electric",$S393="Fire",$S393="Rock",$S393="Steel",$S393="Poison"),0-1,IF(OR($S393="Bug",$S393="Grass"),1,0))))</f>
        <v>-1</v>
      </c>
      <c r="AN393" s="507" t="n">
        <f aca="false">SUM(IF(OR($R393="Flying",$R393="Dragon",$R393="Grass",$R393="Ground"),0-1,IF(OR($R393="Steel",$R393="Ice",$R393="Fire",$R393="Water"),1,0)),IF(OR($S393="Flying",$S393="Dragon",$S393="Grass",$S393="Ground"),0-1,IF(OR($S393="Steel",$S393="Ice",$S393="Fire",$S393="Water"),1,0)))</f>
        <v>1</v>
      </c>
      <c r="AO393" s="507" t="n">
        <f aca="false">IF(OR($R393="Ghost",$S393="Ghost"),4,SUM(IF(OR($R393="Steel",$R393="Rock"),1,0),IF(OR($S393="Steel",$S393="Rock"),1,0)))</f>
        <v>0</v>
      </c>
      <c r="AP393" s="507" t="n">
        <f aca="false">IF(OR($R393="Steel",$S393="Steel"),4,SUM(IF(OR($R393="Fairy",$R393="Grass"),0-1,IF(OR($R393="Ghost",$R393="Rock",$R393="Ground",$R393="Poison"),1,0)),IF(OR($S393="Fairy",$S393="Grass"),0-1,IF(OR($S393="Ghost",$S393="Rock",$S393="Ground",$S393="Poison"),1,0))))</f>
        <v>0</v>
      </c>
      <c r="AQ393" s="507" t="n">
        <f aca="false">IF(OR($R393="Dark",$S393="Dark"),4,SUM(IF(OR($R393="Fighting",$R393="Poison"),0-1,IF(OR($R393="Psychic",$R393="Steel"),1,0)),IF(OR($S393="Fighting",$S393="Poison"),0-1,IF(OR($S393="Psychic",$S393="Steel"),1,0))))</f>
        <v>0</v>
      </c>
      <c r="AR393" s="507" t="n">
        <f aca="false">SUM(IF(OR($R393="Bug",$R393="Fire",$R393="Flying",$R393="Ice"),0-1,IF(OR($R393="Steel",$R393="Fighting",$R393="Ground"),1,0)),IF(OR($S393="Bug",$S393="Fire",$S393="Flying",$S393="Ice"),0-1,IF(OR($S393="Steel",$S393="Fighting",$S393="Ground"),1,0)))</f>
        <v>0</v>
      </c>
      <c r="AS393" s="507" t="n">
        <f aca="false">SUM(IF(OR($R393="Fairy",$R393="Ice",$R393="Rock"),0-1,IF(OR($R393="Steel",$R393="Electric",$R393="Fire",$R393="Water"),1,0)),IF(OR($S393="Fairy",$S393="Ice",$S393="Rock"),0-1,IF(OR($S393="Steel",$S393="Electric",$S393="Fire",$S393="Water"),1,0)))</f>
        <v>2</v>
      </c>
      <c r="AT393" s="508" t="n">
        <f aca="false">SUM(IF(OR($R393="Fire",$R393="Ground",$R393="Rock"),0-1,IF(OR($R393="Dragon",$R393="Grass",$R393="Water"),1,0)),IF(OR($S393="Fire",$S393="Ground",$S393="Rock"),0-1,IF(OR($S393="Dragon",$S393="Grass",$S393="Water"),1,0)))</f>
        <v>1</v>
      </c>
      <c r="AU393" s="518"/>
    </row>
    <row r="394" customFormat="false" ht="15.75" hidden="false" customHeight="false" outlineLevel="0" collapsed="false">
      <c r="A394" s="510" t="str">
        <f aca="false" t="array" ref="A394:A394">IF(ISNA(INDEX(Source!$U$7:$U$95,MATCH(B394,Source!$V$7:$V$95,0))),"FREE",INDEX(Source!$U$7:$U$95,MATCH(B394,Source!$V$7:$V$95,0)))</f>
        <v>FREE</v>
      </c>
      <c r="B394" s="511" t="s">
        <v>547</v>
      </c>
      <c r="C394" s="511"/>
      <c r="D394" s="511"/>
      <c r="E394" s="499" t="str">
        <f aca="false">IF(SUM($W394:$X394)&gt;0,SUM($W394:$X394),IF($H394&gt;0,0,IF($H394&gt;0,0,"-")))</f>
        <v>-</v>
      </c>
      <c r="F394" s="499" t="str">
        <f aca="false">IF(SUM($Y394:$Z394)&gt;0,SUM($Y394:$Z394),IF($H394&gt;0,0,"-"))</f>
        <v>-</v>
      </c>
      <c r="G394" s="499" t="str">
        <f aca="false">IF($H394&gt;0,minus(E394,F394),"-")</f>
        <v>-</v>
      </c>
      <c r="H394" s="500" t="n">
        <f aca="false">SUM(COUNTIF(MatchSource!$A:$A,$B394),COUNTIF(MatchSource!$H:$H,$B394))</f>
        <v>0</v>
      </c>
      <c r="I394" s="501" t="n">
        <f aca="false">SUM($AA394:$AB394)</f>
        <v>0</v>
      </c>
      <c r="J394" s="501" t="s">
        <v>700</v>
      </c>
      <c r="K394" s="512" t="str">
        <f aca="false" t="array" ref="K394:K394">IF(ISNA(INDEX(DraftRosters!$AA$3:$AA$199,MATCH($B394,DraftRosters!$AB$3:$AB$199,0))),"FA",IF(INDEX(DraftRosters!$AA$3:$AA$199,MATCH($B394,DraftRosters!$AB$3:$AB$199,0))="Franchise","Franch",INDEX(DraftRosters!$AA$3:$AA$199,MATCH($B394,DraftRosters!$AB$3:$AB$199,0))))</f>
        <v>FA</v>
      </c>
      <c r="L394" s="499" t="n">
        <v>50</v>
      </c>
      <c r="M394" s="499" t="n">
        <v>75</v>
      </c>
      <c r="N394" s="499" t="n">
        <v>75</v>
      </c>
      <c r="O394" s="499" t="n">
        <v>65</v>
      </c>
      <c r="P394" s="499" t="n">
        <v>65</v>
      </c>
      <c r="Q394" s="501" t="n">
        <v>50</v>
      </c>
      <c r="R394" s="499" t="s">
        <v>795</v>
      </c>
      <c r="S394" s="501" t="s">
        <v>802</v>
      </c>
      <c r="T394" s="504" t="s">
        <v>897</v>
      </c>
      <c r="U394" s="505" t="s">
        <v>1062</v>
      </c>
      <c r="V394" s="506" t="s">
        <v>872</v>
      </c>
      <c r="W394" s="500" t="str">
        <f aca="false">IFERROR(__xludf.dummyfunction("if(isna(SUM(FILTER(MatchSource!$A:$D,MatchSource!$A:$A=$B394))),0,SUM(FILTER(MatchSource!$A:$D,MatchSource!$A:$A=$B394)))"),"0")</f>
        <v>0</v>
      </c>
      <c r="X394" s="499" t="str">
        <f aca="false">IFERROR(__xludf.dummyfunction("if(isna(SUM(FILTER(MatchSource!$H:$K,MatchSource!$H:$H=$B394))),0,SUM(FILTER(MatchSource!$H:$K,MatchSource!$H:$H=$B394)))"),"0")</f>
        <v>0</v>
      </c>
      <c r="Y394" s="499" t="str">
        <f aca="false">IFERROR(__xludf.dummyfunction("if(isna(ABS(MINUS(SUM(FILTER(MatchSource!$A:$E,MatchSource!$A:$A=$B394)),SUM($W394)))),0,ABS(MINUS(SUM(FILTER(MatchSource!$A:$E,MatchSource!$A:$A=$B394)),SUM($W394))))"),"0")</f>
        <v>0</v>
      </c>
      <c r="Z394" s="499" t="str">
        <f aca="false">IFERROR(__xludf.dummyfunction("if(isna(ABS(MINUS(SUM(FILTER(MatchSource!$H:$L,MatchSource!$H:$H=$B394)),SUM($X394)))),0,ABS(MINUS(SUM(FILTER(MatchSource!$H:$L,MatchSource!$H:$H=$B394)),SUM($X394))))"),"0")</f>
        <v>0</v>
      </c>
      <c r="AA394" s="499" t="str">
        <f aca="false">IFERROR(__xludf.dummyfunction("if(isna(ABS(MINUS(SUM(FILTER(MatchSource!$A:$F,MatchSource!$A:$A=$B394)),SUM($W394,$Y394)))),0,ABS(MINUS(SUM(FILTER(MatchSource!$A:$F,MatchSource!$A:$A=$B394)),SUM($W394, $Y394,))))"),"0")</f>
        <v>0</v>
      </c>
      <c r="AB394" s="501" t="str">
        <f aca="false">IFERROR(__xludf.dummyfunction("if(isna(ABS(MINUS(SUM(FILTER(MatchSource!$H:$M,MatchSource!$H:$H=$B394)),SUM($X394,$Z394)))),0,ABS(MINUS(SUM(FILTER(MatchSource!$H:$M,MatchSource!$H:$H=$B394)),SUM($X394,$Z394))))"),"0")</f>
        <v>0</v>
      </c>
      <c r="AC394" s="507" t="n">
        <f aca="false">SUM(IF(OR($R394="Grass",$R394="Psychic",$R394="Dark"),0-1,IF(OR($R394="Fighting",$R394="Flying",$R394="Fire",$R394="Ghost",$R394="Poison",$R394="Steel",$R394="Fairy"),1,0)),IF(OR($S394="Grass",$S394="Psychic",$S394="Dark"),0-1,IF(OR($S394="Fighting",$S394="Flying",$S394="Fire",$S394="Ghost",$S394="Poison",$S394="Steel",$S394="Fairy"),1,0)))</f>
        <v>0</v>
      </c>
      <c r="AD394" s="507" t="n">
        <f aca="false">SUM(IF(OR($R394="Ghost",$R394="Psychic"),0-1,IF(OR($R394="Fighting",$R394="Dark",$R394="Fairy"),1,0)),IF(OR($S394="Ghost",$S394="Psychic"),0-1,IF(OR($S394="Fighting",$S394="Dark",$S394="Fairy"),1,0)))</f>
        <v>0</v>
      </c>
      <c r="AE394" s="507" t="n">
        <f aca="false">IF(OR($R394="Fairy",$S394="Fairy"),4,SUM(IF($R394="Dragon",0-1,IF($R394="Steel",1,0)),IF($S394="Dragon",0-1,IF($S394="Steel",1,0))))</f>
        <v>0</v>
      </c>
      <c r="AF394" s="507" t="n">
        <f aca="false">IF(OR($R394="Ground",$S394="Ground"),4,SUM(IF(OR($R394="Flying",$R394="Water"),0-1,IF(OR($R394="Dragon",$R394="Electric",$R394="Grass"),1,0)),IF(OR($S394="Flying",$S394="Water"),0-1,IF(OR($S394="Dragon",$S394="Electric",$S394="Grass"),1,0))))</f>
        <v>0</v>
      </c>
      <c r="AG394" s="507" t="n">
        <f aca="false">SUM(IF(OR($R394="Dark",$R394="Dragon",$R394="Fighting"),0-1,IF(OR($R394="Steel",$R394="Poison",$R394="Fire"),1,0)),IF(OR($S394="Dark",$S394="Dragon",$S394="Fighting"),0-1,IF(OR($S394="Steel",$S394="Poison",$S394="Fire"),1,0)))</f>
        <v>-1</v>
      </c>
      <c r="AH394" s="507" t="n">
        <f aca="false">IF(OR($R394="Ghost",$S394="Ghost"),4,SUM(IF(OR($R394="Dark",$R394="Ice",$R394="Normal",$R394="Rock",$R394="Steel"),0-1,IF(OR($R394="Bug",$R394="Fairy",$R394="Flying",$R394="Poison",$R394="Psychic"),1,0)),IF(OR($S394="Dark",$S394="Ice",$S394="Normal",$S394="Rock",$S394="Steel"),0-1,IF(OR($S394="Bug",$S394="Fairy",$S394="Flying",$S394="Poison",$S394="Psychic"),1,0))))</f>
        <v>4</v>
      </c>
      <c r="AI394" s="507" t="n">
        <f aca="false">SUM(IF(OR($R394="Bug",$R394="Grass",$R394="Ice",$R394="Steel"),0-1,IF(OR($R394="Dragon",$R394="Fire",$R394="Rock",$R394="Water"),1,0)),IF(OR($S394="Bug",$S394="Grass",$S394="Ice",$S394="Steel"),0-1,IF(OR($S394="Dragon",$S394="Fire",$S394="Rock",$S394="Water"),1,0)))</f>
        <v>0</v>
      </c>
      <c r="AJ394" s="507" t="n">
        <f aca="false">SUM(IF(OR($R394="Bug",$R394="Grass",$R394="Fighting"),0-1,IF(OR($R394="Electric",$R394="Rock",$R394="Steel"),1,0)),IF(OR($S394="Bug",$S394="Grass",$S394="Fighting"),0-1,IF(OR($S394="Electric",$S394="Rock",$S394="Steel"),1,0)))</f>
        <v>0</v>
      </c>
      <c r="AK394" s="507" t="n">
        <f aca="false">IF(OR($R394="Normal",$S394="Normal"),4,SUM(IF(OR($R394="Ghost",$R394="Psychic"),0-1,IF($R394="Dark",1,0)),IF(OR($S394="Ghost",$S394="Psychic"),0-1,IF($S394="Dark",1,0))))</f>
        <v>0</v>
      </c>
      <c r="AL394" s="507" t="n">
        <f aca="false">SUM(IF(OR($R394="Ground",$R394="Rock",$R394="Water"),0-1,IF(OR($R394="Bug",$R394="Flying",$R394="Fire",$R394="Dragon",$R394="Poison",$R394="Steel",$R394="Grass"),1,0)),IF(OR($S394="Ground",$S394="Rock",$S394="Water"),0-1,IF(OR($S394="Bug",$S394="Flying",$S394="Fire",$S394="Dragon",$S394="Poison",$S394="Steel",$S394="Grass"),1,0)))</f>
        <v>0</v>
      </c>
      <c r="AM394" s="507" t="n">
        <f aca="false">IF(OR($R394="Flying",$S394="Flying"),4,SUM(IF(OR($R394="Electric",$R394="Fire",$R394="Rock",$R394="Steel",$R394="Poison"),0-1,IF(OR($R394="Bug",$R394="Grass"),1,0)),IF(OR($S394="Electric",$S394="Fire",$S394="Rock",$S394="Steel",$S394="Poison"),0-1,IF(OR($S394="Bug",$S394="Grass"),1,0))))</f>
        <v>0</v>
      </c>
      <c r="AN394" s="507" t="n">
        <f aca="false">SUM(IF(OR($R394="Flying",$R394="Dragon",$R394="Grass",$R394="Ground"),0-1,IF(OR($R394="Steel",$R394="Ice",$R394="Fire",$R394="Water"),1,0)),IF(OR($S394="Flying",$S394="Dragon",$S394="Grass",$S394="Ground"),0-1,IF(OR($S394="Steel",$S394="Ice",$S394="Fire",$S394="Water"),1,0)))</f>
        <v>0</v>
      </c>
      <c r="AO394" s="507" t="n">
        <f aca="false">IF(OR($R394="Ghost",$S394="Ghost"),4,SUM(IF(OR($R394="Steel",$R394="Rock"),1,0),IF(OR($S394="Steel",$S394="Rock"),1,0)))</f>
        <v>4</v>
      </c>
      <c r="AP394" s="507" t="n">
        <f aca="false">IF(OR($R394="Steel",$S394="Steel"),4,SUM(IF(OR($R394="Fairy",$R394="Grass"),0-1,IF(OR($R394="Ghost",$R394="Rock",$R394="Ground",$R394="Poison"),1,0)),IF(OR($S394="Fairy",$S394="Grass"),0-1,IF(OR($S394="Ghost",$S394="Rock",$S394="Ground",$S394="Poison"),1,0))))</f>
        <v>1</v>
      </c>
      <c r="AQ394" s="507" t="n">
        <f aca="false">IF(OR($R394="Dark",$S394="Dark"),4,SUM(IF(OR($R394="Fighting",$R394="Poison"),0-1,IF(OR($R394="Psychic",$R394="Steel"),1,0)),IF(OR($S394="Fighting",$S394="Poison"),0-1,IF(OR($S394="Psychic",$S394="Steel"),1,0))))</f>
        <v>4</v>
      </c>
      <c r="AR394" s="507" t="n">
        <f aca="false">SUM(IF(OR($R394="Bug",$R394="Fire",$R394="Flying",$R394="Ice"),0-1,IF(OR($R394="Steel",$R394="Fighting",$R394="Ground"),1,0)),IF(OR($S394="Bug",$S394="Fire",$S394="Flying",$S394="Ice"),0-1,IF(OR($S394="Steel",$S394="Fighting",$S394="Ground"),1,0)))</f>
        <v>0</v>
      </c>
      <c r="AS394" s="507" t="n">
        <f aca="false">SUM(IF(OR($R394="Fairy",$R394="Ice",$R394="Rock"),0-1,IF(OR($R394="Steel",$R394="Electric",$R394="Fire",$R394="Water"),1,0)),IF(OR($S394="Fairy",$S394="Ice",$S394="Rock"),0-1,IF(OR($S394="Steel",$S394="Electric",$S394="Fire",$S394="Water"),1,0)))</f>
        <v>0</v>
      </c>
      <c r="AT394" s="508" t="n">
        <f aca="false">SUM(IF(OR($R394="Fire",$R394="Ground",$R394="Rock"),0-1,IF(OR($R394="Dragon",$R394="Grass",$R394="Water"),1,0)),IF(OR($S394="Fire",$S394="Ground",$S394="Rock"),0-1,IF(OR($S394="Dragon",$S394="Grass",$S394="Water"),1,0)))</f>
        <v>0</v>
      </c>
      <c r="AU394" s="518"/>
    </row>
    <row r="395" customFormat="false" ht="15.75" hidden="false" customHeight="false" outlineLevel="0" collapsed="false">
      <c r="A395" s="515" t="str">
        <f aca="false" t="array" ref="A395:A395">IF(ISNA(INDEX(Source!$U$7:$U$95,MATCH(B395,Source!$V$7:$V$95,0))),"FREE",INDEX(Source!$U$7:$U$95,MATCH(B395,Source!$V$7:$V$95,0)))</f>
        <v>FREE</v>
      </c>
      <c r="B395" s="511" t="s">
        <v>736</v>
      </c>
      <c r="C395" s="511"/>
      <c r="D395" s="511"/>
      <c r="E395" s="499" t="str">
        <f aca="false">IF(SUM($W395:$X395)&gt;0,SUM($W395:$X395),IF($H395&gt;0,0,IF($H395&gt;0,0,"-")))</f>
        <v>-</v>
      </c>
      <c r="F395" s="499" t="str">
        <f aca="false">IF(SUM($Y395:$Z395)&gt;0,SUM($Y395:$Z395),IF($H395&gt;0,0,"-"))</f>
        <v>-</v>
      </c>
      <c r="G395" s="499" t="str">
        <f aca="false">IF($H395&gt;0,minus(E395,F395),"-")</f>
        <v>-</v>
      </c>
      <c r="H395" s="500" t="n">
        <f aca="false">SUM(COUNTIF(MatchSource!$A:$A,$B395),COUNTIF(MatchSource!$H:$H,$B395))</f>
        <v>0</v>
      </c>
      <c r="I395" s="501" t="n">
        <f aca="false">SUM($AA395:$AB395)</f>
        <v>0</v>
      </c>
      <c r="J395" s="501" t="s">
        <v>276</v>
      </c>
      <c r="K395" s="512" t="str">
        <f aca="false" t="array" ref="K395:K395">IF(ISNA(INDEX(DraftRosters!$AA$3:$AA$199,MATCH($B395,DraftRosters!$AB$3:$AB$199,0))),"FA",IF(INDEX(DraftRosters!$AA$3:$AA$199,MATCH($B395,DraftRosters!$AB$3:$AB$199,0))="Franchise","Franch",INDEX(DraftRosters!$AA$3:$AA$199,MATCH($B395,DraftRosters!$AB$3:$AB$199,0))))</f>
        <v>FA</v>
      </c>
      <c r="L395" s="499" t="n">
        <v>50</v>
      </c>
      <c r="M395" s="499" t="n">
        <v>85</v>
      </c>
      <c r="N395" s="499" t="n">
        <v>125</v>
      </c>
      <c r="O395" s="499" t="n">
        <v>85</v>
      </c>
      <c r="P395" s="499" t="n">
        <v>115</v>
      </c>
      <c r="Q395" s="501" t="n">
        <v>20</v>
      </c>
      <c r="R395" s="499" t="s">
        <v>795</v>
      </c>
      <c r="S395" s="501" t="s">
        <v>802</v>
      </c>
      <c r="T395" s="504" t="s">
        <v>818</v>
      </c>
      <c r="U395" s="505"/>
      <c r="V395" s="506"/>
      <c r="W395" s="500" t="str">
        <f aca="false">IFERROR(__xludf.dummyfunction("if(isna(SUM(FILTER(MatchSource!$A:$D,MatchSource!$A:$A=$B395))),0,SUM(FILTER(MatchSource!$A:$D,MatchSource!$A:$A=$B395)))"),"0")</f>
        <v>0</v>
      </c>
      <c r="X395" s="499" t="str">
        <f aca="false">IFERROR(__xludf.dummyfunction("if(isna(SUM(FILTER(MatchSource!$H:$K,MatchSource!$H:$H=$B395))),0,SUM(FILTER(MatchSource!$H:$K,MatchSource!$H:$H=$B395)))"),"0")</f>
        <v>0</v>
      </c>
      <c r="Y395" s="499" t="str">
        <f aca="false">IFERROR(__xludf.dummyfunction("if(isna(ABS(MINUS(SUM(FILTER(MatchSource!$A:$E,MatchSource!$A:$A=$B395)),SUM($W395)))),0,ABS(MINUS(SUM(FILTER(MatchSource!$A:$E,MatchSource!$A:$A=$B395)),SUM($W395))))"),"0")</f>
        <v>0</v>
      </c>
      <c r="Z395" s="499" t="str">
        <f aca="false">IFERROR(__xludf.dummyfunction("if(isna(ABS(MINUS(SUM(FILTER(MatchSource!$H:$L,MatchSource!$H:$H=$B395)),SUM($X395)))),0,ABS(MINUS(SUM(FILTER(MatchSource!$H:$L,MatchSource!$H:$H=$B395)),SUM($X395))))"),"0")</f>
        <v>0</v>
      </c>
      <c r="AA395" s="499" t="str">
        <f aca="false">IFERROR(__xludf.dummyfunction("if(isna(ABS(MINUS(SUM(FILTER(MatchSource!$A:$F,MatchSource!$A:$A=$B395)),SUM($W395,$Y395)))),0,ABS(MINUS(SUM(FILTER(MatchSource!$A:$F,MatchSource!$A:$A=$B395)),SUM($W395, $Y395,))))"),"0")</f>
        <v>0</v>
      </c>
      <c r="AB395" s="501" t="str">
        <f aca="false">IFERROR(__xludf.dummyfunction("if(isna(ABS(MINUS(SUM(FILTER(MatchSource!$H:$M,MatchSource!$H:$H=$B395)),SUM($X395,$Z395)))),0,ABS(MINUS(SUM(FILTER(MatchSource!$H:$M,MatchSource!$H:$H=$B395)),SUM($X395,$Z395))))"),"0")</f>
        <v>0</v>
      </c>
      <c r="AC395" s="507" t="n">
        <f aca="false">SUM(IF(OR($R395="Grass",$R395="Psychic",$R395="Dark"),0-1,IF(OR($R395="Fighting",$R395="Flying",$R395="Fire",$R395="Ghost",$R395="Poison",$R395="Steel",$R395="Fairy"),1,0)),IF(OR($S395="Grass",$S395="Psychic",$S395="Dark"),0-1,IF(OR($S395="Fighting",$S395="Flying",$S395="Fire",$S395="Ghost",$S395="Poison",$S395="Steel",$S395="Fairy"),1,0)))</f>
        <v>0</v>
      </c>
      <c r="AD395" s="507" t="n">
        <f aca="false">SUM(IF(OR($R395="Ghost",$R395="Psychic"),0-1,IF(OR($R395="Fighting",$R395="Dark",$R395="Fairy"),1,0)),IF(OR($S395="Ghost",$S395="Psychic"),0-1,IF(OR($S395="Fighting",$S395="Dark",$S395="Fairy"),1,0)))</f>
        <v>0</v>
      </c>
      <c r="AE395" s="507" t="n">
        <f aca="false">IF(OR($R395="Fairy",$S395="Fairy"),4,SUM(IF($R395="Dragon",0-1,IF($R395="Steel",1,0)),IF($S395="Dragon",0-1,IF($S395="Steel",1,0))))</f>
        <v>0</v>
      </c>
      <c r="AF395" s="507" t="n">
        <f aca="false">IF(OR($R395="Ground",$S395="Ground"),4,SUM(IF(OR($R395="Flying",$R395="Water"),0-1,IF(OR($R395="Dragon",$R395="Electric",$R395="Grass"),1,0)),IF(OR($S395="Flying",$S395="Water"),0-1,IF(OR($S395="Dragon",$S395="Electric",$S395="Grass"),1,0))))</f>
        <v>0</v>
      </c>
      <c r="AG395" s="507" t="n">
        <f aca="false">SUM(IF(OR($R395="Dark",$R395="Dragon",$R395="Fighting"),0-1,IF(OR($R395="Steel",$R395="Poison",$R395="Fire"),1,0)),IF(OR($S395="Dark",$S395="Dragon",$S395="Fighting"),0-1,IF(OR($S395="Steel",$S395="Poison",$S395="Fire"),1,0)))</f>
        <v>-1</v>
      </c>
      <c r="AH395" s="507" t="n">
        <f aca="false">IF(OR($R395="Ghost",$S395="Ghost"),4,SUM(IF(OR($R395="Dark",$R395="Ice",$R395="Normal",$R395="Rock",$R395="Steel"),0-1,IF(OR($R395="Bug",$R395="Fairy",$R395="Flying",$R395="Poison",$R395="Psychic"),1,0)),IF(OR($S395="Dark",$S395="Ice",$S395="Normal",$S395="Rock",$S395="Steel"),0-1,IF(OR($S395="Bug",$S395="Fairy",$S395="Flying",$S395="Poison",$S395="Psychic"),1,0))))</f>
        <v>4</v>
      </c>
      <c r="AI395" s="507" t="n">
        <f aca="false">SUM(IF(OR($R395="Bug",$R395="Grass",$R395="Ice",$R395="Steel"),0-1,IF(OR($R395="Dragon",$R395="Fire",$R395="Rock",$R395="Water"),1,0)),IF(OR($S395="Bug",$S395="Grass",$S395="Ice",$S395="Steel"),0-1,IF(OR($S395="Dragon",$S395="Fire",$S395="Rock",$S395="Water"),1,0)))</f>
        <v>0</v>
      </c>
      <c r="AJ395" s="507" t="n">
        <f aca="false">SUM(IF(OR($R395="Bug",$R395="Grass",$R395="Fighting"),0-1,IF(OR($R395="Electric",$R395="Rock",$R395="Steel"),1,0)),IF(OR($S395="Bug",$S395="Grass",$S395="Fighting"),0-1,IF(OR($S395="Electric",$S395="Rock",$S395="Steel"),1,0)))</f>
        <v>0</v>
      </c>
      <c r="AK395" s="507" t="n">
        <f aca="false">IF(OR($R395="Normal",$S395="Normal"),4,SUM(IF(OR($R395="Ghost",$R395="Psychic"),0-1,IF($R395="Dark",1,0)),IF(OR($S395="Ghost",$S395="Psychic"),0-1,IF($S395="Dark",1,0))))</f>
        <v>0</v>
      </c>
      <c r="AL395" s="507" t="n">
        <f aca="false">SUM(IF(OR($R395="Ground",$R395="Rock",$R395="Water"),0-1,IF(OR($R395="Bug",$R395="Flying",$R395="Fire",$R395="Dragon",$R395="Poison",$R395="Steel",$R395="Grass"),1,0)),IF(OR($S395="Ground",$S395="Rock",$S395="Water"),0-1,IF(OR($S395="Bug",$S395="Flying",$S395="Fire",$S395="Dragon",$S395="Poison",$S395="Steel",$S395="Grass"),1,0)))</f>
        <v>0</v>
      </c>
      <c r="AM395" s="507" t="n">
        <f aca="false">IF(OR($R395="Flying",$S395="Flying"),4,SUM(IF(OR($R395="Electric",$R395="Fire",$R395="Rock",$R395="Steel",$R395="Poison"),0-1,IF(OR($R395="Bug",$R395="Grass"),1,0)),IF(OR($S395="Electric",$S395="Fire",$S395="Rock",$S395="Steel",$S395="Poison"),0-1,IF(OR($S395="Bug",$S395="Grass"),1,0))))</f>
        <v>0</v>
      </c>
      <c r="AN395" s="507" t="n">
        <f aca="false">SUM(IF(OR($R395="Flying",$R395="Dragon",$R395="Grass",$R395="Ground"),0-1,IF(OR($R395="Steel",$R395="Ice",$R395="Fire",$R395="Water"),1,0)),IF(OR($S395="Flying",$S395="Dragon",$S395="Grass",$S395="Ground"),0-1,IF(OR($S395="Steel",$S395="Ice",$S395="Fire",$S395="Water"),1,0)))</f>
        <v>0</v>
      </c>
      <c r="AO395" s="507" t="n">
        <f aca="false">IF(OR($R395="Ghost",$S395="Ghost"),4,SUM(IF(OR($R395="Steel",$R395="Rock"),1,0),IF(OR($S395="Steel",$S395="Rock"),1,0)))</f>
        <v>4</v>
      </c>
      <c r="AP395" s="507" t="n">
        <f aca="false">IF(OR($R395="Steel",$S395="Steel"),4,SUM(IF(OR($R395="Fairy",$R395="Grass"),0-1,IF(OR($R395="Ghost",$R395="Rock",$R395="Ground",$R395="Poison"),1,0)),IF(OR($S395="Fairy",$S395="Grass"),0-1,IF(OR($S395="Ghost",$S395="Rock",$S395="Ground",$S395="Poison"),1,0))))</f>
        <v>1</v>
      </c>
      <c r="AQ395" s="507" t="n">
        <f aca="false">IF(OR($R395="Dark",$S395="Dark"),4,SUM(IF(OR($R395="Fighting",$R395="Poison"),0-1,IF(OR($R395="Psychic",$R395="Steel"),1,0)),IF(OR($S395="Fighting",$S395="Poison"),0-1,IF(OR($S395="Psychic",$S395="Steel"),1,0))))</f>
        <v>4</v>
      </c>
      <c r="AR395" s="507" t="n">
        <f aca="false">SUM(IF(OR($R395="Bug",$R395="Fire",$R395="Flying",$R395="Ice"),0-1,IF(OR($R395="Steel",$R395="Fighting",$R395="Ground"),1,0)),IF(OR($S395="Bug",$S395="Fire",$S395="Flying",$S395="Ice"),0-1,IF(OR($S395="Steel",$S395="Fighting",$S395="Ground"),1,0)))</f>
        <v>0</v>
      </c>
      <c r="AS395" s="507" t="n">
        <f aca="false">SUM(IF(OR($R395="Fairy",$R395="Ice",$R395="Rock"),0-1,IF(OR($R395="Steel",$R395="Electric",$R395="Fire",$R395="Water"),1,0)),IF(OR($S395="Fairy",$S395="Ice",$S395="Rock"),0-1,IF(OR($S395="Steel",$S395="Electric",$S395="Fire",$S395="Water"),1,0)))</f>
        <v>0</v>
      </c>
      <c r="AT395" s="508" t="n">
        <f aca="false">SUM(IF(OR($R395="Fire",$R395="Ground",$R395="Rock"),0-1,IF(OR($R395="Dragon",$R395="Grass",$R395="Water"),1,0)),IF(OR($S395="Fire",$S395="Ground",$S395="Rock"),0-1,IF(OR($S395="Dragon",$S395="Grass",$S395="Water"),1,0)))</f>
        <v>0</v>
      </c>
      <c r="AU395" s="518"/>
    </row>
    <row r="396" customFormat="false" ht="15.75" hidden="false" customHeight="false" outlineLevel="0" collapsed="false">
      <c r="A396" s="510" t="str">
        <f aca="false" t="array" ref="A396:A396">IF(ISNA(INDEX(Source!$U$7:$U$95,MATCH(B396,Source!$V$7:$V$95,0))),"FREE",INDEX(Source!$U$7:$U$95,MATCH(B396,Source!$V$7:$V$95,0)))</f>
        <v>SEA</v>
      </c>
      <c r="B396" s="511" t="s">
        <v>40</v>
      </c>
      <c r="C396" s="511"/>
      <c r="D396" s="511"/>
      <c r="E396" s="499" t="n">
        <f aca="false">IF(SUM($W396:$X396)&gt;0,SUM($W396:$X396),IF($H396&gt;0,0,IF($H396&gt;0,0,"-")))</f>
        <v>0</v>
      </c>
      <c r="F396" s="499" t="n">
        <f aca="false">IF(SUM($Y396:$Z396)&gt;0,SUM($Y396:$Z396),IF($H396&gt;0,0,"-"))</f>
        <v>0</v>
      </c>
      <c r="G396" s="499" t="e">
        <f aca="false">IF($H396&gt;0,minus(E396,F396),"-")</f>
        <v>#NAME?</v>
      </c>
      <c r="H396" s="500" t="n">
        <f aca="false">SUM(COUNTIF(MatchSource!$A:$A,$B396),COUNTIF(MatchSource!$H:$H,$B396))</f>
        <v>7</v>
      </c>
      <c r="I396" s="501" t="n">
        <f aca="false">SUM($AA396:$AB396)</f>
        <v>0</v>
      </c>
      <c r="J396" s="501" t="s">
        <v>698</v>
      </c>
      <c r="K396" s="512" t="n">
        <f aca="false" t="array" ref="K396:K396">IF(ISNA(INDEX(DraftRosters!$AA$3:$AA$199,MATCH($B396,DraftRosters!$AB$3:$AB$199,0))),"FA",IF(INDEX(DraftRosters!$AA$3:$AA$199,MATCH($B396,DraftRosters!$AB$3:$AB$199,0))="Franchise","Franch",INDEX(DraftRosters!$AA$3:$AA$199,MATCH($B396,DraftRosters!$AB$3:$AB$199,0))))</f>
        <v>35</v>
      </c>
      <c r="L396" s="499" t="n">
        <v>95</v>
      </c>
      <c r="M396" s="499" t="n">
        <v>135</v>
      </c>
      <c r="N396" s="499" t="n">
        <v>80</v>
      </c>
      <c r="O396" s="499" t="n">
        <v>110</v>
      </c>
      <c r="P396" s="499" t="n">
        <v>80</v>
      </c>
      <c r="Q396" s="501" t="n">
        <v>100</v>
      </c>
      <c r="R396" s="499" t="s">
        <v>835</v>
      </c>
      <c r="S396" s="501" t="s">
        <v>801</v>
      </c>
      <c r="T396" s="504" t="s">
        <v>851</v>
      </c>
      <c r="U396" s="505" t="s">
        <v>997</v>
      </c>
      <c r="V396" s="506"/>
      <c r="W396" s="500" t="str">
        <f aca="false">IFERROR(__xludf.dummyfunction("if(isna(SUM(FILTER(MatchSource!$A:$D,MatchSource!$A:$A=$B396))),0,SUM(FILTER(MatchSource!$A:$D,MatchSource!$A:$A=$B396)))"),"3")</f>
        <v>3</v>
      </c>
      <c r="X396" s="499" t="str">
        <f aca="false">IFERROR(__xludf.dummyfunction("if(isna(SUM(FILTER(MatchSource!$H:$K,MatchSource!$H:$H=$B396))),0,SUM(FILTER(MatchSource!$H:$K,MatchSource!$H:$H=$B396)))"),"0")</f>
        <v>0</v>
      </c>
      <c r="Y396" s="499" t="str">
        <f aca="false">IFERROR(__xludf.dummyfunction("if(isna(ABS(MINUS(SUM(FILTER(MatchSource!$A:$E,MatchSource!$A:$A=$B396)),SUM($W396)))),0,ABS(MINUS(SUM(FILTER(MatchSource!$A:$E,MatchSource!$A:$A=$B396)),SUM($W396))))"),"2")</f>
        <v>2</v>
      </c>
      <c r="Z396" s="499" t="str">
        <f aca="false">IFERROR(__xludf.dummyfunction("if(isna(ABS(MINUS(SUM(FILTER(MatchSource!$H:$L,MatchSource!$H:$H=$B396)),SUM($X396)))),0,ABS(MINUS(SUM(FILTER(MatchSource!$H:$L,MatchSource!$H:$H=$B396)),SUM($X396))))"),"1")</f>
        <v>1</v>
      </c>
      <c r="AA396" s="499" t="str">
        <f aca="false">IFERROR(__xludf.dummyfunction("if(isna(ABS(MINUS(SUM(FILTER(MatchSource!$A:$F,MatchSource!$A:$A=$B396)),SUM($W396,$Y396)))),0,ABS(MINUS(SUM(FILTER(MatchSource!$A:$F,MatchSource!$A:$A=$B396)),SUM($W396, $Y396,))))"),"3")</f>
        <v>3</v>
      </c>
      <c r="AB396" s="501" t="str">
        <f aca="false">IFERROR(__xludf.dummyfunction("if(isna(ABS(MINUS(SUM(FILTER(MatchSource!$H:$M,MatchSource!$H:$H=$B396)),SUM($X396,$Z396)))),0,ABS(MINUS(SUM(FILTER(MatchSource!$H:$M,MatchSource!$H:$H=$B396)),SUM($X396,$Z396))))"),"2")</f>
        <v>2</v>
      </c>
      <c r="AC396" s="507" t="n">
        <f aca="false">SUM(IF(OR($R396="Grass",$R396="Psychic",$R396="Dark"),0-1,IF(OR($R396="Fighting",$R396="Flying",$R396="Fire",$R396="Ghost",$R396="Poison",$R396="Steel",$R396="Fairy"),1,0)),IF(OR($S396="Grass",$S396="Psychic",$S396="Dark"),0-1,IF(OR($S396="Fighting",$S396="Flying",$S396="Fire",$S396="Ghost",$S396="Poison",$S396="Steel",$S396="Fairy"),1,0)))</f>
        <v>1</v>
      </c>
      <c r="AD396" s="507" t="n">
        <f aca="false">SUM(IF(OR($R396="Ghost",$R396="Psychic"),0-1,IF(OR($R396="Fighting",$R396="Dark",$R396="Fairy"),1,0)),IF(OR($S396="Ghost",$S396="Psychic"),0-1,IF(OR($S396="Fighting",$S396="Dark",$S396="Fairy"),1,0)))</f>
        <v>0</v>
      </c>
      <c r="AE396" s="507" t="n">
        <f aca="false">IF(OR($R396="Fairy",$S396="Fairy"),4,SUM(IF($R396="Dragon",0-1,IF($R396="Steel",1,0)),IF($S396="Dragon",0-1,IF($S396="Steel",1,0))))</f>
        <v>-1</v>
      </c>
      <c r="AF396" s="507" t="n">
        <f aca="false">IF(OR($R396="Ground",$S396="Ground"),4,SUM(IF(OR($R396="Flying",$R396="Water"),0-1,IF(OR($R396="Dragon",$R396="Electric",$R396="Grass"),1,0)),IF(OR($S396="Flying",$S396="Water"),0-1,IF(OR($S396="Dragon",$S396="Electric",$S396="Grass"),1,0))))</f>
        <v>0</v>
      </c>
      <c r="AG396" s="507" t="n">
        <f aca="false">SUM(IF(OR($R396="Dark",$R396="Dragon",$R396="Fighting"),0-1,IF(OR($R396="Steel",$R396="Poison",$R396="Fire"),1,0)),IF(OR($S396="Dark",$S396="Dragon",$S396="Fighting"),0-1,IF(OR($S396="Steel",$S396="Poison",$S396="Fire"),1,0)))</f>
        <v>-1</v>
      </c>
      <c r="AH396" s="507" t="n">
        <f aca="false">IF(OR($R396="Ghost",$S396="Ghost"),4,SUM(IF(OR($R396="Dark",$R396="Ice",$R396="Normal",$R396="Rock",$R396="Steel"),0-1,IF(OR($R396="Bug",$R396="Fairy",$R396="Flying",$R396="Poison",$R396="Psychic"),1,0)),IF(OR($S396="Dark",$S396="Ice",$S396="Normal",$S396="Rock",$S396="Steel"),0-1,IF(OR($S396="Bug",$S396="Fairy",$S396="Flying",$S396="Poison",$S396="Psychic"),1,0))))</f>
        <v>1</v>
      </c>
      <c r="AI396" s="507" t="n">
        <f aca="false">SUM(IF(OR($R396="Bug",$R396="Grass",$R396="Ice",$R396="Steel"),0-1,IF(OR($R396="Dragon",$R396="Fire",$R396="Rock",$R396="Water"),1,0)),IF(OR($S396="Bug",$S396="Grass",$S396="Ice",$S396="Steel"),0-1,IF(OR($S396="Dragon",$S396="Fire",$S396="Rock",$S396="Water"),1,0)))</f>
        <v>1</v>
      </c>
      <c r="AJ396" s="507" t="n">
        <f aca="false">SUM(IF(OR($R396="Bug",$R396="Grass",$R396="Fighting"),0-1,IF(OR($R396="Electric",$R396="Rock",$R396="Steel"),1,0)),IF(OR($S396="Bug",$S396="Grass",$S396="Fighting"),0-1,IF(OR($S396="Electric",$S396="Rock",$S396="Steel"),1,0)))</f>
        <v>0</v>
      </c>
      <c r="AK396" s="507" t="n">
        <f aca="false">IF(OR($R396="Normal",$S396="Normal"),4,SUM(IF(OR($R396="Ghost",$R396="Psychic"),0-1,IF($R396="Dark",1,0)),IF(OR($S396="Ghost",$S396="Psychic"),0-1,IF($S396="Dark",1,0))))</f>
        <v>0</v>
      </c>
      <c r="AL396" s="507" t="n">
        <f aca="false">SUM(IF(OR($R396="Ground",$R396="Rock",$R396="Water"),0-1,IF(OR($R396="Bug",$R396="Flying",$R396="Fire",$R396="Dragon",$R396="Poison",$R396="Steel",$R396="Grass"),1,0)),IF(OR($S396="Ground",$S396="Rock",$S396="Water"),0-1,IF(OR($S396="Bug",$S396="Flying",$S396="Fire",$S396="Dragon",$S396="Poison",$S396="Steel",$S396="Grass"),1,0)))</f>
        <v>2</v>
      </c>
      <c r="AM396" s="507" t="n">
        <f aca="false">IF(OR($R396="Flying",$S396="Flying"),4,SUM(IF(OR($R396="Electric",$R396="Fire",$R396="Rock",$R396="Steel",$R396="Poison"),0-1,IF(OR($R396="Bug",$R396="Grass"),1,0)),IF(OR($S396="Electric",$S396="Fire",$S396="Rock",$S396="Steel",$S396="Poison"),0-1,IF(OR($S396="Bug",$S396="Grass"),1,0))))</f>
        <v>4</v>
      </c>
      <c r="AN396" s="507" t="n">
        <f aca="false">SUM(IF(OR($R396="Flying",$R396="Dragon",$R396="Grass",$R396="Ground"),0-1,IF(OR($R396="Steel",$R396="Ice",$R396="Fire",$R396="Water"),1,0)),IF(OR($S396="Flying",$S396="Dragon",$S396="Grass",$S396="Ground"),0-1,IF(OR($S396="Steel",$S396="Ice",$S396="Fire",$S396="Water"),1,0)))</f>
        <v>-2</v>
      </c>
      <c r="AO396" s="507" t="n">
        <f aca="false">IF(OR($R396="Ghost",$S396="Ghost"),4,SUM(IF(OR($R396="Steel",$R396="Rock"),1,0),IF(OR($S396="Steel",$S396="Rock"),1,0)))</f>
        <v>0</v>
      </c>
      <c r="AP396" s="507" t="n">
        <f aca="false">IF(OR($R396="Steel",$S396="Steel"),4,SUM(IF(OR($R396="Fairy",$R396="Grass"),0-1,IF(OR($R396="Ghost",$R396="Rock",$R396="Ground",$R396="Poison"),1,0)),IF(OR($S396="Fairy",$S396="Grass"),0-1,IF(OR($S396="Ghost",$S396="Rock",$S396="Ground",$S396="Poison"),1,0))))</f>
        <v>0</v>
      </c>
      <c r="AQ396" s="507" t="n">
        <f aca="false">IF(OR($R396="Dark",$S396="Dark"),4,SUM(IF(OR($R396="Fighting",$R396="Poison"),0-1,IF(OR($R396="Psychic",$R396="Steel"),1,0)),IF(OR($S396="Fighting",$S396="Poison"),0-1,IF(OR($S396="Psychic",$S396="Steel"),1,0))))</f>
        <v>0</v>
      </c>
      <c r="AR396" s="507" t="n">
        <f aca="false">SUM(IF(OR($R396="Bug",$R396="Fire",$R396="Flying",$R396="Ice"),0-1,IF(OR($R396="Steel",$R396="Fighting",$R396="Ground"),1,0)),IF(OR($S396="Bug",$S396="Fire",$S396="Flying",$S396="Ice"),0-1,IF(OR($S396="Steel",$S396="Fighting",$S396="Ground"),1,0)))</f>
        <v>-1</v>
      </c>
      <c r="AS396" s="507" t="n">
        <f aca="false">SUM(IF(OR($R396="Fairy",$R396="Ice",$R396="Rock"),0-1,IF(OR($R396="Steel",$R396="Electric",$R396="Fire",$R396="Water"),1,0)),IF(OR($S396="Fairy",$S396="Ice",$S396="Rock"),0-1,IF(OR($S396="Steel",$S396="Electric",$S396="Fire",$S396="Water"),1,0)))</f>
        <v>0</v>
      </c>
      <c r="AT396" s="508" t="n">
        <f aca="false">SUM(IF(OR($R396="Fire",$R396="Ground",$R396="Rock"),0-1,IF(OR($R396="Dragon",$R396="Grass",$R396="Water"),1,0)),IF(OR($S396="Fire",$S396="Ground",$S396="Rock"),0-1,IF(OR($S396="Dragon",$S396="Grass",$S396="Water"),1,0)))</f>
        <v>1</v>
      </c>
      <c r="AU396" s="518"/>
    </row>
    <row r="397" customFormat="false" ht="15.75" hidden="false" customHeight="false" outlineLevel="0" collapsed="false">
      <c r="A397" s="515" t="str">
        <f aca="false" t="array" ref="A397:A397">IF(ISNA(INDEX(Source!$U$7:$U$95,MATCH(B397,Source!$V$7:$V$95,0))),"FREE",INDEX(Source!$U$7:$U$95,MATCH(B397,Source!$V$7:$V$95,0)))</f>
        <v>FREE</v>
      </c>
      <c r="B397" s="511" t="s">
        <v>551</v>
      </c>
      <c r="C397" s="511"/>
      <c r="D397" s="511"/>
      <c r="E397" s="499" t="str">
        <f aca="false">IF(SUM($W397:$X397)&gt;0,SUM($W397:$X397),IF($H397&gt;0,0,IF($H397&gt;0,0,"-")))</f>
        <v>-</v>
      </c>
      <c r="F397" s="499" t="str">
        <f aca="false">IF(SUM($Y397:$Z397)&gt;0,SUM($Y397:$Z397),IF($H397&gt;0,0,"-"))</f>
        <v>-</v>
      </c>
      <c r="G397" s="499" t="str">
        <f aca="false">IF($H397&gt;0,minus(E397,F397),"-")</f>
        <v>-</v>
      </c>
      <c r="H397" s="500" t="n">
        <f aca="false">SUM(COUNTIF(MatchSource!$A:$A,$B397),COUNTIF(MatchSource!$H:$H,$B397))</f>
        <v>0</v>
      </c>
      <c r="I397" s="501" t="n">
        <f aca="false">SUM($AA397:$AB397)</f>
        <v>0</v>
      </c>
      <c r="J397" s="501" t="s">
        <v>700</v>
      </c>
      <c r="K397" s="512" t="str">
        <f aca="false" t="array" ref="K397:K397">IF(ISNA(INDEX(DraftRosters!$AA$3:$AA$199,MATCH($B397,DraftRosters!$AB$3:$AB$199,0))),"FA",IF(INDEX(DraftRosters!$AA$3:$AA$199,MATCH($B397,DraftRosters!$AB$3:$AB$199,0))="Franchise","Franch",INDEX(DraftRosters!$AA$3:$AA$199,MATCH($B397,DraftRosters!$AB$3:$AB$199,0))))</f>
        <v>FA</v>
      </c>
      <c r="L397" s="499" t="n">
        <v>68</v>
      </c>
      <c r="M397" s="499" t="n">
        <v>64</v>
      </c>
      <c r="N397" s="499" t="n">
        <v>60</v>
      </c>
      <c r="O397" s="499" t="n">
        <v>111</v>
      </c>
      <c r="P397" s="499" t="n">
        <v>60</v>
      </c>
      <c r="Q397" s="501" t="n">
        <v>117</v>
      </c>
      <c r="R397" s="499" t="s">
        <v>800</v>
      </c>
      <c r="S397" s="501" t="s">
        <v>843</v>
      </c>
      <c r="T397" s="520" t="s">
        <v>1063</v>
      </c>
      <c r="U397" s="513" t="s">
        <v>1002</v>
      </c>
      <c r="V397" s="514"/>
      <c r="W397" s="500" t="str">
        <f aca="false">IFERROR(__xludf.dummyfunction("if(isna(SUM(FILTER(MatchSource!$A:$D,MatchSource!$A:$A=$B397))),0,SUM(FILTER(MatchSource!$A:$D,MatchSource!$A:$A=$B397)))"),"0")</f>
        <v>0</v>
      </c>
      <c r="X397" s="499" t="str">
        <f aca="false">IFERROR(__xludf.dummyfunction("if(isna(SUM(FILTER(MatchSource!$H:$K,MatchSource!$H:$H=$B397))),0,SUM(FILTER(MatchSource!$H:$K,MatchSource!$H:$H=$B397)))"),"0")</f>
        <v>0</v>
      </c>
      <c r="Y397" s="499" t="str">
        <f aca="false">IFERROR(__xludf.dummyfunction("if(isna(ABS(MINUS(SUM(FILTER(MatchSource!$A:$E,MatchSource!$A:$A=$B397)),SUM($W397)))),0,ABS(MINUS(SUM(FILTER(MatchSource!$A:$E,MatchSource!$A:$A=$B397)),SUM($W397))))"),"0")</f>
        <v>0</v>
      </c>
      <c r="Z397" s="499" t="str">
        <f aca="false">IFERROR(__xludf.dummyfunction("if(isna(ABS(MINUS(SUM(FILTER(MatchSource!$H:$L,MatchSource!$H:$H=$B397)),SUM($X397)))),0,ABS(MINUS(SUM(FILTER(MatchSource!$H:$L,MatchSource!$H:$H=$B397)),SUM($X397))))"),"0")</f>
        <v>0</v>
      </c>
      <c r="AA397" s="499" t="str">
        <f aca="false">IFERROR(__xludf.dummyfunction("if(isna(ABS(MINUS(SUM(FILTER(MatchSource!$A:$F,MatchSource!$A:$A=$B397)),SUM($W397,$Y397)))),0,ABS(MINUS(SUM(FILTER(MatchSource!$A:$F,MatchSource!$A:$A=$B397)),SUM($W397, $Y397,))))"),"0")</f>
        <v>0</v>
      </c>
      <c r="AB397" s="501" t="str">
        <f aca="false">IFERROR(__xludf.dummyfunction("if(isna(ABS(MINUS(SUM(FILTER(MatchSource!$H:$M,MatchSource!$H:$H=$B397)),SUM($X397,$Z397)))),0,ABS(MINUS(SUM(FILTER(MatchSource!$H:$M,MatchSource!$H:$H=$B397)),SUM($X397,$Z397))))"),"0")</f>
        <v>0</v>
      </c>
      <c r="AC397" s="507" t="n">
        <f aca="false">SUM(IF(OR($R397="Grass",$R397="Psychic",$R397="Dark"),0-1,IF(OR($R397="Fighting",$R397="Flying",$R397="Fire",$R397="Ghost",$R397="Poison",$R397="Steel",$R397="Fairy"),1,0)),IF(OR($S397="Grass",$S397="Psychic",$S397="Dark"),0-1,IF(OR($S397="Fighting",$S397="Flying",$S397="Fire",$S397="Ghost",$S397="Poison",$S397="Steel",$S397="Fairy"),1,0)))</f>
        <v>2</v>
      </c>
      <c r="AD397" s="507" t="n">
        <f aca="false">SUM(IF(OR($R397="Ghost",$R397="Psychic"),0-1,IF(OR($R397="Fighting",$R397="Dark",$R397="Fairy"),1,0)),IF(OR($S397="Ghost",$S397="Psychic"),0-1,IF(OR($S397="Fighting",$S397="Dark",$S397="Fairy"),1,0)))</f>
        <v>0</v>
      </c>
      <c r="AE397" s="507" t="n">
        <f aca="false">IF(OR($R397="Fairy",$S397="Fairy"),4,SUM(IF($R397="Dragon",0-1,IF($R397="Steel",1,0)),IF($S397="Dragon",0-1,IF($S397="Steel",1,0))))</f>
        <v>0</v>
      </c>
      <c r="AF397" s="507" t="n">
        <f aca="false">IF(OR($R397="Ground",$S397="Ground"),4,SUM(IF(OR($R397="Flying",$R397="Water"),0-1,IF(OR($R397="Dragon",$R397="Electric",$R397="Grass"),1,0)),IF(OR($S397="Flying",$S397="Water"),0-1,IF(OR($S397="Dragon",$S397="Electric",$S397="Grass"),1,0))))</f>
        <v>0</v>
      </c>
      <c r="AG397" s="507" t="n">
        <f aca="false">SUM(IF(OR($R397="Dark",$R397="Dragon",$R397="Fighting"),0-1,IF(OR($R397="Steel",$R397="Poison",$R397="Fire"),1,0)),IF(OR($S397="Dark",$S397="Dragon",$S397="Fighting"),0-1,IF(OR($S397="Steel",$S397="Poison",$S397="Fire"),1,0)))</f>
        <v>2</v>
      </c>
      <c r="AH397" s="507" t="n">
        <f aca="false">IF(OR($R397="Ghost",$S397="Ghost"),4,SUM(IF(OR($R397="Dark",$R397="Ice",$R397="Normal",$R397="Rock",$R397="Steel"),0-1,IF(OR($R397="Bug",$R397="Fairy",$R397="Flying",$R397="Poison",$R397="Psychic"),1,0)),IF(OR($S397="Dark",$S397="Ice",$S397="Normal",$S397="Rock",$S397="Steel"),0-1,IF(OR($S397="Bug",$S397="Fairy",$S397="Flying",$S397="Poison",$S397="Psychic"),1,0))))</f>
        <v>1</v>
      </c>
      <c r="AI397" s="507" t="n">
        <f aca="false">SUM(IF(OR($R397="Bug",$R397="Grass",$R397="Ice",$R397="Steel"),0-1,IF(OR($R397="Dragon",$R397="Fire",$R397="Rock",$R397="Water"),1,0)),IF(OR($S397="Bug",$S397="Grass",$S397="Ice",$S397="Steel"),0-1,IF(OR($S397="Dragon",$S397="Fire",$S397="Rock",$S397="Water"),1,0)))</f>
        <v>1</v>
      </c>
      <c r="AJ397" s="507" t="n">
        <f aca="false">SUM(IF(OR($R397="Bug",$R397="Grass",$R397="Fighting"),0-1,IF(OR($R397="Electric",$R397="Rock",$R397="Steel"),1,0)),IF(OR($S397="Bug",$S397="Grass",$S397="Fighting"),0-1,IF(OR($S397="Electric",$S397="Rock",$S397="Steel"),1,0)))</f>
        <v>0</v>
      </c>
      <c r="AK397" s="507" t="n">
        <f aca="false">IF(OR($R397="Normal",$S397="Normal"),4,SUM(IF(OR($R397="Ghost",$R397="Psychic"),0-1,IF($R397="Dark",1,0)),IF(OR($S397="Ghost",$S397="Psychic"),0-1,IF($S397="Dark",1,0))))</f>
        <v>0</v>
      </c>
      <c r="AL397" s="507" t="n">
        <f aca="false">SUM(IF(OR($R397="Ground",$R397="Rock",$R397="Water"),0-1,IF(OR($R397="Bug",$R397="Flying",$R397="Fire",$R397="Dragon",$R397="Poison",$R397="Steel",$R397="Grass"),1,0)),IF(OR($S397="Ground",$S397="Rock",$S397="Water"),0-1,IF(OR($S397="Bug",$S397="Flying",$S397="Fire",$S397="Dragon",$S397="Poison",$S397="Steel",$S397="Grass"),1,0)))</f>
        <v>2</v>
      </c>
      <c r="AM397" s="507" t="n">
        <f aca="false">IF(OR($R397="Flying",$S397="Flying"),4,SUM(IF(OR($R397="Electric",$R397="Fire",$R397="Rock",$R397="Steel",$R397="Poison"),0-1,IF(OR($R397="Bug",$R397="Grass"),1,0)),IF(OR($S397="Electric",$S397="Fire",$S397="Rock",$S397="Steel",$S397="Poison"),0-1,IF(OR($S397="Bug",$S397="Grass"),1,0))))</f>
        <v>-2</v>
      </c>
      <c r="AN397" s="507" t="n">
        <f aca="false">SUM(IF(OR($R397="Flying",$R397="Dragon",$R397="Grass",$R397="Ground"),0-1,IF(OR($R397="Steel",$R397="Ice",$R397="Fire",$R397="Water"),1,0)),IF(OR($S397="Flying",$S397="Dragon",$S397="Grass",$S397="Ground"),0-1,IF(OR($S397="Steel",$S397="Ice",$S397="Fire",$S397="Water"),1,0)))</f>
        <v>1</v>
      </c>
      <c r="AO397" s="507" t="n">
        <f aca="false">IF(OR($R397="Ghost",$S397="Ghost"),4,SUM(IF(OR($R397="Steel",$R397="Rock"),1,0),IF(OR($S397="Steel",$S397="Rock"),1,0)))</f>
        <v>0</v>
      </c>
      <c r="AP397" s="507" t="n">
        <f aca="false">IF(OR($R397="Steel",$S397="Steel"),4,SUM(IF(OR($R397="Fairy",$R397="Grass"),0-1,IF(OR($R397="Ghost",$R397="Rock",$R397="Ground",$R397="Poison"),1,0)),IF(OR($S397="Fairy",$S397="Grass"),0-1,IF(OR($S397="Ghost",$S397="Rock",$S397="Ground",$S397="Poison"),1,0))))</f>
        <v>1</v>
      </c>
      <c r="AQ397" s="507" t="n">
        <f aca="false">IF(OR($R397="Dark",$S397="Dark"),4,SUM(IF(OR($R397="Fighting",$R397="Poison"),0-1,IF(OR($R397="Psychic",$R397="Steel"),1,0)),IF(OR($S397="Fighting",$S397="Poison"),0-1,IF(OR($S397="Psychic",$S397="Steel"),1,0))))</f>
        <v>-1</v>
      </c>
      <c r="AR397" s="507" t="n">
        <f aca="false">SUM(IF(OR($R397="Bug",$R397="Fire",$R397="Flying",$R397="Ice"),0-1,IF(OR($R397="Steel",$R397="Fighting",$R397="Ground"),1,0)),IF(OR($S397="Bug",$S397="Fire",$S397="Flying",$S397="Ice"),0-1,IF(OR($S397="Steel",$S397="Fighting",$S397="Ground"),1,0)))</f>
        <v>-1</v>
      </c>
      <c r="AS397" s="507" t="n">
        <f aca="false">SUM(IF(OR($R397="Fairy",$R397="Ice",$R397="Rock"),0-1,IF(OR($R397="Steel",$R397="Electric",$R397="Fire",$R397="Water"),1,0)),IF(OR($S397="Fairy",$S397="Ice",$S397="Rock"),0-1,IF(OR($S397="Steel",$S397="Electric",$S397="Fire",$S397="Water"),1,0)))</f>
        <v>1</v>
      </c>
      <c r="AT397" s="508" t="n">
        <f aca="false">SUM(IF(OR($R397="Fire",$R397="Ground",$R397="Rock"),0-1,IF(OR($R397="Dragon",$R397="Grass",$R397="Water"),1,0)),IF(OR($S397="Fire",$S397="Ground",$S397="Rock"),0-1,IF(OR($S397="Dragon",$S397="Grass",$S397="Water"),1,0)))</f>
        <v>-1</v>
      </c>
      <c r="AU397" s="518"/>
    </row>
    <row r="398" customFormat="false" ht="15.75" hidden="false" customHeight="false" outlineLevel="0" collapsed="false">
      <c r="A398" s="510" t="str">
        <f aca="false" t="array" ref="A398:A398">IF(ISNA(INDEX(Source!$U$7:$U$95,MATCH(B398,Source!$V$7:$V$95,0))),"FREE",INDEX(Source!$U$7:$U$95,MATCH(B398,Source!$V$7:$V$95,0)))</f>
        <v>FREE</v>
      </c>
      <c r="B398" s="511" t="s">
        <v>543</v>
      </c>
      <c r="C398" s="511"/>
      <c r="D398" s="511"/>
      <c r="E398" s="499" t="str">
        <f aca="false">IF(SUM($W398:$X398)&gt;0,SUM($W398:$X398),IF($H398&gt;0,0,IF($H398&gt;0,0,"-")))</f>
        <v>-</v>
      </c>
      <c r="F398" s="499" t="str">
        <f aca="false">IF(SUM($Y398:$Z398)&gt;0,SUM($Y398:$Z398),IF($H398&gt;0,0,"-"))</f>
        <v>-</v>
      </c>
      <c r="G398" s="499" t="str">
        <f aca="false">IF($H398&gt;0,minus(E398,F398),"-")</f>
        <v>-</v>
      </c>
      <c r="H398" s="500" t="n">
        <f aca="false">SUM(COUNTIF(MatchSource!$A:$A,$B398),COUNTIF(MatchSource!$H:$H,$B398))</f>
        <v>0</v>
      </c>
      <c r="I398" s="501" t="n">
        <f aca="false">SUM($AA398:$AB398)</f>
        <v>0</v>
      </c>
      <c r="J398" s="501" t="s">
        <v>702</v>
      </c>
      <c r="K398" s="512" t="str">
        <f aca="false" t="array" ref="K398:K398">IF(ISNA(INDEX(DraftRosters!$AA$3:$AA$199,MATCH($B398,DraftRosters!$AB$3:$AB$199,0))),"FA",IF(INDEX(DraftRosters!$AA$3:$AA$199,MATCH($B398,DraftRosters!$AB$3:$AB$199,0))="Franchise","Franch",INDEX(DraftRosters!$AA$3:$AA$199,MATCH($B398,DraftRosters!$AB$3:$AB$199,0))))</f>
        <v>FA</v>
      </c>
      <c r="L398" s="499" t="n">
        <v>95</v>
      </c>
      <c r="M398" s="499" t="n">
        <v>100</v>
      </c>
      <c r="N398" s="499" t="n">
        <v>85</v>
      </c>
      <c r="O398" s="499" t="n">
        <v>108</v>
      </c>
      <c r="P398" s="499" t="n">
        <v>70</v>
      </c>
      <c r="Q398" s="501" t="n">
        <v>70</v>
      </c>
      <c r="R398" s="499" t="s">
        <v>811</v>
      </c>
      <c r="S398" s="501"/>
      <c r="T398" s="504" t="s">
        <v>925</v>
      </c>
      <c r="U398" s="505" t="s">
        <v>890</v>
      </c>
      <c r="V398" s="506"/>
      <c r="W398" s="500" t="str">
        <f aca="false">IFERROR(__xludf.dummyfunction("if(isna(SUM(FILTER(MatchSource!$A:$D,MatchSource!$A:$A=$B398))),0,SUM(FILTER(MatchSource!$A:$D,MatchSource!$A:$A=$B398)))"),"0")</f>
        <v>0</v>
      </c>
      <c r="X398" s="499" t="str">
        <f aca="false">IFERROR(__xludf.dummyfunction("if(isna(SUM(FILTER(MatchSource!$H:$K,MatchSource!$H:$H=$B398))),0,SUM(FILTER(MatchSource!$H:$K,MatchSource!$H:$H=$B398)))"),"0")</f>
        <v>0</v>
      </c>
      <c r="Y398" s="499" t="str">
        <f aca="false">IFERROR(__xludf.dummyfunction("if(isna(ABS(MINUS(SUM(FILTER(MatchSource!$A:$E,MatchSource!$A:$A=$B398)),SUM($W398)))),0,ABS(MINUS(SUM(FILTER(MatchSource!$A:$E,MatchSource!$A:$A=$B398)),SUM($W398))))"),"0")</f>
        <v>0</v>
      </c>
      <c r="Z398" s="499" t="str">
        <f aca="false">IFERROR(__xludf.dummyfunction("if(isna(ABS(MINUS(SUM(FILTER(MatchSource!$H:$L,MatchSource!$H:$H=$B398)),SUM($X398)))),0,ABS(MINUS(SUM(FILTER(MatchSource!$H:$L,MatchSource!$H:$H=$B398)),SUM($X398))))"),"0")</f>
        <v>0</v>
      </c>
      <c r="AA398" s="499" t="str">
        <f aca="false">IFERROR(__xludf.dummyfunction("if(isna(ABS(MINUS(SUM(FILTER(MatchSource!$A:$F,MatchSource!$A:$A=$B398)),SUM($W398,$Y398)))),0,ABS(MINUS(SUM(FILTER(MatchSource!$A:$F,MatchSource!$A:$A=$B398)),SUM($W398, $Y398,))))"),"0")</f>
        <v>0</v>
      </c>
      <c r="AB398" s="501" t="str">
        <f aca="false">IFERROR(__xludf.dummyfunction("if(isna(ABS(MINUS(SUM(FILTER(MatchSource!$H:$M,MatchSource!$H:$H=$B398)),SUM($X398,$Z398)))),0,ABS(MINUS(SUM(FILTER(MatchSource!$H:$M,MatchSource!$H:$H=$B398)),SUM($X398,$Z398))))"),"0")</f>
        <v>0</v>
      </c>
      <c r="AC398" s="507" t="n">
        <f aca="false">SUM(IF(OR($R398="Grass",$R398="Psychic",$R398="Dark"),0-1,IF(OR($R398="Fighting",$R398="Flying",$R398="Fire",$R398="Ghost",$R398="Poison",$R398="Steel",$R398="Fairy"),1,0)),IF(OR($S398="Grass",$S398="Psychic",$S398="Dark"),0-1,IF(OR($S398="Fighting",$S398="Flying",$S398="Fire",$S398="Ghost",$S398="Poison",$S398="Steel",$S398="Fairy"),1,0)))</f>
        <v>0</v>
      </c>
      <c r="AD398" s="507" t="n">
        <f aca="false">SUM(IF(OR($R398="Ghost",$R398="Psychic"),0-1,IF(OR($R398="Fighting",$R398="Dark",$R398="Fairy"),1,0)),IF(OR($S398="Ghost",$S398="Psychic"),0-1,IF(OR($S398="Fighting",$S398="Dark",$S398="Fairy"),1,0)))</f>
        <v>0</v>
      </c>
      <c r="AE398" s="507" t="n">
        <f aca="false">IF(OR($R398="Fairy",$S398="Fairy"),4,SUM(IF($R398="Dragon",0-1,IF($R398="Steel",1,0)),IF($S398="Dragon",0-1,IF($S398="Steel",1,0))))</f>
        <v>0</v>
      </c>
      <c r="AF398" s="507" t="n">
        <f aca="false">IF(OR($R398="Ground",$S398="Ground"),4,SUM(IF(OR($R398="Flying",$R398="Water"),0-1,IF(OR($R398="Dragon",$R398="Electric",$R398="Grass"),1,0)),IF(OR($S398="Flying",$S398="Water"),0-1,IF(OR($S398="Dragon",$S398="Electric",$S398="Grass"),1,0))))</f>
        <v>-1</v>
      </c>
      <c r="AG398" s="507" t="n">
        <f aca="false">SUM(IF(OR($R398="Dark",$R398="Dragon",$R398="Fighting"),0-1,IF(OR($R398="Steel",$R398="Poison",$R398="Fire"),1,0)),IF(OR($S398="Dark",$S398="Dragon",$S398="Fighting"),0-1,IF(OR($S398="Steel",$S398="Poison",$S398="Fire"),1,0)))</f>
        <v>0</v>
      </c>
      <c r="AH398" s="507" t="n">
        <f aca="false">IF(OR($R398="Ghost",$S398="Ghost"),4,SUM(IF(OR($R398="Dark",$R398="Ice",$R398="Normal",$R398="Rock",$R398="Steel"),0-1,IF(OR($R398="Bug",$R398="Fairy",$R398="Flying",$R398="Poison",$R398="Psychic"),1,0)),IF(OR($S398="Dark",$S398="Ice",$S398="Normal",$S398="Rock",$S398="Steel"),0-1,IF(OR($S398="Bug",$S398="Fairy",$S398="Flying",$S398="Poison",$S398="Psychic"),1,0))))</f>
        <v>0</v>
      </c>
      <c r="AI398" s="507" t="n">
        <f aca="false">SUM(IF(OR($R398="Bug",$R398="Grass",$R398="Ice",$R398="Steel"),0-1,IF(OR($R398="Dragon",$R398="Fire",$R398="Rock",$R398="Water"),1,0)),IF(OR($S398="Bug",$S398="Grass",$S398="Ice",$S398="Steel"),0-1,IF(OR($S398="Dragon",$S398="Fire",$S398="Rock",$S398="Water"),1,0)))</f>
        <v>1</v>
      </c>
      <c r="AJ398" s="507" t="n">
        <f aca="false">SUM(IF(OR($R398="Bug",$R398="Grass",$R398="Fighting"),0-1,IF(OR($R398="Electric",$R398="Rock",$R398="Steel"),1,0)),IF(OR($S398="Bug",$S398="Grass",$S398="Fighting"),0-1,IF(OR($S398="Electric",$S398="Rock",$S398="Steel"),1,0)))</f>
        <v>0</v>
      </c>
      <c r="AK398" s="507" t="n">
        <f aca="false">IF(OR($R398="Normal",$S398="Normal"),4,SUM(IF(OR($R398="Ghost",$R398="Psychic"),0-1,IF($R398="Dark",1,0)),IF(OR($S398="Ghost",$S398="Psychic"),0-1,IF($S398="Dark",1,0))))</f>
        <v>0</v>
      </c>
      <c r="AL398" s="507" t="n">
        <f aca="false">SUM(IF(OR($R398="Ground",$R398="Rock",$R398="Water"),0-1,IF(OR($R398="Bug",$R398="Flying",$R398="Fire",$R398="Dragon",$R398="Poison",$R398="Steel",$R398="Grass"),1,0)),IF(OR($S398="Ground",$S398="Rock",$S398="Water"),0-1,IF(OR($S398="Bug",$S398="Flying",$S398="Fire",$S398="Dragon",$S398="Poison",$S398="Steel",$S398="Grass"),1,0)))</f>
        <v>-1</v>
      </c>
      <c r="AM398" s="507" t="n">
        <f aca="false">IF(OR($R398="Flying",$S398="Flying"),4,SUM(IF(OR($R398="Electric",$R398="Fire",$R398="Rock",$R398="Steel",$R398="Poison"),0-1,IF(OR($R398="Bug",$R398="Grass"),1,0)),IF(OR($S398="Electric",$S398="Fire",$S398="Rock",$S398="Steel",$S398="Poison"),0-1,IF(OR($S398="Bug",$S398="Grass"),1,0))))</f>
        <v>0</v>
      </c>
      <c r="AN398" s="507" t="n">
        <f aca="false">SUM(IF(OR($R398="Flying",$R398="Dragon",$R398="Grass",$R398="Ground"),0-1,IF(OR($R398="Steel",$R398="Ice",$R398="Fire",$R398="Water"),1,0)),IF(OR($S398="Flying",$S398="Dragon",$S398="Grass",$S398="Ground"),0-1,IF(OR($S398="Steel",$S398="Ice",$S398="Fire",$S398="Water"),1,0)))</f>
        <v>1</v>
      </c>
      <c r="AO398" s="507" t="n">
        <f aca="false">IF(OR($R398="Ghost",$S398="Ghost"),4,SUM(IF(OR($R398="Steel",$R398="Rock"),1,0),IF(OR($S398="Steel",$S398="Rock"),1,0)))</f>
        <v>0</v>
      </c>
      <c r="AP398" s="507" t="n">
        <f aca="false">IF(OR($R398="Steel",$S398="Steel"),4,SUM(IF(OR($R398="Fairy",$R398="Grass"),0-1,IF(OR($R398="Ghost",$R398="Rock",$R398="Ground",$R398="Poison"),1,0)),IF(OR($S398="Fairy",$S398="Grass"),0-1,IF(OR($S398="Ghost",$S398="Rock",$S398="Ground",$S398="Poison"),1,0))))</f>
        <v>0</v>
      </c>
      <c r="AQ398" s="507" t="n">
        <f aca="false">IF(OR($R398="Dark",$S398="Dark"),4,SUM(IF(OR($R398="Fighting",$R398="Poison"),0-1,IF(OR($R398="Psychic",$R398="Steel"),1,0)),IF(OR($S398="Fighting",$S398="Poison"),0-1,IF(OR($S398="Psychic",$S398="Steel"),1,0))))</f>
        <v>0</v>
      </c>
      <c r="AR398" s="507" t="n">
        <f aca="false">SUM(IF(OR($R398="Bug",$R398="Fire",$R398="Flying",$R398="Ice"),0-1,IF(OR($R398="Steel",$R398="Fighting",$R398="Ground"),1,0)),IF(OR($S398="Bug",$S398="Fire",$S398="Flying",$S398="Ice"),0-1,IF(OR($S398="Steel",$S398="Fighting",$S398="Ground"),1,0)))</f>
        <v>0</v>
      </c>
      <c r="AS398" s="507" t="n">
        <f aca="false">SUM(IF(OR($R398="Fairy",$R398="Ice",$R398="Rock"),0-1,IF(OR($R398="Steel",$R398="Electric",$R398="Fire",$R398="Water"),1,0)),IF(OR($S398="Fairy",$S398="Ice",$S398="Rock"),0-1,IF(OR($S398="Steel",$S398="Electric",$S398="Fire",$S398="Water"),1,0)))</f>
        <v>1</v>
      </c>
      <c r="AT398" s="508" t="n">
        <f aca="false">SUM(IF(OR($R398="Fire",$R398="Ground",$R398="Rock"),0-1,IF(OR($R398="Dragon",$R398="Grass",$R398="Water"),1,0)),IF(OR($S398="Fire",$S398="Ground",$S398="Rock"),0-1,IF(OR($S398="Dragon",$S398="Grass",$S398="Water"),1,0)))</f>
        <v>1</v>
      </c>
      <c r="AU398" s="518"/>
    </row>
    <row r="399" customFormat="false" ht="15.75" hidden="false" customHeight="false" outlineLevel="0" collapsed="false">
      <c r="A399" s="510" t="str">
        <f aca="false" t="array" ref="A399:A399">IF(ISNA(INDEX(Source!$U$7:$U$95,MATCH(B399,Source!$V$7:$V$95,0))),"FREE",INDEX(Source!$U$7:$U$95,MATCH(B399,Source!$V$7:$V$95,0)))</f>
        <v>KKS</v>
      </c>
      <c r="B399" s="511" t="s">
        <v>111</v>
      </c>
      <c r="C399" s="511"/>
      <c r="D399" s="511"/>
      <c r="E399" s="499" t="n">
        <f aca="false">IF(SUM($W399:$X399)&gt;0,SUM($W399:$X399),IF($H399&gt;0,0,IF($H399&gt;0,0,"-")))</f>
        <v>0</v>
      </c>
      <c r="F399" s="499" t="n">
        <f aca="false">IF(SUM($Y399:$Z399)&gt;0,SUM($Y399:$Z399),IF($H399&gt;0,0,"-"))</f>
        <v>0</v>
      </c>
      <c r="G399" s="499" t="e">
        <f aca="false">IF($H399&gt;0,minus(E399,F399),"-")</f>
        <v>#NAME?</v>
      </c>
      <c r="H399" s="500" t="n">
        <f aca="false">SUM(COUNTIF(MatchSource!$A:$A,$B399),COUNTIF(MatchSource!$H:$H,$B399))</f>
        <v>3</v>
      </c>
      <c r="I399" s="501" t="n">
        <f aca="false">SUM($AA399:$AB399)</f>
        <v>0</v>
      </c>
      <c r="J399" s="501" t="s">
        <v>702</v>
      </c>
      <c r="K399" s="512" t="n">
        <f aca="false" t="array" ref="K399:K399">IF(ISNA(INDEX(DraftRosters!$AA$3:$AA$199,MATCH($B399,DraftRosters!$AB$3:$AB$199,0))),"FA",IF(INDEX(DraftRosters!$AA$3:$AA$199,MATCH($B399,DraftRosters!$AB$3:$AB$199,0))="Franchise","Franch",INDEX(DraftRosters!$AA$3:$AA$199,MATCH($B399,DraftRosters!$AB$3:$AB$199,0))))</f>
        <v>76</v>
      </c>
      <c r="L399" s="499" t="n">
        <v>75</v>
      </c>
      <c r="M399" s="499" t="n">
        <v>100</v>
      </c>
      <c r="N399" s="499" t="n">
        <v>110</v>
      </c>
      <c r="O399" s="499" t="n">
        <v>45</v>
      </c>
      <c r="P399" s="499" t="n">
        <v>55</v>
      </c>
      <c r="Q399" s="501" t="n">
        <v>65</v>
      </c>
      <c r="R399" s="499" t="s">
        <v>907</v>
      </c>
      <c r="S399" s="501"/>
      <c r="T399" s="504" t="s">
        <v>967</v>
      </c>
      <c r="U399" s="505" t="s">
        <v>906</v>
      </c>
      <c r="V399" s="506"/>
      <c r="W399" s="500" t="str">
        <f aca="false">IFERROR(__xludf.dummyfunction("if(isna(SUM(FILTER(MatchSource!$A:$D,MatchSource!$A:$A=$B399))),0,SUM(FILTER(MatchSource!$A:$D,MatchSource!$A:$A=$B399)))"),"0")</f>
        <v>0</v>
      </c>
      <c r="X399" s="499" t="str">
        <f aca="false">IFERROR(__xludf.dummyfunction("if(isna(SUM(FILTER(MatchSource!$H:$K,MatchSource!$H:$H=$B399))),0,SUM(FILTER(MatchSource!$H:$K,MatchSource!$H:$H=$B399)))"),"0")</f>
        <v>0</v>
      </c>
      <c r="Y399" s="499" t="str">
        <f aca="false">IFERROR(__xludf.dummyfunction("if(isna(ABS(MINUS(SUM(FILTER(MatchSource!$A:$E,MatchSource!$A:$A=$B399)),SUM($W399)))),0,ABS(MINUS(SUM(FILTER(MatchSource!$A:$E,MatchSource!$A:$A=$B399)),SUM($W399))))"),"1")</f>
        <v>1</v>
      </c>
      <c r="Z399" s="499" t="str">
        <f aca="false">IFERROR(__xludf.dummyfunction("if(isna(ABS(MINUS(SUM(FILTER(MatchSource!$H:$L,MatchSource!$H:$H=$B399)),SUM($X399)))),0,ABS(MINUS(SUM(FILTER(MatchSource!$H:$L,MatchSource!$H:$H=$B399)),SUM($X399))))"),"1")</f>
        <v>1</v>
      </c>
      <c r="AA399" s="499" t="str">
        <f aca="false">IFERROR(__xludf.dummyfunction("if(isna(ABS(MINUS(SUM(FILTER(MatchSource!$A:$F,MatchSource!$A:$A=$B399)),SUM($W399,$Y399)))),0,ABS(MINUS(SUM(FILTER(MatchSource!$A:$F,MatchSource!$A:$A=$B399)),SUM($W399, $Y399,))))"),"2")</f>
        <v>2</v>
      </c>
      <c r="AB399" s="501" t="str">
        <f aca="false">IFERROR(__xludf.dummyfunction("if(isna(ABS(MINUS(SUM(FILTER(MatchSource!$H:$M,MatchSource!$H:$H=$B399)),SUM($X399,$Z399)))),0,ABS(MINUS(SUM(FILTER(MatchSource!$H:$M,MatchSource!$H:$H=$B399)),SUM($X399,$Z399))))"),"1")</f>
        <v>1</v>
      </c>
      <c r="AC399" s="507" t="n">
        <f aca="false">SUM(IF(OR($R399="Grass",$R399="Psychic",$R399="Dark"),0-1,IF(OR($R399="Fighting",$R399="Flying",$R399="Fire",$R399="Ghost",$R399="Poison",$R399="Steel",$R399="Fairy"),1,0)),IF(OR($S399="Grass",$S399="Psychic",$S399="Dark"),0-1,IF(OR($S399="Fighting",$S399="Flying",$S399="Fire",$S399="Ghost",$S399="Poison",$S399="Steel",$S399="Fairy"),1,0)))</f>
        <v>0</v>
      </c>
      <c r="AD399" s="507" t="n">
        <f aca="false">SUM(IF(OR($R399="Ghost",$R399="Psychic"),0-1,IF(OR($R399="Fighting",$R399="Dark",$R399="Fairy"),1,0)),IF(OR($S399="Ghost",$S399="Psychic"),0-1,IF(OR($S399="Fighting",$S399="Dark",$S399="Fairy"),1,0)))</f>
        <v>0</v>
      </c>
      <c r="AE399" s="507" t="n">
        <f aca="false">IF(OR($R399="Fairy",$S399="Fairy"),4,SUM(IF($R399="Dragon",0-1,IF($R399="Steel",1,0)),IF($S399="Dragon",0-1,IF($S399="Steel",1,0))))</f>
        <v>0</v>
      </c>
      <c r="AF399" s="507" t="n">
        <f aca="false">IF(OR($R399="Ground",$S399="Ground"),4,SUM(IF(OR($R399="Flying",$R399="Water"),0-1,IF(OR($R399="Dragon",$R399="Electric",$R399="Grass"),1,0)),IF(OR($S399="Flying",$S399="Water"),0-1,IF(OR($S399="Dragon",$S399="Electric",$S399="Grass"),1,0))))</f>
        <v>4</v>
      </c>
      <c r="AG399" s="507" t="n">
        <f aca="false">SUM(IF(OR($R399="Dark",$R399="Dragon",$R399="Fighting"),0-1,IF(OR($R399="Steel",$R399="Poison",$R399="Fire"),1,0)),IF(OR($S399="Dark",$S399="Dragon",$S399="Fighting"),0-1,IF(OR($S399="Steel",$S399="Poison",$S399="Fire"),1,0)))</f>
        <v>0</v>
      </c>
      <c r="AH399" s="507" t="n">
        <f aca="false">IF(OR($R399="Ghost",$S399="Ghost"),4,SUM(IF(OR($R399="Dark",$R399="Ice",$R399="Normal",$R399="Rock",$R399="Steel"),0-1,IF(OR($R399="Bug",$R399="Fairy",$R399="Flying",$R399="Poison",$R399="Psychic"),1,0)),IF(OR($S399="Dark",$S399="Ice",$S399="Normal",$S399="Rock",$S399="Steel"),0-1,IF(OR($S399="Bug",$S399="Fairy",$S399="Flying",$S399="Poison",$S399="Psychic"),1,0))))</f>
        <v>0</v>
      </c>
      <c r="AI399" s="507" t="n">
        <f aca="false">SUM(IF(OR($R399="Bug",$R399="Grass",$R399="Ice",$R399="Steel"),0-1,IF(OR($R399="Dragon",$R399="Fire",$R399="Rock",$R399="Water"),1,0)),IF(OR($S399="Bug",$S399="Grass",$S399="Ice",$S399="Steel"),0-1,IF(OR($S399="Dragon",$S399="Fire",$S399="Rock",$S399="Water"),1,0)))</f>
        <v>0</v>
      </c>
      <c r="AJ399" s="507" t="n">
        <f aca="false">SUM(IF(OR($R399="Bug",$R399="Grass",$R399="Fighting"),0-1,IF(OR($R399="Electric",$R399="Rock",$R399="Steel"),1,0)),IF(OR($S399="Bug",$S399="Grass",$S399="Fighting"),0-1,IF(OR($S399="Electric",$S399="Rock",$S399="Steel"),1,0)))</f>
        <v>0</v>
      </c>
      <c r="AK399" s="507" t="n">
        <f aca="false">IF(OR($R399="Normal",$S399="Normal"),4,SUM(IF(OR($R399="Ghost",$R399="Psychic"),0-1,IF($R399="Dark",1,0)),IF(OR($S399="Ghost",$S399="Psychic"),0-1,IF($S399="Dark",1,0))))</f>
        <v>0</v>
      </c>
      <c r="AL399" s="507" t="n">
        <f aca="false">SUM(IF(OR($R399="Ground",$R399="Rock",$R399="Water"),0-1,IF(OR($R399="Bug",$R399="Flying",$R399="Fire",$R399="Dragon",$R399="Poison",$R399="Steel",$R399="Grass"),1,0)),IF(OR($S399="Ground",$S399="Rock",$S399="Water"),0-1,IF(OR($S399="Bug",$S399="Flying",$S399="Fire",$S399="Dragon",$S399="Poison",$S399="Steel",$S399="Grass"),1,0)))</f>
        <v>-1</v>
      </c>
      <c r="AM399" s="507" t="n">
        <f aca="false">IF(OR($R399="Flying",$S399="Flying"),4,SUM(IF(OR($R399="Electric",$R399="Fire",$R399="Rock",$R399="Steel",$R399="Poison"),0-1,IF(OR($R399="Bug",$R399="Grass"),1,0)),IF(OR($S399="Electric",$S399="Fire",$S399="Rock",$S399="Steel",$S399="Poison"),0-1,IF(OR($S399="Bug",$S399="Grass"),1,0))))</f>
        <v>0</v>
      </c>
      <c r="AN399" s="507" t="n">
        <f aca="false">SUM(IF(OR($R399="Flying",$R399="Dragon",$R399="Grass",$R399="Ground"),0-1,IF(OR($R399="Steel",$R399="Ice",$R399="Fire",$R399="Water"),1,0)),IF(OR($S399="Flying",$S399="Dragon",$S399="Grass",$S399="Ground"),0-1,IF(OR($S399="Steel",$S399="Ice",$S399="Fire",$S399="Water"),1,0)))</f>
        <v>-1</v>
      </c>
      <c r="AO399" s="507" t="n">
        <f aca="false">IF(OR($R399="Ghost",$S399="Ghost"),4,SUM(IF(OR($R399="Steel",$R399="Rock"),1,0),IF(OR($S399="Steel",$S399="Rock"),1,0)))</f>
        <v>0</v>
      </c>
      <c r="AP399" s="507" t="n">
        <f aca="false">IF(OR($R399="Steel",$S399="Steel"),4,SUM(IF(OR($R399="Fairy",$R399="Grass"),0-1,IF(OR($R399="Ghost",$R399="Rock",$R399="Ground",$R399="Poison"),1,0)),IF(OR($S399="Fairy",$S399="Grass"),0-1,IF(OR($S399="Ghost",$S399="Rock",$S399="Ground",$S399="Poison"),1,0))))</f>
        <v>1</v>
      </c>
      <c r="AQ399" s="507" t="n">
        <f aca="false">IF(OR($R399="Dark",$S399="Dark"),4,SUM(IF(OR($R399="Fighting",$R399="Poison"),0-1,IF(OR($R399="Psychic",$R399="Steel"),1,0)),IF(OR($S399="Fighting",$S399="Poison"),0-1,IF(OR($S399="Psychic",$S399="Steel"),1,0))))</f>
        <v>0</v>
      </c>
      <c r="AR399" s="507" t="n">
        <f aca="false">SUM(IF(OR($R399="Bug",$R399="Fire",$R399="Flying",$R399="Ice"),0-1,IF(OR($R399="Steel",$R399="Fighting",$R399="Ground"),1,0)),IF(OR($S399="Bug",$S399="Fire",$S399="Flying",$S399="Ice"),0-1,IF(OR($S399="Steel",$S399="Fighting",$S399="Ground"),1,0)))</f>
        <v>1</v>
      </c>
      <c r="AS399" s="507" t="n">
        <f aca="false">SUM(IF(OR($R399="Fairy",$R399="Ice",$R399="Rock"),0-1,IF(OR($R399="Steel",$R399="Electric",$R399="Fire",$R399="Water"),1,0)),IF(OR($S399="Fairy",$S399="Ice",$S399="Rock"),0-1,IF(OR($S399="Steel",$S399="Electric",$S399="Fire",$S399="Water"),1,0)))</f>
        <v>0</v>
      </c>
      <c r="AT399" s="508" t="n">
        <f aca="false">SUM(IF(OR($R399="Fire",$R399="Ground",$R399="Rock"),0-1,IF(OR($R399="Dragon",$R399="Grass",$R399="Water"),1,0)),IF(OR($S399="Fire",$S399="Ground",$S399="Rock"),0-1,IF(OR($S399="Dragon",$S399="Grass",$S399="Water"),1,0)))</f>
        <v>-1</v>
      </c>
      <c r="AU399" s="518"/>
    </row>
    <row r="400" customFormat="false" ht="15.75" hidden="false" customHeight="false" outlineLevel="0" collapsed="false">
      <c r="A400" s="536" t="str">
        <f aca="false" t="array" ref="A400:A400">IF(ISNA(INDEX(Source!$U$7:$U$95,MATCH(B400,Source!$V$7:$V$95,0))),"FREE",INDEX(Source!$U$7:$U$95,MATCH(B400,Source!$V$7:$V$95,0)))</f>
        <v>FREE</v>
      </c>
      <c r="B400" s="511" t="s">
        <v>753</v>
      </c>
      <c r="C400" s="511"/>
      <c r="D400" s="511"/>
      <c r="E400" s="499" t="str">
        <f aca="false">IF(SUM($W400:$X400)&gt;0,SUM($W400:$X400),IF($H400&gt;0,0,IF($H400&gt;0,0,"-")))</f>
        <v>-</v>
      </c>
      <c r="F400" s="499" t="str">
        <f aca="false">IF(SUM($Y400:$Z400)&gt;0,SUM($Y400:$Z400),IF($H400&gt;0,0,"-"))</f>
        <v>-</v>
      </c>
      <c r="G400" s="499" t="str">
        <f aca="false">IF($H400&gt;0,minus(E400,F400),"-")</f>
        <v>-</v>
      </c>
      <c r="H400" s="500" t="n">
        <f aca="false">SUM(COUNTIF(MatchSource!$A:$A,$B400),COUNTIF(MatchSource!$H:$H,$B400))</f>
        <v>0</v>
      </c>
      <c r="I400" s="501" t="n">
        <f aca="false">SUM($AA400:$AB400)</f>
        <v>0</v>
      </c>
      <c r="J400" s="501" t="s">
        <v>701</v>
      </c>
      <c r="K400" s="512" t="str">
        <f aca="false" t="array" ref="K400:K400">IF(ISNA(INDEX(DraftRosters!$AA$3:$AA$199,MATCH($B400,DraftRosters!$AB$3:$AB$199,0))),"FA",IF(INDEX(DraftRosters!$AA$3:$AA$199,MATCH($B400,DraftRosters!$AB$3:$AB$199,0))="Franchise","Franch",INDEX(DraftRosters!$AA$3:$AA$199,MATCH($B400,DraftRosters!$AB$3:$AB$199,0))))</f>
        <v>FA</v>
      </c>
      <c r="L400" s="499" t="n">
        <v>75</v>
      </c>
      <c r="M400" s="499" t="n">
        <v>100</v>
      </c>
      <c r="N400" s="499" t="n">
        <v>120</v>
      </c>
      <c r="O400" s="499" t="n">
        <v>25</v>
      </c>
      <c r="P400" s="499" t="n">
        <v>65</v>
      </c>
      <c r="Q400" s="501" t="n">
        <v>65</v>
      </c>
      <c r="R400" s="499" t="s">
        <v>805</v>
      </c>
      <c r="S400" s="501" t="s">
        <v>810</v>
      </c>
      <c r="T400" s="520" t="s">
        <v>876</v>
      </c>
      <c r="U400" s="513" t="s">
        <v>861</v>
      </c>
      <c r="V400" s="514"/>
      <c r="W400" s="500" t="str">
        <f aca="false">IFERROR(__xludf.dummyfunction("if(isna(SUM(FILTER(MatchSource!$A:$D,MatchSource!$A:$A=$B400))),0,SUM(FILTER(MatchSource!$A:$D,MatchSource!$A:$A=$B400)))"),"0")</f>
        <v>0</v>
      </c>
      <c r="X400" s="499" t="str">
        <f aca="false">IFERROR(__xludf.dummyfunction("if(isna(SUM(FILTER(MatchSource!$H:$K,MatchSource!$H:$H=$B400))),0,SUM(FILTER(MatchSource!$H:$K,MatchSource!$H:$H=$B400)))"),"0")</f>
        <v>0</v>
      </c>
      <c r="Y400" s="499" t="str">
        <f aca="false">IFERROR(__xludf.dummyfunction("if(isna(ABS(MINUS(SUM(FILTER(MatchSource!$A:$E,MatchSource!$A:$A=$B400)),SUM($W400)))),0,ABS(MINUS(SUM(FILTER(MatchSource!$A:$E,MatchSource!$A:$A=$B400)),SUM($W400))))"),"0")</f>
        <v>0</v>
      </c>
      <c r="Z400" s="499" t="str">
        <f aca="false">IFERROR(__xludf.dummyfunction("if(isna(ABS(MINUS(SUM(FILTER(MatchSource!$H:$L,MatchSource!$H:$H=$B400)),SUM($X400)))),0,ABS(MINUS(SUM(FILTER(MatchSource!$H:$L,MatchSource!$H:$H=$B400)),SUM($X400))))"),"0")</f>
        <v>0</v>
      </c>
      <c r="AA400" s="499" t="str">
        <f aca="false">IFERROR(__xludf.dummyfunction("if(isna(ABS(MINUS(SUM(FILTER(MatchSource!$A:$F,MatchSource!$A:$A=$B400)),SUM($W400,$Y400)))),0,ABS(MINUS(SUM(FILTER(MatchSource!$A:$F,MatchSource!$A:$A=$B400)),SUM($W400, $Y400,))))"),"0")</f>
        <v>0</v>
      </c>
      <c r="AB400" s="501" t="str">
        <f aca="false">IFERROR(__xludf.dummyfunction("if(isna(ABS(MINUS(SUM(FILTER(MatchSource!$H:$M,MatchSource!$H:$H=$B400)),SUM($X400,$Z400)))),0,ABS(MINUS(SUM(FILTER(MatchSource!$H:$M,MatchSource!$H:$H=$B400)),SUM($X400,$Z400))))"),"0")</f>
        <v>0</v>
      </c>
      <c r="AC400" s="507" t="n">
        <f aca="false">SUM(IF(OR($R400="Grass",$R400="Psychic",$R400="Dark"),0-1,IF(OR($R400="Fighting",$R400="Flying",$R400="Fire",$R400="Ghost",$R400="Poison",$R400="Steel",$R400="Fairy"),1,0)),IF(OR($S400="Grass",$S400="Psychic",$S400="Dark"),0-1,IF(OR($S400="Fighting",$S400="Flying",$S400="Fire",$S400="Ghost",$S400="Poison",$S400="Steel",$S400="Fairy"),1,0)))</f>
        <v>1</v>
      </c>
      <c r="AD400" s="507" t="n">
        <f aca="false">SUM(IF(OR($R400="Ghost",$R400="Psychic"),0-1,IF(OR($R400="Fighting",$R400="Dark",$R400="Fairy"),1,0)),IF(OR($S400="Ghost",$S400="Psychic"),0-1,IF(OR($S400="Fighting",$S400="Dark",$S400="Fairy"),1,0)))</f>
        <v>0</v>
      </c>
      <c r="AE400" s="507" t="n">
        <f aca="false">IF(OR($R400="Fairy",$S400="Fairy"),4,SUM(IF($R400="Dragon",0-1,IF($R400="Steel",1,0)),IF($S400="Dragon",0-1,IF($S400="Steel",1,0))))</f>
        <v>1</v>
      </c>
      <c r="AF400" s="507" t="n">
        <f aca="false">IF(OR($R400="Ground",$S400="Ground"),4,SUM(IF(OR($R400="Flying",$R400="Water"),0-1,IF(OR($R400="Dragon",$R400="Electric",$R400="Grass"),1,0)),IF(OR($S400="Flying",$S400="Water"),0-1,IF(OR($S400="Dragon",$S400="Electric",$S400="Grass"),1,0))))</f>
        <v>0</v>
      </c>
      <c r="AG400" s="507" t="n">
        <f aca="false">SUM(IF(OR($R400="Dark",$R400="Dragon",$R400="Fighting"),0-1,IF(OR($R400="Steel",$R400="Poison",$R400="Fire"),1,0)),IF(OR($S400="Dark",$S400="Dragon",$S400="Fighting"),0-1,IF(OR($S400="Steel",$S400="Poison",$S400="Fire"),1,0)))</f>
        <v>1</v>
      </c>
      <c r="AH400" s="507" t="n">
        <f aca="false">IF(OR($R400="Ghost",$S400="Ghost"),4,SUM(IF(OR($R400="Dark",$R400="Ice",$R400="Normal",$R400="Rock",$R400="Steel"),0-1,IF(OR($R400="Bug",$R400="Fairy",$R400="Flying",$R400="Poison",$R400="Psychic"),1,0)),IF(OR($S400="Dark",$S400="Ice",$S400="Normal",$S400="Rock",$S400="Steel"),0-1,IF(OR($S400="Bug",$S400="Fairy",$S400="Flying",$S400="Poison",$S400="Psychic"),1,0))))</f>
        <v>-2</v>
      </c>
      <c r="AI400" s="507" t="n">
        <f aca="false">SUM(IF(OR($R400="Bug",$R400="Grass",$R400="Ice",$R400="Steel"),0-1,IF(OR($R400="Dragon",$R400="Fire",$R400="Rock",$R400="Water"),1,0)),IF(OR($S400="Bug",$S400="Grass",$S400="Ice",$S400="Steel"),0-1,IF(OR($S400="Dragon",$S400="Fire",$S400="Rock",$S400="Water"),1,0)))</f>
        <v>-2</v>
      </c>
      <c r="AJ400" s="507" t="n">
        <f aca="false">SUM(IF(OR($R400="Bug",$R400="Grass",$R400="Fighting"),0-1,IF(OR($R400="Electric",$R400="Rock",$R400="Steel"),1,0)),IF(OR($S400="Bug",$S400="Grass",$S400="Fighting"),0-1,IF(OR($S400="Electric",$S400="Rock",$S400="Steel"),1,0)))</f>
        <v>1</v>
      </c>
      <c r="AK400" s="507" t="n">
        <f aca="false">IF(OR($R400="Normal",$S400="Normal"),4,SUM(IF(OR($R400="Ghost",$R400="Psychic"),0-1,IF($R400="Dark",1,0)),IF(OR($S400="Ghost",$S400="Psychic"),0-1,IF($S400="Dark",1,0))))</f>
        <v>0</v>
      </c>
      <c r="AL400" s="507" t="n">
        <f aca="false">SUM(IF(OR($R400="Ground",$R400="Rock",$R400="Water"),0-1,IF(OR($R400="Bug",$R400="Flying",$R400="Fire",$R400="Dragon",$R400="Poison",$R400="Steel",$R400="Grass"),1,0)),IF(OR($S400="Ground",$S400="Rock",$S400="Water"),0-1,IF(OR($S400="Bug",$S400="Flying",$S400="Fire",$S400="Dragon",$S400="Poison",$S400="Steel",$S400="Grass"),1,0)))</f>
        <v>1</v>
      </c>
      <c r="AM400" s="507" t="n">
        <f aca="false">IF(OR($R400="Flying",$S400="Flying"),4,SUM(IF(OR($R400="Electric",$R400="Fire",$R400="Rock",$R400="Steel",$R400="Poison"),0-1,IF(OR($R400="Bug",$R400="Grass"),1,0)),IF(OR($S400="Electric",$S400="Fire",$S400="Rock",$S400="Steel",$S400="Poison"),0-1,IF(OR($S400="Bug",$S400="Grass"),1,0))))</f>
        <v>-1</v>
      </c>
      <c r="AN400" s="507" t="n">
        <f aca="false">SUM(IF(OR($R400="Flying",$R400="Dragon",$R400="Grass",$R400="Ground"),0-1,IF(OR($R400="Steel",$R400="Ice",$R400="Fire",$R400="Water"),1,0)),IF(OR($S400="Flying",$S400="Dragon",$S400="Grass",$S400="Ground"),0-1,IF(OR($S400="Steel",$S400="Ice",$S400="Fire",$S400="Water"),1,0)))</f>
        <v>2</v>
      </c>
      <c r="AO400" s="507" t="n">
        <f aca="false">IF(OR($R400="Ghost",$S400="Ghost"),4,SUM(IF(OR($R400="Steel",$R400="Rock"),1,0),IF(OR($S400="Steel",$S400="Rock"),1,0)))</f>
        <v>1</v>
      </c>
      <c r="AP400" s="507" t="n">
        <f aca="false">IF(OR($R400="Steel",$S400="Steel"),4,SUM(IF(OR($R400="Fairy",$R400="Grass"),0-1,IF(OR($R400="Ghost",$R400="Rock",$R400="Ground",$R400="Poison"),1,0)),IF(OR($S400="Fairy",$S400="Grass"),0-1,IF(OR($S400="Ghost",$S400="Rock",$S400="Ground",$S400="Poison"),1,0))))</f>
        <v>4</v>
      </c>
      <c r="AQ400" s="507" t="n">
        <f aca="false">IF(OR($R400="Dark",$S400="Dark"),4,SUM(IF(OR($R400="Fighting",$R400="Poison"),0-1,IF(OR($R400="Psychic",$R400="Steel"),1,0)),IF(OR($S400="Fighting",$S400="Poison"),0-1,IF(OR($S400="Psychic",$S400="Steel"),1,0))))</f>
        <v>1</v>
      </c>
      <c r="AR400" s="507" t="n">
        <f aca="false">SUM(IF(OR($R400="Bug",$R400="Fire",$R400="Flying",$R400="Ice"),0-1,IF(OR($R400="Steel",$R400="Fighting",$R400="Ground"),1,0)),IF(OR($S400="Bug",$S400="Fire",$S400="Flying",$S400="Ice"),0-1,IF(OR($S400="Steel",$S400="Fighting",$S400="Ground"),1,0)))</f>
        <v>0</v>
      </c>
      <c r="AS400" s="507" t="n">
        <f aca="false">SUM(IF(OR($R400="Fairy",$R400="Ice",$R400="Rock"),0-1,IF(OR($R400="Steel",$R400="Electric",$R400="Fire",$R400="Water"),1,0)),IF(OR($S400="Fairy",$S400="Ice",$S400="Rock"),0-1,IF(OR($S400="Steel",$S400="Electric",$S400="Fire",$S400="Water"),1,0)))</f>
        <v>0</v>
      </c>
      <c r="AT400" s="508" t="n">
        <f aca="false">SUM(IF(OR($R400="Fire",$R400="Ground",$R400="Rock"),0-1,IF(OR($R400="Dragon",$R400="Grass",$R400="Water"),1,0)),IF(OR($S400="Fire",$S400="Ground",$S400="Rock"),0-1,IF(OR($S400="Dragon",$S400="Grass",$S400="Water"),1,0)))</f>
        <v>0</v>
      </c>
      <c r="AU400" s="518"/>
    </row>
    <row r="401" customFormat="false" ht="15.75" hidden="false" customHeight="false" outlineLevel="0" collapsed="false">
      <c r="A401" s="510" t="str">
        <f aca="false" t="array" ref="A401:A401">IF(ISNA(INDEX(Source!$U$7:$U$95,MATCH(B401,Source!$V$7:$V$95,0))),"FREE",INDEX(Source!$U$7:$U$95,MATCH(B401,Source!$V$7:$V$95,0)))</f>
        <v>FREE</v>
      </c>
      <c r="B401" s="511" t="s">
        <v>550</v>
      </c>
      <c r="C401" s="511"/>
      <c r="D401" s="511"/>
      <c r="E401" s="499" t="str">
        <f aca="false">IF(SUM($W401:$X401)&gt;0,SUM($W401:$X401),IF($H401&gt;0,0,IF($H401&gt;0,0,"-")))</f>
        <v>-</v>
      </c>
      <c r="F401" s="499" t="str">
        <f aca="false">IF(SUM($Y401:$Z401)&gt;0,SUM($Y401:$Z401),IF($H401&gt;0,0,"-"))</f>
        <v>-</v>
      </c>
      <c r="G401" s="499" t="str">
        <f aca="false">IF($H401&gt;0,minus(E401,F401),"-")</f>
        <v>-</v>
      </c>
      <c r="H401" s="500" t="n">
        <f aca="false">SUM(COUNTIF(MatchSource!$A:$A,$B401),COUNTIF(MatchSource!$H:$H,$B401))</f>
        <v>0</v>
      </c>
      <c r="I401" s="501" t="n">
        <f aca="false">SUM($AA401:$AB401)</f>
        <v>0</v>
      </c>
      <c r="J401" s="501" t="s">
        <v>702</v>
      </c>
      <c r="K401" s="512" t="str">
        <f aca="false" t="array" ref="K401:K401">IF(ISNA(INDEX(DraftRosters!$AA$3:$AA$199,MATCH($B401,DraftRosters!$AB$3:$AB$199,0))),"FA",IF(INDEX(DraftRosters!$AA$3:$AA$199,MATCH($B401,DraftRosters!$AB$3:$AB$199,0))="Franchise","Franch",INDEX(DraftRosters!$AA$3:$AA$199,MATCH($B401,DraftRosters!$AB$3:$AB$199,0))))</f>
        <v>FA</v>
      </c>
      <c r="L401" s="499" t="n">
        <v>75</v>
      </c>
      <c r="M401" s="499" t="n">
        <v>125</v>
      </c>
      <c r="N401" s="499" t="n">
        <v>75</v>
      </c>
      <c r="O401" s="499" t="n">
        <v>30</v>
      </c>
      <c r="P401" s="499" t="n">
        <v>75</v>
      </c>
      <c r="Q401" s="501" t="n">
        <v>85</v>
      </c>
      <c r="R401" s="499" t="s">
        <v>881</v>
      </c>
      <c r="S401" s="501"/>
      <c r="T401" s="504" t="s">
        <v>829</v>
      </c>
      <c r="U401" s="505" t="s">
        <v>848</v>
      </c>
      <c r="V401" s="506" t="s">
        <v>826</v>
      </c>
      <c r="W401" s="500" t="str">
        <f aca="false">IFERROR(__xludf.dummyfunction("if(isna(SUM(FILTER(MatchSource!$A:$D,MatchSource!$A:$A=$B401))),0,SUM(FILTER(MatchSource!$A:$D,MatchSource!$A:$A=$B401)))"),"0")</f>
        <v>0</v>
      </c>
      <c r="X401" s="499" t="str">
        <f aca="false">IFERROR(__xludf.dummyfunction("if(isna(SUM(FILTER(MatchSource!$H:$K,MatchSource!$H:$H=$B401))),0,SUM(FILTER(MatchSource!$H:$K,MatchSource!$H:$H=$B401)))"),"0")</f>
        <v>0</v>
      </c>
      <c r="Y401" s="499" t="str">
        <f aca="false">IFERROR(__xludf.dummyfunction("if(isna(ABS(MINUS(SUM(FILTER(MatchSource!$A:$E,MatchSource!$A:$A=$B401)),SUM($W401)))),0,ABS(MINUS(SUM(FILTER(MatchSource!$A:$E,MatchSource!$A:$A=$B401)),SUM($W401))))"),"0")</f>
        <v>0</v>
      </c>
      <c r="Z401" s="499" t="str">
        <f aca="false">IFERROR(__xludf.dummyfunction("if(isna(ABS(MINUS(SUM(FILTER(MatchSource!$H:$L,MatchSource!$H:$H=$B401)),SUM($X401)))),0,ABS(MINUS(SUM(FILTER(MatchSource!$H:$L,MatchSource!$H:$H=$B401)),SUM($X401))))"),"0")</f>
        <v>0</v>
      </c>
      <c r="AA401" s="499" t="str">
        <f aca="false">IFERROR(__xludf.dummyfunction("if(isna(ABS(MINUS(SUM(FILTER(MatchSource!$A:$F,MatchSource!$A:$A=$B401)),SUM($W401,$Y401)))),0,ABS(MINUS(SUM(FILTER(MatchSource!$A:$F,MatchSource!$A:$A=$B401)),SUM($W401, $Y401,))))"),"0")</f>
        <v>0</v>
      </c>
      <c r="AB401" s="501" t="str">
        <f aca="false">IFERROR(__xludf.dummyfunction("if(isna(ABS(MINUS(SUM(FILTER(MatchSource!$H:$M,MatchSource!$H:$H=$B401)),SUM($X401,$Z401)))),0,ABS(MINUS(SUM(FILTER(MatchSource!$H:$M,MatchSource!$H:$H=$B401)),SUM($X401,$Z401))))"),"0")</f>
        <v>0</v>
      </c>
      <c r="AC401" s="507" t="n">
        <f aca="false">SUM(IF(OR($R401="Grass",$R401="Psychic",$R401="Dark"),0-1,IF(OR($R401="Fighting",$R401="Flying",$R401="Fire",$R401="Ghost",$R401="Poison",$R401="Steel",$R401="Fairy"),1,0)),IF(OR($S401="Grass",$S401="Psychic",$S401="Dark"),0-1,IF(OR($S401="Fighting",$S401="Flying",$S401="Fire",$S401="Ghost",$S401="Poison",$S401="Steel",$S401="Fairy"),1,0)))</f>
        <v>1</v>
      </c>
      <c r="AD401" s="507" t="n">
        <f aca="false">SUM(IF(OR($R401="Ghost",$R401="Psychic"),0-1,IF(OR($R401="Fighting",$R401="Dark",$R401="Fairy"),1,0)),IF(OR($S401="Ghost",$S401="Psychic"),0-1,IF(OR($S401="Fighting",$S401="Dark",$S401="Fairy"),1,0)))</f>
        <v>1</v>
      </c>
      <c r="AE401" s="507" t="n">
        <f aca="false">IF(OR($R401="Fairy",$S401="Fairy"),4,SUM(IF($R401="Dragon",0-1,IF($R401="Steel",1,0)),IF($S401="Dragon",0-1,IF($S401="Steel",1,0))))</f>
        <v>0</v>
      </c>
      <c r="AF401" s="507" t="n">
        <f aca="false">IF(OR($R401="Ground",$S401="Ground"),4,SUM(IF(OR($R401="Flying",$R401="Water"),0-1,IF(OR($R401="Dragon",$R401="Electric",$R401="Grass"),1,0)),IF(OR($S401="Flying",$S401="Water"),0-1,IF(OR($S401="Dragon",$S401="Electric",$S401="Grass"),1,0))))</f>
        <v>0</v>
      </c>
      <c r="AG401" s="507" t="n">
        <f aca="false">SUM(IF(OR($R401="Dark",$R401="Dragon",$R401="Fighting"),0-1,IF(OR($R401="Steel",$R401="Poison",$R401="Fire"),1,0)),IF(OR($S401="Dark",$S401="Dragon",$S401="Fighting"),0-1,IF(OR($S401="Steel",$S401="Poison",$S401="Fire"),1,0)))</f>
        <v>-1</v>
      </c>
      <c r="AH401" s="507" t="n">
        <f aca="false">IF(OR($R401="Ghost",$S401="Ghost"),4,SUM(IF(OR($R401="Dark",$R401="Ice",$R401="Normal",$R401="Rock",$R401="Steel"),0-1,IF(OR($R401="Bug",$R401="Fairy",$R401="Flying",$R401="Poison",$R401="Psychic"),1,0)),IF(OR($S401="Dark",$S401="Ice",$S401="Normal",$S401="Rock",$S401="Steel"),0-1,IF(OR($S401="Bug",$S401="Fairy",$S401="Flying",$S401="Poison",$S401="Psychic"),1,0))))</f>
        <v>0</v>
      </c>
      <c r="AI401" s="507" t="n">
        <f aca="false">SUM(IF(OR($R401="Bug",$R401="Grass",$R401="Ice",$R401="Steel"),0-1,IF(OR($R401="Dragon",$R401="Fire",$R401="Rock",$R401="Water"),1,0)),IF(OR($S401="Bug",$S401="Grass",$S401="Ice",$S401="Steel"),0-1,IF(OR($S401="Dragon",$S401="Fire",$S401="Rock",$S401="Water"),1,0)))</f>
        <v>0</v>
      </c>
      <c r="AJ401" s="507" t="n">
        <f aca="false">SUM(IF(OR($R401="Bug",$R401="Grass",$R401="Fighting"),0-1,IF(OR($R401="Electric",$R401="Rock",$R401="Steel"),1,0)),IF(OR($S401="Bug",$S401="Grass",$S401="Fighting"),0-1,IF(OR($S401="Electric",$S401="Rock",$S401="Steel"),1,0)))</f>
        <v>-1</v>
      </c>
      <c r="AK401" s="507" t="n">
        <f aca="false">IF(OR($R401="Normal",$S401="Normal"),4,SUM(IF(OR($R401="Ghost",$R401="Psychic"),0-1,IF($R401="Dark",1,0)),IF(OR($S401="Ghost",$S401="Psychic"),0-1,IF($S401="Dark",1,0))))</f>
        <v>0</v>
      </c>
      <c r="AL401" s="507" t="n">
        <f aca="false">SUM(IF(OR($R401="Ground",$R401="Rock",$R401="Water"),0-1,IF(OR($R401="Bug",$R401="Flying",$R401="Fire",$R401="Dragon",$R401="Poison",$R401="Steel",$R401="Grass"),1,0)),IF(OR($S401="Ground",$S401="Rock",$S401="Water"),0-1,IF(OR($S401="Bug",$S401="Flying",$S401="Fire",$S401="Dragon",$S401="Poison",$S401="Steel",$S401="Grass"),1,0)))</f>
        <v>0</v>
      </c>
      <c r="AM401" s="507" t="n">
        <f aca="false">IF(OR($R401="Flying",$S401="Flying"),4,SUM(IF(OR($R401="Electric",$R401="Fire",$R401="Rock",$R401="Steel",$R401="Poison"),0-1,IF(OR($R401="Bug",$R401="Grass"),1,0)),IF(OR($S401="Electric",$S401="Fire",$S401="Rock",$S401="Steel",$S401="Poison"),0-1,IF(OR($S401="Bug",$S401="Grass"),1,0))))</f>
        <v>0</v>
      </c>
      <c r="AN401" s="507" t="n">
        <f aca="false">SUM(IF(OR($R401="Flying",$R401="Dragon",$R401="Grass",$R401="Ground"),0-1,IF(OR($R401="Steel",$R401="Ice",$R401="Fire",$R401="Water"),1,0)),IF(OR($S401="Flying",$S401="Dragon",$S401="Grass",$S401="Ground"),0-1,IF(OR($S401="Steel",$S401="Ice",$S401="Fire",$S401="Water"),1,0)))</f>
        <v>0</v>
      </c>
      <c r="AO401" s="507" t="n">
        <f aca="false">IF(OR($R401="Ghost",$S401="Ghost"),4,SUM(IF(OR($R401="Steel",$R401="Rock"),1,0),IF(OR($S401="Steel",$S401="Rock"),1,0)))</f>
        <v>0</v>
      </c>
      <c r="AP401" s="507" t="n">
        <f aca="false">IF(OR($R401="Steel",$S401="Steel"),4,SUM(IF(OR($R401="Fairy",$R401="Grass"),0-1,IF(OR($R401="Ghost",$R401="Rock",$R401="Ground",$R401="Poison"),1,0)),IF(OR($S401="Fairy",$S401="Grass"),0-1,IF(OR($S401="Ghost",$S401="Rock",$S401="Ground",$S401="Poison"),1,0))))</f>
        <v>0</v>
      </c>
      <c r="AQ401" s="507" t="n">
        <f aca="false">IF(OR($R401="Dark",$S401="Dark"),4,SUM(IF(OR($R401="Fighting",$R401="Poison"),0-1,IF(OR($R401="Psychic",$R401="Steel"),1,0)),IF(OR($S401="Fighting",$S401="Poison"),0-1,IF(OR($S401="Psychic",$S401="Steel"),1,0))))</f>
        <v>-1</v>
      </c>
      <c r="AR401" s="507" t="n">
        <f aca="false">SUM(IF(OR($R401="Bug",$R401="Fire",$R401="Flying",$R401="Ice"),0-1,IF(OR($R401="Steel",$R401="Fighting",$R401="Ground"),1,0)),IF(OR($S401="Bug",$S401="Fire",$S401="Flying",$S401="Ice"),0-1,IF(OR($S401="Steel",$S401="Fighting",$S401="Ground"),1,0)))</f>
        <v>1</v>
      </c>
      <c r="AS401" s="507" t="n">
        <f aca="false">SUM(IF(OR($R401="Fairy",$R401="Ice",$R401="Rock"),0-1,IF(OR($R401="Steel",$R401="Electric",$R401="Fire",$R401="Water"),1,0)),IF(OR($S401="Fairy",$S401="Ice",$S401="Rock"),0-1,IF(OR($S401="Steel",$S401="Electric",$S401="Fire",$S401="Water"),1,0)))</f>
        <v>0</v>
      </c>
      <c r="AT401" s="508" t="n">
        <f aca="false">SUM(IF(OR($R401="Fire",$R401="Ground",$R401="Rock"),0-1,IF(OR($R401="Dragon",$R401="Grass",$R401="Water"),1,0)),IF(OR($S401="Fire",$S401="Ground",$S401="Rock"),0-1,IF(OR($S401="Dragon",$S401="Grass",$S401="Water"),1,0)))</f>
        <v>0</v>
      </c>
      <c r="AU401" s="518"/>
    </row>
    <row r="402" customFormat="false" ht="15.75" hidden="false" customHeight="false" outlineLevel="0" collapsed="false">
      <c r="A402" s="510" t="str">
        <f aca="false" t="array" ref="A402:A402">IF(ISNA(INDEX(Source!$U$7:$U$95,MATCH(B402,Source!$V$7:$V$95,0))),"FREE",INDEX(Source!$U$7:$U$95,MATCH(B402,Source!$V$7:$V$95,0)))</f>
        <v>FREE</v>
      </c>
      <c r="B402" s="511" t="s">
        <v>554</v>
      </c>
      <c r="C402" s="511"/>
      <c r="D402" s="511"/>
      <c r="E402" s="499" t="str">
        <f aca="false">IF(SUM($W402:$X402)&gt;0,SUM($W402:$X402),IF($H402&gt;0,0,IF($H402&gt;0,0,"-")))</f>
        <v>-</v>
      </c>
      <c r="F402" s="499" t="str">
        <f aca="false">IF(SUM($Y402:$Z402)&gt;0,SUM($Y402:$Z402),IF($H402&gt;0,0,"-"))</f>
        <v>-</v>
      </c>
      <c r="G402" s="499" t="str">
        <f aca="false">IF($H402&gt;0,minus(E402,F402),"-")</f>
        <v>-</v>
      </c>
      <c r="H402" s="500" t="n">
        <f aca="false">SUM(COUNTIF(MatchSource!$A:$A,$B402),COUNTIF(MatchSource!$H:$H,$B402))</f>
        <v>0</v>
      </c>
      <c r="I402" s="501" t="n">
        <f aca="false">SUM($AA402:$AB402)</f>
        <v>0</v>
      </c>
      <c r="J402" s="501" t="s">
        <v>702</v>
      </c>
      <c r="K402" s="512" t="str">
        <f aca="false" t="array" ref="K402:K402">IF(ISNA(INDEX(DraftRosters!$AA$3:$AA$199,MATCH($B402,DraftRosters!$AB$3:$AB$199,0))),"FA",IF(INDEX(DraftRosters!$AA$3:$AA$199,MATCH($B402,DraftRosters!$AB$3:$AB$199,0))="Franchise","Franch",INDEX(DraftRosters!$AA$3:$AA$199,MATCH($B402,DraftRosters!$AB$3:$AB$199,0))))</f>
        <v>FA</v>
      </c>
      <c r="L402" s="499" t="n">
        <v>80</v>
      </c>
      <c r="M402" s="499" t="n">
        <v>100</v>
      </c>
      <c r="N402" s="499" t="n">
        <v>70</v>
      </c>
      <c r="O402" s="499" t="n">
        <v>60</v>
      </c>
      <c r="P402" s="499" t="n">
        <v>70</v>
      </c>
      <c r="Q402" s="501" t="n">
        <v>95</v>
      </c>
      <c r="R402" s="499" t="s">
        <v>803</v>
      </c>
      <c r="S402" s="501" t="s">
        <v>839</v>
      </c>
      <c r="T402" s="504" t="s">
        <v>880</v>
      </c>
      <c r="U402" s="505" t="s">
        <v>895</v>
      </c>
      <c r="V402" s="506" t="s">
        <v>869</v>
      </c>
      <c r="W402" s="500" t="str">
        <f aca="false">IFERROR(__xludf.dummyfunction("if(isna(SUM(FILTER(MatchSource!$A:$D,MatchSource!$A:$A=$B402))),0,SUM(FILTER(MatchSource!$A:$D,MatchSource!$A:$A=$B402)))"),"0")</f>
        <v>0</v>
      </c>
      <c r="X402" s="499" t="str">
        <f aca="false">IFERROR(__xludf.dummyfunction("if(isna(SUM(FILTER(MatchSource!$H:$K,MatchSource!$H:$H=$B402))),0,SUM(FILTER(MatchSource!$H:$K,MatchSource!$H:$H=$B402)))"),"0")</f>
        <v>0</v>
      </c>
      <c r="Y402" s="499" t="str">
        <f aca="false">IFERROR(__xludf.dummyfunction("if(isna(ABS(MINUS(SUM(FILTER(MatchSource!$A:$E,MatchSource!$A:$A=$B402)),SUM($W402)))),0,ABS(MINUS(SUM(FILTER(MatchSource!$A:$E,MatchSource!$A:$A=$B402)),SUM($W402))))"),"0")</f>
        <v>0</v>
      </c>
      <c r="Z402" s="499" t="str">
        <f aca="false">IFERROR(__xludf.dummyfunction("if(isna(ABS(MINUS(SUM(FILTER(MatchSource!$H:$L,MatchSource!$H:$H=$B402)),SUM($X402)))),0,ABS(MINUS(SUM(FILTER(MatchSource!$H:$L,MatchSource!$H:$H=$B402)),SUM($X402))))"),"0")</f>
        <v>0</v>
      </c>
      <c r="AA402" s="499" t="str">
        <f aca="false">IFERROR(__xludf.dummyfunction("if(isna(ABS(MINUS(SUM(FILTER(MatchSource!$A:$F,MatchSource!$A:$A=$B402)),SUM($W402,$Y402)))),0,ABS(MINUS(SUM(FILTER(MatchSource!$A:$F,MatchSource!$A:$A=$B402)),SUM($W402, $Y402,))))"),"0")</f>
        <v>0</v>
      </c>
      <c r="AB402" s="501" t="str">
        <f aca="false">IFERROR(__xludf.dummyfunction("if(isna(ABS(MINUS(SUM(FILTER(MatchSource!$H:$M,MatchSource!$H:$H=$B402)),SUM($X402,$Z402)))),0,ABS(MINUS(SUM(FILTER(MatchSource!$H:$M,MatchSource!$H:$H=$B402)),SUM($X402,$Z402))))"),"0")</f>
        <v>0</v>
      </c>
      <c r="AC402" s="507" t="n">
        <f aca="false">SUM(IF(OR($R402="Grass",$R402="Psychic",$R402="Dark"),0-1,IF(OR($R402="Fighting",$R402="Flying",$R402="Fire",$R402="Ghost",$R402="Poison",$R402="Steel",$R402="Fairy"),1,0)),IF(OR($S402="Grass",$S402="Psychic",$S402="Dark"),0-1,IF(OR($S402="Fighting",$S402="Flying",$S402="Fire",$S402="Ghost",$S402="Poison",$S402="Steel",$S402="Fairy"),1,0)))</f>
        <v>-1</v>
      </c>
      <c r="AD402" s="507" t="n">
        <f aca="false">SUM(IF(OR($R402="Ghost",$R402="Psychic"),0-1,IF(OR($R402="Fighting",$R402="Dark",$R402="Fairy"),1,0)),IF(OR($S402="Ghost",$S402="Psychic"),0-1,IF(OR($S402="Fighting",$S402="Dark",$S402="Fairy"),1,0)))</f>
        <v>0</v>
      </c>
      <c r="AE402" s="507" t="n">
        <f aca="false">IF(OR($R402="Fairy",$S402="Fairy"),4,SUM(IF($R402="Dragon",0-1,IF($R402="Steel",1,0)),IF($S402="Dragon",0-1,IF($S402="Steel",1,0))))</f>
        <v>0</v>
      </c>
      <c r="AF402" s="507" t="n">
        <f aca="false">IF(OR($R402="Ground",$S402="Ground"),4,SUM(IF(OR($R402="Flying",$R402="Water"),0-1,IF(OR($R402="Dragon",$R402="Electric",$R402="Grass"),1,0)),IF(OR($S402="Flying",$S402="Water"),0-1,IF(OR($S402="Dragon",$S402="Electric",$S402="Grass"),1,0))))</f>
        <v>1</v>
      </c>
      <c r="AG402" s="507" t="n">
        <f aca="false">SUM(IF(OR($R402="Dark",$R402="Dragon",$R402="Fighting"),0-1,IF(OR($R402="Steel",$R402="Poison",$R402="Fire"),1,0)),IF(OR($S402="Dark",$S402="Dragon",$S402="Fighting"),0-1,IF(OR($S402="Steel",$S402="Poison",$S402="Fire"),1,0)))</f>
        <v>0</v>
      </c>
      <c r="AH402" s="507" t="n">
        <f aca="false">IF(OR($R402="Ghost",$S402="Ghost"),4,SUM(IF(OR($R402="Dark",$R402="Ice",$R402="Normal",$R402="Rock",$R402="Steel"),0-1,IF(OR($R402="Bug",$R402="Fairy",$R402="Flying",$R402="Poison",$R402="Psychic"),1,0)),IF(OR($S402="Dark",$S402="Ice",$S402="Normal",$S402="Rock",$S402="Steel"),0-1,IF(OR($S402="Bug",$S402="Fairy",$S402="Flying",$S402="Poison",$S402="Psychic"),1,0))))</f>
        <v>-1</v>
      </c>
      <c r="AI402" s="507" t="n">
        <f aca="false">SUM(IF(OR($R402="Bug",$R402="Grass",$R402="Ice",$R402="Steel"),0-1,IF(OR($R402="Dragon",$R402="Fire",$R402="Rock",$R402="Water"),1,0)),IF(OR($S402="Bug",$S402="Grass",$S402="Ice",$S402="Steel"),0-1,IF(OR($S402="Dragon",$S402="Fire",$S402="Rock",$S402="Water"),1,0)))</f>
        <v>-1</v>
      </c>
      <c r="AJ402" s="507" t="n">
        <f aca="false">SUM(IF(OR($R402="Bug",$R402="Grass",$R402="Fighting"),0-1,IF(OR($R402="Electric",$R402="Rock",$R402="Steel"),1,0)),IF(OR($S402="Bug",$S402="Grass",$S402="Fighting"),0-1,IF(OR($S402="Electric",$S402="Rock",$S402="Steel"),1,0)))</f>
        <v>-1</v>
      </c>
      <c r="AK402" s="507" t="n">
        <f aca="false">IF(OR($R402="Normal",$S402="Normal"),4,SUM(IF(OR($R402="Ghost",$R402="Psychic"),0-1,IF($R402="Dark",1,0)),IF(OR($S402="Ghost",$S402="Psychic"),0-1,IF($S402="Dark",1,0))))</f>
        <v>4</v>
      </c>
      <c r="AL402" s="507" t="n">
        <f aca="false">SUM(IF(OR($R402="Ground",$R402="Rock",$R402="Water"),0-1,IF(OR($R402="Bug",$R402="Flying",$R402="Fire",$R402="Dragon",$R402="Poison",$R402="Steel",$R402="Grass"),1,0)),IF(OR($S402="Ground",$S402="Rock",$S402="Water"),0-1,IF(OR($S402="Bug",$S402="Flying",$S402="Fire",$S402="Dragon",$S402="Poison",$S402="Steel",$S402="Grass"),1,0)))</f>
        <v>1</v>
      </c>
      <c r="AM402" s="507" t="n">
        <f aca="false">IF(OR($R402="Flying",$S402="Flying"),4,SUM(IF(OR($R402="Electric",$R402="Fire",$R402="Rock",$R402="Steel",$R402="Poison"),0-1,IF(OR($R402="Bug",$R402="Grass"),1,0)),IF(OR($S402="Electric",$S402="Fire",$S402="Rock",$S402="Steel",$S402="Poison"),0-1,IF(OR($S402="Bug",$S402="Grass"),1,0))))</f>
        <v>1</v>
      </c>
      <c r="AN402" s="507" t="n">
        <f aca="false">SUM(IF(OR($R402="Flying",$R402="Dragon",$R402="Grass",$R402="Ground"),0-1,IF(OR($R402="Steel",$R402="Ice",$R402="Fire",$R402="Water"),1,0)),IF(OR($S402="Flying",$S402="Dragon",$S402="Grass",$S402="Ground"),0-1,IF(OR($S402="Steel",$S402="Ice",$S402="Fire",$S402="Water"),1,0)))</f>
        <v>-1</v>
      </c>
      <c r="AO402" s="507" t="n">
        <f aca="false">IF(OR($R402="Ghost",$S402="Ghost"),4,SUM(IF(OR($R402="Steel",$R402="Rock"),1,0),IF(OR($S402="Steel",$S402="Rock"),1,0)))</f>
        <v>0</v>
      </c>
      <c r="AP402" s="507" t="n">
        <f aca="false">IF(OR($R402="Steel",$S402="Steel"),4,SUM(IF(OR($R402="Fairy",$R402="Grass"),0-1,IF(OR($R402="Ghost",$R402="Rock",$R402="Ground",$R402="Poison"),1,0)),IF(OR($S402="Fairy",$S402="Grass"),0-1,IF(OR($S402="Ghost",$S402="Rock",$S402="Ground",$S402="Poison"),1,0))))</f>
        <v>-1</v>
      </c>
      <c r="AQ402" s="507" t="n">
        <f aca="false">IF(OR($R402="Dark",$S402="Dark"),4,SUM(IF(OR($R402="Fighting",$R402="Poison"),0-1,IF(OR($R402="Psychic",$R402="Steel"),1,0)),IF(OR($S402="Fighting",$S402="Poison"),0-1,IF(OR($S402="Psychic",$S402="Steel"),1,0))))</f>
        <v>0</v>
      </c>
      <c r="AR402" s="507" t="n">
        <f aca="false">SUM(IF(OR($R402="Bug",$R402="Fire",$R402="Flying",$R402="Ice"),0-1,IF(OR($R402="Steel",$R402="Fighting",$R402="Ground"),1,0)),IF(OR($S402="Bug",$S402="Fire",$S402="Flying",$S402="Ice"),0-1,IF(OR($S402="Steel",$S402="Fighting",$S402="Ground"),1,0)))</f>
        <v>0</v>
      </c>
      <c r="AS402" s="507" t="n">
        <f aca="false">SUM(IF(OR($R402="Fairy",$R402="Ice",$R402="Rock"),0-1,IF(OR($R402="Steel",$R402="Electric",$R402="Fire",$R402="Water"),1,0)),IF(OR($S402="Fairy",$S402="Ice",$S402="Rock"),0-1,IF(OR($S402="Steel",$S402="Electric",$S402="Fire",$S402="Water"),1,0)))</f>
        <v>0</v>
      </c>
      <c r="AT402" s="508" t="n">
        <f aca="false">SUM(IF(OR($R402="Fire",$R402="Ground",$R402="Rock"),0-1,IF(OR($R402="Dragon",$R402="Grass",$R402="Water"),1,0)),IF(OR($S402="Fire",$S402="Ground",$S402="Rock"),0-1,IF(OR($S402="Dragon",$S402="Grass",$S402="Water"),1,0)))</f>
        <v>1</v>
      </c>
      <c r="AU402" s="518"/>
    </row>
    <row r="403" customFormat="false" ht="15.75" hidden="false" customHeight="false" outlineLevel="0" collapsed="false">
      <c r="A403" s="515" t="str">
        <f aca="false" t="array" ref="A403:A403">IF(ISNA(INDEX(Source!$U$7:$U$95,MATCH(B403,Source!$V$7:$V$95,0))),"FREE",INDEX(Source!$U$7:$U$95,MATCH(B403,Source!$V$7:$V$95,0)))</f>
        <v>FREE</v>
      </c>
      <c r="B403" s="511" t="s">
        <v>629</v>
      </c>
      <c r="C403" s="511"/>
      <c r="D403" s="511"/>
      <c r="E403" s="499" t="str">
        <f aca="false">IF(SUM($W403:$X403)&gt;0,SUM($W403:$X403),IF($H403&gt;0,0,IF($H403&gt;0,0,"-")))</f>
        <v>-</v>
      </c>
      <c r="F403" s="499" t="str">
        <f aca="false">IF(SUM($Y403:$Z403)&gt;0,SUM($Y403:$Z403),IF($H403&gt;0,0,"-"))</f>
        <v>-</v>
      </c>
      <c r="G403" s="499" t="str">
        <f aca="false">IF($H403&gt;0,minus(E403,F403),"-")</f>
        <v>-</v>
      </c>
      <c r="H403" s="500" t="n">
        <f aca="false">SUM(COUNTIF(MatchSource!$A:$A,$B403),COUNTIF(MatchSource!$H:$H,$B403))</f>
        <v>0</v>
      </c>
      <c r="I403" s="501" t="n">
        <f aca="false">SUM($AA403:$AB403)</f>
        <v>0</v>
      </c>
      <c r="J403" s="501" t="s">
        <v>701</v>
      </c>
      <c r="K403" s="512" t="str">
        <f aca="false" t="array" ref="K403:K403">IF(ISNA(INDEX(DraftRosters!$AA$3:$AA$199,MATCH($B403,DraftRosters!$AB$3:$AB$199,0))),"FA",IF(INDEX(DraftRosters!$AA$3:$AA$199,MATCH($B403,DraftRosters!$AB$3:$AB$199,0))="Franchise","Franch",INDEX(DraftRosters!$AA$3:$AA$199,MATCH($B403,DraftRosters!$AB$3:$AB$199,0))))</f>
        <v>FA</v>
      </c>
      <c r="L403" s="499" t="n">
        <v>70</v>
      </c>
      <c r="M403" s="499" t="n">
        <v>85</v>
      </c>
      <c r="N403" s="499" t="n">
        <v>65</v>
      </c>
      <c r="O403" s="499" t="n">
        <v>105</v>
      </c>
      <c r="P403" s="499" t="n">
        <v>85</v>
      </c>
      <c r="Q403" s="501" t="n">
        <v>120</v>
      </c>
      <c r="R403" s="499" t="s">
        <v>803</v>
      </c>
      <c r="S403" s="501"/>
      <c r="T403" s="504" t="s">
        <v>921</v>
      </c>
      <c r="U403" s="505" t="s">
        <v>821</v>
      </c>
      <c r="V403" s="506"/>
      <c r="W403" s="500" t="str">
        <f aca="false">IFERROR(__xludf.dummyfunction("if(isna(SUM(FILTER(MatchSource!$A:$D,MatchSource!$A:$A=$B403))),0,SUM(FILTER(MatchSource!$A:$D,MatchSource!$A:$A=$B403)))"),"0")</f>
        <v>0</v>
      </c>
      <c r="X403" s="499" t="str">
        <f aca="false">IFERROR(__xludf.dummyfunction("if(isna(SUM(FILTER(MatchSource!$H:$K,MatchSource!$H:$H=$B403))),0,SUM(FILTER(MatchSource!$H:$K,MatchSource!$H:$H=$B403)))"),"0")</f>
        <v>0</v>
      </c>
      <c r="Y403" s="499" t="str">
        <f aca="false">IFERROR(__xludf.dummyfunction("if(isna(ABS(MINUS(SUM(FILTER(MatchSource!$A:$E,MatchSource!$A:$A=$B403)),SUM($W403)))),0,ABS(MINUS(SUM(FILTER(MatchSource!$A:$E,MatchSource!$A:$A=$B403)),SUM($W403))))"),"0")</f>
        <v>0</v>
      </c>
      <c r="Z403" s="499" t="str">
        <f aca="false">IFERROR(__xludf.dummyfunction("if(isna(ABS(MINUS(SUM(FILTER(MatchSource!$H:$L,MatchSource!$H:$H=$B403)),SUM($X403)))),0,ABS(MINUS(SUM(FILTER(MatchSource!$H:$L,MatchSource!$H:$H=$B403)),SUM($X403))))"),"0")</f>
        <v>0</v>
      </c>
      <c r="AA403" s="499" t="str">
        <f aca="false">IFERROR(__xludf.dummyfunction("if(isna(ABS(MINUS(SUM(FILTER(MatchSource!$A:$F,MatchSource!$A:$A=$B403)),SUM($W403,$Y403)))),0,ABS(MINUS(SUM(FILTER(MatchSource!$A:$F,MatchSource!$A:$A=$B403)),SUM($W403, $Y403,))))"),"0")</f>
        <v>0</v>
      </c>
      <c r="AB403" s="501" t="str">
        <f aca="false">IFERROR(__xludf.dummyfunction("if(isna(ABS(MINUS(SUM(FILTER(MatchSource!$H:$M,MatchSource!$H:$H=$B403)),SUM($X403,$Z403)))),0,ABS(MINUS(SUM(FILTER(MatchSource!$H:$M,MatchSource!$H:$H=$B403)),SUM($X403,$Z403))))"),"0")</f>
        <v>0</v>
      </c>
      <c r="AC403" s="507" t="n">
        <f aca="false">SUM(IF(OR($R403="Grass",$R403="Psychic",$R403="Dark"),0-1,IF(OR($R403="Fighting",$R403="Flying",$R403="Fire",$R403="Ghost",$R403="Poison",$R403="Steel",$R403="Fairy"),1,0)),IF(OR($S403="Grass",$S403="Psychic",$S403="Dark"),0-1,IF(OR($S403="Fighting",$S403="Flying",$S403="Fire",$S403="Ghost",$S403="Poison",$S403="Steel",$S403="Fairy"),1,0)))</f>
        <v>-1</v>
      </c>
      <c r="AD403" s="507" t="n">
        <f aca="false">SUM(IF(OR($R403="Ghost",$R403="Psychic"),0-1,IF(OR($R403="Fighting",$R403="Dark",$R403="Fairy"),1,0)),IF(OR($S403="Ghost",$S403="Psychic"),0-1,IF(OR($S403="Fighting",$S403="Dark",$S403="Fairy"),1,0)))</f>
        <v>0</v>
      </c>
      <c r="AE403" s="507" t="n">
        <f aca="false">IF(OR($R403="Fairy",$S403="Fairy"),4,SUM(IF($R403="Dragon",0-1,IF($R403="Steel",1,0)),IF($S403="Dragon",0-1,IF($S403="Steel",1,0))))</f>
        <v>0</v>
      </c>
      <c r="AF403" s="507" t="n">
        <f aca="false">IF(OR($R403="Ground",$S403="Ground"),4,SUM(IF(OR($R403="Flying",$R403="Water"),0-1,IF(OR($R403="Dragon",$R403="Electric",$R403="Grass"),1,0)),IF(OR($S403="Flying",$S403="Water"),0-1,IF(OR($S403="Dragon",$S403="Electric",$S403="Grass"),1,0))))</f>
        <v>1</v>
      </c>
      <c r="AG403" s="507" t="n">
        <f aca="false">SUM(IF(OR($R403="Dark",$R403="Dragon",$R403="Fighting"),0-1,IF(OR($R403="Steel",$R403="Poison",$R403="Fire"),1,0)),IF(OR($S403="Dark",$S403="Dragon",$S403="Fighting"),0-1,IF(OR($S403="Steel",$S403="Poison",$S403="Fire"),1,0)))</f>
        <v>0</v>
      </c>
      <c r="AH403" s="507" t="n">
        <f aca="false">IF(OR($R403="Ghost",$S403="Ghost"),4,SUM(IF(OR($R403="Dark",$R403="Ice",$R403="Normal",$R403="Rock",$R403="Steel"),0-1,IF(OR($R403="Bug",$R403="Fairy",$R403="Flying",$R403="Poison",$R403="Psychic"),1,0)),IF(OR($S403="Dark",$S403="Ice",$S403="Normal",$S403="Rock",$S403="Steel"),0-1,IF(OR($S403="Bug",$S403="Fairy",$S403="Flying",$S403="Poison",$S403="Psychic"),1,0))))</f>
        <v>0</v>
      </c>
      <c r="AI403" s="507" t="n">
        <f aca="false">SUM(IF(OR($R403="Bug",$R403="Grass",$R403="Ice",$R403="Steel"),0-1,IF(OR($R403="Dragon",$R403="Fire",$R403="Rock",$R403="Water"),1,0)),IF(OR($S403="Bug",$S403="Grass",$S403="Ice",$S403="Steel"),0-1,IF(OR($S403="Dragon",$S403="Fire",$S403="Rock",$S403="Water"),1,0)))</f>
        <v>-1</v>
      </c>
      <c r="AJ403" s="507" t="n">
        <f aca="false">SUM(IF(OR($R403="Bug",$R403="Grass",$R403="Fighting"),0-1,IF(OR($R403="Electric",$R403="Rock",$R403="Steel"),1,0)),IF(OR($S403="Bug",$S403="Grass",$S403="Fighting"),0-1,IF(OR($S403="Electric",$S403="Rock",$S403="Steel"),1,0)))</f>
        <v>-1</v>
      </c>
      <c r="AK403" s="507" t="n">
        <f aca="false">IF(OR($R403="Normal",$S403="Normal"),4,SUM(IF(OR($R403="Ghost",$R403="Psychic"),0-1,IF($R403="Dark",1,0)),IF(OR($S403="Ghost",$S403="Psychic"),0-1,IF($S403="Dark",1,0))))</f>
        <v>0</v>
      </c>
      <c r="AL403" s="507" t="n">
        <f aca="false">SUM(IF(OR($R403="Ground",$R403="Rock",$R403="Water"),0-1,IF(OR($R403="Bug",$R403="Flying",$R403="Fire",$R403="Dragon",$R403="Poison",$R403="Steel",$R403="Grass"),1,0)),IF(OR($S403="Ground",$S403="Rock",$S403="Water"),0-1,IF(OR($S403="Bug",$S403="Flying",$S403="Fire",$S403="Dragon",$S403="Poison",$S403="Steel",$S403="Grass"),1,0)))</f>
        <v>1</v>
      </c>
      <c r="AM403" s="507" t="n">
        <f aca="false">IF(OR($R403="Flying",$S403="Flying"),4,SUM(IF(OR($R403="Electric",$R403="Fire",$R403="Rock",$R403="Steel",$R403="Poison"),0-1,IF(OR($R403="Bug",$R403="Grass"),1,0)),IF(OR($S403="Electric",$S403="Fire",$S403="Rock",$S403="Steel",$S403="Poison"),0-1,IF(OR($S403="Bug",$S403="Grass"),1,0))))</f>
        <v>1</v>
      </c>
      <c r="AN403" s="507" t="n">
        <f aca="false">SUM(IF(OR($R403="Flying",$R403="Dragon",$R403="Grass",$R403="Ground"),0-1,IF(OR($R403="Steel",$R403="Ice",$R403="Fire",$R403="Water"),1,0)),IF(OR($S403="Flying",$S403="Dragon",$S403="Grass",$S403="Ground"),0-1,IF(OR($S403="Steel",$S403="Ice",$S403="Fire",$S403="Water"),1,0)))</f>
        <v>-1</v>
      </c>
      <c r="AO403" s="507" t="n">
        <f aca="false">IF(OR($R403="Ghost",$S403="Ghost"),4,SUM(IF(OR($R403="Steel",$R403="Rock"),1,0),IF(OR($S403="Steel",$S403="Rock"),1,0)))</f>
        <v>0</v>
      </c>
      <c r="AP403" s="507" t="n">
        <f aca="false">IF(OR($R403="Steel",$S403="Steel"),4,SUM(IF(OR($R403="Fairy",$R403="Grass"),0-1,IF(OR($R403="Ghost",$R403="Rock",$R403="Ground",$R403="Poison"),1,0)),IF(OR($S403="Fairy",$S403="Grass"),0-1,IF(OR($S403="Ghost",$S403="Rock",$S403="Ground",$S403="Poison"),1,0))))</f>
        <v>-1</v>
      </c>
      <c r="AQ403" s="507" t="n">
        <f aca="false">IF(OR($R403="Dark",$S403="Dark"),4,SUM(IF(OR($R403="Fighting",$R403="Poison"),0-1,IF(OR($R403="Psychic",$R403="Steel"),1,0)),IF(OR($S403="Fighting",$S403="Poison"),0-1,IF(OR($S403="Psychic",$S403="Steel"),1,0))))</f>
        <v>0</v>
      </c>
      <c r="AR403" s="507" t="n">
        <f aca="false">SUM(IF(OR($R403="Bug",$R403="Fire",$R403="Flying",$R403="Ice"),0-1,IF(OR($R403="Steel",$R403="Fighting",$R403="Ground"),1,0)),IF(OR($S403="Bug",$S403="Fire",$S403="Flying",$S403="Ice"),0-1,IF(OR($S403="Steel",$S403="Fighting",$S403="Ground"),1,0)))</f>
        <v>0</v>
      </c>
      <c r="AS403" s="507" t="n">
        <f aca="false">SUM(IF(OR($R403="Fairy",$R403="Ice",$R403="Rock"),0-1,IF(OR($R403="Steel",$R403="Electric",$R403="Fire",$R403="Water"),1,0)),IF(OR($S403="Fairy",$S403="Ice",$S403="Rock"),0-1,IF(OR($S403="Steel",$S403="Electric",$S403="Fire",$S403="Water"),1,0)))</f>
        <v>0</v>
      </c>
      <c r="AT403" s="508" t="n">
        <f aca="false">SUM(IF(OR($R403="Fire",$R403="Ground",$R403="Rock"),0-1,IF(OR($R403="Dragon",$R403="Grass",$R403="Water"),1,0)),IF(OR($S403="Fire",$S403="Ground",$S403="Rock"),0-1,IF(OR($S403="Dragon",$S403="Grass",$S403="Water"),1,0)))</f>
        <v>1</v>
      </c>
      <c r="AU403" s="518"/>
    </row>
    <row r="404" customFormat="false" ht="15.75" hidden="false" customHeight="false" outlineLevel="0" collapsed="false">
      <c r="A404" s="510" t="str">
        <f aca="false" t="array" ref="A404:A404">IF(ISNA(INDEX(Source!$U$7:$U$95,MATCH(B404,Source!$V$7:$V$95,0))),"FREE",INDEX(Source!$U$7:$U$95,MATCH(B404,Source!$V$7:$V$95,0)))</f>
        <v>FREE</v>
      </c>
      <c r="B404" s="511" t="s">
        <v>724</v>
      </c>
      <c r="C404" s="511"/>
      <c r="D404" s="511"/>
      <c r="E404" s="499" t="str">
        <f aca="false">IF(SUM($W404:$X404)&gt;0,SUM($W404:$X404),IF($H404&gt;0,0,IF($H404&gt;0,0,"-")))</f>
        <v>-</v>
      </c>
      <c r="F404" s="499" t="str">
        <f aca="false">IF(SUM($Y404:$Z404)&gt;0,SUM($Y404:$Z404),IF($H404&gt;0,0,"-"))</f>
        <v>-</v>
      </c>
      <c r="G404" s="499" t="str">
        <f aca="false">IF($H404&gt;0,minus(E404,F404),"-")</f>
        <v>-</v>
      </c>
      <c r="H404" s="500" t="n">
        <f aca="false">SUM(COUNTIF(MatchSource!$A:$A,$B404),COUNTIF(MatchSource!$H:$H,$B404))</f>
        <v>0</v>
      </c>
      <c r="I404" s="501" t="n">
        <f aca="false">SUM($AA404:$AB404)</f>
        <v>0</v>
      </c>
      <c r="J404" s="501" t="s">
        <v>279</v>
      </c>
      <c r="K404" s="512" t="str">
        <f aca="false" t="array" ref="K404:K404">IF(ISNA(INDEX(DraftRosters!$AA$3:$AA$199,MATCH($B404,DraftRosters!$AB$3:$AB$199,0))),"FA",IF(INDEX(DraftRosters!$AA$3:$AA$199,MATCH($B404,DraftRosters!$AB$3:$AB$199,0))="Franchise","Franch",INDEX(DraftRosters!$AA$3:$AA$199,MATCH($B404,DraftRosters!$AB$3:$AB$199,0))))</f>
        <v>FA</v>
      </c>
      <c r="L404" s="499" t="n">
        <v>70</v>
      </c>
      <c r="M404" s="499" t="n">
        <v>110</v>
      </c>
      <c r="N404" s="499" t="n">
        <v>75</v>
      </c>
      <c r="O404" s="499" t="n">
        <v>145</v>
      </c>
      <c r="P404" s="499" t="n">
        <v>85</v>
      </c>
      <c r="Q404" s="501" t="n">
        <v>145</v>
      </c>
      <c r="R404" s="499" t="s">
        <v>835</v>
      </c>
      <c r="S404" s="501" t="s">
        <v>803</v>
      </c>
      <c r="T404" s="504" t="s">
        <v>1023</v>
      </c>
      <c r="U404" s="505"/>
      <c r="V404" s="506"/>
      <c r="W404" s="500" t="str">
        <f aca="false">IFERROR(__xludf.dummyfunction("if(isna(SUM(FILTER(MatchSource!$A:$D,MatchSource!$A:$A=$B404))),0,SUM(FILTER(MatchSource!$A:$D,MatchSource!$A:$A=$B404)))"),"0")</f>
        <v>0</v>
      </c>
      <c r="X404" s="499" t="str">
        <f aca="false">IFERROR(__xludf.dummyfunction("if(isna(SUM(FILTER(MatchSource!$H:$K,MatchSource!$H:$H=$B404))),0,SUM(FILTER(MatchSource!$H:$K,MatchSource!$H:$H=$B404)))"),"0")</f>
        <v>0</v>
      </c>
      <c r="Y404" s="499" t="str">
        <f aca="false">IFERROR(__xludf.dummyfunction("if(isna(ABS(MINUS(SUM(FILTER(MatchSource!$A:$E,MatchSource!$A:$A=$B404)),SUM($W404)))),0,ABS(MINUS(SUM(FILTER(MatchSource!$A:$E,MatchSource!$A:$A=$B404)),SUM($W404))))"),"0")</f>
        <v>0</v>
      </c>
      <c r="Z404" s="499" t="str">
        <f aca="false">IFERROR(__xludf.dummyfunction("if(isna(ABS(MINUS(SUM(FILTER(MatchSource!$H:$L,MatchSource!$H:$H=$B404)),SUM($X404)))),0,ABS(MINUS(SUM(FILTER(MatchSource!$H:$L,MatchSource!$H:$H=$B404)),SUM($X404))))"),"0")</f>
        <v>0</v>
      </c>
      <c r="AA404" s="499" t="str">
        <f aca="false">IFERROR(__xludf.dummyfunction("if(isna(ABS(MINUS(SUM(FILTER(MatchSource!$A:$F,MatchSource!$A:$A=$B404)),SUM($W404,$Y404)))),0,ABS(MINUS(SUM(FILTER(MatchSource!$A:$F,MatchSource!$A:$A=$B404)),SUM($W404, $Y404,))))"),"0")</f>
        <v>0</v>
      </c>
      <c r="AB404" s="501" t="str">
        <f aca="false">IFERROR(__xludf.dummyfunction("if(isna(ABS(MINUS(SUM(FILTER(MatchSource!$H:$M,MatchSource!$H:$H=$B404)),SUM($X404,$Z404)))),0,ABS(MINUS(SUM(FILTER(MatchSource!$H:$M,MatchSource!$H:$H=$B404)),SUM($X404,$Z404))))"),"0")</f>
        <v>0</v>
      </c>
      <c r="AC404" s="507" t="n">
        <f aca="false">SUM(IF(OR($R404="Grass",$R404="Psychic",$R404="Dark"),0-1,IF(OR($R404="Fighting",$R404="Flying",$R404="Fire",$R404="Ghost",$R404="Poison",$R404="Steel",$R404="Fairy"),1,0)),IF(OR($S404="Grass",$S404="Psychic",$S404="Dark"),0-1,IF(OR($S404="Fighting",$S404="Flying",$S404="Fire",$S404="Ghost",$S404="Poison",$S404="Steel",$S404="Fairy"),1,0)))</f>
        <v>-1</v>
      </c>
      <c r="AD404" s="507" t="n">
        <f aca="false">SUM(IF(OR($R404="Ghost",$R404="Psychic"),0-1,IF(OR($R404="Fighting",$R404="Dark",$R404="Fairy"),1,0)),IF(OR($S404="Ghost",$S404="Psychic"),0-1,IF(OR($S404="Fighting",$S404="Dark",$S404="Fairy"),1,0)))</f>
        <v>0</v>
      </c>
      <c r="AE404" s="507" t="n">
        <f aca="false">IF(OR($R404="Fairy",$S404="Fairy"),4,SUM(IF($R404="Dragon",0-1,IF($R404="Steel",1,0)),IF($S404="Dragon",0-1,IF($S404="Steel",1,0))))</f>
        <v>-1</v>
      </c>
      <c r="AF404" s="507" t="n">
        <f aca="false">IF(OR($R404="Ground",$S404="Ground"),4,SUM(IF(OR($R404="Flying",$R404="Water"),0-1,IF(OR($R404="Dragon",$R404="Electric",$R404="Grass"),1,0)),IF(OR($S404="Flying",$S404="Water"),0-1,IF(OR($S404="Dragon",$S404="Electric",$S404="Grass"),1,0))))</f>
        <v>2</v>
      </c>
      <c r="AG404" s="507" t="n">
        <f aca="false">SUM(IF(OR($R404="Dark",$R404="Dragon",$R404="Fighting"),0-1,IF(OR($R404="Steel",$R404="Poison",$R404="Fire"),1,0)),IF(OR($S404="Dark",$S404="Dragon",$S404="Fighting"),0-1,IF(OR($S404="Steel",$S404="Poison",$S404="Fire"),1,0)))</f>
        <v>-1</v>
      </c>
      <c r="AH404" s="507" t="n">
        <f aca="false">IF(OR($R404="Ghost",$S404="Ghost"),4,SUM(IF(OR($R404="Dark",$R404="Ice",$R404="Normal",$R404="Rock",$R404="Steel"),0-1,IF(OR($R404="Bug",$R404="Fairy",$R404="Flying",$R404="Poison",$R404="Psychic"),1,0)),IF(OR($S404="Dark",$S404="Ice",$S404="Normal",$S404="Rock",$S404="Steel"),0-1,IF(OR($S404="Bug",$S404="Fairy",$S404="Flying",$S404="Poison",$S404="Psychic"),1,0))))</f>
        <v>0</v>
      </c>
      <c r="AI404" s="507" t="n">
        <f aca="false">SUM(IF(OR($R404="Bug",$R404="Grass",$R404="Ice",$R404="Steel"),0-1,IF(OR($R404="Dragon",$R404="Fire",$R404="Rock",$R404="Water"),1,0)),IF(OR($S404="Bug",$S404="Grass",$S404="Ice",$S404="Steel"),0-1,IF(OR($S404="Dragon",$S404="Fire",$S404="Rock",$S404="Water"),1,0)))</f>
        <v>0</v>
      </c>
      <c r="AJ404" s="507" t="n">
        <f aca="false">SUM(IF(OR($R404="Bug",$R404="Grass",$R404="Fighting"),0-1,IF(OR($R404="Electric",$R404="Rock",$R404="Steel"),1,0)),IF(OR($S404="Bug",$S404="Grass",$S404="Fighting"),0-1,IF(OR($S404="Electric",$S404="Rock",$S404="Steel"),1,0)))</f>
        <v>-1</v>
      </c>
      <c r="AK404" s="507" t="n">
        <f aca="false">IF(OR($R404="Normal",$S404="Normal"),4,SUM(IF(OR($R404="Ghost",$R404="Psychic"),0-1,IF($R404="Dark",1,0)),IF(OR($S404="Ghost",$S404="Psychic"),0-1,IF($S404="Dark",1,0))))</f>
        <v>0</v>
      </c>
      <c r="AL404" s="507" t="n">
        <f aca="false">SUM(IF(OR($R404="Ground",$R404="Rock",$R404="Water"),0-1,IF(OR($R404="Bug",$R404="Flying",$R404="Fire",$R404="Dragon",$R404="Poison",$R404="Steel",$R404="Grass"),1,0)),IF(OR($S404="Ground",$S404="Rock",$S404="Water"),0-1,IF(OR($S404="Bug",$S404="Flying",$S404="Fire",$S404="Dragon",$S404="Poison",$S404="Steel",$S404="Grass"),1,0)))</f>
        <v>2</v>
      </c>
      <c r="AM404" s="507" t="n">
        <f aca="false">IF(OR($R404="Flying",$S404="Flying"),4,SUM(IF(OR($R404="Electric",$R404="Fire",$R404="Rock",$R404="Steel",$R404="Poison"),0-1,IF(OR($R404="Bug",$R404="Grass"),1,0)),IF(OR($S404="Electric",$S404="Fire",$S404="Rock",$S404="Steel",$S404="Poison"),0-1,IF(OR($S404="Bug",$S404="Grass"),1,0))))</f>
        <v>1</v>
      </c>
      <c r="AN404" s="507" t="n">
        <f aca="false">SUM(IF(OR($R404="Flying",$R404="Dragon",$R404="Grass",$R404="Ground"),0-1,IF(OR($R404="Steel",$R404="Ice",$R404="Fire",$R404="Water"),1,0)),IF(OR($S404="Flying",$S404="Dragon",$S404="Grass",$S404="Ground"),0-1,IF(OR($S404="Steel",$S404="Ice",$S404="Fire",$S404="Water"),1,0)))</f>
        <v>-2</v>
      </c>
      <c r="AO404" s="507" t="n">
        <f aca="false">IF(OR($R404="Ghost",$S404="Ghost"),4,SUM(IF(OR($R404="Steel",$R404="Rock"),1,0),IF(OR($S404="Steel",$S404="Rock"),1,0)))</f>
        <v>0</v>
      </c>
      <c r="AP404" s="507" t="n">
        <f aca="false">IF(OR($R404="Steel",$S404="Steel"),4,SUM(IF(OR($R404="Fairy",$R404="Grass"),0-1,IF(OR($R404="Ghost",$R404="Rock",$R404="Ground",$R404="Poison"),1,0)),IF(OR($S404="Fairy",$S404="Grass"),0-1,IF(OR($S404="Ghost",$S404="Rock",$S404="Ground",$S404="Poison"),1,0))))</f>
        <v>-1</v>
      </c>
      <c r="AQ404" s="507" t="n">
        <f aca="false">IF(OR($R404="Dark",$S404="Dark"),4,SUM(IF(OR($R404="Fighting",$R404="Poison"),0-1,IF(OR($R404="Psychic",$R404="Steel"),1,0)),IF(OR($S404="Fighting",$S404="Poison"),0-1,IF(OR($S404="Psychic",$S404="Steel"),1,0))))</f>
        <v>0</v>
      </c>
      <c r="AR404" s="507" t="n">
        <f aca="false">SUM(IF(OR($R404="Bug",$R404="Fire",$R404="Flying",$R404="Ice"),0-1,IF(OR($R404="Steel",$R404="Fighting",$R404="Ground"),1,0)),IF(OR($S404="Bug",$S404="Fire",$S404="Flying",$S404="Ice"),0-1,IF(OR($S404="Steel",$S404="Fighting",$S404="Ground"),1,0)))</f>
        <v>0</v>
      </c>
      <c r="AS404" s="507" t="n">
        <f aca="false">SUM(IF(OR($R404="Fairy",$R404="Ice",$R404="Rock"),0-1,IF(OR($R404="Steel",$R404="Electric",$R404="Fire",$R404="Water"),1,0)),IF(OR($S404="Fairy",$S404="Ice",$S404="Rock"),0-1,IF(OR($S404="Steel",$S404="Electric",$S404="Fire",$S404="Water"),1,0)))</f>
        <v>0</v>
      </c>
      <c r="AT404" s="508" t="n">
        <f aca="false">SUM(IF(OR($R404="Fire",$R404="Ground",$R404="Rock"),0-1,IF(OR($R404="Dragon",$R404="Grass",$R404="Water"),1,0)),IF(OR($S404="Fire",$S404="Ground",$S404="Rock"),0-1,IF(OR($S404="Dragon",$S404="Grass",$S404="Water"),1,0)))</f>
        <v>2</v>
      </c>
      <c r="AU404" s="518"/>
    </row>
    <row r="405" customFormat="false" ht="15.75" hidden="false" customHeight="false" outlineLevel="0" collapsed="false">
      <c r="A405" s="515" t="str">
        <f aca="false" t="array" ref="A405:A405">IF(ISNA(INDEX(Source!$U$7:$U$95,MATCH(B405,Source!$V$7:$V$95,0))),"FREE",INDEX(Source!$U$7:$U$95,MATCH(B405,Source!$V$7:$V$95,0)))</f>
        <v>FREE</v>
      </c>
      <c r="B405" s="511" t="s">
        <v>399</v>
      </c>
      <c r="C405" s="511"/>
      <c r="D405" s="511"/>
      <c r="E405" s="499" t="str">
        <f aca="false">IF(SUM($W405:$X405)&gt;0,SUM($W405:$X405),IF($H405&gt;0,0,IF($H405&gt;0,0,"-")))</f>
        <v>-</v>
      </c>
      <c r="F405" s="499" t="str">
        <f aca="false">IF(SUM($Y405:$Z405)&gt;0,SUM($Y405:$Z405),IF($H405&gt;0,0,"-"))</f>
        <v>-</v>
      </c>
      <c r="G405" s="499" t="str">
        <f aca="false">IF($H405&gt;0,minus(E405,F405),"-")</f>
        <v>-</v>
      </c>
      <c r="H405" s="500" t="n">
        <f aca="false">SUM(COUNTIF(MatchSource!$A:$A,$B405),COUNTIF(MatchSource!$H:$H,$B405))</f>
        <v>0</v>
      </c>
      <c r="I405" s="501" t="n">
        <f aca="false">SUM($AA405:$AB405)</f>
        <v>0</v>
      </c>
      <c r="J405" s="501" t="s">
        <v>698</v>
      </c>
      <c r="K405" s="512" t="str">
        <f aca="false" t="array" ref="K405:K405">IF(ISNA(INDEX(DraftRosters!$AA$3:$AA$199,MATCH($B405,DraftRosters!$AB$3:$AB$199,0))),"FA",IF(INDEX(DraftRosters!$AA$3:$AA$199,MATCH($B405,DraftRosters!$AB$3:$AB$199,0))="Franchise","Franch",INDEX(DraftRosters!$AA$3:$AA$199,MATCH($B405,DraftRosters!$AB$3:$AB$199,0))))</f>
        <v>FA</v>
      </c>
      <c r="L405" s="507" t="n">
        <v>70</v>
      </c>
      <c r="M405" s="507" t="n">
        <v>130</v>
      </c>
      <c r="N405" s="507" t="n">
        <v>100</v>
      </c>
      <c r="O405" s="507" t="n">
        <v>55</v>
      </c>
      <c r="P405" s="507" t="n">
        <v>80</v>
      </c>
      <c r="Q405" s="508" t="n">
        <v>65</v>
      </c>
      <c r="R405" s="499" t="s">
        <v>794</v>
      </c>
      <c r="S405" s="501" t="s">
        <v>810</v>
      </c>
      <c r="T405" s="504" t="s">
        <v>1030</v>
      </c>
      <c r="U405" s="505" t="s">
        <v>842</v>
      </c>
      <c r="V405" s="506" t="s">
        <v>857</v>
      </c>
      <c r="W405" s="500" t="str">
        <f aca="false">IFERROR(__xludf.dummyfunction("if(isna(SUM(FILTER(MatchSource!$A:$D,MatchSource!$A:$A=$B405))),0,SUM(FILTER(MatchSource!$A:$D,MatchSource!$A:$A=$B405)))"),"0")</f>
        <v>0</v>
      </c>
      <c r="X405" s="499" t="str">
        <f aca="false">IFERROR(__xludf.dummyfunction("if(isna(SUM(FILTER(MatchSource!$H:$K,MatchSource!$H:$H=$B405))),0,SUM(FILTER(MatchSource!$H:$K,MatchSource!$H:$H=$B405)))"),"0")</f>
        <v>0</v>
      </c>
      <c r="Y405" s="499" t="str">
        <f aca="false">IFERROR(__xludf.dummyfunction("if(isna(ABS(MINUS(SUM(FILTER(MatchSource!$A:$E,MatchSource!$A:$A=$B405)),SUM($W405)))),0,ABS(MINUS(SUM(FILTER(MatchSource!$A:$E,MatchSource!$A:$A=$B405)),SUM($W405))))"),"0")</f>
        <v>0</v>
      </c>
      <c r="Z405" s="499" t="str">
        <f aca="false">IFERROR(__xludf.dummyfunction("if(isna(ABS(MINUS(SUM(FILTER(MatchSource!$H:$L,MatchSource!$H:$H=$B405)),SUM($X405)))),0,ABS(MINUS(SUM(FILTER(MatchSource!$H:$L,MatchSource!$H:$H=$B405)),SUM($X405))))"),"0")</f>
        <v>0</v>
      </c>
      <c r="AA405" s="499" t="str">
        <f aca="false">IFERROR(__xludf.dummyfunction("if(isna(ABS(MINUS(SUM(FILTER(MatchSource!$A:$F,MatchSource!$A:$A=$B405)),SUM($W405,$Y405)))),0,ABS(MINUS(SUM(FILTER(MatchSource!$A:$F,MatchSource!$A:$A=$B405)),SUM($W405, $Y405,))))"),"0")</f>
        <v>0</v>
      </c>
      <c r="AB405" s="501" t="str">
        <f aca="false">IFERROR(__xludf.dummyfunction("if(isna(ABS(MINUS(SUM(FILTER(MatchSource!$H:$M,MatchSource!$H:$H=$B405)),SUM($X405,$Z405)))),0,ABS(MINUS(SUM(FILTER(MatchSource!$H:$M,MatchSource!$H:$H=$B405)),SUM($X405,$Z405))))"),"0")</f>
        <v>0</v>
      </c>
      <c r="AC405" s="507" t="n">
        <f aca="false">SUM(IF(OR($R405="Grass",$R405="Psychic",$R405="Dark"),0-1,IF(OR($R405="Fighting",$R405="Flying",$R405="Fire",$R405="Ghost",$R405="Poison",$R405="Steel",$R405="Fairy"),1,0)),IF(OR($S405="Grass",$S405="Psychic",$S405="Dark"),0-1,IF(OR($S405="Fighting",$S405="Flying",$S405="Fire",$S405="Ghost",$S405="Poison",$S405="Steel",$S405="Fairy"),1,0)))</f>
        <v>1</v>
      </c>
      <c r="AD405" s="507" t="n">
        <f aca="false">SUM(IF(OR($R405="Ghost",$R405="Psychic"),0-1,IF(OR($R405="Fighting",$R405="Dark",$R405="Fairy"),1,0)),IF(OR($S405="Ghost",$S405="Psychic"),0-1,IF(OR($S405="Fighting",$S405="Dark",$S405="Fairy"),1,0)))</f>
        <v>0</v>
      </c>
      <c r="AE405" s="507" t="n">
        <f aca="false">IF(OR($R405="Fairy",$S405="Fairy"),4,SUM(IF($R405="Dragon",0-1,IF($R405="Steel",1,0)),IF($S405="Dragon",0-1,IF($S405="Steel",1,0))))</f>
        <v>1</v>
      </c>
      <c r="AF405" s="507" t="n">
        <f aca="false">IF(OR($R405="Ground",$S405="Ground"),4,SUM(IF(OR($R405="Flying",$R405="Water"),0-1,IF(OR($R405="Dragon",$R405="Electric",$R405="Grass"),1,0)),IF(OR($S405="Flying",$S405="Water"),0-1,IF(OR($S405="Dragon",$S405="Electric",$S405="Grass"),1,0))))</f>
        <v>0</v>
      </c>
      <c r="AG405" s="507" t="n">
        <f aca="false">SUM(IF(OR($R405="Dark",$R405="Dragon",$R405="Fighting"),0-1,IF(OR($R405="Steel",$R405="Poison",$R405="Fire"),1,0)),IF(OR($S405="Dark",$S405="Dragon",$S405="Fighting"),0-1,IF(OR($S405="Steel",$S405="Poison",$S405="Fire"),1,0)))</f>
        <v>1</v>
      </c>
      <c r="AH405" s="507" t="n">
        <f aca="false">IF(OR($R405="Ghost",$S405="Ghost"),4,SUM(IF(OR($R405="Dark",$R405="Ice",$R405="Normal",$R405="Rock",$R405="Steel"),0-1,IF(OR($R405="Bug",$R405="Fairy",$R405="Flying",$R405="Poison",$R405="Psychic"),1,0)),IF(OR($S405="Dark",$S405="Ice",$S405="Normal",$S405="Rock",$S405="Steel"),0-1,IF(OR($S405="Bug",$S405="Fairy",$S405="Flying",$S405="Poison",$S405="Psychic"),1,0))))</f>
        <v>0</v>
      </c>
      <c r="AI405" s="507" t="n">
        <f aca="false">SUM(IF(OR($R405="Bug",$R405="Grass",$R405="Ice",$R405="Steel"),0-1,IF(OR($R405="Dragon",$R405="Fire",$R405="Rock",$R405="Water"),1,0)),IF(OR($S405="Bug",$S405="Grass",$S405="Ice",$S405="Steel"),0-1,IF(OR($S405="Dragon",$S405="Fire",$S405="Rock",$S405="Water"),1,0)))</f>
        <v>-2</v>
      </c>
      <c r="AJ405" s="507" t="n">
        <f aca="false">SUM(IF(OR($R405="Bug",$R405="Grass",$R405="Fighting"),0-1,IF(OR($R405="Electric",$R405="Rock",$R405="Steel"),1,0)),IF(OR($S405="Bug",$S405="Grass",$S405="Fighting"),0-1,IF(OR($S405="Electric",$S405="Rock",$S405="Steel"),1,0)))</f>
        <v>0</v>
      </c>
      <c r="AK405" s="507" t="n">
        <f aca="false">IF(OR($R405="Normal",$S405="Normal"),4,SUM(IF(OR($R405="Ghost",$R405="Psychic"),0-1,IF($R405="Dark",1,0)),IF(OR($S405="Ghost",$S405="Psychic"),0-1,IF($S405="Dark",1,0))))</f>
        <v>0</v>
      </c>
      <c r="AL405" s="507" t="n">
        <f aca="false">SUM(IF(OR($R405="Ground",$R405="Rock",$R405="Water"),0-1,IF(OR($R405="Bug",$R405="Flying",$R405="Fire",$R405="Dragon",$R405="Poison",$R405="Steel",$R405="Grass"),1,0)),IF(OR($S405="Ground",$S405="Rock",$S405="Water"),0-1,IF(OR($S405="Bug",$S405="Flying",$S405="Fire",$S405="Dragon",$S405="Poison",$S405="Steel",$S405="Grass"),1,0)))</f>
        <v>2</v>
      </c>
      <c r="AM405" s="507" t="n">
        <f aca="false">IF(OR($R405="Flying",$S405="Flying"),4,SUM(IF(OR($R405="Electric",$R405="Fire",$R405="Rock",$R405="Steel",$R405="Poison"),0-1,IF(OR($R405="Bug",$R405="Grass"),1,0)),IF(OR($S405="Electric",$S405="Fire",$S405="Rock",$S405="Steel",$S405="Poison"),0-1,IF(OR($S405="Bug",$S405="Grass"),1,0))))</f>
        <v>0</v>
      </c>
      <c r="AN405" s="507" t="n">
        <f aca="false">SUM(IF(OR($R405="Flying",$R405="Dragon",$R405="Grass",$R405="Ground"),0-1,IF(OR($R405="Steel",$R405="Ice",$R405="Fire",$R405="Water"),1,0)),IF(OR($S405="Flying",$S405="Dragon",$S405="Grass",$S405="Ground"),0-1,IF(OR($S405="Steel",$S405="Ice",$S405="Fire",$S405="Water"),1,0)))</f>
        <v>1</v>
      </c>
      <c r="AO405" s="507" t="n">
        <f aca="false">IF(OR($R405="Ghost",$S405="Ghost"),4,SUM(IF(OR($R405="Steel",$R405="Rock"),1,0),IF(OR($S405="Steel",$S405="Rock"),1,0)))</f>
        <v>1</v>
      </c>
      <c r="AP405" s="507" t="n">
        <f aca="false">IF(OR($R405="Steel",$S405="Steel"),4,SUM(IF(OR($R405="Fairy",$R405="Grass"),0-1,IF(OR($R405="Ghost",$R405="Rock",$R405="Ground",$R405="Poison"),1,0)),IF(OR($S405="Fairy",$S405="Grass"),0-1,IF(OR($S405="Ghost",$S405="Rock",$S405="Ground",$S405="Poison"),1,0))))</f>
        <v>4</v>
      </c>
      <c r="AQ405" s="507" t="n">
        <f aca="false">IF(OR($R405="Dark",$S405="Dark"),4,SUM(IF(OR($R405="Fighting",$R405="Poison"),0-1,IF(OR($R405="Psychic",$R405="Steel"),1,0)),IF(OR($S405="Fighting",$S405="Poison"),0-1,IF(OR($S405="Psychic",$S405="Steel"),1,0))))</f>
        <v>1</v>
      </c>
      <c r="AR405" s="507" t="n">
        <f aca="false">SUM(IF(OR($R405="Bug",$R405="Fire",$R405="Flying",$R405="Ice"),0-1,IF(OR($R405="Steel",$R405="Fighting",$R405="Ground"),1,0)),IF(OR($S405="Bug",$S405="Fire",$S405="Flying",$S405="Ice"),0-1,IF(OR($S405="Steel",$S405="Fighting",$S405="Ground"),1,0)))</f>
        <v>0</v>
      </c>
      <c r="AS405" s="507" t="n">
        <f aca="false">SUM(IF(OR($R405="Fairy",$R405="Ice",$R405="Rock"),0-1,IF(OR($R405="Steel",$R405="Electric",$R405="Fire",$R405="Water"),1,0)),IF(OR($S405="Fairy",$S405="Ice",$S405="Rock"),0-1,IF(OR($S405="Steel",$S405="Electric",$S405="Fire",$S405="Water"),1,0)))</f>
        <v>1</v>
      </c>
      <c r="AT405" s="508" t="n">
        <f aca="false">SUM(IF(OR($R405="Fire",$R405="Ground",$R405="Rock"),0-1,IF(OR($R405="Dragon",$R405="Grass",$R405="Water"),1,0)),IF(OR($S405="Fire",$S405="Ground",$S405="Rock"),0-1,IF(OR($S405="Dragon",$S405="Grass",$S405="Water"),1,0)))</f>
        <v>0</v>
      </c>
      <c r="AU405" s="518"/>
    </row>
    <row r="406" customFormat="false" ht="15.75" hidden="false" customHeight="false" outlineLevel="0" collapsed="false">
      <c r="A406" s="510" t="str">
        <f aca="false" t="array" ref="A406:A406">IF(ISNA(INDEX(Source!$U$7:$U$95,MATCH(B406,Source!$V$7:$V$95,0))),"FREE",INDEX(Source!$U$7:$U$95,MATCH(B406,Source!$V$7:$V$95,0)))</f>
        <v>FREE</v>
      </c>
      <c r="B406" s="511" t="s">
        <v>737</v>
      </c>
      <c r="C406" s="511"/>
      <c r="D406" s="511"/>
      <c r="E406" s="499" t="str">
        <f aca="false">IF(SUM($W406:$X406)&gt;0,SUM($W406:$X406),IF($H406&gt;0,0,IF($H406&gt;0,0,"-")))</f>
        <v>-</v>
      </c>
      <c r="F406" s="499" t="str">
        <f aca="false">IF(SUM($Y406:$Z406)&gt;0,SUM($Y406:$Z406),IF($H406&gt;0,0,"-"))</f>
        <v>-</v>
      </c>
      <c r="G406" s="499" t="str">
        <f aca="false">IF($H406&gt;0,minus(E406,F406),"-")</f>
        <v>-</v>
      </c>
      <c r="H406" s="500" t="n">
        <f aca="false">SUM(COUNTIF(MatchSource!$A:$A,$B406),COUNTIF(MatchSource!$H:$H,$B406))</f>
        <v>0</v>
      </c>
      <c r="I406" s="501" t="n">
        <f aca="false">SUM($AA406:$AB406)</f>
        <v>0</v>
      </c>
      <c r="J406" s="501" t="s">
        <v>276</v>
      </c>
      <c r="K406" s="512" t="str">
        <f aca="false" t="array" ref="K406:K406">IF(ISNA(INDEX(DraftRosters!$AA$3:$AA$199,MATCH($B406,DraftRosters!$AB$3:$AB$199,0))),"FA",IF(INDEX(DraftRosters!$AA$3:$AA$199,MATCH($B406,DraftRosters!$AB$3:$AB$199,0))="Franchise","Franch",INDEX(DraftRosters!$AA$3:$AA$199,MATCH($B406,DraftRosters!$AB$3:$AB$199,0))))</f>
        <v>FA</v>
      </c>
      <c r="L406" s="507" t="n">
        <v>70</v>
      </c>
      <c r="M406" s="507" t="n">
        <v>150</v>
      </c>
      <c r="N406" s="507" t="n">
        <v>140</v>
      </c>
      <c r="O406" s="507" t="n">
        <v>65</v>
      </c>
      <c r="P406" s="507" t="n">
        <v>100</v>
      </c>
      <c r="Q406" s="508" t="n">
        <v>75</v>
      </c>
      <c r="R406" s="499" t="s">
        <v>794</v>
      </c>
      <c r="S406" s="501" t="s">
        <v>810</v>
      </c>
      <c r="T406" s="504" t="s">
        <v>842</v>
      </c>
      <c r="U406" s="505"/>
      <c r="V406" s="506"/>
      <c r="W406" s="500" t="str">
        <f aca="false">IFERROR(__xludf.dummyfunction("if(isna(SUM(FILTER(MatchSource!$A:$D,MatchSource!$A:$A=$B406))),0,SUM(FILTER(MatchSource!$A:$D,MatchSource!$A:$A=$B406)))"),"0")</f>
        <v>0</v>
      </c>
      <c r="X406" s="499" t="str">
        <f aca="false">IFERROR(__xludf.dummyfunction("if(isna(SUM(FILTER(MatchSource!$H:$K,MatchSource!$H:$H=$B406))),0,SUM(FILTER(MatchSource!$H:$K,MatchSource!$H:$H=$B406)))"),"0")</f>
        <v>0</v>
      </c>
      <c r="Y406" s="499" t="str">
        <f aca="false">IFERROR(__xludf.dummyfunction("if(isna(ABS(MINUS(SUM(FILTER(MatchSource!$A:$E,MatchSource!$A:$A=$B406)),SUM($W406)))),0,ABS(MINUS(SUM(FILTER(MatchSource!$A:$E,MatchSource!$A:$A=$B406)),SUM($W406))))"),"0")</f>
        <v>0</v>
      </c>
      <c r="Z406" s="499" t="str">
        <f aca="false">IFERROR(__xludf.dummyfunction("if(isna(ABS(MINUS(SUM(FILTER(MatchSource!$H:$L,MatchSource!$H:$H=$B406)),SUM($X406)))),0,ABS(MINUS(SUM(FILTER(MatchSource!$H:$L,MatchSource!$H:$H=$B406)),SUM($X406))))"),"0")</f>
        <v>0</v>
      </c>
      <c r="AA406" s="499" t="str">
        <f aca="false">IFERROR(__xludf.dummyfunction("if(isna(ABS(MINUS(SUM(FILTER(MatchSource!$A:$F,MatchSource!$A:$A=$B406)),SUM($W406,$Y406)))),0,ABS(MINUS(SUM(FILTER(MatchSource!$A:$F,MatchSource!$A:$A=$B406)),SUM($W406, $Y406,))))"),"0")</f>
        <v>0</v>
      </c>
      <c r="AB406" s="501" t="str">
        <f aca="false">IFERROR(__xludf.dummyfunction("if(isna(ABS(MINUS(SUM(FILTER(MatchSource!$H:$M,MatchSource!$H:$H=$B406)),SUM($X406,$Z406)))),0,ABS(MINUS(SUM(FILTER(MatchSource!$H:$M,MatchSource!$H:$H=$B406)),SUM($X406,$Z406))))"),"0")</f>
        <v>0</v>
      </c>
      <c r="AC406" s="507" t="n">
        <f aca="false">SUM(IF(OR($R406="Grass",$R406="Psychic",$R406="Dark"),0-1,IF(OR($R406="Fighting",$R406="Flying",$R406="Fire",$R406="Ghost",$R406="Poison",$R406="Steel",$R406="Fairy"),1,0)),IF(OR($S406="Grass",$S406="Psychic",$S406="Dark"),0-1,IF(OR($S406="Fighting",$S406="Flying",$S406="Fire",$S406="Ghost",$S406="Poison",$S406="Steel",$S406="Fairy"),1,0)))</f>
        <v>1</v>
      </c>
      <c r="AD406" s="507" t="n">
        <f aca="false">SUM(IF(OR($R406="Ghost",$R406="Psychic"),0-1,IF(OR($R406="Fighting",$R406="Dark",$R406="Fairy"),1,0)),IF(OR($S406="Ghost",$S406="Psychic"),0-1,IF(OR($S406="Fighting",$S406="Dark",$S406="Fairy"),1,0)))</f>
        <v>0</v>
      </c>
      <c r="AE406" s="507" t="n">
        <f aca="false">IF(OR($R406="Fairy",$S406="Fairy"),4,SUM(IF($R406="Dragon",0-1,IF($R406="Steel",1,0)),IF($S406="Dragon",0-1,IF($S406="Steel",1,0))))</f>
        <v>1</v>
      </c>
      <c r="AF406" s="507" t="n">
        <f aca="false">IF(OR($R406="Ground",$S406="Ground"),4,SUM(IF(OR($R406="Flying",$R406="Water"),0-1,IF(OR($R406="Dragon",$R406="Electric",$R406="Grass"),1,0)),IF(OR($S406="Flying",$S406="Water"),0-1,IF(OR($S406="Dragon",$S406="Electric",$S406="Grass"),1,0))))</f>
        <v>0</v>
      </c>
      <c r="AG406" s="507" t="n">
        <f aca="false">SUM(IF(OR($R406="Dark",$R406="Dragon",$R406="Fighting"),0-1,IF(OR($R406="Steel",$R406="Poison",$R406="Fire"),1,0)),IF(OR($S406="Dark",$S406="Dragon",$S406="Fighting"),0-1,IF(OR($S406="Steel",$S406="Poison",$S406="Fire"),1,0)))</f>
        <v>1</v>
      </c>
      <c r="AH406" s="507" t="n">
        <f aca="false">IF(OR($R406="Ghost",$S406="Ghost"),4,SUM(IF(OR($R406="Dark",$R406="Ice",$R406="Normal",$R406="Rock",$R406="Steel"),0-1,IF(OR($R406="Bug",$R406="Fairy",$R406="Flying",$R406="Poison",$R406="Psychic"),1,0)),IF(OR($S406="Dark",$S406="Ice",$S406="Normal",$S406="Rock",$S406="Steel"),0-1,IF(OR($S406="Bug",$S406="Fairy",$S406="Flying",$S406="Poison",$S406="Psychic"),1,0))))</f>
        <v>0</v>
      </c>
      <c r="AI406" s="507" t="n">
        <f aca="false">SUM(IF(OR($R406="Bug",$R406="Grass",$R406="Ice",$R406="Steel"),0-1,IF(OR($R406="Dragon",$R406="Fire",$R406="Rock",$R406="Water"),1,0)),IF(OR($S406="Bug",$S406="Grass",$S406="Ice",$S406="Steel"),0-1,IF(OR($S406="Dragon",$S406="Fire",$S406="Rock",$S406="Water"),1,0)))</f>
        <v>-2</v>
      </c>
      <c r="AJ406" s="507" t="n">
        <f aca="false">SUM(IF(OR($R406="Bug",$R406="Grass",$R406="Fighting"),0-1,IF(OR($R406="Electric",$R406="Rock",$R406="Steel"),1,0)),IF(OR($S406="Bug",$S406="Grass",$S406="Fighting"),0-1,IF(OR($S406="Electric",$S406="Rock",$S406="Steel"),1,0)))</f>
        <v>0</v>
      </c>
      <c r="AK406" s="507" t="n">
        <f aca="false">IF(OR($R406="Normal",$S406="Normal"),4,SUM(IF(OR($R406="Ghost",$R406="Psychic"),0-1,IF($R406="Dark",1,0)),IF(OR($S406="Ghost",$S406="Psychic"),0-1,IF($S406="Dark",1,0))))</f>
        <v>0</v>
      </c>
      <c r="AL406" s="507" t="n">
        <f aca="false">SUM(IF(OR($R406="Ground",$R406="Rock",$R406="Water"),0-1,IF(OR($R406="Bug",$R406="Flying",$R406="Fire",$R406="Dragon",$R406="Poison",$R406="Steel",$R406="Grass"),1,0)),IF(OR($S406="Ground",$S406="Rock",$S406="Water"),0-1,IF(OR($S406="Bug",$S406="Flying",$S406="Fire",$S406="Dragon",$S406="Poison",$S406="Steel",$S406="Grass"),1,0)))</f>
        <v>2</v>
      </c>
      <c r="AM406" s="507" t="n">
        <f aca="false">IF(OR($R406="Flying",$S406="Flying"),4,SUM(IF(OR($R406="Electric",$R406="Fire",$R406="Rock",$R406="Steel",$R406="Poison"),0-1,IF(OR($R406="Bug",$R406="Grass"),1,0)),IF(OR($S406="Electric",$S406="Fire",$S406="Rock",$S406="Steel",$S406="Poison"),0-1,IF(OR($S406="Bug",$S406="Grass"),1,0))))</f>
        <v>0</v>
      </c>
      <c r="AN406" s="507" t="n">
        <f aca="false">SUM(IF(OR($R406="Flying",$R406="Dragon",$R406="Grass",$R406="Ground"),0-1,IF(OR($R406="Steel",$R406="Ice",$R406="Fire",$R406="Water"),1,0)),IF(OR($S406="Flying",$S406="Dragon",$S406="Grass",$S406="Ground"),0-1,IF(OR($S406="Steel",$S406="Ice",$S406="Fire",$S406="Water"),1,0)))</f>
        <v>1</v>
      </c>
      <c r="AO406" s="507" t="n">
        <f aca="false">IF(OR($R406="Ghost",$S406="Ghost"),4,SUM(IF(OR($R406="Steel",$R406="Rock"),1,0),IF(OR($S406="Steel",$S406="Rock"),1,0)))</f>
        <v>1</v>
      </c>
      <c r="AP406" s="507" t="n">
        <f aca="false">IF(OR($R406="Steel",$S406="Steel"),4,SUM(IF(OR($R406="Fairy",$R406="Grass"),0-1,IF(OR($R406="Ghost",$R406="Rock",$R406="Ground",$R406="Poison"),1,0)),IF(OR($S406="Fairy",$S406="Grass"),0-1,IF(OR($S406="Ghost",$S406="Rock",$S406="Ground",$S406="Poison"),1,0))))</f>
        <v>4</v>
      </c>
      <c r="AQ406" s="507" t="n">
        <f aca="false">IF(OR($R406="Dark",$S406="Dark"),4,SUM(IF(OR($R406="Fighting",$R406="Poison"),0-1,IF(OR($R406="Psychic",$R406="Steel"),1,0)),IF(OR($S406="Fighting",$S406="Poison"),0-1,IF(OR($S406="Psychic",$S406="Steel"),1,0))))</f>
        <v>1</v>
      </c>
      <c r="AR406" s="507" t="n">
        <f aca="false">SUM(IF(OR($R406="Bug",$R406="Fire",$R406="Flying",$R406="Ice"),0-1,IF(OR($R406="Steel",$R406="Fighting",$R406="Ground"),1,0)),IF(OR($S406="Bug",$S406="Fire",$S406="Flying",$S406="Ice"),0-1,IF(OR($S406="Steel",$S406="Fighting",$S406="Ground"),1,0)))</f>
        <v>0</v>
      </c>
      <c r="AS406" s="507" t="n">
        <f aca="false">SUM(IF(OR($R406="Fairy",$R406="Ice",$R406="Rock"),0-1,IF(OR($R406="Steel",$R406="Electric",$R406="Fire",$R406="Water"),1,0)),IF(OR($S406="Fairy",$S406="Ice",$S406="Rock"),0-1,IF(OR($S406="Steel",$S406="Electric",$S406="Fire",$S406="Water"),1,0)))</f>
        <v>1</v>
      </c>
      <c r="AT406" s="508" t="n">
        <f aca="false">SUM(IF(OR($R406="Fire",$R406="Ground",$R406="Rock"),0-1,IF(OR($R406="Dragon",$R406="Grass",$R406="Water"),1,0)),IF(OR($S406="Fire",$S406="Ground",$S406="Rock"),0-1,IF(OR($S406="Dragon",$S406="Grass",$S406="Water"),1,0)))</f>
        <v>0</v>
      </c>
      <c r="AU406" s="518"/>
    </row>
    <row r="407" customFormat="false" ht="15.75" hidden="false" customHeight="false" outlineLevel="0" collapsed="false">
      <c r="A407" s="515" t="str">
        <f aca="false" t="array" ref="A407:A407">IF(ISNA(INDEX(Source!$U$7:$U$95,MATCH(B407,Source!$V$7:$V$95,0))),"FREE",INDEX(Source!$U$7:$U$95,MATCH(B407,Source!$V$7:$V$95,0)))</f>
        <v>BTB</v>
      </c>
      <c r="B407" s="511" t="s">
        <v>69</v>
      </c>
      <c r="C407" s="511"/>
      <c r="D407" s="511"/>
      <c r="E407" s="499" t="n">
        <f aca="false">IF(SUM($W407:$X407)&gt;0,SUM($W407:$X407),IF($H407&gt;0,0,IF($H407&gt;0,0,"-")))</f>
        <v>0</v>
      </c>
      <c r="F407" s="499" t="n">
        <f aca="false">IF(SUM($Y407:$Z407)&gt;0,SUM($Y407:$Z407),IF($H407&gt;0,0,"-"))</f>
        <v>0</v>
      </c>
      <c r="G407" s="499" t="e">
        <f aca="false">IF($H407&gt;0,minus(E407,F407),"-")</f>
        <v>#NAME?</v>
      </c>
      <c r="H407" s="500" t="n">
        <f aca="false">SUM(COUNTIF(MatchSource!$A:$A,$B407),COUNTIF(MatchSource!$H:$H,$B407))</f>
        <v>7</v>
      </c>
      <c r="I407" s="501" t="n">
        <f aca="false">SUM($AA407:$AB407)</f>
        <v>0</v>
      </c>
      <c r="J407" s="501" t="s">
        <v>699</v>
      </c>
      <c r="K407" s="512" t="n">
        <f aca="false" t="array" ref="K407:K407">IF(ISNA(INDEX(DraftRosters!$AA$3:$AA$199,MATCH($B407,DraftRosters!$AB$3:$AB$199,0))),"FA",IF(INDEX(DraftRosters!$AA$3:$AA$199,MATCH($B407,DraftRosters!$AB$3:$AB$199,0))="Franchise","Franch",INDEX(DraftRosters!$AA$3:$AA$199,MATCH($B407,DraftRosters!$AB$3:$AB$199,0))))</f>
        <v>53</v>
      </c>
      <c r="L407" s="507" t="n">
        <v>60</v>
      </c>
      <c r="M407" s="507" t="n">
        <v>100</v>
      </c>
      <c r="N407" s="507" t="n">
        <v>89</v>
      </c>
      <c r="O407" s="507" t="n">
        <v>55</v>
      </c>
      <c r="P407" s="507" t="n">
        <v>69</v>
      </c>
      <c r="Q407" s="508" t="n">
        <v>112</v>
      </c>
      <c r="R407" s="499" t="s">
        <v>794</v>
      </c>
      <c r="S407" s="501" t="s">
        <v>843</v>
      </c>
      <c r="T407" s="504" t="s">
        <v>952</v>
      </c>
      <c r="U407" s="505" t="s">
        <v>857</v>
      </c>
      <c r="V407" s="506" t="s">
        <v>927</v>
      </c>
      <c r="W407" s="500" t="str">
        <f aca="false">IFERROR(__xludf.dummyfunction("if(isna(SUM(FILTER(MatchSource!$A:$D,MatchSource!$A:$A=$B407))),0,SUM(FILTER(MatchSource!$A:$D,MatchSource!$A:$A=$B407)))"),"5")</f>
        <v>5</v>
      </c>
      <c r="X407" s="499" t="str">
        <f aca="false">IFERROR(__xludf.dummyfunction("if(isna(SUM(FILTER(MatchSource!$H:$K,MatchSource!$H:$H=$B407))),0,SUM(FILTER(MatchSource!$H:$K,MatchSource!$H:$H=$B407)))"),"2")</f>
        <v>2</v>
      </c>
      <c r="Y407" s="499" t="str">
        <f aca="false">IFERROR(__xludf.dummyfunction("if(isna(ABS(MINUS(SUM(FILTER(MatchSource!$A:$E,MatchSource!$A:$A=$B407)),SUM($W407)))),0,ABS(MINUS(SUM(FILTER(MatchSource!$A:$E,MatchSource!$A:$A=$B407)),SUM($W407))))"),"2")</f>
        <v>2</v>
      </c>
      <c r="Z407" s="499" t="str">
        <f aca="false">IFERROR(__xludf.dummyfunction("if(isna(ABS(MINUS(SUM(FILTER(MatchSource!$H:$L,MatchSource!$H:$H=$B407)),SUM($X407)))),0,ABS(MINUS(SUM(FILTER(MatchSource!$H:$L,MatchSource!$H:$H=$B407)),SUM($X407))))"),"4")</f>
        <v>4</v>
      </c>
      <c r="AA407" s="499" t="str">
        <f aca="false">IFERROR(__xludf.dummyfunction("if(isna(ABS(MINUS(SUM(FILTER(MatchSource!$A:$F,MatchSource!$A:$A=$B407)),SUM($W407,$Y407)))),0,ABS(MINUS(SUM(FILTER(MatchSource!$A:$F,MatchSource!$A:$A=$B407)),SUM($W407, $Y407,))))"),"2")</f>
        <v>2</v>
      </c>
      <c r="AB407" s="501" t="str">
        <f aca="false">IFERROR(__xludf.dummyfunction("if(isna(ABS(MINUS(SUM(FILTER(MatchSource!$H:$M,MatchSource!$H:$H=$B407)),SUM($X407,$Z407)))),0,ABS(MINUS(SUM(FILTER(MatchSource!$H:$M,MatchSource!$H:$H=$B407)),SUM($X407,$Z407))))"),"2")</f>
        <v>2</v>
      </c>
      <c r="AC407" s="507" t="n">
        <f aca="false">SUM(IF(OR($R407="Grass",$R407="Psychic",$R407="Dark"),0-1,IF(OR($R407="Fighting",$R407="Flying",$R407="Fire",$R407="Ghost",$R407="Poison",$R407="Steel",$R407="Fairy"),1,0)),IF(OR($S407="Grass",$S407="Psychic",$S407="Dark"),0-1,IF(OR($S407="Fighting",$S407="Flying",$S407="Fire",$S407="Ghost",$S407="Poison",$S407="Steel",$S407="Fairy"),1,0)))</f>
        <v>1</v>
      </c>
      <c r="AD407" s="507" t="n">
        <f aca="false">SUM(IF(OR($R407="Ghost",$R407="Psychic"),0-1,IF(OR($R407="Fighting",$R407="Dark",$R407="Fairy"),1,0)),IF(OR($S407="Ghost",$S407="Psychic"),0-1,IF(OR($S407="Fighting",$S407="Dark",$S407="Fairy"),1,0)))</f>
        <v>0</v>
      </c>
      <c r="AE407" s="507" t="n">
        <f aca="false">IF(OR($R407="Fairy",$S407="Fairy"),4,SUM(IF($R407="Dragon",0-1,IF($R407="Steel",1,0)),IF($S407="Dragon",0-1,IF($S407="Steel",1,0))))</f>
        <v>0</v>
      </c>
      <c r="AF407" s="507" t="n">
        <f aca="false">IF(OR($R407="Ground",$S407="Ground"),4,SUM(IF(OR($R407="Flying",$R407="Water"),0-1,IF(OR($R407="Dragon",$R407="Electric",$R407="Grass"),1,0)),IF(OR($S407="Flying",$S407="Water"),0-1,IF(OR($S407="Dragon",$S407="Electric",$S407="Grass"),1,0))))</f>
        <v>0</v>
      </c>
      <c r="AG407" s="507" t="n">
        <f aca="false">SUM(IF(OR($R407="Dark",$R407="Dragon",$R407="Fighting"),0-1,IF(OR($R407="Steel",$R407="Poison",$R407="Fire"),1,0)),IF(OR($S407="Dark",$S407="Dragon",$S407="Fighting"),0-1,IF(OR($S407="Steel",$S407="Poison",$S407="Fire"),1,0)))</f>
        <v>1</v>
      </c>
      <c r="AH407" s="507" t="n">
        <f aca="false">IF(OR($R407="Ghost",$S407="Ghost"),4,SUM(IF(OR($R407="Dark",$R407="Ice",$R407="Normal",$R407="Rock",$R407="Steel"),0-1,IF(OR($R407="Bug",$R407="Fairy",$R407="Flying",$R407="Poison",$R407="Psychic"),1,0)),IF(OR($S407="Dark",$S407="Ice",$S407="Normal",$S407="Rock",$S407="Steel"),0-1,IF(OR($S407="Bug",$S407="Fairy",$S407="Flying",$S407="Poison",$S407="Psychic"),1,0))))</f>
        <v>2</v>
      </c>
      <c r="AI407" s="507" t="n">
        <f aca="false">SUM(IF(OR($R407="Bug",$R407="Grass",$R407="Ice",$R407="Steel"),0-1,IF(OR($R407="Dragon",$R407="Fire",$R407="Rock",$R407="Water"),1,0)),IF(OR($S407="Bug",$S407="Grass",$S407="Ice",$S407="Steel"),0-1,IF(OR($S407="Dragon",$S407="Fire",$S407="Rock",$S407="Water"),1,0)))</f>
        <v>-1</v>
      </c>
      <c r="AJ407" s="507" t="n">
        <f aca="false">SUM(IF(OR($R407="Bug",$R407="Grass",$R407="Fighting"),0-1,IF(OR($R407="Electric",$R407="Rock",$R407="Steel"),1,0)),IF(OR($S407="Bug",$S407="Grass",$S407="Fighting"),0-1,IF(OR($S407="Electric",$S407="Rock",$S407="Steel"),1,0)))</f>
        <v>-1</v>
      </c>
      <c r="AK407" s="507" t="n">
        <f aca="false">IF(OR($R407="Normal",$S407="Normal"),4,SUM(IF(OR($R407="Ghost",$R407="Psychic"),0-1,IF($R407="Dark",1,0)),IF(OR($S407="Ghost",$S407="Psychic"),0-1,IF($S407="Dark",1,0))))</f>
        <v>0</v>
      </c>
      <c r="AL407" s="507" t="n">
        <f aca="false">SUM(IF(OR($R407="Ground",$R407="Rock",$R407="Water"),0-1,IF(OR($R407="Bug",$R407="Flying",$R407="Fire",$R407="Dragon",$R407="Poison",$R407="Steel",$R407="Grass"),1,0)),IF(OR($S407="Ground",$S407="Rock",$S407="Water"),0-1,IF(OR($S407="Bug",$S407="Flying",$S407="Fire",$S407="Dragon",$S407="Poison",$S407="Steel",$S407="Grass"),1,0)))</f>
        <v>2</v>
      </c>
      <c r="AM407" s="507" t="n">
        <f aca="false">IF(OR($R407="Flying",$S407="Flying"),4,SUM(IF(OR($R407="Electric",$R407="Fire",$R407="Rock",$R407="Steel",$R407="Poison"),0-1,IF(OR($R407="Bug",$R407="Grass"),1,0)),IF(OR($S407="Electric",$S407="Fire",$S407="Rock",$S407="Steel",$S407="Poison"),0-1,IF(OR($S407="Bug",$S407="Grass"),1,0))))</f>
        <v>0</v>
      </c>
      <c r="AN407" s="507" t="n">
        <f aca="false">SUM(IF(OR($R407="Flying",$R407="Dragon",$R407="Grass",$R407="Ground"),0-1,IF(OR($R407="Steel",$R407="Ice",$R407="Fire",$R407="Water"),1,0)),IF(OR($S407="Flying",$S407="Dragon",$S407="Grass",$S407="Ground"),0-1,IF(OR($S407="Steel",$S407="Ice",$S407="Fire",$S407="Water"),1,0)))</f>
        <v>0</v>
      </c>
      <c r="AO407" s="507" t="n">
        <f aca="false">IF(OR($R407="Ghost",$S407="Ghost"),4,SUM(IF(OR($R407="Steel",$R407="Rock"),1,0),IF(OR($S407="Steel",$S407="Rock"),1,0)))</f>
        <v>0</v>
      </c>
      <c r="AP407" s="507" t="n">
        <f aca="false">IF(OR($R407="Steel",$S407="Steel"),4,SUM(IF(OR($R407="Fairy",$R407="Grass"),0-1,IF(OR($R407="Ghost",$R407="Rock",$R407="Ground",$R407="Poison"),1,0)),IF(OR($S407="Fairy",$S407="Grass"),0-1,IF(OR($S407="Ghost",$S407="Rock",$S407="Ground",$S407="Poison"),1,0))))</f>
        <v>1</v>
      </c>
      <c r="AQ407" s="507" t="n">
        <f aca="false">IF(OR($R407="Dark",$S407="Dark"),4,SUM(IF(OR($R407="Fighting",$R407="Poison"),0-1,IF(OR($R407="Psychic",$R407="Steel"),1,0)),IF(OR($S407="Fighting",$S407="Poison"),0-1,IF(OR($S407="Psychic",$S407="Steel"),1,0))))</f>
        <v>-1</v>
      </c>
      <c r="AR407" s="507" t="n">
        <f aca="false">SUM(IF(OR($R407="Bug",$R407="Fire",$R407="Flying",$R407="Ice"),0-1,IF(OR($R407="Steel",$R407="Fighting",$R407="Ground"),1,0)),IF(OR($S407="Bug",$S407="Fire",$S407="Flying",$S407="Ice"),0-1,IF(OR($S407="Steel",$S407="Fighting",$S407="Ground"),1,0)))</f>
        <v>-1</v>
      </c>
      <c r="AS407" s="507" t="n">
        <f aca="false">SUM(IF(OR($R407="Fairy",$R407="Ice",$R407="Rock"),0-1,IF(OR($R407="Steel",$R407="Electric",$R407="Fire",$R407="Water"),1,0)),IF(OR($S407="Fairy",$S407="Ice",$S407="Rock"),0-1,IF(OR($S407="Steel",$S407="Electric",$S407="Fire",$S407="Water"),1,0)))</f>
        <v>0</v>
      </c>
      <c r="AT407" s="508" t="n">
        <f aca="false">SUM(IF(OR($R407="Fire",$R407="Ground",$R407="Rock"),0-1,IF(OR($R407="Dragon",$R407="Grass",$R407="Water"),1,0)),IF(OR($S407="Fire",$S407="Ground",$S407="Rock"),0-1,IF(OR($S407="Dragon",$S407="Grass",$S407="Water"),1,0)))</f>
        <v>0</v>
      </c>
      <c r="AU407" s="518"/>
    </row>
    <row r="408" customFormat="false" ht="15.75" hidden="false" customHeight="false" outlineLevel="0" collapsed="false">
      <c r="A408" s="510" t="str">
        <f aca="false" t="array" ref="A408:A408">IF(ISNA(INDEX(Source!$U$7:$U$95,MATCH(B408,Source!$V$7:$V$95,0))),"FREE",INDEX(Source!$U$7:$U$95,MATCH(B408,Source!$V$7:$V$95,0)))</f>
        <v>LVC</v>
      </c>
      <c r="B408" s="511" t="s">
        <v>66</v>
      </c>
      <c r="C408" s="511"/>
      <c r="D408" s="511"/>
      <c r="E408" s="499" t="n">
        <f aca="false">IF(SUM($W408:$X408)&gt;0,SUM($W408:$X408),IF($H408&gt;0,0,IF($H408&gt;0,0,"-")))</f>
        <v>0</v>
      </c>
      <c r="F408" s="499" t="n">
        <f aca="false">IF(SUM($Y408:$Z408)&gt;0,SUM($Y408:$Z408),IF($H408&gt;0,0,"-"))</f>
        <v>0</v>
      </c>
      <c r="G408" s="499" t="e">
        <f aca="false">IF($H408&gt;0,minus(E408,F408),"-")</f>
        <v>#NAME?</v>
      </c>
      <c r="H408" s="500" t="n">
        <f aca="false">SUM(COUNTIF(MatchSource!$A:$A,$B408),COUNTIF(MatchSource!$H:$H,$B408))</f>
        <v>4</v>
      </c>
      <c r="I408" s="501" t="n">
        <f aca="false">SUM($AA408:$AB408)</f>
        <v>0</v>
      </c>
      <c r="J408" s="501" t="s">
        <v>700</v>
      </c>
      <c r="K408" s="512" t="n">
        <f aca="false" t="array" ref="K408:K408">IF(ISNA(INDEX(DraftRosters!$AA$3:$AA$199,MATCH($B408,DraftRosters!$AB$3:$AB$199,0))),"FA",IF(INDEX(DraftRosters!$AA$3:$AA$199,MATCH($B408,DraftRosters!$AB$3:$AB$199,0))="Franchise","Franch",INDEX(DraftRosters!$AA$3:$AA$199,MATCH($B408,DraftRosters!$AB$3:$AB$199,0))))</f>
        <v>42</v>
      </c>
      <c r="L408" s="499" t="n">
        <v>65</v>
      </c>
      <c r="M408" s="499" t="n">
        <v>90</v>
      </c>
      <c r="N408" s="499" t="n">
        <v>115</v>
      </c>
      <c r="O408" s="499" t="n">
        <v>45</v>
      </c>
      <c r="P408" s="499" t="n">
        <v>115</v>
      </c>
      <c r="Q408" s="501" t="n">
        <v>58</v>
      </c>
      <c r="R408" s="499" t="s">
        <v>795</v>
      </c>
      <c r="S408" s="501" t="s">
        <v>881</v>
      </c>
      <c r="T408" s="504" t="s">
        <v>1064</v>
      </c>
      <c r="U408" s="505" t="s">
        <v>852</v>
      </c>
      <c r="V408" s="506" t="s">
        <v>997</v>
      </c>
      <c r="W408" s="500" t="str">
        <f aca="false">IFERROR(__xludf.dummyfunction("if(isna(SUM(FILTER(MatchSource!$A:$D,MatchSource!$A:$A=$B408))),0,SUM(FILTER(MatchSource!$A:$D,MatchSource!$A:$A=$B408)))"),"2")</f>
        <v>2</v>
      </c>
      <c r="X408" s="499" t="str">
        <f aca="false">IFERROR(__xludf.dummyfunction("if(isna(SUM(FILTER(MatchSource!$H:$K,MatchSource!$H:$H=$B408))),0,SUM(FILTER(MatchSource!$H:$K,MatchSource!$H:$H=$B408)))"),"2")</f>
        <v>2</v>
      </c>
      <c r="Y408" s="499" t="str">
        <f aca="false">IFERROR(__xludf.dummyfunction("if(isna(ABS(MINUS(SUM(FILTER(MatchSource!$A:$E,MatchSource!$A:$A=$B408)),SUM($W408)))),0,ABS(MINUS(SUM(FILTER(MatchSource!$A:$E,MatchSource!$A:$A=$B408)),SUM($W408))))"),"2")</f>
        <v>2</v>
      </c>
      <c r="Z408" s="499" t="str">
        <f aca="false">IFERROR(__xludf.dummyfunction("if(isna(ABS(MINUS(SUM(FILTER(MatchSource!$H:$L,MatchSource!$H:$H=$B408)),SUM($X408)))),0,ABS(MINUS(SUM(FILTER(MatchSource!$H:$L,MatchSource!$H:$H=$B408)),SUM($X408))))"),"2")</f>
        <v>2</v>
      </c>
      <c r="AA408" s="499" t="str">
        <f aca="false">IFERROR(__xludf.dummyfunction("if(isna(ABS(MINUS(SUM(FILTER(MatchSource!$A:$F,MatchSource!$A:$A=$B408)),SUM($W408,$Y408)))),0,ABS(MINUS(SUM(FILTER(MatchSource!$A:$F,MatchSource!$A:$A=$B408)),SUM($W408, $Y408,))))"),"1")</f>
        <v>1</v>
      </c>
      <c r="AB408" s="501" t="str">
        <f aca="false">IFERROR(__xludf.dummyfunction("if(isna(ABS(MINUS(SUM(FILTER(MatchSource!$H:$M,MatchSource!$H:$H=$B408)),SUM($X408,$Z408)))),0,ABS(MINUS(SUM(FILTER(MatchSource!$H:$M,MatchSource!$H:$H=$B408)),SUM($X408,$Z408))))"),"1")</f>
        <v>1</v>
      </c>
      <c r="AC408" s="507" t="n">
        <f aca="false">SUM(IF(OR($R408="Grass",$R408="Psychic",$R408="Dark"),0-1,IF(OR($R408="Fighting",$R408="Flying",$R408="Fire",$R408="Ghost",$R408="Poison",$R408="Steel",$R408="Fairy"),1,0)),IF(OR($S408="Grass",$S408="Psychic",$S408="Dark"),0-1,IF(OR($S408="Fighting",$S408="Flying",$S408="Fire",$S408="Ghost",$S408="Poison",$S408="Steel",$S408="Fairy"),1,0)))</f>
        <v>0</v>
      </c>
      <c r="AD408" s="507" t="n">
        <f aca="false">SUM(IF(OR($R408="Ghost",$R408="Psychic"),0-1,IF(OR($R408="Fighting",$R408="Dark",$R408="Fairy"),1,0)),IF(OR($S408="Ghost",$S408="Psychic"),0-1,IF(OR($S408="Fighting",$S408="Dark",$S408="Fairy"),1,0)))</f>
        <v>2</v>
      </c>
      <c r="AE408" s="507" t="n">
        <f aca="false">IF(OR($R408="Fairy",$S408="Fairy"),4,SUM(IF($R408="Dragon",0-1,IF($R408="Steel",1,0)),IF($S408="Dragon",0-1,IF($S408="Steel",1,0))))</f>
        <v>0</v>
      </c>
      <c r="AF408" s="507" t="n">
        <f aca="false">IF(OR($R408="Ground",$S408="Ground"),4,SUM(IF(OR($R408="Flying",$R408="Water"),0-1,IF(OR($R408="Dragon",$R408="Electric",$R408="Grass"),1,0)),IF(OR($S408="Flying",$S408="Water"),0-1,IF(OR($S408="Dragon",$S408="Electric",$S408="Grass"),1,0))))</f>
        <v>0</v>
      </c>
      <c r="AG408" s="507" t="n">
        <f aca="false">SUM(IF(OR($R408="Dark",$R408="Dragon",$R408="Fighting"),0-1,IF(OR($R408="Steel",$R408="Poison",$R408="Fire"),1,0)),IF(OR($S408="Dark",$S408="Dragon",$S408="Fighting"),0-1,IF(OR($S408="Steel",$S408="Poison",$S408="Fire"),1,0)))</f>
        <v>-2</v>
      </c>
      <c r="AH408" s="507" t="n">
        <f aca="false">IF(OR($R408="Ghost",$S408="Ghost"),4,SUM(IF(OR($R408="Dark",$R408="Ice",$R408="Normal",$R408="Rock",$R408="Steel"),0-1,IF(OR($R408="Bug",$R408="Fairy",$R408="Flying",$R408="Poison",$R408="Psychic"),1,0)),IF(OR($S408="Dark",$S408="Ice",$S408="Normal",$S408="Rock",$S408="Steel"),0-1,IF(OR($S408="Bug",$S408="Fairy",$S408="Flying",$S408="Poison",$S408="Psychic"),1,0))))</f>
        <v>-1</v>
      </c>
      <c r="AI408" s="507" t="n">
        <f aca="false">SUM(IF(OR($R408="Bug",$R408="Grass",$R408="Ice",$R408="Steel"),0-1,IF(OR($R408="Dragon",$R408="Fire",$R408="Rock",$R408="Water"),1,0)),IF(OR($S408="Bug",$S408="Grass",$S408="Ice",$S408="Steel"),0-1,IF(OR($S408="Dragon",$S408="Fire",$S408="Rock",$S408="Water"),1,0)))</f>
        <v>0</v>
      </c>
      <c r="AJ408" s="507" t="n">
        <f aca="false">SUM(IF(OR($R408="Bug",$R408="Grass",$R408="Fighting"),0-1,IF(OR($R408="Electric",$R408="Rock",$R408="Steel"),1,0)),IF(OR($S408="Bug",$S408="Grass",$S408="Fighting"),0-1,IF(OR($S408="Electric",$S408="Rock",$S408="Steel"),1,0)))</f>
        <v>-1</v>
      </c>
      <c r="AK408" s="507" t="n">
        <f aca="false">IF(OR($R408="Normal",$S408="Normal"),4,SUM(IF(OR($R408="Ghost",$R408="Psychic"),0-1,IF($R408="Dark",1,0)),IF(OR($S408="Ghost",$S408="Psychic"),0-1,IF($S408="Dark",1,0))))</f>
        <v>1</v>
      </c>
      <c r="AL408" s="507" t="n">
        <f aca="false">SUM(IF(OR($R408="Ground",$R408="Rock",$R408="Water"),0-1,IF(OR($R408="Bug",$R408="Flying",$R408="Fire",$R408="Dragon",$R408="Poison",$R408="Steel",$R408="Grass"),1,0)),IF(OR($S408="Ground",$S408="Rock",$S408="Water"),0-1,IF(OR($S408="Bug",$S408="Flying",$S408="Fire",$S408="Dragon",$S408="Poison",$S408="Steel",$S408="Grass"),1,0)))</f>
        <v>0</v>
      </c>
      <c r="AM408" s="507" t="n">
        <f aca="false">IF(OR($R408="Flying",$S408="Flying"),4,SUM(IF(OR($R408="Electric",$R408="Fire",$R408="Rock",$R408="Steel",$R408="Poison"),0-1,IF(OR($R408="Bug",$R408="Grass"),1,0)),IF(OR($S408="Electric",$S408="Fire",$S408="Rock",$S408="Steel",$S408="Poison"),0-1,IF(OR($S408="Bug",$S408="Grass"),1,0))))</f>
        <v>0</v>
      </c>
      <c r="AN408" s="507" t="n">
        <f aca="false">SUM(IF(OR($R408="Flying",$R408="Dragon",$R408="Grass",$R408="Ground"),0-1,IF(OR($R408="Steel",$R408="Ice",$R408="Fire",$R408="Water"),1,0)),IF(OR($S408="Flying",$S408="Dragon",$S408="Grass",$S408="Ground"),0-1,IF(OR($S408="Steel",$S408="Ice",$S408="Fire",$S408="Water"),1,0)))</f>
        <v>0</v>
      </c>
      <c r="AO408" s="507" t="n">
        <f aca="false">IF(OR($R408="Ghost",$S408="Ghost"),4,SUM(IF(OR($R408="Steel",$R408="Rock"),1,0),IF(OR($S408="Steel",$S408="Rock"),1,0)))</f>
        <v>0</v>
      </c>
      <c r="AP408" s="507" t="n">
        <f aca="false">IF(OR($R408="Steel",$S408="Steel"),4,SUM(IF(OR($R408="Fairy",$R408="Grass"),0-1,IF(OR($R408="Ghost",$R408="Rock",$R408="Ground",$R408="Poison"),1,0)),IF(OR($S408="Fairy",$S408="Grass"),0-1,IF(OR($S408="Ghost",$S408="Rock",$S408="Ground",$S408="Poison"),1,0))))</f>
        <v>0</v>
      </c>
      <c r="AQ408" s="507" t="n">
        <f aca="false">IF(OR($R408="Dark",$S408="Dark"),4,SUM(IF(OR($R408="Fighting",$R408="Poison"),0-1,IF(OR($R408="Psychic",$R408="Steel"),1,0)),IF(OR($S408="Fighting",$S408="Poison"),0-1,IF(OR($S408="Psychic",$S408="Steel"),1,0))))</f>
        <v>4</v>
      </c>
      <c r="AR408" s="507" t="n">
        <f aca="false">SUM(IF(OR($R408="Bug",$R408="Fire",$R408="Flying",$R408="Ice"),0-1,IF(OR($R408="Steel",$R408="Fighting",$R408="Ground"),1,0)),IF(OR($S408="Bug",$S408="Fire",$S408="Flying",$S408="Ice"),0-1,IF(OR($S408="Steel",$S408="Fighting",$S408="Ground"),1,0)))</f>
        <v>1</v>
      </c>
      <c r="AS408" s="507" t="n">
        <f aca="false">SUM(IF(OR($R408="Fairy",$R408="Ice",$R408="Rock"),0-1,IF(OR($R408="Steel",$R408="Electric",$R408="Fire",$R408="Water"),1,0)),IF(OR($S408="Fairy",$S408="Ice",$S408="Rock"),0-1,IF(OR($S408="Steel",$S408="Electric",$S408="Fire",$S408="Water"),1,0)))</f>
        <v>0</v>
      </c>
      <c r="AT408" s="508" t="n">
        <f aca="false">SUM(IF(OR($R408="Fire",$R408="Ground",$R408="Rock"),0-1,IF(OR($R408="Dragon",$R408="Grass",$R408="Water"),1,0)),IF(OR($S408="Fire",$S408="Ground",$S408="Rock"),0-1,IF(OR($S408="Dragon",$S408="Grass",$S408="Water"),1,0)))</f>
        <v>0</v>
      </c>
      <c r="AU408" s="518"/>
    </row>
    <row r="409" customFormat="false" ht="15.75" hidden="false" customHeight="false" outlineLevel="0" collapsed="false">
      <c r="A409" s="510" t="str">
        <f aca="false" t="array" ref="A409:A409">IF(ISNA(INDEX(Source!$U$7:$U$95,MATCH(B409,Source!$V$7:$V$95,0))),"FREE",INDEX(Source!$U$7:$U$95,MATCH(B409,Source!$V$7:$V$95,0)))</f>
        <v>FREE</v>
      </c>
      <c r="B409" s="511" t="s">
        <v>557</v>
      </c>
      <c r="C409" s="511"/>
      <c r="D409" s="511"/>
      <c r="E409" s="499" t="str">
        <f aca="false">IF(SUM($W409:$X409)&gt;0,SUM($W409:$X409),IF($H409&gt;0,0,IF($H409&gt;0,0,"-")))</f>
        <v>-</v>
      </c>
      <c r="F409" s="499" t="str">
        <f aca="false">IF(SUM($Y409:$Z409)&gt;0,SUM($Y409:$Z409),IF($H409&gt;0,0,"-"))</f>
        <v>-</v>
      </c>
      <c r="G409" s="499" t="str">
        <f aca="false">IF($H409&gt;0,minus(E409,F409),"-")</f>
        <v>-</v>
      </c>
      <c r="H409" s="500" t="n">
        <f aca="false">SUM(COUNTIF(MatchSource!$A:$A,$B409),COUNTIF(MatchSource!$H:$H,$B409))</f>
        <v>0</v>
      </c>
      <c r="I409" s="501" t="n">
        <f aca="false">SUM($AA409:$AB409)</f>
        <v>0</v>
      </c>
      <c r="J409" s="501" t="s">
        <v>702</v>
      </c>
      <c r="K409" s="512" t="str">
        <f aca="false" t="array" ref="K409:K409">IF(ISNA(INDEX(DraftRosters!$AA$3:$AA$199,MATCH($B409,DraftRosters!$AB$3:$AB$199,0))),"FA",IF(INDEX(DraftRosters!$AA$3:$AA$199,MATCH($B409,DraftRosters!$AB$3:$AB$199,0))="Franchise","Franch",INDEX(DraftRosters!$AA$3:$AA$199,MATCH($B409,DraftRosters!$AB$3:$AB$199,0))))</f>
        <v>FA</v>
      </c>
      <c r="L409" s="499" t="n">
        <v>70</v>
      </c>
      <c r="M409" s="499" t="n">
        <v>110</v>
      </c>
      <c r="N409" s="499" t="n">
        <v>80</v>
      </c>
      <c r="O409" s="499" t="n">
        <v>55</v>
      </c>
      <c r="P409" s="499" t="n">
        <v>80</v>
      </c>
      <c r="Q409" s="501" t="n">
        <v>105</v>
      </c>
      <c r="R409" s="499" t="s">
        <v>794</v>
      </c>
      <c r="S409" s="501" t="s">
        <v>801</v>
      </c>
      <c r="T409" s="520" t="s">
        <v>976</v>
      </c>
      <c r="U409" s="513" t="s">
        <v>842</v>
      </c>
      <c r="V409" s="514" t="s">
        <v>857</v>
      </c>
      <c r="W409" s="500" t="str">
        <f aca="false">IFERROR(__xludf.dummyfunction("if(isna(SUM(FILTER(MatchSource!$A:$D,MatchSource!$A:$A=$B409))),0,SUM(FILTER(MatchSource!$A:$D,MatchSource!$A:$A=$B409)))"),"0")</f>
        <v>0</v>
      </c>
      <c r="X409" s="499" t="str">
        <f aca="false">IFERROR(__xludf.dummyfunction("if(isna(SUM(FILTER(MatchSource!$H:$K,MatchSource!$H:$H=$B409))),0,SUM(FILTER(MatchSource!$H:$K,MatchSource!$H:$H=$B409)))"),"0")</f>
        <v>0</v>
      </c>
      <c r="Y409" s="499" t="str">
        <f aca="false">IFERROR(__xludf.dummyfunction("if(isna(ABS(MINUS(SUM(FILTER(MatchSource!$A:$E,MatchSource!$A:$A=$B409)),SUM($W409)))),0,ABS(MINUS(SUM(FILTER(MatchSource!$A:$E,MatchSource!$A:$A=$B409)),SUM($W409))))"),"0")</f>
        <v>0</v>
      </c>
      <c r="Z409" s="499" t="str">
        <f aca="false">IFERROR(__xludf.dummyfunction("if(isna(ABS(MINUS(SUM(FILTER(MatchSource!$H:$L,MatchSource!$H:$H=$B409)),SUM($X409)))),0,ABS(MINUS(SUM(FILTER(MatchSource!$H:$L,MatchSource!$H:$H=$B409)),SUM($X409))))"),"0")</f>
        <v>0</v>
      </c>
      <c r="AA409" s="499" t="str">
        <f aca="false">IFERROR(__xludf.dummyfunction("if(isna(ABS(MINUS(SUM(FILTER(MatchSource!$A:$F,MatchSource!$A:$A=$B409)),SUM($W409,$Y409)))),0,ABS(MINUS(SUM(FILTER(MatchSource!$A:$F,MatchSource!$A:$A=$B409)),SUM($W409, $Y409,))))"),"0")</f>
        <v>0</v>
      </c>
      <c r="AB409" s="501" t="str">
        <f aca="false">IFERROR(__xludf.dummyfunction("if(isna(ABS(MINUS(SUM(FILTER(MatchSource!$H:$M,MatchSource!$H:$H=$B409)),SUM($X409,$Z409)))),0,ABS(MINUS(SUM(FILTER(MatchSource!$H:$M,MatchSource!$H:$H=$B409)),SUM($X409,$Z409))))"),"0")</f>
        <v>0</v>
      </c>
      <c r="AC409" s="507" t="n">
        <f aca="false">SUM(IF(OR($R409="Grass",$R409="Psychic",$R409="Dark"),0-1,IF(OR($R409="Fighting",$R409="Flying",$R409="Fire",$R409="Ghost",$R409="Poison",$R409="Steel",$R409="Fairy"),1,0)),IF(OR($S409="Grass",$S409="Psychic",$S409="Dark"),0-1,IF(OR($S409="Fighting",$S409="Flying",$S409="Fire",$S409="Ghost",$S409="Poison",$S409="Steel",$S409="Fairy"),1,0)))</f>
        <v>1</v>
      </c>
      <c r="AD409" s="507" t="n">
        <f aca="false">SUM(IF(OR($R409="Ghost",$R409="Psychic"),0-1,IF(OR($R409="Fighting",$R409="Dark",$R409="Fairy"),1,0)),IF(OR($S409="Ghost",$S409="Psychic"),0-1,IF(OR($S409="Fighting",$S409="Dark",$S409="Fairy"),1,0)))</f>
        <v>0</v>
      </c>
      <c r="AE409" s="507" t="n">
        <f aca="false">IF(OR($R409="Fairy",$S409="Fairy"),4,SUM(IF($R409="Dragon",0-1,IF($R409="Steel",1,0)),IF($S409="Dragon",0-1,IF($S409="Steel",1,0))))</f>
        <v>0</v>
      </c>
      <c r="AF409" s="507" t="n">
        <f aca="false">IF(OR($R409="Ground",$S409="Ground"),4,SUM(IF(OR($R409="Flying",$R409="Water"),0-1,IF(OR($R409="Dragon",$R409="Electric",$R409="Grass"),1,0)),IF(OR($S409="Flying",$S409="Water"),0-1,IF(OR($S409="Dragon",$S409="Electric",$S409="Grass"),1,0))))</f>
        <v>-1</v>
      </c>
      <c r="AG409" s="507" t="n">
        <f aca="false">SUM(IF(OR($R409="Dark",$R409="Dragon",$R409="Fighting"),0-1,IF(OR($R409="Steel",$R409="Poison",$R409="Fire"),1,0)),IF(OR($S409="Dark",$S409="Dragon",$S409="Fighting"),0-1,IF(OR($S409="Steel",$S409="Poison",$S409="Fire"),1,0)))</f>
        <v>0</v>
      </c>
      <c r="AH409" s="507" t="n">
        <f aca="false">IF(OR($R409="Ghost",$S409="Ghost"),4,SUM(IF(OR($R409="Dark",$R409="Ice",$R409="Normal",$R409="Rock",$R409="Steel"),0-1,IF(OR($R409="Bug",$R409="Fairy",$R409="Flying",$R409="Poison",$R409="Psychic"),1,0)),IF(OR($S409="Dark",$S409="Ice",$S409="Normal",$S409="Rock",$S409="Steel"),0-1,IF(OR($S409="Bug",$S409="Fairy",$S409="Flying",$S409="Poison",$S409="Psychic"),1,0))))</f>
        <v>2</v>
      </c>
      <c r="AI409" s="507" t="n">
        <f aca="false">SUM(IF(OR($R409="Bug",$R409="Grass",$R409="Ice",$R409="Steel"),0-1,IF(OR($R409="Dragon",$R409="Fire",$R409="Rock",$R409="Water"),1,0)),IF(OR($S409="Bug",$S409="Grass",$S409="Ice",$S409="Steel"),0-1,IF(OR($S409="Dragon",$S409="Fire",$S409="Rock",$S409="Water"),1,0)))</f>
        <v>-1</v>
      </c>
      <c r="AJ409" s="507" t="n">
        <f aca="false">SUM(IF(OR($R409="Bug",$R409="Grass",$R409="Fighting"),0-1,IF(OR($R409="Electric",$R409="Rock",$R409="Steel"),1,0)),IF(OR($S409="Bug",$S409="Grass",$S409="Fighting"),0-1,IF(OR($S409="Electric",$S409="Rock",$S409="Steel"),1,0)))</f>
        <v>-1</v>
      </c>
      <c r="AK409" s="507" t="n">
        <f aca="false">IF(OR($R409="Normal",$S409="Normal"),4,SUM(IF(OR($R409="Ghost",$R409="Psychic"),0-1,IF($R409="Dark",1,0)),IF(OR($S409="Ghost",$S409="Psychic"),0-1,IF($S409="Dark",1,0))))</f>
        <v>0</v>
      </c>
      <c r="AL409" s="507" t="n">
        <f aca="false">SUM(IF(OR($R409="Ground",$R409="Rock",$R409="Water"),0-1,IF(OR($R409="Bug",$R409="Flying",$R409="Fire",$R409="Dragon",$R409="Poison",$R409="Steel",$R409="Grass"),1,0)),IF(OR($S409="Ground",$S409="Rock",$S409="Water"),0-1,IF(OR($S409="Bug",$S409="Flying",$S409="Fire",$S409="Dragon",$S409="Poison",$S409="Steel",$S409="Grass"),1,0)))</f>
        <v>2</v>
      </c>
      <c r="AM409" s="507" t="n">
        <f aca="false">IF(OR($R409="Flying",$S409="Flying"),4,SUM(IF(OR($R409="Electric",$R409="Fire",$R409="Rock",$R409="Steel",$R409="Poison"),0-1,IF(OR($R409="Bug",$R409="Grass"),1,0)),IF(OR($S409="Electric",$S409="Fire",$S409="Rock",$S409="Steel",$S409="Poison"),0-1,IF(OR($S409="Bug",$S409="Grass"),1,0))))</f>
        <v>4</v>
      </c>
      <c r="AN409" s="507" t="n">
        <f aca="false">SUM(IF(OR($R409="Flying",$R409="Dragon",$R409="Grass",$R409="Ground"),0-1,IF(OR($R409="Steel",$R409="Ice",$R409="Fire",$R409="Water"),1,0)),IF(OR($S409="Flying",$S409="Dragon",$S409="Grass",$S409="Ground"),0-1,IF(OR($S409="Steel",$S409="Ice",$S409="Fire",$S409="Water"),1,0)))</f>
        <v>-1</v>
      </c>
      <c r="AO409" s="507" t="n">
        <f aca="false">IF(OR($R409="Ghost",$S409="Ghost"),4,SUM(IF(OR($R409="Steel",$R409="Rock"),1,0),IF(OR($S409="Steel",$S409="Rock"),1,0)))</f>
        <v>0</v>
      </c>
      <c r="AP409" s="507" t="n">
        <f aca="false">IF(OR($R409="Steel",$S409="Steel"),4,SUM(IF(OR($R409="Fairy",$R409="Grass"),0-1,IF(OR($R409="Ghost",$R409="Rock",$R409="Ground",$R409="Poison"),1,0)),IF(OR($S409="Fairy",$S409="Grass"),0-1,IF(OR($S409="Ghost",$S409="Rock",$S409="Ground",$S409="Poison"),1,0))))</f>
        <v>0</v>
      </c>
      <c r="AQ409" s="507" t="n">
        <f aca="false">IF(OR($R409="Dark",$S409="Dark"),4,SUM(IF(OR($R409="Fighting",$R409="Poison"),0-1,IF(OR($R409="Psychic",$R409="Steel"),1,0)),IF(OR($S409="Fighting",$S409="Poison"),0-1,IF(OR($S409="Psychic",$S409="Steel"),1,0))))</f>
        <v>0</v>
      </c>
      <c r="AR409" s="507" t="n">
        <f aca="false">SUM(IF(OR($R409="Bug",$R409="Fire",$R409="Flying",$R409="Ice"),0-1,IF(OR($R409="Steel",$R409="Fighting",$R409="Ground"),1,0)),IF(OR($S409="Bug",$S409="Fire",$S409="Flying",$S409="Ice"),0-1,IF(OR($S409="Steel",$S409="Fighting",$S409="Ground"),1,0)))</f>
        <v>-2</v>
      </c>
      <c r="AS409" s="507" t="n">
        <f aca="false">SUM(IF(OR($R409="Fairy",$R409="Ice",$R409="Rock"),0-1,IF(OR($R409="Steel",$R409="Electric",$R409="Fire",$R409="Water"),1,0)),IF(OR($S409="Fairy",$S409="Ice",$S409="Rock"),0-1,IF(OR($S409="Steel",$S409="Electric",$S409="Fire",$S409="Water"),1,0)))</f>
        <v>0</v>
      </c>
      <c r="AT409" s="508" t="n">
        <f aca="false">SUM(IF(OR($R409="Fire",$R409="Ground",$R409="Rock"),0-1,IF(OR($R409="Dragon",$R409="Grass",$R409="Water"),1,0)),IF(OR($S409="Fire",$S409="Ground",$S409="Rock"),0-1,IF(OR($S409="Dragon",$S409="Grass",$S409="Water"),1,0)))</f>
        <v>0</v>
      </c>
      <c r="AU409" s="518"/>
    </row>
    <row r="410" customFormat="false" ht="15.75" hidden="false" customHeight="false" outlineLevel="0" collapsed="false">
      <c r="A410" s="510" t="str">
        <f aca="false" t="array" ref="A410:A410">IF(ISNA(INDEX(Source!$U$7:$U$95,MATCH(B410,Source!$V$7:$V$95,0))),"FREE",INDEX(Source!$U$7:$U$95,MATCH(B410,Source!$V$7:$V$95,0)))</f>
        <v>FREE</v>
      </c>
      <c r="B410" s="511" t="s">
        <v>561</v>
      </c>
      <c r="C410" s="511"/>
      <c r="D410" s="511"/>
      <c r="E410" s="499" t="str">
        <f aca="false">IF(SUM($W410:$X410)&gt;0,SUM($W410:$X410),IF($H410&gt;0,0,IF($H410&gt;0,0,"-")))</f>
        <v>-</v>
      </c>
      <c r="F410" s="499" t="str">
        <f aca="false">IF(SUM($Y410:$Z410)&gt;0,SUM($Y410:$Z410),IF($H410&gt;0,0,"-"))</f>
        <v>-</v>
      </c>
      <c r="G410" s="499" t="str">
        <f aca="false">IF($H410&gt;0,minus(E410,F410),"-")</f>
        <v>-</v>
      </c>
      <c r="H410" s="500" t="n">
        <f aca="false">SUM(COUNTIF(MatchSource!$A:$A,$B410),COUNTIF(MatchSource!$H:$H,$B410))</f>
        <v>0</v>
      </c>
      <c r="I410" s="501" t="n">
        <f aca="false">SUM($AA410:$AB410)</f>
        <v>0</v>
      </c>
      <c r="J410" s="501" t="s">
        <v>702</v>
      </c>
      <c r="K410" s="512" t="str">
        <f aca="false" t="array" ref="K410:K410">IF(ISNA(INDEX(DraftRosters!$AA$3:$AA$199,MATCH($B410,DraftRosters!$AB$3:$AB$199,0))),"FA",IF(INDEX(DraftRosters!$AA$3:$AA$199,MATCH($B410,DraftRosters!$AB$3:$AB$199,0))="Franchise","Franch",INDEX(DraftRosters!$AA$3:$AA$199,MATCH($B410,DraftRosters!$AB$3:$AB$199,0))))</f>
        <v>FA</v>
      </c>
      <c r="L410" s="499" t="n">
        <v>80</v>
      </c>
      <c r="M410" s="499" t="n">
        <v>92</v>
      </c>
      <c r="N410" s="499" t="n">
        <v>65</v>
      </c>
      <c r="O410" s="499" t="n">
        <v>65</v>
      </c>
      <c r="P410" s="499" t="n">
        <v>80</v>
      </c>
      <c r="Q410" s="501" t="n">
        <v>68</v>
      </c>
      <c r="R410" s="499" t="s">
        <v>811</v>
      </c>
      <c r="S410" s="501"/>
      <c r="T410" s="520" t="s">
        <v>1023</v>
      </c>
      <c r="U410" s="513" t="s">
        <v>859</v>
      </c>
      <c r="V410" s="514" t="s">
        <v>973</v>
      </c>
      <c r="W410" s="500" t="str">
        <f aca="false">IFERROR(__xludf.dummyfunction("if(isna(SUM(FILTER(MatchSource!$A:$D,MatchSource!$A:$A=$B410))),0,SUM(FILTER(MatchSource!$A:$D,MatchSource!$A:$A=$B410)))"),"0")</f>
        <v>0</v>
      </c>
      <c r="X410" s="499" t="str">
        <f aca="false">IFERROR(__xludf.dummyfunction("if(isna(SUM(FILTER(MatchSource!$H:$K,MatchSource!$H:$H=$B410))),0,SUM(FILTER(MatchSource!$H:$K,MatchSource!$H:$H=$B410)))"),"0")</f>
        <v>0</v>
      </c>
      <c r="Y410" s="499" t="str">
        <f aca="false">IFERROR(__xludf.dummyfunction("if(isna(ABS(MINUS(SUM(FILTER(MatchSource!$A:$E,MatchSource!$A:$A=$B410)),SUM($W410)))),0,ABS(MINUS(SUM(FILTER(MatchSource!$A:$E,MatchSource!$A:$A=$B410)),SUM($W410))))"),"0")</f>
        <v>0</v>
      </c>
      <c r="Z410" s="499" t="str">
        <f aca="false">IFERROR(__xludf.dummyfunction("if(isna(ABS(MINUS(SUM(FILTER(MatchSource!$H:$L,MatchSource!$H:$H=$B410)),SUM($X410)))),0,ABS(MINUS(SUM(FILTER(MatchSource!$H:$L,MatchSource!$H:$H=$B410)),SUM($X410))))"),"0")</f>
        <v>0</v>
      </c>
      <c r="AA410" s="499" t="str">
        <f aca="false">IFERROR(__xludf.dummyfunction("if(isna(ABS(MINUS(SUM(FILTER(MatchSource!$A:$F,MatchSource!$A:$A=$B410)),SUM($W410,$Y410)))),0,ABS(MINUS(SUM(FILTER(MatchSource!$A:$F,MatchSource!$A:$A=$B410)),SUM($W410, $Y410,))))"),"0")</f>
        <v>0</v>
      </c>
      <c r="AB410" s="501" t="str">
        <f aca="false">IFERROR(__xludf.dummyfunction("if(isna(ABS(MINUS(SUM(FILTER(MatchSource!$H:$M,MatchSource!$H:$H=$B410)),SUM($X410,$Z410)))),0,ABS(MINUS(SUM(FILTER(MatchSource!$H:$M,MatchSource!$H:$H=$B410)),SUM($X410,$Z410))))"),"0")</f>
        <v>0</v>
      </c>
      <c r="AC410" s="507" t="n">
        <f aca="false">SUM(IF(OR($R410="Grass",$R410="Psychic",$R410="Dark"),0-1,IF(OR($R410="Fighting",$R410="Flying",$R410="Fire",$R410="Ghost",$R410="Poison",$R410="Steel",$R410="Fairy"),1,0)),IF(OR($S410="Grass",$S410="Psychic",$S410="Dark"),0-1,IF(OR($S410="Fighting",$S410="Flying",$S410="Fire",$S410="Ghost",$S410="Poison",$S410="Steel",$S410="Fairy"),1,0)))</f>
        <v>0</v>
      </c>
      <c r="AD410" s="507" t="n">
        <f aca="false">SUM(IF(OR($R410="Ghost",$R410="Psychic"),0-1,IF(OR($R410="Fighting",$R410="Dark",$R410="Fairy"),1,0)),IF(OR($S410="Ghost",$S410="Psychic"),0-1,IF(OR($S410="Fighting",$S410="Dark",$S410="Fairy"),1,0)))</f>
        <v>0</v>
      </c>
      <c r="AE410" s="507" t="n">
        <f aca="false">IF(OR($R410="Fairy",$S410="Fairy"),4,SUM(IF($R410="Dragon",0-1,IF($R410="Steel",1,0)),IF($S410="Dragon",0-1,IF($S410="Steel",1,0))))</f>
        <v>0</v>
      </c>
      <c r="AF410" s="507" t="n">
        <f aca="false">IF(OR($R410="Ground",$S410="Ground"),4,SUM(IF(OR($R410="Flying",$R410="Water"),0-1,IF(OR($R410="Dragon",$R410="Electric",$R410="Grass"),1,0)),IF(OR($S410="Flying",$S410="Water"),0-1,IF(OR($S410="Dragon",$S410="Electric",$S410="Grass"),1,0))))</f>
        <v>-1</v>
      </c>
      <c r="AG410" s="507" t="n">
        <f aca="false">SUM(IF(OR($R410="Dark",$R410="Dragon",$R410="Fighting"),0-1,IF(OR($R410="Steel",$R410="Poison",$R410="Fire"),1,0)),IF(OR($S410="Dark",$S410="Dragon",$S410="Fighting"),0-1,IF(OR($S410="Steel",$S410="Poison",$S410="Fire"),1,0)))</f>
        <v>0</v>
      </c>
      <c r="AH410" s="507" t="n">
        <f aca="false">IF(OR($R410="Ghost",$S410="Ghost"),4,SUM(IF(OR($R410="Dark",$R410="Ice",$R410="Normal",$R410="Rock",$R410="Steel"),0-1,IF(OR($R410="Bug",$R410="Fairy",$R410="Flying",$R410="Poison",$R410="Psychic"),1,0)),IF(OR($S410="Dark",$S410="Ice",$S410="Normal",$S410="Rock",$S410="Steel"),0-1,IF(OR($S410="Bug",$S410="Fairy",$S410="Flying",$S410="Poison",$S410="Psychic"),1,0))))</f>
        <v>0</v>
      </c>
      <c r="AI410" s="507" t="n">
        <f aca="false">SUM(IF(OR($R410="Bug",$R410="Grass",$R410="Ice",$R410="Steel"),0-1,IF(OR($R410="Dragon",$R410="Fire",$R410="Rock",$R410="Water"),1,0)),IF(OR($S410="Bug",$S410="Grass",$S410="Ice",$S410="Steel"),0-1,IF(OR($S410="Dragon",$S410="Fire",$S410="Rock",$S410="Water"),1,0)))</f>
        <v>1</v>
      </c>
      <c r="AJ410" s="507" t="n">
        <f aca="false">SUM(IF(OR($R410="Bug",$R410="Grass",$R410="Fighting"),0-1,IF(OR($R410="Electric",$R410="Rock",$R410="Steel"),1,0)),IF(OR($S410="Bug",$S410="Grass",$S410="Fighting"),0-1,IF(OR($S410="Electric",$S410="Rock",$S410="Steel"),1,0)))</f>
        <v>0</v>
      </c>
      <c r="AK410" s="507" t="n">
        <f aca="false">IF(OR($R410="Normal",$S410="Normal"),4,SUM(IF(OR($R410="Ghost",$R410="Psychic"),0-1,IF($R410="Dark",1,0)),IF(OR($S410="Ghost",$S410="Psychic"),0-1,IF($S410="Dark",1,0))))</f>
        <v>0</v>
      </c>
      <c r="AL410" s="507" t="n">
        <f aca="false">SUM(IF(OR($R410="Ground",$R410="Rock",$R410="Water"),0-1,IF(OR($R410="Bug",$R410="Flying",$R410="Fire",$R410="Dragon",$R410="Poison",$R410="Steel",$R410="Grass"),1,0)),IF(OR($S410="Ground",$S410="Rock",$S410="Water"),0-1,IF(OR($S410="Bug",$S410="Flying",$S410="Fire",$S410="Dragon",$S410="Poison",$S410="Steel",$S410="Grass"),1,0)))</f>
        <v>-1</v>
      </c>
      <c r="AM410" s="507" t="n">
        <f aca="false">IF(OR($R410="Flying",$S410="Flying"),4,SUM(IF(OR($R410="Electric",$R410="Fire",$R410="Rock",$R410="Steel",$R410="Poison"),0-1,IF(OR($R410="Bug",$R410="Grass"),1,0)),IF(OR($S410="Electric",$S410="Fire",$S410="Rock",$S410="Steel",$S410="Poison"),0-1,IF(OR($S410="Bug",$S410="Grass"),1,0))))</f>
        <v>0</v>
      </c>
      <c r="AN410" s="507" t="n">
        <f aca="false">SUM(IF(OR($R410="Flying",$R410="Dragon",$R410="Grass",$R410="Ground"),0-1,IF(OR($R410="Steel",$R410="Ice",$R410="Fire",$R410="Water"),1,0)),IF(OR($S410="Flying",$S410="Dragon",$S410="Grass",$S410="Ground"),0-1,IF(OR($S410="Steel",$S410="Ice",$S410="Fire",$S410="Water"),1,0)))</f>
        <v>1</v>
      </c>
      <c r="AO410" s="507" t="n">
        <f aca="false">IF(OR($R410="Ghost",$S410="Ghost"),4,SUM(IF(OR($R410="Steel",$R410="Rock"),1,0),IF(OR($S410="Steel",$S410="Rock"),1,0)))</f>
        <v>0</v>
      </c>
      <c r="AP410" s="507" t="n">
        <f aca="false">IF(OR($R410="Steel",$S410="Steel"),4,SUM(IF(OR($R410="Fairy",$R410="Grass"),0-1,IF(OR($R410="Ghost",$R410="Rock",$R410="Ground",$R410="Poison"),1,0)),IF(OR($S410="Fairy",$S410="Grass"),0-1,IF(OR($S410="Ghost",$S410="Rock",$S410="Ground",$S410="Poison"),1,0))))</f>
        <v>0</v>
      </c>
      <c r="AQ410" s="507" t="n">
        <f aca="false">IF(OR($R410="Dark",$S410="Dark"),4,SUM(IF(OR($R410="Fighting",$R410="Poison"),0-1,IF(OR($R410="Psychic",$R410="Steel"),1,0)),IF(OR($S410="Fighting",$S410="Poison"),0-1,IF(OR($S410="Psychic",$S410="Steel"),1,0))))</f>
        <v>0</v>
      </c>
      <c r="AR410" s="507" t="n">
        <f aca="false">SUM(IF(OR($R410="Bug",$R410="Fire",$R410="Flying",$R410="Ice"),0-1,IF(OR($R410="Steel",$R410="Fighting",$R410="Ground"),1,0)),IF(OR($S410="Bug",$S410="Fire",$S410="Flying",$S410="Ice"),0-1,IF(OR($S410="Steel",$S410="Fighting",$S410="Ground"),1,0)))</f>
        <v>0</v>
      </c>
      <c r="AS410" s="507" t="n">
        <f aca="false">SUM(IF(OR($R410="Fairy",$R410="Ice",$R410="Rock"),0-1,IF(OR($R410="Steel",$R410="Electric",$R410="Fire",$R410="Water"),1,0)),IF(OR($S410="Fairy",$S410="Ice",$S410="Rock"),0-1,IF(OR($S410="Steel",$S410="Electric",$S410="Fire",$S410="Water"),1,0)))</f>
        <v>1</v>
      </c>
      <c r="AT410" s="508" t="n">
        <f aca="false">SUM(IF(OR($R410="Fire",$R410="Ground",$R410="Rock"),0-1,IF(OR($R410="Dragon",$R410="Grass",$R410="Water"),1,0)),IF(OR($S410="Fire",$S410="Ground",$S410="Rock"),0-1,IF(OR($S410="Dragon",$S410="Grass",$S410="Water"),1,0)))</f>
        <v>1</v>
      </c>
      <c r="AU410" s="518"/>
    </row>
    <row r="411" customFormat="false" ht="15.75" hidden="false" customHeight="false" outlineLevel="0" collapsed="false">
      <c r="A411" s="510" t="str">
        <f aca="false" t="array" ref="A411:A411">IF(ISNA(INDEX(Source!$U$7:$U$95,MATCH(B411,Source!$V$7:$V$95,0))),"FREE",INDEX(Source!$U$7:$U$95,MATCH(B411,Source!$V$7:$V$95,0)))</f>
        <v>FREE</v>
      </c>
      <c r="B411" s="511" t="s">
        <v>632</v>
      </c>
      <c r="C411" s="511"/>
      <c r="D411" s="511"/>
      <c r="E411" s="499" t="str">
        <f aca="false">IF(SUM($W411:$X411)&gt;0,SUM($W411:$X411),IF($H411&gt;0,0,IF($H411&gt;0,0,"-")))</f>
        <v>-</v>
      </c>
      <c r="F411" s="499" t="str">
        <f aca="false">IF(SUM($Y411:$Z411)&gt;0,SUM($Y411:$Z411),IF($H411&gt;0,0,"-"))</f>
        <v>-</v>
      </c>
      <c r="G411" s="499" t="str">
        <f aca="false">IF($H411&gt;0,minus(E411,F411),"-")</f>
        <v>-</v>
      </c>
      <c r="H411" s="500" t="n">
        <f aca="false">SUM(COUNTIF(MatchSource!$A:$A,$B411),COUNTIF(MatchSource!$H:$H,$B411))</f>
        <v>0</v>
      </c>
      <c r="I411" s="501" t="n">
        <f aca="false">SUM($AA411:$AB411)</f>
        <v>0</v>
      </c>
      <c r="J411" s="501" t="s">
        <v>701</v>
      </c>
      <c r="K411" s="512" t="str">
        <f aca="false" t="array" ref="K411:K411">IF(ISNA(INDEX(DraftRosters!$AA$3:$AA$199,MATCH($B411,DraftRosters!$AB$3:$AB$199,0))),"FA",IF(INDEX(DraftRosters!$AA$3:$AA$199,MATCH($B411,DraftRosters!$AB$3:$AB$199,0))="Franchise","Franch",INDEX(DraftRosters!$AA$3:$AA$199,MATCH($B411,DraftRosters!$AB$3:$AB$199,0))))</f>
        <v>FA</v>
      </c>
      <c r="L411" s="499" t="n">
        <v>105</v>
      </c>
      <c r="M411" s="499" t="n">
        <v>95</v>
      </c>
      <c r="N411" s="499" t="n">
        <v>75</v>
      </c>
      <c r="O411" s="499" t="n">
        <v>85</v>
      </c>
      <c r="P411" s="499" t="n">
        <v>75</v>
      </c>
      <c r="Q411" s="501" t="n">
        <v>74</v>
      </c>
      <c r="R411" s="499" t="s">
        <v>907</v>
      </c>
      <c r="S411" s="501" t="s">
        <v>811</v>
      </c>
      <c r="T411" s="520" t="s">
        <v>951</v>
      </c>
      <c r="U411" s="513" t="s">
        <v>849</v>
      </c>
      <c r="V411" s="514" t="s">
        <v>859</v>
      </c>
      <c r="W411" s="500" t="str">
        <f aca="false">IFERROR(__xludf.dummyfunction("if(isna(SUM(FILTER(MatchSource!$A:$D,MatchSource!$A:$A=$B411))),0,SUM(FILTER(MatchSource!$A:$D,MatchSource!$A:$A=$B411)))"),"0")</f>
        <v>0</v>
      </c>
      <c r="X411" s="499" t="str">
        <f aca="false">IFERROR(__xludf.dummyfunction("if(isna(SUM(FILTER(MatchSource!$H:$K,MatchSource!$H:$H=$B411))),0,SUM(FILTER(MatchSource!$H:$K,MatchSource!$H:$H=$B411)))"),"0")</f>
        <v>0</v>
      </c>
      <c r="Y411" s="499" t="str">
        <f aca="false">IFERROR(__xludf.dummyfunction("if(isna(ABS(MINUS(SUM(FILTER(MatchSource!$A:$E,MatchSource!$A:$A=$B411)),SUM($W411)))),0,ABS(MINUS(SUM(FILTER(MatchSource!$A:$E,MatchSource!$A:$A=$B411)),SUM($W411))))"),"0")</f>
        <v>0</v>
      </c>
      <c r="Z411" s="499" t="str">
        <f aca="false">IFERROR(__xludf.dummyfunction("if(isna(ABS(MINUS(SUM(FILTER(MatchSource!$H:$L,MatchSource!$H:$H=$B411)),SUM($X411)))),0,ABS(MINUS(SUM(FILTER(MatchSource!$H:$L,MatchSource!$H:$H=$B411)),SUM($X411))))"),"0")</f>
        <v>0</v>
      </c>
      <c r="AA411" s="499" t="str">
        <f aca="false">IFERROR(__xludf.dummyfunction("if(isna(ABS(MINUS(SUM(FILTER(MatchSource!$A:$F,MatchSource!$A:$A=$B411)),SUM($W411,$Y411)))),0,ABS(MINUS(SUM(FILTER(MatchSource!$A:$F,MatchSource!$A:$A=$B411)),SUM($W411, $Y411,))))"),"0")</f>
        <v>0</v>
      </c>
      <c r="AB411" s="501" t="str">
        <f aca="false">IFERROR(__xludf.dummyfunction("if(isna(ABS(MINUS(SUM(FILTER(MatchSource!$H:$M,MatchSource!$H:$H=$B411)),SUM($X411,$Z411)))),0,ABS(MINUS(SUM(FILTER(MatchSource!$H:$M,MatchSource!$H:$H=$B411)),SUM($X411,$Z411))))"),"0")</f>
        <v>0</v>
      </c>
      <c r="AC411" s="507" t="n">
        <f aca="false">SUM(IF(OR($R411="Grass",$R411="Psychic",$R411="Dark"),0-1,IF(OR($R411="Fighting",$R411="Flying",$R411="Fire",$R411="Ghost",$R411="Poison",$R411="Steel",$R411="Fairy"),1,0)),IF(OR($S411="Grass",$S411="Psychic",$S411="Dark"),0-1,IF(OR($S411="Fighting",$S411="Flying",$S411="Fire",$S411="Ghost",$S411="Poison",$S411="Steel",$S411="Fairy"),1,0)))</f>
        <v>0</v>
      </c>
      <c r="AD411" s="507" t="n">
        <f aca="false">SUM(IF(OR($R411="Ghost",$R411="Psychic"),0-1,IF(OR($R411="Fighting",$R411="Dark",$R411="Fairy"),1,0)),IF(OR($S411="Ghost",$S411="Psychic"),0-1,IF(OR($S411="Fighting",$S411="Dark",$S411="Fairy"),1,0)))</f>
        <v>0</v>
      </c>
      <c r="AE411" s="507" t="n">
        <f aca="false">IF(OR($R411="Fairy",$S411="Fairy"),4,SUM(IF($R411="Dragon",0-1,IF($R411="Steel",1,0)),IF($S411="Dragon",0-1,IF($S411="Steel",1,0))))</f>
        <v>0</v>
      </c>
      <c r="AF411" s="507" t="n">
        <f aca="false">IF(OR($R411="Ground",$S411="Ground"),4,SUM(IF(OR($R411="Flying",$R411="Water"),0-1,IF(OR($R411="Dragon",$R411="Electric",$R411="Grass"),1,0)),IF(OR($S411="Flying",$S411="Water"),0-1,IF(OR($S411="Dragon",$S411="Electric",$S411="Grass"),1,0))))</f>
        <v>4</v>
      </c>
      <c r="AG411" s="507" t="n">
        <f aca="false">SUM(IF(OR($R411="Dark",$R411="Dragon",$R411="Fighting"),0-1,IF(OR($R411="Steel",$R411="Poison",$R411="Fire"),1,0)),IF(OR($S411="Dark",$S411="Dragon",$S411="Fighting"),0-1,IF(OR($S411="Steel",$S411="Poison",$S411="Fire"),1,0)))</f>
        <v>0</v>
      </c>
      <c r="AH411" s="507" t="n">
        <f aca="false">IF(OR($R411="Ghost",$S411="Ghost"),4,SUM(IF(OR($R411="Dark",$R411="Ice",$R411="Normal",$R411="Rock",$R411="Steel"),0-1,IF(OR($R411="Bug",$R411="Fairy",$R411="Flying",$R411="Poison",$R411="Psychic"),1,0)),IF(OR($S411="Dark",$S411="Ice",$S411="Normal",$S411="Rock",$S411="Steel"),0-1,IF(OR($S411="Bug",$S411="Fairy",$S411="Flying",$S411="Poison",$S411="Psychic"),1,0))))</f>
        <v>0</v>
      </c>
      <c r="AI411" s="507" t="n">
        <f aca="false">SUM(IF(OR($R411="Bug",$R411="Grass",$R411="Ice",$R411="Steel"),0-1,IF(OR($R411="Dragon",$R411="Fire",$R411="Rock",$R411="Water"),1,0)),IF(OR($S411="Bug",$S411="Grass",$S411="Ice",$S411="Steel"),0-1,IF(OR($S411="Dragon",$S411="Fire",$S411="Rock",$S411="Water"),1,0)))</f>
        <v>1</v>
      </c>
      <c r="AJ411" s="507" t="n">
        <f aca="false">SUM(IF(OR($R411="Bug",$R411="Grass",$R411="Fighting"),0-1,IF(OR($R411="Electric",$R411="Rock",$R411="Steel"),1,0)),IF(OR($S411="Bug",$S411="Grass",$S411="Fighting"),0-1,IF(OR($S411="Electric",$S411="Rock",$S411="Steel"),1,0)))</f>
        <v>0</v>
      </c>
      <c r="AK411" s="507" t="n">
        <f aca="false">IF(OR($R411="Normal",$S411="Normal"),4,SUM(IF(OR($R411="Ghost",$R411="Psychic"),0-1,IF($R411="Dark",1,0)),IF(OR($S411="Ghost",$S411="Psychic"),0-1,IF($S411="Dark",1,0))))</f>
        <v>0</v>
      </c>
      <c r="AL411" s="507" t="n">
        <f aca="false">SUM(IF(OR($R411="Ground",$R411="Rock",$R411="Water"),0-1,IF(OR($R411="Bug",$R411="Flying",$R411="Fire",$R411="Dragon",$R411="Poison",$R411="Steel",$R411="Grass"),1,0)),IF(OR($S411="Ground",$S411="Rock",$S411="Water"),0-1,IF(OR($S411="Bug",$S411="Flying",$S411="Fire",$S411="Dragon",$S411="Poison",$S411="Steel",$S411="Grass"),1,0)))</f>
        <v>-2</v>
      </c>
      <c r="AM411" s="507" t="n">
        <f aca="false">IF(OR($R411="Flying",$S411="Flying"),4,SUM(IF(OR($R411="Electric",$R411="Fire",$R411="Rock",$R411="Steel",$R411="Poison"),0-1,IF(OR($R411="Bug",$R411="Grass"),1,0)),IF(OR($S411="Electric",$S411="Fire",$S411="Rock",$S411="Steel",$S411="Poison"),0-1,IF(OR($S411="Bug",$S411="Grass"),1,0))))</f>
        <v>0</v>
      </c>
      <c r="AN411" s="507" t="n">
        <f aca="false">SUM(IF(OR($R411="Flying",$R411="Dragon",$R411="Grass",$R411="Ground"),0-1,IF(OR($R411="Steel",$R411="Ice",$R411="Fire",$R411="Water"),1,0)),IF(OR($S411="Flying",$S411="Dragon",$S411="Grass",$S411="Ground"),0-1,IF(OR($S411="Steel",$S411="Ice",$S411="Fire",$S411="Water"),1,0)))</f>
        <v>0</v>
      </c>
      <c r="AO411" s="507" t="n">
        <f aca="false">IF(OR($R411="Ghost",$S411="Ghost"),4,SUM(IF(OR($R411="Steel",$R411="Rock"),1,0),IF(OR($S411="Steel",$S411="Rock"),1,0)))</f>
        <v>0</v>
      </c>
      <c r="AP411" s="507" t="n">
        <f aca="false">IF(OR($R411="Steel",$S411="Steel"),4,SUM(IF(OR($R411="Fairy",$R411="Grass"),0-1,IF(OR($R411="Ghost",$R411="Rock",$R411="Ground",$R411="Poison"),1,0)),IF(OR($S411="Fairy",$S411="Grass"),0-1,IF(OR($S411="Ghost",$S411="Rock",$S411="Ground",$S411="Poison"),1,0))))</f>
        <v>1</v>
      </c>
      <c r="AQ411" s="507" t="n">
        <f aca="false">IF(OR($R411="Dark",$S411="Dark"),4,SUM(IF(OR($R411="Fighting",$R411="Poison"),0-1,IF(OR($R411="Psychic",$R411="Steel"),1,0)),IF(OR($S411="Fighting",$S411="Poison"),0-1,IF(OR($S411="Psychic",$S411="Steel"),1,0))))</f>
        <v>0</v>
      </c>
      <c r="AR411" s="507" t="n">
        <f aca="false">SUM(IF(OR($R411="Bug",$R411="Fire",$R411="Flying",$R411="Ice"),0-1,IF(OR($R411="Steel",$R411="Fighting",$R411="Ground"),1,0)),IF(OR($S411="Bug",$S411="Fire",$S411="Flying",$S411="Ice"),0-1,IF(OR($S411="Steel",$S411="Fighting",$S411="Ground"),1,0)))</f>
        <v>1</v>
      </c>
      <c r="AS411" s="507" t="n">
        <f aca="false">SUM(IF(OR($R411="Fairy",$R411="Ice",$R411="Rock"),0-1,IF(OR($R411="Steel",$R411="Electric",$R411="Fire",$R411="Water"),1,0)),IF(OR($S411="Fairy",$S411="Ice",$S411="Rock"),0-1,IF(OR($S411="Steel",$S411="Electric",$S411="Fire",$S411="Water"),1,0)))</f>
        <v>1</v>
      </c>
      <c r="AT411" s="508" t="n">
        <f aca="false">SUM(IF(OR($R411="Fire",$R411="Ground",$R411="Rock"),0-1,IF(OR($R411="Dragon",$R411="Grass",$R411="Water"),1,0)),IF(OR($S411="Fire",$S411="Ground",$S411="Rock"),0-1,IF(OR($S411="Dragon",$S411="Grass",$S411="Water"),1,0)))</f>
        <v>0</v>
      </c>
      <c r="AU411" s="518"/>
    </row>
    <row r="412" customFormat="false" ht="15.75" hidden="false" customHeight="false" outlineLevel="0" collapsed="false">
      <c r="A412" s="510" t="str">
        <f aca="false" t="array" ref="A412:A412">IF(ISNA(INDEX(Source!$U$7:$U$95,MATCH(B412,Source!$V$7:$V$95,0))),"FREE",INDEX(Source!$U$7:$U$95,MATCH(B412,Source!$V$7:$V$95,0)))</f>
        <v>FREE</v>
      </c>
      <c r="B412" s="511" t="s">
        <v>404</v>
      </c>
      <c r="C412" s="511"/>
      <c r="D412" s="511"/>
      <c r="E412" s="499" t="str">
        <f aca="false">IF(SUM($W412:$X412)&gt;0,SUM($W412:$X412),IF($H412&gt;0,0,IF($H412&gt;0,0,"-")))</f>
        <v>-</v>
      </c>
      <c r="F412" s="499" t="str">
        <f aca="false">IF(SUM($Y412:$Z412)&gt;0,SUM($Y412:$Z412),IF($H412&gt;0,0,"-"))</f>
        <v>-</v>
      </c>
      <c r="G412" s="499" t="str">
        <f aca="false">IF($H412&gt;0,minus(E412,F412),"-")</f>
        <v>-</v>
      </c>
      <c r="H412" s="500" t="n">
        <f aca="false">SUM(COUNTIF(MatchSource!$A:$A,$B412),COUNTIF(MatchSource!$H:$H,$B412))</f>
        <v>0</v>
      </c>
      <c r="I412" s="501" t="n">
        <f aca="false">SUM($AA412:$AB412)</f>
        <v>0</v>
      </c>
      <c r="J412" s="501" t="s">
        <v>698</v>
      </c>
      <c r="K412" s="512" t="str">
        <f aca="false" t="array" ref="K412:K412">IF(ISNA(INDEX(DraftRosters!$AA$3:$AA$199,MATCH($B412,DraftRosters!$AB$3:$AB$199,0))),"FA",IF(INDEX(DraftRosters!$AA$3:$AA$199,MATCH($B412,DraftRosters!$AB$3:$AB$199,0))="Franchise","Franch",INDEX(DraftRosters!$AA$3:$AA$199,MATCH($B412,DraftRosters!$AB$3:$AB$199,0))))</f>
        <v>FA</v>
      </c>
      <c r="L412" s="507" t="n">
        <v>75</v>
      </c>
      <c r="M412" s="507" t="n">
        <v>75</v>
      </c>
      <c r="N412" s="507" t="n">
        <v>95</v>
      </c>
      <c r="O412" s="507" t="n">
        <v>75</v>
      </c>
      <c r="P412" s="507" t="n">
        <v>95</v>
      </c>
      <c r="Q412" s="508" t="n">
        <v>113</v>
      </c>
      <c r="R412" s="499" t="s">
        <v>803</v>
      </c>
      <c r="S412" s="501"/>
      <c r="T412" s="520" t="s">
        <v>1019</v>
      </c>
      <c r="U412" s="513" t="s">
        <v>921</v>
      </c>
      <c r="V412" s="514"/>
      <c r="W412" s="500" t="str">
        <f aca="false">IFERROR(__xludf.dummyfunction("if(isna(SUM(FILTER(MatchSource!$A:$D,MatchSource!$A:$A=$B412))),0,SUM(FILTER(MatchSource!$A:$D,MatchSource!$A:$A=$B412)))"),"0")</f>
        <v>0</v>
      </c>
      <c r="X412" s="499" t="str">
        <f aca="false">IFERROR(__xludf.dummyfunction("if(isna(SUM(FILTER(MatchSource!$H:$K,MatchSource!$H:$H=$B412))),0,SUM(FILTER(MatchSource!$H:$K,MatchSource!$H:$H=$B412)))"),"0")</f>
        <v>0</v>
      </c>
      <c r="Y412" s="499" t="str">
        <f aca="false">IFERROR(__xludf.dummyfunction("if(isna(ABS(MINUS(SUM(FILTER(MatchSource!$A:$E,MatchSource!$A:$A=$B412)),SUM($W412)))),0,ABS(MINUS(SUM(FILTER(MatchSource!$A:$E,MatchSource!$A:$A=$B412)),SUM($W412))))"),"0")</f>
        <v>0</v>
      </c>
      <c r="Z412" s="499" t="str">
        <f aca="false">IFERROR(__xludf.dummyfunction("if(isna(ABS(MINUS(SUM(FILTER(MatchSource!$H:$L,MatchSource!$H:$H=$B412)),SUM($X412)))),0,ABS(MINUS(SUM(FILTER(MatchSource!$H:$L,MatchSource!$H:$H=$B412)),SUM($X412))))"),"0")</f>
        <v>0</v>
      </c>
      <c r="AA412" s="499" t="str">
        <f aca="false">IFERROR(__xludf.dummyfunction("if(isna(ABS(MINUS(SUM(FILTER(MatchSource!$A:$F,MatchSource!$A:$A=$B412)),SUM($W412,$Y412)))),0,ABS(MINUS(SUM(FILTER(MatchSource!$A:$F,MatchSource!$A:$A=$B412)),SUM($W412, $Y412,))))"),"0")</f>
        <v>0</v>
      </c>
      <c r="AB412" s="501" t="str">
        <f aca="false">IFERROR(__xludf.dummyfunction("if(isna(ABS(MINUS(SUM(FILTER(MatchSource!$H:$M,MatchSource!$H:$H=$B412)),SUM($X412,$Z412)))),0,ABS(MINUS(SUM(FILTER(MatchSource!$H:$M,MatchSource!$H:$H=$B412)),SUM($X412,$Z412))))"),"0")</f>
        <v>0</v>
      </c>
      <c r="AC412" s="507" t="n">
        <f aca="false">SUM(IF(OR($R412="Grass",$R412="Psychic",$R412="Dark"),0-1,IF(OR($R412="Fighting",$R412="Flying",$R412="Fire",$R412="Ghost",$R412="Poison",$R412="Steel",$R412="Fairy"),1,0)),IF(OR($S412="Grass",$S412="Psychic",$S412="Dark"),0-1,IF(OR($S412="Fighting",$S412="Flying",$S412="Fire",$S412="Ghost",$S412="Poison",$S412="Steel",$S412="Fairy"),1,0)))</f>
        <v>-1</v>
      </c>
      <c r="AD412" s="507" t="n">
        <f aca="false">SUM(IF(OR($R412="Ghost",$R412="Psychic"),0-1,IF(OR($R412="Fighting",$R412="Dark",$R412="Fairy"),1,0)),IF(OR($S412="Ghost",$S412="Psychic"),0-1,IF(OR($S412="Fighting",$S412="Dark",$S412="Fairy"),1,0)))</f>
        <v>0</v>
      </c>
      <c r="AE412" s="507" t="n">
        <f aca="false">IF(OR($R412="Fairy",$S412="Fairy"),4,SUM(IF($R412="Dragon",0-1,IF($R412="Steel",1,0)),IF($S412="Dragon",0-1,IF($S412="Steel",1,0))))</f>
        <v>0</v>
      </c>
      <c r="AF412" s="507" t="n">
        <f aca="false">IF(OR($R412="Ground",$S412="Ground"),4,SUM(IF(OR($R412="Flying",$R412="Water"),0-1,IF(OR($R412="Dragon",$R412="Electric",$R412="Grass"),1,0)),IF(OR($S412="Flying",$S412="Water"),0-1,IF(OR($S412="Dragon",$S412="Electric",$S412="Grass"),1,0))))</f>
        <v>1</v>
      </c>
      <c r="AG412" s="507" t="n">
        <f aca="false">SUM(IF(OR($R412="Dark",$R412="Dragon",$R412="Fighting"),0-1,IF(OR($R412="Steel",$R412="Poison",$R412="Fire"),1,0)),IF(OR($S412="Dark",$S412="Dragon",$S412="Fighting"),0-1,IF(OR($S412="Steel",$S412="Poison",$S412="Fire"),1,0)))</f>
        <v>0</v>
      </c>
      <c r="AH412" s="507" t="n">
        <f aca="false">IF(OR($R412="Ghost",$S412="Ghost"),4,SUM(IF(OR($R412="Dark",$R412="Ice",$R412="Normal",$R412="Rock",$R412="Steel"),0-1,IF(OR($R412="Bug",$R412="Fairy",$R412="Flying",$R412="Poison",$R412="Psychic"),1,0)),IF(OR($S412="Dark",$S412="Ice",$S412="Normal",$S412="Rock",$S412="Steel"),0-1,IF(OR($S412="Bug",$S412="Fairy",$S412="Flying",$S412="Poison",$S412="Psychic"),1,0))))</f>
        <v>0</v>
      </c>
      <c r="AI412" s="507" t="n">
        <f aca="false">SUM(IF(OR($R412="Bug",$R412="Grass",$R412="Ice",$R412="Steel"),0-1,IF(OR($R412="Dragon",$R412="Fire",$R412="Rock",$R412="Water"),1,0)),IF(OR($S412="Bug",$S412="Grass",$S412="Ice",$S412="Steel"),0-1,IF(OR($S412="Dragon",$S412="Fire",$S412="Rock",$S412="Water"),1,0)))</f>
        <v>-1</v>
      </c>
      <c r="AJ412" s="507" t="n">
        <f aca="false">SUM(IF(OR($R412="Bug",$R412="Grass",$R412="Fighting"),0-1,IF(OR($R412="Electric",$R412="Rock",$R412="Steel"),1,0)),IF(OR($S412="Bug",$S412="Grass",$S412="Fighting"),0-1,IF(OR($S412="Electric",$S412="Rock",$S412="Steel"),1,0)))</f>
        <v>-1</v>
      </c>
      <c r="AK412" s="507" t="n">
        <f aca="false">IF(OR($R412="Normal",$S412="Normal"),4,SUM(IF(OR($R412="Ghost",$R412="Psychic"),0-1,IF($R412="Dark",1,0)),IF(OR($S412="Ghost",$S412="Psychic"),0-1,IF($S412="Dark",1,0))))</f>
        <v>0</v>
      </c>
      <c r="AL412" s="507" t="n">
        <f aca="false">SUM(IF(OR($R412="Ground",$R412="Rock",$R412="Water"),0-1,IF(OR($R412="Bug",$R412="Flying",$R412="Fire",$R412="Dragon",$R412="Poison",$R412="Steel",$R412="Grass"),1,0)),IF(OR($S412="Ground",$S412="Rock",$S412="Water"),0-1,IF(OR($S412="Bug",$S412="Flying",$S412="Fire",$S412="Dragon",$S412="Poison",$S412="Steel",$S412="Grass"),1,0)))</f>
        <v>1</v>
      </c>
      <c r="AM412" s="507" t="n">
        <f aca="false">IF(OR($R412="Flying",$S412="Flying"),4,SUM(IF(OR($R412="Electric",$R412="Fire",$R412="Rock",$R412="Steel",$R412="Poison"),0-1,IF(OR($R412="Bug",$R412="Grass"),1,0)),IF(OR($S412="Electric",$S412="Fire",$S412="Rock",$S412="Steel",$S412="Poison"),0-1,IF(OR($S412="Bug",$S412="Grass"),1,0))))</f>
        <v>1</v>
      </c>
      <c r="AN412" s="507" t="n">
        <f aca="false">SUM(IF(OR($R412="Flying",$R412="Dragon",$R412="Grass",$R412="Ground"),0-1,IF(OR($R412="Steel",$R412="Ice",$R412="Fire",$R412="Water"),1,0)),IF(OR($S412="Flying",$S412="Dragon",$S412="Grass",$S412="Ground"),0-1,IF(OR($S412="Steel",$S412="Ice",$S412="Fire",$S412="Water"),1,0)))</f>
        <v>-1</v>
      </c>
      <c r="AO412" s="507" t="n">
        <f aca="false">IF(OR($R412="Ghost",$S412="Ghost"),4,SUM(IF(OR($R412="Steel",$R412="Rock"),1,0),IF(OR($S412="Steel",$S412="Rock"),1,0)))</f>
        <v>0</v>
      </c>
      <c r="AP412" s="507" t="n">
        <f aca="false">IF(OR($R412="Steel",$S412="Steel"),4,SUM(IF(OR($R412="Fairy",$R412="Grass"),0-1,IF(OR($R412="Ghost",$R412="Rock",$R412="Ground",$R412="Poison"),1,0)),IF(OR($S412="Fairy",$S412="Grass"),0-1,IF(OR($S412="Ghost",$S412="Rock",$S412="Ground",$S412="Poison"),1,0))))</f>
        <v>-1</v>
      </c>
      <c r="AQ412" s="507" t="n">
        <f aca="false">IF(OR($R412="Dark",$S412="Dark"),4,SUM(IF(OR($R412="Fighting",$R412="Poison"),0-1,IF(OR($R412="Psychic",$R412="Steel"),1,0)),IF(OR($S412="Fighting",$S412="Poison"),0-1,IF(OR($S412="Psychic",$S412="Steel"),1,0))))</f>
        <v>0</v>
      </c>
      <c r="AR412" s="507" t="n">
        <f aca="false">SUM(IF(OR($R412="Bug",$R412="Fire",$R412="Flying",$R412="Ice"),0-1,IF(OR($R412="Steel",$R412="Fighting",$R412="Ground"),1,0)),IF(OR($S412="Bug",$S412="Fire",$S412="Flying",$S412="Ice"),0-1,IF(OR($S412="Steel",$S412="Fighting",$S412="Ground"),1,0)))</f>
        <v>0</v>
      </c>
      <c r="AS412" s="507" t="n">
        <f aca="false">SUM(IF(OR($R412="Fairy",$R412="Ice",$R412="Rock"),0-1,IF(OR($R412="Steel",$R412="Electric",$R412="Fire",$R412="Water"),1,0)),IF(OR($S412="Fairy",$S412="Ice",$S412="Rock"),0-1,IF(OR($S412="Steel",$S412="Electric",$S412="Fire",$S412="Water"),1,0)))</f>
        <v>0</v>
      </c>
      <c r="AT412" s="508" t="n">
        <f aca="false">SUM(IF(OR($R412="Fire",$R412="Ground",$R412="Rock"),0-1,IF(OR($R412="Dragon",$R412="Grass",$R412="Water"),1,0)),IF(OR($S412="Fire",$S412="Ground",$S412="Rock"),0-1,IF(OR($S412="Dragon",$S412="Grass",$S412="Water"),1,0)))</f>
        <v>1</v>
      </c>
      <c r="AU412" s="518"/>
    </row>
    <row r="413" customFormat="false" ht="15.75" hidden="false" customHeight="false" outlineLevel="0" collapsed="false">
      <c r="A413" s="510" t="str">
        <f aca="false" t="array" ref="A413:A413">IF(ISNA(INDEX(Source!$U$7:$U$95,MATCH(B413,Source!$V$7:$V$95,0))),"FREE",INDEX(Source!$U$7:$U$95,MATCH(B413,Source!$V$7:$V$95,0)))</f>
        <v>FREE</v>
      </c>
      <c r="B413" s="511" t="s">
        <v>569</v>
      </c>
      <c r="C413" s="511"/>
      <c r="D413" s="511"/>
      <c r="E413" s="499" t="str">
        <f aca="false">IF(SUM($W413:$X413)&gt;0,SUM($W413:$X413),IF($H413&gt;0,0,IF($H413&gt;0,0,"-")))</f>
        <v>-</v>
      </c>
      <c r="F413" s="499" t="str">
        <f aca="false">IF(SUM($Y413:$Z413)&gt;0,SUM($Y413:$Z413),IF($H413&gt;0,0,"-"))</f>
        <v>-</v>
      </c>
      <c r="G413" s="499" t="str">
        <f aca="false">IF($H413&gt;0,minus(E413,F413),"-")</f>
        <v>-</v>
      </c>
      <c r="H413" s="500" t="n">
        <f aca="false">SUM(COUNTIF(MatchSource!$A:$A,$B413),COUNTIF(MatchSource!$H:$H,$B413))</f>
        <v>0</v>
      </c>
      <c r="I413" s="501" t="n">
        <f aca="false">SUM($AA413:$AB413)</f>
        <v>0</v>
      </c>
      <c r="J413" s="501" t="s">
        <v>702</v>
      </c>
      <c r="K413" s="512" t="str">
        <f aca="false" t="array" ref="K413:K413">IF(ISNA(INDEX(DraftRosters!$AA$3:$AA$199,MATCH($B413,DraftRosters!$AB$3:$AB$199,0))),"FA",IF(INDEX(DraftRosters!$AA$3:$AA$199,MATCH($B413,DraftRosters!$AB$3:$AB$199,0))="Franchise","Franch",INDEX(DraftRosters!$AA$3:$AA$199,MATCH($B413,DraftRosters!$AB$3:$AB$199,0))))</f>
        <v>FA</v>
      </c>
      <c r="L413" s="499" t="n">
        <v>73</v>
      </c>
      <c r="M413" s="499" t="n">
        <v>100</v>
      </c>
      <c r="N413" s="499" t="n">
        <v>60</v>
      </c>
      <c r="O413" s="499" t="n">
        <v>100</v>
      </c>
      <c r="P413" s="499" t="n">
        <v>60</v>
      </c>
      <c r="Q413" s="501" t="n">
        <v>65</v>
      </c>
      <c r="R413" s="499" t="s">
        <v>843</v>
      </c>
      <c r="S413" s="501"/>
      <c r="T413" s="520" t="s">
        <v>914</v>
      </c>
      <c r="U413" s="513" t="s">
        <v>852</v>
      </c>
      <c r="V413" s="514"/>
      <c r="W413" s="500" t="str">
        <f aca="false">IFERROR(__xludf.dummyfunction("if(isna(SUM(FILTER(MatchSource!$A:$D,MatchSource!$A:$A=$B413))),0,SUM(FILTER(MatchSource!$A:$D,MatchSource!$A:$A=$B413)))"),"0")</f>
        <v>0</v>
      </c>
      <c r="X413" s="499" t="str">
        <f aca="false">IFERROR(__xludf.dummyfunction("if(isna(SUM(FILTER(MatchSource!$H:$K,MatchSource!$H:$H=$B413))),0,SUM(FILTER(MatchSource!$H:$K,MatchSource!$H:$H=$B413)))"),"0")</f>
        <v>0</v>
      </c>
      <c r="Y413" s="499" t="str">
        <f aca="false">IFERROR(__xludf.dummyfunction("if(isna(ABS(MINUS(SUM(FILTER(MatchSource!$A:$E,MatchSource!$A:$A=$B413)),SUM($W413)))),0,ABS(MINUS(SUM(FILTER(MatchSource!$A:$E,MatchSource!$A:$A=$B413)),SUM($W413))))"),"0")</f>
        <v>0</v>
      </c>
      <c r="Z413" s="499" t="str">
        <f aca="false">IFERROR(__xludf.dummyfunction("if(isna(ABS(MINUS(SUM(FILTER(MatchSource!$H:$L,MatchSource!$H:$H=$B413)),SUM($X413)))),0,ABS(MINUS(SUM(FILTER(MatchSource!$H:$L,MatchSource!$H:$H=$B413)),SUM($X413))))"),"0")</f>
        <v>0</v>
      </c>
      <c r="AA413" s="499" t="str">
        <f aca="false">IFERROR(__xludf.dummyfunction("if(isna(ABS(MINUS(SUM(FILTER(MatchSource!$A:$F,MatchSource!$A:$A=$B413)),SUM($W413,$Y413)))),0,ABS(MINUS(SUM(FILTER(MatchSource!$A:$F,MatchSource!$A:$A=$B413)),SUM($W413, $Y413,))))"),"0")</f>
        <v>0</v>
      </c>
      <c r="AB413" s="501" t="str">
        <f aca="false">IFERROR(__xludf.dummyfunction("if(isna(ABS(MINUS(SUM(FILTER(MatchSource!$H:$M,MatchSource!$H:$H=$B413)),SUM($X413,$Z413)))),0,ABS(MINUS(SUM(FILTER(MatchSource!$H:$M,MatchSource!$H:$H=$B413)),SUM($X413,$Z413))))"),"0")</f>
        <v>0</v>
      </c>
      <c r="AC413" s="507" t="n">
        <f aca="false">SUM(IF(OR($R413="Grass",$R413="Psychic",$R413="Dark"),0-1,IF(OR($R413="Fighting",$R413="Flying",$R413="Fire",$R413="Ghost",$R413="Poison",$R413="Steel",$R413="Fairy"),1,0)),IF(OR($S413="Grass",$S413="Psychic",$S413="Dark"),0-1,IF(OR($S413="Fighting",$S413="Flying",$S413="Fire",$S413="Ghost",$S413="Poison",$S413="Steel",$S413="Fairy"),1,0)))</f>
        <v>1</v>
      </c>
      <c r="AD413" s="507" t="n">
        <f aca="false">SUM(IF(OR($R413="Ghost",$R413="Psychic"),0-1,IF(OR($R413="Fighting",$R413="Dark",$R413="Fairy"),1,0)),IF(OR($S413="Ghost",$S413="Psychic"),0-1,IF(OR($S413="Fighting",$S413="Dark",$S413="Fairy"),1,0)))</f>
        <v>0</v>
      </c>
      <c r="AE413" s="507" t="n">
        <f aca="false">IF(OR($R413="Fairy",$S413="Fairy"),4,SUM(IF($R413="Dragon",0-1,IF($R413="Steel",1,0)),IF($S413="Dragon",0-1,IF($S413="Steel",1,0))))</f>
        <v>0</v>
      </c>
      <c r="AF413" s="507" t="n">
        <f aca="false">IF(OR($R413="Ground",$S413="Ground"),4,SUM(IF(OR($R413="Flying",$R413="Water"),0-1,IF(OR($R413="Dragon",$R413="Electric",$R413="Grass"),1,0)),IF(OR($S413="Flying",$S413="Water"),0-1,IF(OR($S413="Dragon",$S413="Electric",$S413="Grass"),1,0))))</f>
        <v>0</v>
      </c>
      <c r="AG413" s="507" t="n">
        <f aca="false">SUM(IF(OR($R413="Dark",$R413="Dragon",$R413="Fighting"),0-1,IF(OR($R413="Steel",$R413="Poison",$R413="Fire"),1,0)),IF(OR($S413="Dark",$S413="Dragon",$S413="Fighting"),0-1,IF(OR($S413="Steel",$S413="Poison",$S413="Fire"),1,0)))</f>
        <v>1</v>
      </c>
      <c r="AH413" s="507" t="n">
        <f aca="false">IF(OR($R413="Ghost",$S413="Ghost"),4,SUM(IF(OR($R413="Dark",$R413="Ice",$R413="Normal",$R413="Rock",$R413="Steel"),0-1,IF(OR($R413="Bug",$R413="Fairy",$R413="Flying",$R413="Poison",$R413="Psychic"),1,0)),IF(OR($S413="Dark",$S413="Ice",$S413="Normal",$S413="Rock",$S413="Steel"),0-1,IF(OR($S413="Bug",$S413="Fairy",$S413="Flying",$S413="Poison",$S413="Psychic"),1,0))))</f>
        <v>1</v>
      </c>
      <c r="AI413" s="507" t="n">
        <f aca="false">SUM(IF(OR($R413="Bug",$R413="Grass",$R413="Ice",$R413="Steel"),0-1,IF(OR($R413="Dragon",$R413="Fire",$R413="Rock",$R413="Water"),1,0)),IF(OR($S413="Bug",$S413="Grass",$S413="Ice",$S413="Steel"),0-1,IF(OR($S413="Dragon",$S413="Fire",$S413="Rock",$S413="Water"),1,0)))</f>
        <v>0</v>
      </c>
      <c r="AJ413" s="507" t="n">
        <f aca="false">SUM(IF(OR($R413="Bug",$R413="Grass",$R413="Fighting"),0-1,IF(OR($R413="Electric",$R413="Rock",$R413="Steel"),1,0)),IF(OR($S413="Bug",$S413="Grass",$S413="Fighting"),0-1,IF(OR($S413="Electric",$S413="Rock",$S413="Steel"),1,0)))</f>
        <v>0</v>
      </c>
      <c r="AK413" s="507" t="n">
        <f aca="false">IF(OR($R413="Normal",$S413="Normal"),4,SUM(IF(OR($R413="Ghost",$R413="Psychic"),0-1,IF($R413="Dark",1,0)),IF(OR($S413="Ghost",$S413="Psychic"),0-1,IF($S413="Dark",1,0))))</f>
        <v>0</v>
      </c>
      <c r="AL413" s="507" t="n">
        <f aca="false">SUM(IF(OR($R413="Ground",$R413="Rock",$R413="Water"),0-1,IF(OR($R413="Bug",$R413="Flying",$R413="Fire",$R413="Dragon",$R413="Poison",$R413="Steel",$R413="Grass"),1,0)),IF(OR($S413="Ground",$S413="Rock",$S413="Water"),0-1,IF(OR($S413="Bug",$S413="Flying",$S413="Fire",$S413="Dragon",$S413="Poison",$S413="Steel",$S413="Grass"),1,0)))</f>
        <v>1</v>
      </c>
      <c r="AM413" s="507" t="n">
        <f aca="false">IF(OR($R413="Flying",$S413="Flying"),4,SUM(IF(OR($R413="Electric",$R413="Fire",$R413="Rock",$R413="Steel",$R413="Poison"),0-1,IF(OR($R413="Bug",$R413="Grass"),1,0)),IF(OR($S413="Electric",$S413="Fire",$S413="Rock",$S413="Steel",$S413="Poison"),0-1,IF(OR($S413="Bug",$S413="Grass"),1,0))))</f>
        <v>-1</v>
      </c>
      <c r="AN413" s="507" t="n">
        <f aca="false">SUM(IF(OR($R413="Flying",$R413="Dragon",$R413="Grass",$R413="Ground"),0-1,IF(OR($R413="Steel",$R413="Ice",$R413="Fire",$R413="Water"),1,0)),IF(OR($S413="Flying",$S413="Dragon",$S413="Grass",$S413="Ground"),0-1,IF(OR($S413="Steel",$S413="Ice",$S413="Fire",$S413="Water"),1,0)))</f>
        <v>0</v>
      </c>
      <c r="AO413" s="507" t="n">
        <f aca="false">IF(OR($R413="Ghost",$S413="Ghost"),4,SUM(IF(OR($R413="Steel",$R413="Rock"),1,0),IF(OR($S413="Steel",$S413="Rock"),1,0)))</f>
        <v>0</v>
      </c>
      <c r="AP413" s="507" t="n">
        <f aca="false">IF(OR($R413="Steel",$S413="Steel"),4,SUM(IF(OR($R413="Fairy",$R413="Grass"),0-1,IF(OR($R413="Ghost",$R413="Rock",$R413="Ground",$R413="Poison"),1,0)),IF(OR($S413="Fairy",$S413="Grass"),0-1,IF(OR($S413="Ghost",$S413="Rock",$S413="Ground",$S413="Poison"),1,0))))</f>
        <v>1</v>
      </c>
      <c r="AQ413" s="507" t="n">
        <f aca="false">IF(OR($R413="Dark",$S413="Dark"),4,SUM(IF(OR($R413="Fighting",$R413="Poison"),0-1,IF(OR($R413="Psychic",$R413="Steel"),1,0)),IF(OR($S413="Fighting",$S413="Poison"),0-1,IF(OR($S413="Psychic",$S413="Steel"),1,0))))</f>
        <v>-1</v>
      </c>
      <c r="AR413" s="507" t="n">
        <f aca="false">SUM(IF(OR($R413="Bug",$R413="Fire",$R413="Flying",$R413="Ice"),0-1,IF(OR($R413="Steel",$R413="Fighting",$R413="Ground"),1,0)),IF(OR($S413="Bug",$S413="Fire",$S413="Flying",$S413="Ice"),0-1,IF(OR($S413="Steel",$S413="Fighting",$S413="Ground"),1,0)))</f>
        <v>0</v>
      </c>
      <c r="AS413" s="507" t="n">
        <f aca="false">SUM(IF(OR($R413="Fairy",$R413="Ice",$R413="Rock"),0-1,IF(OR($R413="Steel",$R413="Electric",$R413="Fire",$R413="Water"),1,0)),IF(OR($S413="Fairy",$S413="Ice",$S413="Rock"),0-1,IF(OR($S413="Steel",$S413="Electric",$S413="Fire",$S413="Water"),1,0)))</f>
        <v>0</v>
      </c>
      <c r="AT413" s="508" t="n">
        <f aca="false">SUM(IF(OR($R413="Fire",$R413="Ground",$R413="Rock"),0-1,IF(OR($R413="Dragon",$R413="Grass",$R413="Water"),1,0)),IF(OR($S413="Fire",$S413="Ground",$S413="Rock"),0-1,IF(OR($S413="Dragon",$S413="Grass",$S413="Water"),1,0)))</f>
        <v>0</v>
      </c>
      <c r="AU413" s="518"/>
    </row>
    <row r="414" customFormat="false" ht="15.75" hidden="false" customHeight="false" outlineLevel="0" collapsed="false">
      <c r="A414" s="515" t="str">
        <f aca="false" t="array" ref="A414:A414">IF(ISNA(INDEX(Source!$U$7:$U$95,MATCH(B414,Source!$V$7:$V$95,0))),"FREE",INDEX(Source!$U$7:$U$95,MATCH(B414,Source!$V$7:$V$95,0)))</f>
        <v>FREE</v>
      </c>
      <c r="B414" s="511" t="s">
        <v>558</v>
      </c>
      <c r="C414" s="511"/>
      <c r="D414" s="511"/>
      <c r="E414" s="499" t="str">
        <f aca="false">IF(SUM($W414:$X414)&gt;0,SUM($W414:$X414),IF($H414&gt;0,0,IF($H414&gt;0,0,"-")))</f>
        <v>-</v>
      </c>
      <c r="F414" s="499" t="str">
        <f aca="false">IF(SUM($Y414:$Z414)&gt;0,SUM($Y414:$Z414),IF($H414&gt;0,0,"-"))</f>
        <v>-</v>
      </c>
      <c r="G414" s="499" t="str">
        <f aca="false">IF($H414&gt;0,minus(E414,F414),"-")</f>
        <v>-</v>
      </c>
      <c r="H414" s="500" t="n">
        <f aca="false">SUM(COUNTIF(MatchSource!$A:$A,$B414),COUNTIF(MatchSource!$H:$H,$B414))</f>
        <v>0</v>
      </c>
      <c r="I414" s="501" t="n">
        <f aca="false">SUM($AA414:$AB414)</f>
        <v>0</v>
      </c>
      <c r="J414" s="501" t="s">
        <v>700</v>
      </c>
      <c r="K414" s="512" t="str">
        <f aca="false" t="array" ref="K414:K414">IF(ISNA(INDEX(DraftRosters!$AA$3:$AA$199,MATCH($B414,DraftRosters!$AB$3:$AB$199,0))),"FA",IF(INDEX(DraftRosters!$AA$3:$AA$199,MATCH($B414,DraftRosters!$AB$3:$AB$199,0))="Franchise","Franch",INDEX(DraftRosters!$AA$3:$AA$199,MATCH($B414,DraftRosters!$AB$3:$AB$199,0))))</f>
        <v>FA</v>
      </c>
      <c r="L414" s="499" t="n">
        <v>70</v>
      </c>
      <c r="M414" s="499" t="n">
        <v>120</v>
      </c>
      <c r="N414" s="499" t="n">
        <v>40</v>
      </c>
      <c r="O414" s="499" t="n">
        <v>95</v>
      </c>
      <c r="P414" s="499" t="n">
        <v>40</v>
      </c>
      <c r="Q414" s="501" t="n">
        <v>95</v>
      </c>
      <c r="R414" s="499" t="s">
        <v>795</v>
      </c>
      <c r="S414" s="501" t="s">
        <v>811</v>
      </c>
      <c r="T414" s="520" t="s">
        <v>957</v>
      </c>
      <c r="U414" s="513" t="s">
        <v>927</v>
      </c>
      <c r="V414" s="514"/>
      <c r="W414" s="500" t="str">
        <f aca="false">IFERROR(__xludf.dummyfunction("if(isna(SUM(FILTER(MatchSource!$A:$D,MatchSource!$A:$A=$B414))),0,SUM(FILTER(MatchSource!$A:$D,MatchSource!$A:$A=$B414)))"),"0")</f>
        <v>0</v>
      </c>
      <c r="X414" s="499" t="str">
        <f aca="false">IFERROR(__xludf.dummyfunction("if(isna(SUM(FILTER(MatchSource!$H:$K,MatchSource!$H:$H=$B414))),0,SUM(FILTER(MatchSource!$H:$K,MatchSource!$H:$H=$B414)))"),"0")</f>
        <v>0</v>
      </c>
      <c r="Y414" s="499" t="str">
        <f aca="false">IFERROR(__xludf.dummyfunction("if(isna(ABS(MINUS(SUM(FILTER(MatchSource!$A:$E,MatchSource!$A:$A=$B414)),SUM($W414)))),0,ABS(MINUS(SUM(FILTER(MatchSource!$A:$E,MatchSource!$A:$A=$B414)),SUM($W414))))"),"0")</f>
        <v>0</v>
      </c>
      <c r="Z414" s="499" t="str">
        <f aca="false">IFERROR(__xludf.dummyfunction("if(isna(ABS(MINUS(SUM(FILTER(MatchSource!$H:$L,MatchSource!$H:$H=$B414)),SUM($X414)))),0,ABS(MINUS(SUM(FILTER(MatchSource!$H:$L,MatchSource!$H:$H=$B414)),SUM($X414))))"),"0")</f>
        <v>0</v>
      </c>
      <c r="AA414" s="499" t="str">
        <f aca="false">IFERROR(__xludf.dummyfunction("if(isna(ABS(MINUS(SUM(FILTER(MatchSource!$A:$F,MatchSource!$A:$A=$B414)),SUM($W414,$Y414)))),0,ABS(MINUS(SUM(FILTER(MatchSource!$A:$F,MatchSource!$A:$A=$B414)),SUM($W414, $Y414,))))"),"0")</f>
        <v>0</v>
      </c>
      <c r="AB414" s="501" t="str">
        <f aca="false">IFERROR(__xludf.dummyfunction("if(isna(ABS(MINUS(SUM(FILTER(MatchSource!$H:$M,MatchSource!$H:$H=$B414)),SUM($X414,$Z414)))),0,ABS(MINUS(SUM(FILTER(MatchSource!$H:$M,MatchSource!$H:$H=$B414)),SUM($X414,$Z414))))"),"0")</f>
        <v>0</v>
      </c>
      <c r="AC414" s="507" t="n">
        <f aca="false">SUM(IF(OR($R414="Grass",$R414="Psychic",$R414="Dark"),0-1,IF(OR($R414="Fighting",$R414="Flying",$R414="Fire",$R414="Ghost",$R414="Poison",$R414="Steel",$R414="Fairy"),1,0)),IF(OR($S414="Grass",$S414="Psychic",$S414="Dark"),0-1,IF(OR($S414="Fighting",$S414="Flying",$S414="Fire",$S414="Ghost",$S414="Poison",$S414="Steel",$S414="Fairy"),1,0)))</f>
        <v>-1</v>
      </c>
      <c r="AD414" s="507" t="n">
        <f aca="false">SUM(IF(OR($R414="Ghost",$R414="Psychic"),0-1,IF(OR($R414="Fighting",$R414="Dark",$R414="Fairy"),1,0)),IF(OR($S414="Ghost",$S414="Psychic"),0-1,IF(OR($S414="Fighting",$S414="Dark",$S414="Fairy"),1,0)))</f>
        <v>1</v>
      </c>
      <c r="AE414" s="507" t="n">
        <f aca="false">IF(OR($R414="Fairy",$S414="Fairy"),4,SUM(IF($R414="Dragon",0-1,IF($R414="Steel",1,0)),IF($S414="Dragon",0-1,IF($S414="Steel",1,0))))</f>
        <v>0</v>
      </c>
      <c r="AF414" s="507" t="n">
        <f aca="false">IF(OR($R414="Ground",$S414="Ground"),4,SUM(IF(OR($R414="Flying",$R414="Water"),0-1,IF(OR($R414="Dragon",$R414="Electric",$R414="Grass"),1,0)),IF(OR($S414="Flying",$S414="Water"),0-1,IF(OR($S414="Dragon",$S414="Electric",$S414="Grass"),1,0))))</f>
        <v>-1</v>
      </c>
      <c r="AG414" s="507" t="n">
        <f aca="false">SUM(IF(OR($R414="Dark",$R414="Dragon",$R414="Fighting"),0-1,IF(OR($R414="Steel",$R414="Poison",$R414="Fire"),1,0)),IF(OR($S414="Dark",$S414="Dragon",$S414="Fighting"),0-1,IF(OR($S414="Steel",$S414="Poison",$S414="Fire"),1,0)))</f>
        <v>-1</v>
      </c>
      <c r="AH414" s="507" t="n">
        <f aca="false">IF(OR($R414="Ghost",$S414="Ghost"),4,SUM(IF(OR($R414="Dark",$R414="Ice",$R414="Normal",$R414="Rock",$R414="Steel"),0-1,IF(OR($R414="Bug",$R414="Fairy",$R414="Flying",$R414="Poison",$R414="Psychic"),1,0)),IF(OR($S414="Dark",$S414="Ice",$S414="Normal",$S414="Rock",$S414="Steel"),0-1,IF(OR($S414="Bug",$S414="Fairy",$S414="Flying",$S414="Poison",$S414="Psychic"),1,0))))</f>
        <v>-1</v>
      </c>
      <c r="AI414" s="507" t="n">
        <f aca="false">SUM(IF(OR($R414="Bug",$R414="Grass",$R414="Ice",$R414="Steel"),0-1,IF(OR($R414="Dragon",$R414="Fire",$R414="Rock",$R414="Water"),1,0)),IF(OR($S414="Bug",$S414="Grass",$S414="Ice",$S414="Steel"),0-1,IF(OR($S414="Dragon",$S414="Fire",$S414="Rock",$S414="Water"),1,0)))</f>
        <v>1</v>
      </c>
      <c r="AJ414" s="507" t="n">
        <f aca="false">SUM(IF(OR($R414="Bug",$R414="Grass",$R414="Fighting"),0-1,IF(OR($R414="Electric",$R414="Rock",$R414="Steel"),1,0)),IF(OR($S414="Bug",$S414="Grass",$S414="Fighting"),0-1,IF(OR($S414="Electric",$S414="Rock",$S414="Steel"),1,0)))</f>
        <v>0</v>
      </c>
      <c r="AK414" s="507" t="n">
        <f aca="false">IF(OR($R414="Normal",$S414="Normal"),4,SUM(IF(OR($R414="Ghost",$R414="Psychic"),0-1,IF($R414="Dark",1,0)),IF(OR($S414="Ghost",$S414="Psychic"),0-1,IF($S414="Dark",1,0))))</f>
        <v>1</v>
      </c>
      <c r="AL414" s="507" t="n">
        <f aca="false">SUM(IF(OR($R414="Ground",$R414="Rock",$R414="Water"),0-1,IF(OR($R414="Bug",$R414="Flying",$R414="Fire",$R414="Dragon",$R414="Poison",$R414="Steel",$R414="Grass"),1,0)),IF(OR($S414="Ground",$S414="Rock",$S414="Water"),0-1,IF(OR($S414="Bug",$S414="Flying",$S414="Fire",$S414="Dragon",$S414="Poison",$S414="Steel",$S414="Grass"),1,0)))</f>
        <v>-1</v>
      </c>
      <c r="AM414" s="507" t="n">
        <f aca="false">IF(OR($R414="Flying",$S414="Flying"),4,SUM(IF(OR($R414="Electric",$R414="Fire",$R414="Rock",$R414="Steel",$R414="Poison"),0-1,IF(OR($R414="Bug",$R414="Grass"),1,0)),IF(OR($S414="Electric",$S414="Fire",$S414="Rock",$S414="Steel",$S414="Poison"),0-1,IF(OR($S414="Bug",$S414="Grass"),1,0))))</f>
        <v>0</v>
      </c>
      <c r="AN414" s="507" t="n">
        <f aca="false">SUM(IF(OR($R414="Flying",$R414="Dragon",$R414="Grass",$R414="Ground"),0-1,IF(OR($R414="Steel",$R414="Ice",$R414="Fire",$R414="Water"),1,0)),IF(OR($S414="Flying",$S414="Dragon",$S414="Grass",$S414="Ground"),0-1,IF(OR($S414="Steel",$S414="Ice",$S414="Fire",$S414="Water"),1,0)))</f>
        <v>1</v>
      </c>
      <c r="AO414" s="507" t="n">
        <f aca="false">IF(OR($R414="Ghost",$S414="Ghost"),4,SUM(IF(OR($R414="Steel",$R414="Rock"),1,0),IF(OR($S414="Steel",$S414="Rock"),1,0)))</f>
        <v>0</v>
      </c>
      <c r="AP414" s="507" t="n">
        <f aca="false">IF(OR($R414="Steel",$S414="Steel"),4,SUM(IF(OR($R414="Fairy",$R414="Grass"),0-1,IF(OR($R414="Ghost",$R414="Rock",$R414="Ground",$R414="Poison"),1,0)),IF(OR($S414="Fairy",$S414="Grass"),0-1,IF(OR($S414="Ghost",$S414="Rock",$S414="Ground",$S414="Poison"),1,0))))</f>
        <v>0</v>
      </c>
      <c r="AQ414" s="507" t="n">
        <f aca="false">IF(OR($R414="Dark",$S414="Dark"),4,SUM(IF(OR($R414="Fighting",$R414="Poison"),0-1,IF(OR($R414="Psychic",$R414="Steel"),1,0)),IF(OR($S414="Fighting",$S414="Poison"),0-1,IF(OR($S414="Psychic",$S414="Steel"),1,0))))</f>
        <v>4</v>
      </c>
      <c r="AR414" s="507" t="n">
        <f aca="false">SUM(IF(OR($R414="Bug",$R414="Fire",$R414="Flying",$R414="Ice"),0-1,IF(OR($R414="Steel",$R414="Fighting",$R414="Ground"),1,0)),IF(OR($S414="Bug",$S414="Fire",$S414="Flying",$S414="Ice"),0-1,IF(OR($S414="Steel",$S414="Fighting",$S414="Ground"),1,0)))</f>
        <v>0</v>
      </c>
      <c r="AS414" s="507" t="n">
        <f aca="false">SUM(IF(OR($R414="Fairy",$R414="Ice",$R414="Rock"),0-1,IF(OR($R414="Steel",$R414="Electric",$R414="Fire",$R414="Water"),1,0)),IF(OR($S414="Fairy",$S414="Ice",$S414="Rock"),0-1,IF(OR($S414="Steel",$S414="Electric",$S414="Fire",$S414="Water"),1,0)))</f>
        <v>1</v>
      </c>
      <c r="AT414" s="508" t="n">
        <f aca="false">SUM(IF(OR($R414="Fire",$R414="Ground",$R414="Rock"),0-1,IF(OR($R414="Dragon",$R414="Grass",$R414="Water"),1,0)),IF(OR($S414="Fire",$S414="Ground",$S414="Rock"),0-1,IF(OR($S414="Dragon",$S414="Grass",$S414="Water"),1,0)))</f>
        <v>1</v>
      </c>
      <c r="AU414" s="518"/>
    </row>
    <row r="415" customFormat="false" ht="15.75" hidden="false" customHeight="false" outlineLevel="0" collapsed="false">
      <c r="A415" s="510" t="str">
        <f aca="false" t="array" ref="A415:A415">IF(ISNA(INDEX(Source!$U$7:$U$95,MATCH(B415,Source!$V$7:$V$95,0))),"FREE",INDEX(Source!$U$7:$U$95,MATCH(B415,Source!$V$7:$V$95,0)))</f>
        <v>FREE</v>
      </c>
      <c r="B415" s="511" t="s">
        <v>727</v>
      </c>
      <c r="C415" s="511"/>
      <c r="D415" s="511"/>
      <c r="E415" s="499" t="str">
        <f aca="false">IF(SUM($W415:$X415)&gt;0,SUM($W415:$X415),IF($H415&gt;0,0,IF($H415&gt;0,0,"-")))</f>
        <v>-</v>
      </c>
      <c r="F415" s="499" t="str">
        <f aca="false">IF(SUM($Y415:$Z415)&gt;0,SUM($Y415:$Z415),IF($H415&gt;0,0,"-"))</f>
        <v>-</v>
      </c>
      <c r="G415" s="499" t="str">
        <f aca="false">IF($H415&gt;0,minus(E415,F415),"-")</f>
        <v>-</v>
      </c>
      <c r="H415" s="500" t="n">
        <f aca="false">SUM(COUNTIF(MatchSource!$A:$A,$B415),COUNTIF(MatchSource!$H:$H,$B415))</f>
        <v>0</v>
      </c>
      <c r="I415" s="501" t="n">
        <f aca="false">SUM($AA415:$AB415)</f>
        <v>0</v>
      </c>
      <c r="J415" s="501" t="s">
        <v>279</v>
      </c>
      <c r="K415" s="512" t="str">
        <f aca="false" t="array" ref="K415:K415">IF(ISNA(INDEX(DraftRosters!$AA$3:$AA$199,MATCH($B415,DraftRosters!$AB$3:$AB$199,0))),"FA",IF(INDEX(DraftRosters!$AA$3:$AA$199,MATCH($B415,DraftRosters!$AB$3:$AB$199,0))="Franchise","Franch",INDEX(DraftRosters!$AA$3:$AA$199,MATCH($B415,DraftRosters!$AB$3:$AB$199,0))))</f>
        <v>FA</v>
      </c>
      <c r="L415" s="499" t="n">
        <v>70</v>
      </c>
      <c r="M415" s="499" t="n">
        <v>140</v>
      </c>
      <c r="N415" s="499" t="n">
        <v>70</v>
      </c>
      <c r="O415" s="499" t="n">
        <v>110</v>
      </c>
      <c r="P415" s="499" t="n">
        <v>65</v>
      </c>
      <c r="Q415" s="501" t="n">
        <v>105</v>
      </c>
      <c r="R415" s="499" t="s">
        <v>795</v>
      </c>
      <c r="S415" s="501" t="s">
        <v>811</v>
      </c>
      <c r="T415" s="504" t="s">
        <v>902</v>
      </c>
      <c r="U415" s="505"/>
      <c r="V415" s="506"/>
      <c r="W415" s="500" t="str">
        <f aca="false">IFERROR(__xludf.dummyfunction("if(isna(SUM(FILTER(MatchSource!$A:$D,MatchSource!$A:$A=$B415))),0,SUM(FILTER(MatchSource!$A:$D,MatchSource!$A:$A=$B415)))"),"0")</f>
        <v>0</v>
      </c>
      <c r="X415" s="499" t="str">
        <f aca="false">IFERROR(__xludf.dummyfunction("if(isna(SUM(FILTER(MatchSource!$H:$K,MatchSource!$H:$H=$B415))),0,SUM(FILTER(MatchSource!$H:$K,MatchSource!$H:$H=$B415)))"),"0")</f>
        <v>0</v>
      </c>
      <c r="Y415" s="499" t="str">
        <f aca="false">IFERROR(__xludf.dummyfunction("if(isna(ABS(MINUS(SUM(FILTER(MatchSource!$A:$E,MatchSource!$A:$A=$B415)),SUM($W415)))),0,ABS(MINUS(SUM(FILTER(MatchSource!$A:$E,MatchSource!$A:$A=$B415)),SUM($W415))))"),"0")</f>
        <v>0</v>
      </c>
      <c r="Z415" s="499" t="str">
        <f aca="false">IFERROR(__xludf.dummyfunction("if(isna(ABS(MINUS(SUM(FILTER(MatchSource!$H:$L,MatchSource!$H:$H=$B415)),SUM($X415)))),0,ABS(MINUS(SUM(FILTER(MatchSource!$H:$L,MatchSource!$H:$H=$B415)),SUM($X415))))"),"0")</f>
        <v>0</v>
      </c>
      <c r="AA415" s="499" t="str">
        <f aca="false">IFERROR(__xludf.dummyfunction("if(isna(ABS(MINUS(SUM(FILTER(MatchSource!$A:$F,MatchSource!$A:$A=$B415)),SUM($W415,$Y415)))),0,ABS(MINUS(SUM(FILTER(MatchSource!$A:$F,MatchSource!$A:$A=$B415)),SUM($W415, $Y415,))))"),"0")</f>
        <v>0</v>
      </c>
      <c r="AB415" s="501" t="str">
        <f aca="false">IFERROR(__xludf.dummyfunction("if(isna(ABS(MINUS(SUM(FILTER(MatchSource!$H:$M,MatchSource!$H:$H=$B415)),SUM($X415,$Z415)))),0,ABS(MINUS(SUM(FILTER(MatchSource!$H:$M,MatchSource!$H:$H=$B415)),SUM($X415,$Z415))))"),"0")</f>
        <v>0</v>
      </c>
      <c r="AC415" s="507" t="n">
        <f aca="false">SUM(IF(OR($R415="Grass",$R415="Psychic",$R415="Dark"),0-1,IF(OR($R415="Fighting",$R415="Flying",$R415="Fire",$R415="Ghost",$R415="Poison",$R415="Steel",$R415="Fairy"),1,0)),IF(OR($S415="Grass",$S415="Psychic",$S415="Dark"),0-1,IF(OR($S415="Fighting",$S415="Flying",$S415="Fire",$S415="Ghost",$S415="Poison",$S415="Steel",$S415="Fairy"),1,0)))</f>
        <v>-1</v>
      </c>
      <c r="AD415" s="507" t="n">
        <f aca="false">SUM(IF(OR($R415="Ghost",$R415="Psychic"),0-1,IF(OR($R415="Fighting",$R415="Dark",$R415="Fairy"),1,0)),IF(OR($S415="Ghost",$S415="Psychic"),0-1,IF(OR($S415="Fighting",$S415="Dark",$S415="Fairy"),1,0)))</f>
        <v>1</v>
      </c>
      <c r="AE415" s="507" t="n">
        <f aca="false">IF(OR($R415="Fairy",$S415="Fairy"),4,SUM(IF($R415="Dragon",0-1,IF($R415="Steel",1,0)),IF($S415="Dragon",0-1,IF($S415="Steel",1,0))))</f>
        <v>0</v>
      </c>
      <c r="AF415" s="507" t="n">
        <f aca="false">IF(OR($R415="Ground",$S415="Ground"),4,SUM(IF(OR($R415="Flying",$R415="Water"),0-1,IF(OR($R415="Dragon",$R415="Electric",$R415="Grass"),1,0)),IF(OR($S415="Flying",$S415="Water"),0-1,IF(OR($S415="Dragon",$S415="Electric",$S415="Grass"),1,0))))</f>
        <v>-1</v>
      </c>
      <c r="AG415" s="507" t="n">
        <f aca="false">SUM(IF(OR($R415="Dark",$R415="Dragon",$R415="Fighting"),0-1,IF(OR($R415="Steel",$R415="Poison",$R415="Fire"),1,0)),IF(OR($S415="Dark",$S415="Dragon",$S415="Fighting"),0-1,IF(OR($S415="Steel",$S415="Poison",$S415="Fire"),1,0)))</f>
        <v>-1</v>
      </c>
      <c r="AH415" s="507" t="n">
        <f aca="false">IF(OR($R415="Ghost",$S415="Ghost"),4,SUM(IF(OR($R415="Dark",$R415="Ice",$R415="Normal",$R415="Rock",$R415="Steel"),0-1,IF(OR($R415="Bug",$R415="Fairy",$R415="Flying",$R415="Poison",$R415="Psychic"),1,0)),IF(OR($S415="Dark",$S415="Ice",$S415="Normal",$S415="Rock",$S415="Steel"),0-1,IF(OR($S415="Bug",$S415="Fairy",$S415="Flying",$S415="Poison",$S415="Psychic"),1,0))))</f>
        <v>-1</v>
      </c>
      <c r="AI415" s="507" t="n">
        <f aca="false">SUM(IF(OR($R415="Bug",$R415="Grass",$R415="Ice",$R415="Steel"),0-1,IF(OR($R415="Dragon",$R415="Fire",$R415="Rock",$R415="Water"),1,0)),IF(OR($S415="Bug",$S415="Grass",$S415="Ice",$S415="Steel"),0-1,IF(OR($S415="Dragon",$S415="Fire",$S415="Rock",$S415="Water"),1,0)))</f>
        <v>1</v>
      </c>
      <c r="AJ415" s="507" t="n">
        <f aca="false">SUM(IF(OR($R415="Bug",$R415="Grass",$R415="Fighting"),0-1,IF(OR($R415="Electric",$R415="Rock",$R415="Steel"),1,0)),IF(OR($S415="Bug",$S415="Grass",$S415="Fighting"),0-1,IF(OR($S415="Electric",$S415="Rock",$S415="Steel"),1,0)))</f>
        <v>0</v>
      </c>
      <c r="AK415" s="507" t="n">
        <f aca="false">IF(OR($R415="Normal",$S415="Normal"),4,SUM(IF(OR($R415="Ghost",$R415="Psychic"),0-1,IF($R415="Dark",1,0)),IF(OR($S415="Ghost",$S415="Psychic"),0-1,IF($S415="Dark",1,0))))</f>
        <v>1</v>
      </c>
      <c r="AL415" s="507" t="n">
        <f aca="false">SUM(IF(OR($R415="Ground",$R415="Rock",$R415="Water"),0-1,IF(OR($R415="Bug",$R415="Flying",$R415="Fire",$R415="Dragon",$R415="Poison",$R415="Steel",$R415="Grass"),1,0)),IF(OR($S415="Ground",$S415="Rock",$S415="Water"),0-1,IF(OR($S415="Bug",$S415="Flying",$S415="Fire",$S415="Dragon",$S415="Poison",$S415="Steel",$S415="Grass"),1,0)))</f>
        <v>-1</v>
      </c>
      <c r="AM415" s="507" t="n">
        <f aca="false">IF(OR($R415="Flying",$S415="Flying"),4,SUM(IF(OR($R415="Electric",$R415="Fire",$R415="Rock",$R415="Steel",$R415="Poison"),0-1,IF(OR($R415="Bug",$R415="Grass"),1,0)),IF(OR($S415="Electric",$S415="Fire",$S415="Rock",$S415="Steel",$S415="Poison"),0-1,IF(OR($S415="Bug",$S415="Grass"),1,0))))</f>
        <v>0</v>
      </c>
      <c r="AN415" s="507" t="n">
        <f aca="false">SUM(IF(OR($R415="Flying",$R415="Dragon",$R415="Grass",$R415="Ground"),0-1,IF(OR($R415="Steel",$R415="Ice",$R415="Fire",$R415="Water"),1,0)),IF(OR($S415="Flying",$S415="Dragon",$S415="Grass",$S415="Ground"),0-1,IF(OR($S415="Steel",$S415="Ice",$S415="Fire",$S415="Water"),1,0)))</f>
        <v>1</v>
      </c>
      <c r="AO415" s="507" t="n">
        <f aca="false">IF(OR($R415="Ghost",$S415="Ghost"),4,SUM(IF(OR($R415="Steel",$R415="Rock"),1,0),IF(OR($S415="Steel",$S415="Rock"),1,0)))</f>
        <v>0</v>
      </c>
      <c r="AP415" s="507" t="n">
        <f aca="false">IF(OR($R415="Steel",$S415="Steel"),4,SUM(IF(OR($R415="Fairy",$R415="Grass"),0-1,IF(OR($R415="Ghost",$R415="Rock",$R415="Ground",$R415="Poison"),1,0)),IF(OR($S415="Fairy",$S415="Grass"),0-1,IF(OR($S415="Ghost",$S415="Rock",$S415="Ground",$S415="Poison"),1,0))))</f>
        <v>0</v>
      </c>
      <c r="AQ415" s="507" t="n">
        <f aca="false">IF(OR($R415="Dark",$S415="Dark"),4,SUM(IF(OR($R415="Fighting",$R415="Poison"),0-1,IF(OR($R415="Psychic",$R415="Steel"),1,0)),IF(OR($S415="Fighting",$S415="Poison"),0-1,IF(OR($S415="Psychic",$S415="Steel"),1,0))))</f>
        <v>4</v>
      </c>
      <c r="AR415" s="507" t="n">
        <f aca="false">SUM(IF(OR($R415="Bug",$R415="Fire",$R415="Flying",$R415="Ice"),0-1,IF(OR($R415="Steel",$R415="Fighting",$R415="Ground"),1,0)),IF(OR($S415="Bug",$S415="Fire",$S415="Flying",$S415="Ice"),0-1,IF(OR($S415="Steel",$S415="Fighting",$S415="Ground"),1,0)))</f>
        <v>0</v>
      </c>
      <c r="AS415" s="507" t="n">
        <f aca="false">SUM(IF(OR($R415="Fairy",$R415="Ice",$R415="Rock"),0-1,IF(OR($R415="Steel",$R415="Electric",$R415="Fire",$R415="Water"),1,0)),IF(OR($S415="Fairy",$S415="Ice",$S415="Rock"),0-1,IF(OR($S415="Steel",$S415="Electric",$S415="Fire",$S415="Water"),1,0)))</f>
        <v>1</v>
      </c>
      <c r="AT415" s="508" t="n">
        <f aca="false">SUM(IF(OR($R415="Fire",$R415="Ground",$R415="Rock"),0-1,IF(OR($R415="Dragon",$R415="Grass",$R415="Water"),1,0)),IF(OR($S415="Fire",$S415="Ground",$S415="Rock"),0-1,IF(OR($S415="Dragon",$S415="Grass",$S415="Water"),1,0)))</f>
        <v>1</v>
      </c>
      <c r="AU415" s="518"/>
    </row>
    <row r="416" customFormat="false" ht="15.75" hidden="false" customHeight="false" outlineLevel="0" collapsed="false">
      <c r="A416" s="515" t="str">
        <f aca="false" t="array" ref="A416:A416">IF(ISNA(INDEX(Source!$U$7:$U$95,MATCH(B416,Source!$V$7:$V$95,0))),"FREE",INDEX(Source!$U$7:$U$95,MATCH(B416,Source!$V$7:$V$95,0)))</f>
        <v>FREE</v>
      </c>
      <c r="B416" s="511" t="s">
        <v>562</v>
      </c>
      <c r="C416" s="511"/>
      <c r="D416" s="511"/>
      <c r="E416" s="499" t="str">
        <f aca="false">IF(SUM($W416:$X416)&gt;0,SUM($W416:$X416),IF($H416&gt;0,0,IF($H416&gt;0,0,"-")))</f>
        <v>-</v>
      </c>
      <c r="F416" s="499" t="str">
        <f aca="false">IF(SUM($Y416:$Z416)&gt;0,SUM($Y416:$Z416),IF($H416&gt;0,0,"-"))</f>
        <v>-</v>
      </c>
      <c r="G416" s="499" t="str">
        <f aca="false">IF($H416&gt;0,minus(E416,F416),"-")</f>
        <v>-</v>
      </c>
      <c r="H416" s="500" t="n">
        <f aca="false">SUM(COUNTIF(MatchSource!$A:$A,$B416),COUNTIF(MatchSource!$H:$H,$B416))</f>
        <v>0</v>
      </c>
      <c r="I416" s="501" t="n">
        <f aca="false">SUM($AA416:$AB416)</f>
        <v>0</v>
      </c>
      <c r="J416" s="501" t="s">
        <v>700</v>
      </c>
      <c r="K416" s="512" t="str">
        <f aca="false" t="array" ref="K416:K416">IF(ISNA(INDEX(DraftRosters!$AA$3:$AA$199,MATCH($B416,DraftRosters!$AB$3:$AB$199,0))),"FA",IF(INDEX(DraftRosters!$AA$3:$AA$199,MATCH($B416,DraftRosters!$AB$3:$AB$199,0))="Franchise","Franch",INDEX(DraftRosters!$AA$3:$AA$199,MATCH($B416,DraftRosters!$AB$3:$AB$199,0))))</f>
        <v>FA</v>
      </c>
      <c r="L416" s="499" t="n">
        <v>100</v>
      </c>
      <c r="M416" s="499" t="n">
        <v>100</v>
      </c>
      <c r="N416" s="499" t="n">
        <v>100</v>
      </c>
      <c r="O416" s="499" t="n">
        <v>100</v>
      </c>
      <c r="P416" s="499" t="n">
        <v>100</v>
      </c>
      <c r="Q416" s="501" t="n">
        <v>100</v>
      </c>
      <c r="R416" s="499" t="s">
        <v>803</v>
      </c>
      <c r="S416" s="501"/>
      <c r="T416" s="504" t="s">
        <v>837</v>
      </c>
      <c r="U416" s="505"/>
      <c r="V416" s="506"/>
      <c r="W416" s="500" t="str">
        <f aca="false">IFERROR(__xludf.dummyfunction("if(isna(SUM(FILTER(MatchSource!$A:$D,MatchSource!$A:$A=$B416))),0,SUM(FILTER(MatchSource!$A:$D,MatchSource!$A:$A=$B416)))"),"0")</f>
        <v>0</v>
      </c>
      <c r="X416" s="499" t="str">
        <f aca="false">IFERROR(__xludf.dummyfunction("if(isna(SUM(FILTER(MatchSource!$H:$K,MatchSource!$H:$H=$B416))),0,SUM(FILTER(MatchSource!$H:$K,MatchSource!$H:$H=$B416)))"),"0")</f>
        <v>0</v>
      </c>
      <c r="Y416" s="499" t="str">
        <f aca="false">IFERROR(__xludf.dummyfunction("if(isna(ABS(MINUS(SUM(FILTER(MatchSource!$A:$E,MatchSource!$A:$A=$B416)),SUM($W416)))),0,ABS(MINUS(SUM(FILTER(MatchSource!$A:$E,MatchSource!$A:$A=$B416)),SUM($W416))))"),"0")</f>
        <v>0</v>
      </c>
      <c r="Z416" s="499" t="str">
        <f aca="false">IFERROR(__xludf.dummyfunction("if(isna(ABS(MINUS(SUM(FILTER(MatchSource!$H:$L,MatchSource!$H:$H=$B416)),SUM($X416)))),0,ABS(MINUS(SUM(FILTER(MatchSource!$H:$L,MatchSource!$H:$H=$B416)),SUM($X416))))"),"0")</f>
        <v>0</v>
      </c>
      <c r="AA416" s="499" t="str">
        <f aca="false">IFERROR(__xludf.dummyfunction("if(isna(ABS(MINUS(SUM(FILTER(MatchSource!$A:$F,MatchSource!$A:$A=$B416)),SUM($W416,$Y416)))),0,ABS(MINUS(SUM(FILTER(MatchSource!$A:$F,MatchSource!$A:$A=$B416)),SUM($W416, $Y416,))))"),"0")</f>
        <v>0</v>
      </c>
      <c r="AB416" s="501" t="str">
        <f aca="false">IFERROR(__xludf.dummyfunction("if(isna(ABS(MINUS(SUM(FILTER(MatchSource!$H:$M,MatchSource!$H:$H=$B416)),SUM($X416,$Z416)))),0,ABS(MINUS(SUM(FILTER(MatchSource!$H:$M,MatchSource!$H:$H=$B416)),SUM($X416,$Z416))))"),"0")</f>
        <v>0</v>
      </c>
      <c r="AC416" s="507" t="n">
        <f aca="false">SUM(IF(OR($R416="Grass",$R416="Psychic",$R416="Dark"),0-1,IF(OR($R416="Fighting",$R416="Flying",$R416="Fire",$R416="Ghost",$R416="Poison",$R416="Steel",$R416="Fairy"),1,0)),IF(OR($S416="Grass",$S416="Psychic",$S416="Dark"),0-1,IF(OR($S416="Fighting",$S416="Flying",$S416="Fire",$S416="Ghost",$S416="Poison",$S416="Steel",$S416="Fairy"),1,0)))</f>
        <v>-1</v>
      </c>
      <c r="AD416" s="507" t="n">
        <f aca="false">SUM(IF(OR($R416="Ghost",$R416="Psychic"),0-1,IF(OR($R416="Fighting",$R416="Dark",$R416="Fairy"),1,0)),IF(OR($S416="Ghost",$S416="Psychic"),0-1,IF(OR($S416="Fighting",$S416="Dark",$S416="Fairy"),1,0)))</f>
        <v>0</v>
      </c>
      <c r="AE416" s="507" t="n">
        <f aca="false">IF(OR($R416="Fairy",$S416="Fairy"),4,SUM(IF($R416="Dragon",0-1,IF($R416="Steel",1,0)),IF($S416="Dragon",0-1,IF($S416="Steel",1,0))))</f>
        <v>0</v>
      </c>
      <c r="AF416" s="507" t="n">
        <f aca="false">IF(OR($R416="Ground",$S416="Ground"),4,SUM(IF(OR($R416="Flying",$R416="Water"),0-1,IF(OR($R416="Dragon",$R416="Electric",$R416="Grass"),1,0)),IF(OR($S416="Flying",$S416="Water"),0-1,IF(OR($S416="Dragon",$S416="Electric",$S416="Grass"),1,0))))</f>
        <v>1</v>
      </c>
      <c r="AG416" s="507" t="n">
        <f aca="false">SUM(IF(OR($R416="Dark",$R416="Dragon",$R416="Fighting"),0-1,IF(OR($R416="Steel",$R416="Poison",$R416="Fire"),1,0)),IF(OR($S416="Dark",$S416="Dragon",$S416="Fighting"),0-1,IF(OR($S416="Steel",$S416="Poison",$S416="Fire"),1,0)))</f>
        <v>0</v>
      </c>
      <c r="AH416" s="507" t="n">
        <f aca="false">IF(OR($R416="Ghost",$S416="Ghost"),4,SUM(IF(OR($R416="Dark",$R416="Ice",$R416="Normal",$R416="Rock",$R416="Steel"),0-1,IF(OR($R416="Bug",$R416="Fairy",$R416="Flying",$R416="Poison",$R416="Psychic"),1,0)),IF(OR($S416="Dark",$S416="Ice",$S416="Normal",$S416="Rock",$S416="Steel"),0-1,IF(OR($S416="Bug",$S416="Fairy",$S416="Flying",$S416="Poison",$S416="Psychic"),1,0))))</f>
        <v>0</v>
      </c>
      <c r="AI416" s="507" t="n">
        <f aca="false">SUM(IF(OR($R416="Bug",$R416="Grass",$R416="Ice",$R416="Steel"),0-1,IF(OR($R416="Dragon",$R416="Fire",$R416="Rock",$R416="Water"),1,0)),IF(OR($S416="Bug",$S416="Grass",$S416="Ice",$S416="Steel"),0-1,IF(OR($S416="Dragon",$S416="Fire",$S416="Rock",$S416="Water"),1,0)))</f>
        <v>-1</v>
      </c>
      <c r="AJ416" s="507" t="n">
        <f aca="false">SUM(IF(OR($R416="Bug",$R416="Grass",$R416="Fighting"),0-1,IF(OR($R416="Electric",$R416="Rock",$R416="Steel"),1,0)),IF(OR($S416="Bug",$S416="Grass",$S416="Fighting"),0-1,IF(OR($S416="Electric",$S416="Rock",$S416="Steel"),1,0)))</f>
        <v>-1</v>
      </c>
      <c r="AK416" s="507" t="n">
        <f aca="false">IF(OR($R416="Normal",$S416="Normal"),4,SUM(IF(OR($R416="Ghost",$R416="Psychic"),0-1,IF($R416="Dark",1,0)),IF(OR($S416="Ghost",$S416="Psychic"),0-1,IF($S416="Dark",1,0))))</f>
        <v>0</v>
      </c>
      <c r="AL416" s="507" t="n">
        <f aca="false">SUM(IF(OR($R416="Ground",$R416="Rock",$R416="Water"),0-1,IF(OR($R416="Bug",$R416="Flying",$R416="Fire",$R416="Dragon",$R416="Poison",$R416="Steel",$R416="Grass"),1,0)),IF(OR($S416="Ground",$S416="Rock",$S416="Water"),0-1,IF(OR($S416="Bug",$S416="Flying",$S416="Fire",$S416="Dragon",$S416="Poison",$S416="Steel",$S416="Grass"),1,0)))</f>
        <v>1</v>
      </c>
      <c r="AM416" s="507" t="n">
        <f aca="false">IF(OR($R416="Flying",$S416="Flying"),4,SUM(IF(OR($R416="Electric",$R416="Fire",$R416="Rock",$R416="Steel",$R416="Poison"),0-1,IF(OR($R416="Bug",$R416="Grass"),1,0)),IF(OR($S416="Electric",$S416="Fire",$S416="Rock",$S416="Steel",$S416="Poison"),0-1,IF(OR($S416="Bug",$S416="Grass"),1,0))))</f>
        <v>1</v>
      </c>
      <c r="AN416" s="507" t="n">
        <f aca="false">SUM(IF(OR($R416="Flying",$R416="Dragon",$R416="Grass",$R416="Ground"),0-1,IF(OR($R416="Steel",$R416="Ice",$R416="Fire",$R416="Water"),1,0)),IF(OR($S416="Flying",$S416="Dragon",$S416="Grass",$S416="Ground"),0-1,IF(OR($S416="Steel",$S416="Ice",$S416="Fire",$S416="Water"),1,0)))</f>
        <v>-1</v>
      </c>
      <c r="AO416" s="507" t="n">
        <f aca="false">IF(OR($R416="Ghost",$S416="Ghost"),4,SUM(IF(OR($R416="Steel",$R416="Rock"),1,0),IF(OR($S416="Steel",$S416="Rock"),1,0)))</f>
        <v>0</v>
      </c>
      <c r="AP416" s="507" t="n">
        <f aca="false">IF(OR($R416="Steel",$S416="Steel"),4,SUM(IF(OR($R416="Fairy",$R416="Grass"),0-1,IF(OR($R416="Ghost",$R416="Rock",$R416="Ground",$R416="Poison"),1,0)),IF(OR($S416="Fairy",$S416="Grass"),0-1,IF(OR($S416="Ghost",$S416="Rock",$S416="Ground",$S416="Poison"),1,0))))</f>
        <v>-1</v>
      </c>
      <c r="AQ416" s="507" t="n">
        <f aca="false">IF(OR($R416="Dark",$S416="Dark"),4,SUM(IF(OR($R416="Fighting",$R416="Poison"),0-1,IF(OR($R416="Psychic",$R416="Steel"),1,0)),IF(OR($S416="Fighting",$S416="Poison"),0-1,IF(OR($S416="Psychic",$S416="Steel"),1,0))))</f>
        <v>0</v>
      </c>
      <c r="AR416" s="507" t="n">
        <f aca="false">SUM(IF(OR($R416="Bug",$R416="Fire",$R416="Flying",$R416="Ice"),0-1,IF(OR($R416="Steel",$R416="Fighting",$R416="Ground"),1,0)),IF(OR($S416="Bug",$S416="Fire",$S416="Flying",$S416="Ice"),0-1,IF(OR($S416="Steel",$S416="Fighting",$S416="Ground"),1,0)))</f>
        <v>0</v>
      </c>
      <c r="AS416" s="507" t="n">
        <f aca="false">SUM(IF(OR($R416="Fairy",$R416="Ice",$R416="Rock"),0-1,IF(OR($R416="Steel",$R416="Electric",$R416="Fire",$R416="Water"),1,0)),IF(OR($S416="Fairy",$S416="Ice",$S416="Rock"),0-1,IF(OR($S416="Steel",$S416="Electric",$S416="Fire",$S416="Water"),1,0)))</f>
        <v>0</v>
      </c>
      <c r="AT416" s="508" t="n">
        <f aca="false">SUM(IF(OR($R416="Fire",$R416="Ground",$R416="Rock"),0-1,IF(OR($R416="Dragon",$R416="Grass",$R416="Water"),1,0)),IF(OR($S416="Fire",$S416="Ground",$S416="Rock"),0-1,IF(OR($S416="Dragon",$S416="Grass",$S416="Water"),1,0)))</f>
        <v>1</v>
      </c>
      <c r="AU416" s="518"/>
    </row>
    <row r="417" customFormat="false" ht="15.75" hidden="false" customHeight="false" outlineLevel="0" collapsed="false">
      <c r="A417" s="515" t="str">
        <f aca="false" t="array" ref="A417:A417">IF(ISNA(INDEX(Source!$U$7:$U$95,MATCH(B417,Source!$V$7:$V$95,0))),"FREE",INDEX(Source!$U$7:$U$95,MATCH(B417,Source!$V$7:$V$95,0)))</f>
        <v>FREE</v>
      </c>
      <c r="B417" s="511" t="s">
        <v>573</v>
      </c>
      <c r="C417" s="511"/>
      <c r="D417" s="511"/>
      <c r="E417" s="499" t="str">
        <f aca="false">IF(SUM($W417:$X417)&gt;0,SUM($W417:$X417),IF($H417&gt;0,0,IF($H417&gt;0,0,"-")))</f>
        <v>-</v>
      </c>
      <c r="F417" s="499" t="str">
        <f aca="false">IF(SUM($Y417:$Z417)&gt;0,SUM($Y417:$Z417),IF($H417&gt;0,0,"-"))</f>
        <v>-</v>
      </c>
      <c r="G417" s="499" t="str">
        <f aca="false">IF($H417&gt;0,minus(E417,F417),"-")</f>
        <v>-</v>
      </c>
      <c r="H417" s="500" t="n">
        <f aca="false">SUM(COUNTIF(MatchSource!$A:$A,$B417),COUNTIF(MatchSource!$H:$H,$B417))</f>
        <v>0</v>
      </c>
      <c r="I417" s="501" t="n">
        <f aca="false">SUM($AA417:$AB417)</f>
        <v>0</v>
      </c>
      <c r="J417" s="501" t="s">
        <v>702</v>
      </c>
      <c r="K417" s="512" t="str">
        <f aca="false" t="array" ref="K417:K417">IF(ISNA(INDEX(DraftRosters!$AA$3:$AA$199,MATCH($B417,DraftRosters!$AB$3:$AB$199,0))),"FA",IF(INDEX(DraftRosters!$AA$3:$AA$199,MATCH($B417,DraftRosters!$AB$3:$AB$199,0))="Franchise","Franch",INDEX(DraftRosters!$AA$3:$AA$199,MATCH($B417,DraftRosters!$AB$3:$AB$199,0))))</f>
        <v>FA</v>
      </c>
      <c r="L417" s="499" t="n">
        <v>1</v>
      </c>
      <c r="M417" s="499" t="n">
        <v>90</v>
      </c>
      <c r="N417" s="499" t="n">
        <v>45</v>
      </c>
      <c r="O417" s="499" t="n">
        <v>30</v>
      </c>
      <c r="P417" s="499" t="n">
        <v>30</v>
      </c>
      <c r="Q417" s="501" t="n">
        <v>40</v>
      </c>
      <c r="R417" s="499" t="s">
        <v>794</v>
      </c>
      <c r="S417" s="501" t="s">
        <v>802</v>
      </c>
      <c r="T417" s="504" t="s">
        <v>1065</v>
      </c>
      <c r="U417" s="505"/>
      <c r="V417" s="506"/>
      <c r="W417" s="500" t="str">
        <f aca="false">IFERROR(__xludf.dummyfunction("if(isna(SUM(FILTER(MatchSource!$A:$D,MatchSource!$A:$A=$B417))),0,SUM(FILTER(MatchSource!$A:$D,MatchSource!$A:$A=$B417)))"),"0")</f>
        <v>0</v>
      </c>
      <c r="X417" s="499" t="str">
        <f aca="false">IFERROR(__xludf.dummyfunction("if(isna(SUM(FILTER(MatchSource!$H:$K,MatchSource!$H:$H=$B417))),0,SUM(FILTER(MatchSource!$H:$K,MatchSource!$H:$H=$B417)))"),"0")</f>
        <v>0</v>
      </c>
      <c r="Y417" s="499" t="str">
        <f aca="false">IFERROR(__xludf.dummyfunction("if(isna(ABS(MINUS(SUM(FILTER(MatchSource!$A:$E,MatchSource!$A:$A=$B417)),SUM($W417)))),0,ABS(MINUS(SUM(FILTER(MatchSource!$A:$E,MatchSource!$A:$A=$B417)),SUM($W417))))"),"0")</f>
        <v>0</v>
      </c>
      <c r="Z417" s="499" t="str">
        <f aca="false">IFERROR(__xludf.dummyfunction("if(isna(ABS(MINUS(SUM(FILTER(MatchSource!$H:$L,MatchSource!$H:$H=$B417)),SUM($X417)))),0,ABS(MINUS(SUM(FILTER(MatchSource!$H:$L,MatchSource!$H:$H=$B417)),SUM($X417))))"),"0")</f>
        <v>0</v>
      </c>
      <c r="AA417" s="499" t="str">
        <f aca="false">IFERROR(__xludf.dummyfunction("if(isna(ABS(MINUS(SUM(FILTER(MatchSource!$A:$F,MatchSource!$A:$A=$B417)),SUM($W417,$Y417)))),0,ABS(MINUS(SUM(FILTER(MatchSource!$A:$F,MatchSource!$A:$A=$B417)),SUM($W417, $Y417,))))"),"0")</f>
        <v>0</v>
      </c>
      <c r="AB417" s="501" t="str">
        <f aca="false">IFERROR(__xludf.dummyfunction("if(isna(ABS(MINUS(SUM(FILTER(MatchSource!$H:$M,MatchSource!$H:$H=$B417)),SUM($X417,$Z417)))),0,ABS(MINUS(SUM(FILTER(MatchSource!$H:$M,MatchSource!$H:$H=$B417)),SUM($X417,$Z417))))"),"0")</f>
        <v>0</v>
      </c>
      <c r="AC417" s="507" t="n">
        <f aca="false">SUM(IF(OR($R417="Grass",$R417="Psychic",$R417="Dark"),0-1,IF(OR($R417="Fighting",$R417="Flying",$R417="Fire",$R417="Ghost",$R417="Poison",$R417="Steel",$R417="Fairy"),1,0)),IF(OR($S417="Grass",$S417="Psychic",$S417="Dark"),0-1,IF(OR($S417="Fighting",$S417="Flying",$S417="Fire",$S417="Ghost",$S417="Poison",$S417="Steel",$S417="Fairy"),1,0)))</f>
        <v>1</v>
      </c>
      <c r="AD417" s="507" t="n">
        <f aca="false">SUM(IF(OR($R417="Ghost",$R417="Psychic"),0-1,IF(OR($R417="Fighting",$R417="Dark",$R417="Fairy"),1,0)),IF(OR($S417="Ghost",$S417="Psychic"),0-1,IF(OR($S417="Fighting",$S417="Dark",$S417="Fairy"),1,0)))</f>
        <v>-1</v>
      </c>
      <c r="AE417" s="507" t="n">
        <f aca="false">IF(OR($R417="Fairy",$S417="Fairy"),4,SUM(IF($R417="Dragon",0-1,IF($R417="Steel",1,0)),IF($S417="Dragon",0-1,IF($S417="Steel",1,0))))</f>
        <v>0</v>
      </c>
      <c r="AF417" s="507" t="n">
        <f aca="false">IF(OR($R417="Ground",$S417="Ground"),4,SUM(IF(OR($R417="Flying",$R417="Water"),0-1,IF(OR($R417="Dragon",$R417="Electric",$R417="Grass"),1,0)),IF(OR($S417="Flying",$S417="Water"),0-1,IF(OR($S417="Dragon",$S417="Electric",$S417="Grass"),1,0))))</f>
        <v>0</v>
      </c>
      <c r="AG417" s="507" t="n">
        <f aca="false">SUM(IF(OR($R417="Dark",$R417="Dragon",$R417="Fighting"),0-1,IF(OR($R417="Steel",$R417="Poison",$R417="Fire"),1,0)),IF(OR($S417="Dark",$S417="Dragon",$S417="Fighting"),0-1,IF(OR($S417="Steel",$S417="Poison",$S417="Fire"),1,0)))</f>
        <v>0</v>
      </c>
      <c r="AH417" s="507" t="n">
        <f aca="false">IF(OR($R417="Ghost",$S417="Ghost"),4,SUM(IF(OR($R417="Dark",$R417="Ice",$R417="Normal",$R417="Rock",$R417="Steel"),0-1,IF(OR($R417="Bug",$R417="Fairy",$R417="Flying",$R417="Poison",$R417="Psychic"),1,0)),IF(OR($S417="Dark",$S417="Ice",$S417="Normal",$S417="Rock",$S417="Steel"),0-1,IF(OR($S417="Bug",$S417="Fairy",$S417="Flying",$S417="Poison",$S417="Psychic"),1,0))))</f>
        <v>4</v>
      </c>
      <c r="AI417" s="507" t="n">
        <f aca="false">SUM(IF(OR($R417="Bug",$R417="Grass",$R417="Ice",$R417="Steel"),0-1,IF(OR($R417="Dragon",$R417="Fire",$R417="Rock",$R417="Water"),1,0)),IF(OR($S417="Bug",$S417="Grass",$S417="Ice",$S417="Steel"),0-1,IF(OR($S417="Dragon",$S417="Fire",$S417="Rock",$S417="Water"),1,0)))</f>
        <v>-1</v>
      </c>
      <c r="AJ417" s="507" t="n">
        <f aca="false">SUM(IF(OR($R417="Bug",$R417="Grass",$R417="Fighting"),0-1,IF(OR($R417="Electric",$R417="Rock",$R417="Steel"),1,0)),IF(OR($S417="Bug",$S417="Grass",$S417="Fighting"),0-1,IF(OR($S417="Electric",$S417="Rock",$S417="Steel"),1,0)))</f>
        <v>-1</v>
      </c>
      <c r="AK417" s="507" t="n">
        <f aca="false">IF(OR($R417="Normal",$S417="Normal"),4,SUM(IF(OR($R417="Ghost",$R417="Psychic"),0-1,IF($R417="Dark",1,0)),IF(OR($S417="Ghost",$S417="Psychic"),0-1,IF($S417="Dark",1,0))))</f>
        <v>-1</v>
      </c>
      <c r="AL417" s="507" t="n">
        <f aca="false">SUM(IF(OR($R417="Ground",$R417="Rock",$R417="Water"),0-1,IF(OR($R417="Bug",$R417="Flying",$R417="Fire",$R417="Dragon",$R417="Poison",$R417="Steel",$R417="Grass"),1,0)),IF(OR($S417="Ground",$S417="Rock",$S417="Water"),0-1,IF(OR($S417="Bug",$S417="Flying",$S417="Fire",$S417="Dragon",$S417="Poison",$S417="Steel",$S417="Grass"),1,0)))</f>
        <v>1</v>
      </c>
      <c r="AM417" s="507" t="n">
        <f aca="false">IF(OR($R417="Flying",$S417="Flying"),4,SUM(IF(OR($R417="Electric",$R417="Fire",$R417="Rock",$R417="Steel",$R417="Poison"),0-1,IF(OR($R417="Bug",$R417="Grass"),1,0)),IF(OR($S417="Electric",$S417="Fire",$S417="Rock",$S417="Steel",$S417="Poison"),0-1,IF(OR($S417="Bug",$S417="Grass"),1,0))))</f>
        <v>1</v>
      </c>
      <c r="AN417" s="507" t="n">
        <f aca="false">SUM(IF(OR($R417="Flying",$R417="Dragon",$R417="Grass",$R417="Ground"),0-1,IF(OR($R417="Steel",$R417="Ice",$R417="Fire",$R417="Water"),1,0)),IF(OR($S417="Flying",$S417="Dragon",$S417="Grass",$S417="Ground"),0-1,IF(OR($S417="Steel",$S417="Ice",$S417="Fire",$S417="Water"),1,0)))</f>
        <v>0</v>
      </c>
      <c r="AO417" s="507" t="n">
        <f aca="false">IF(OR($R417="Ghost",$S417="Ghost"),4,SUM(IF(OR($R417="Steel",$R417="Rock"),1,0),IF(OR($S417="Steel",$S417="Rock"),1,0)))</f>
        <v>4</v>
      </c>
      <c r="AP417" s="507" t="n">
        <f aca="false">IF(OR($R417="Steel",$S417="Steel"),4,SUM(IF(OR($R417="Fairy",$R417="Grass"),0-1,IF(OR($R417="Ghost",$R417="Rock",$R417="Ground",$R417="Poison"),1,0)),IF(OR($S417="Fairy",$S417="Grass"),0-1,IF(OR($S417="Ghost",$S417="Rock",$S417="Ground",$S417="Poison"),1,0))))</f>
        <v>1</v>
      </c>
      <c r="AQ417" s="507" t="n">
        <f aca="false">IF(OR($R417="Dark",$S417="Dark"),4,SUM(IF(OR($R417="Fighting",$R417="Poison"),0-1,IF(OR($R417="Psychic",$R417="Steel"),1,0)),IF(OR($S417="Fighting",$S417="Poison"),0-1,IF(OR($S417="Psychic",$S417="Steel"),1,0))))</f>
        <v>0</v>
      </c>
      <c r="AR417" s="507" t="n">
        <f aca="false">SUM(IF(OR($R417="Bug",$R417="Fire",$R417="Flying",$R417="Ice"),0-1,IF(OR($R417="Steel",$R417="Fighting",$R417="Ground"),1,0)),IF(OR($S417="Bug",$S417="Fire",$S417="Flying",$S417="Ice"),0-1,IF(OR($S417="Steel",$S417="Fighting",$S417="Ground"),1,0)))</f>
        <v>-1</v>
      </c>
      <c r="AS417" s="507" t="n">
        <f aca="false">SUM(IF(OR($R417="Fairy",$R417="Ice",$R417="Rock"),0-1,IF(OR($R417="Steel",$R417="Electric",$R417="Fire",$R417="Water"),1,0)),IF(OR($S417="Fairy",$S417="Ice",$S417="Rock"),0-1,IF(OR($S417="Steel",$S417="Electric",$S417="Fire",$S417="Water"),1,0)))</f>
        <v>0</v>
      </c>
      <c r="AT417" s="508" t="n">
        <f aca="false">SUM(IF(OR($R417="Fire",$R417="Ground",$R417="Rock"),0-1,IF(OR($R417="Dragon",$R417="Grass",$R417="Water"),1,0)),IF(OR($S417="Fire",$S417="Ground",$S417="Rock"),0-1,IF(OR($S417="Dragon",$S417="Grass",$S417="Water"),1,0)))</f>
        <v>0</v>
      </c>
      <c r="AU417" s="518"/>
    </row>
    <row r="418" customFormat="false" ht="15.75" hidden="false" customHeight="false" outlineLevel="0" collapsed="false">
      <c r="A418" s="510" t="str">
        <f aca="false" t="array" ref="A418:A418">IF(ISNA(INDEX(Source!$U$7:$U$95,MATCH(B418,Source!$V$7:$V$95,0))),"FREE",INDEX(Source!$U$7:$U$95,MATCH(B418,Source!$V$7:$V$95,0)))</f>
        <v>FREE</v>
      </c>
      <c r="B418" s="511" t="s">
        <v>635</v>
      </c>
      <c r="C418" s="511"/>
      <c r="D418" s="511"/>
      <c r="E418" s="499" t="str">
        <f aca="false">IF(SUM($W418:$X418)&gt;0,SUM($W418:$X418),IF($H418&gt;0,0,IF($H418&gt;0,0,"-")))</f>
        <v>-</v>
      </c>
      <c r="F418" s="499" t="str">
        <f aca="false">IF(SUM($Y418:$Z418)&gt;0,SUM($Y418:$Z418),IF($H418&gt;0,0,"-"))</f>
        <v>-</v>
      </c>
      <c r="G418" s="499" t="str">
        <f aca="false">IF($H418&gt;0,minus(E418,F418),"-")</f>
        <v>-</v>
      </c>
      <c r="H418" s="500" t="n">
        <f aca="false">SUM(COUNTIF(MatchSource!$A:$A,$B418),COUNTIF(MatchSource!$H:$H,$B418))</f>
        <v>0</v>
      </c>
      <c r="I418" s="501" t="n">
        <f aca="false">SUM($AA418:$AB418)</f>
        <v>0</v>
      </c>
      <c r="J418" s="501" t="s">
        <v>701</v>
      </c>
      <c r="K418" s="512" t="str">
        <f aca="false" t="array" ref="K418:K418">IF(ISNA(INDEX(DraftRosters!$AA$3:$AA$199,MATCH($B418,DraftRosters!$AB$3:$AB$199,0))),"FA",IF(INDEX(DraftRosters!$AA$3:$AA$199,MATCH($B418,DraftRosters!$AB$3:$AB$199,0))="Franchise","Franch",INDEX(DraftRosters!$AA$3:$AA$199,MATCH($B418,DraftRosters!$AB$3:$AB$199,0))))</f>
        <v>FA</v>
      </c>
      <c r="L418" s="507" t="n">
        <v>90</v>
      </c>
      <c r="M418" s="507" t="n">
        <v>100</v>
      </c>
      <c r="N418" s="507" t="n">
        <v>60</v>
      </c>
      <c r="O418" s="507" t="n">
        <v>90</v>
      </c>
      <c r="P418" s="507" t="n">
        <v>60</v>
      </c>
      <c r="Q418" s="508" t="n">
        <v>80</v>
      </c>
      <c r="R418" s="499" t="s">
        <v>795</v>
      </c>
      <c r="S418" s="501" t="s">
        <v>803</v>
      </c>
      <c r="T418" s="504" t="s">
        <v>880</v>
      </c>
      <c r="U418" s="505" t="s">
        <v>873</v>
      </c>
      <c r="V418" s="506" t="s">
        <v>948</v>
      </c>
      <c r="W418" s="500" t="str">
        <f aca="false">IFERROR(__xludf.dummyfunction("if(isna(SUM(FILTER(MatchSource!$A:$D,MatchSource!$A:$A=$B418))),0,SUM(FILTER(MatchSource!$A:$D,MatchSource!$A:$A=$B418)))"),"0")</f>
        <v>0</v>
      </c>
      <c r="X418" s="499" t="str">
        <f aca="false">IFERROR(__xludf.dummyfunction("if(isna(SUM(FILTER(MatchSource!$H:$K,MatchSource!$H:$H=$B418))),0,SUM(FILTER(MatchSource!$H:$K,MatchSource!$H:$H=$B418)))"),"0")</f>
        <v>0</v>
      </c>
      <c r="Y418" s="499" t="str">
        <f aca="false">IFERROR(__xludf.dummyfunction("if(isna(ABS(MINUS(SUM(FILTER(MatchSource!$A:$E,MatchSource!$A:$A=$B418)),SUM($W418)))),0,ABS(MINUS(SUM(FILTER(MatchSource!$A:$E,MatchSource!$A:$A=$B418)),SUM($W418))))"),"0")</f>
        <v>0</v>
      </c>
      <c r="Z418" s="499" t="str">
        <f aca="false">IFERROR(__xludf.dummyfunction("if(isna(ABS(MINUS(SUM(FILTER(MatchSource!$H:$L,MatchSource!$H:$H=$B418)),SUM($X418)))),0,ABS(MINUS(SUM(FILTER(MatchSource!$H:$L,MatchSource!$H:$H=$B418)),SUM($X418))))"),"0")</f>
        <v>0</v>
      </c>
      <c r="AA418" s="499" t="str">
        <f aca="false">IFERROR(__xludf.dummyfunction("if(isna(ABS(MINUS(SUM(FILTER(MatchSource!$A:$F,MatchSource!$A:$A=$B418)),SUM($W418,$Y418)))),0,ABS(MINUS(SUM(FILTER(MatchSource!$A:$F,MatchSource!$A:$A=$B418)),SUM($W418, $Y418,))))"),"0")</f>
        <v>0</v>
      </c>
      <c r="AB418" s="501" t="str">
        <f aca="false">IFERROR(__xludf.dummyfunction("if(isna(ABS(MINUS(SUM(FILTER(MatchSource!$H:$M,MatchSource!$H:$H=$B418)),SUM($X418,$Z418)))),0,ABS(MINUS(SUM(FILTER(MatchSource!$H:$M,MatchSource!$H:$H=$B418)),SUM($X418,$Z418))))"),"0")</f>
        <v>0</v>
      </c>
      <c r="AC418" s="507" t="n">
        <f aca="false">SUM(IF(OR($R418="Grass",$R418="Psychic",$R418="Dark"),0-1,IF(OR($R418="Fighting",$R418="Flying",$R418="Fire",$R418="Ghost",$R418="Poison",$R418="Steel",$R418="Fairy"),1,0)),IF(OR($S418="Grass",$S418="Psychic",$S418="Dark"),0-1,IF(OR($S418="Fighting",$S418="Flying",$S418="Fire",$S418="Ghost",$S418="Poison",$S418="Steel",$S418="Fairy"),1,0)))</f>
        <v>-2</v>
      </c>
      <c r="AD418" s="507" t="n">
        <f aca="false">SUM(IF(OR($R418="Ghost",$R418="Psychic"),0-1,IF(OR($R418="Fighting",$R418="Dark",$R418="Fairy"),1,0)),IF(OR($S418="Ghost",$S418="Psychic"),0-1,IF(OR($S418="Fighting",$S418="Dark",$S418="Fairy"),1,0)))</f>
        <v>1</v>
      </c>
      <c r="AE418" s="507" t="n">
        <f aca="false">IF(OR($R418="Fairy",$S418="Fairy"),4,SUM(IF($R418="Dragon",0-1,IF($R418="Steel",1,0)),IF($S418="Dragon",0-1,IF($S418="Steel",1,0))))</f>
        <v>0</v>
      </c>
      <c r="AF418" s="507" t="n">
        <f aca="false">IF(OR($R418="Ground",$S418="Ground"),4,SUM(IF(OR($R418="Flying",$R418="Water"),0-1,IF(OR($R418="Dragon",$R418="Electric",$R418="Grass"),1,0)),IF(OR($S418="Flying",$S418="Water"),0-1,IF(OR($S418="Dragon",$S418="Electric",$S418="Grass"),1,0))))</f>
        <v>1</v>
      </c>
      <c r="AG418" s="507" t="n">
        <f aca="false">SUM(IF(OR($R418="Dark",$R418="Dragon",$R418="Fighting"),0-1,IF(OR($R418="Steel",$R418="Poison",$R418="Fire"),1,0)),IF(OR($S418="Dark",$S418="Dragon",$S418="Fighting"),0-1,IF(OR($S418="Steel",$S418="Poison",$S418="Fire"),1,0)))</f>
        <v>-1</v>
      </c>
      <c r="AH418" s="507" t="n">
        <f aca="false">IF(OR($R418="Ghost",$S418="Ghost"),4,SUM(IF(OR($R418="Dark",$R418="Ice",$R418="Normal",$R418="Rock",$R418="Steel"),0-1,IF(OR($R418="Bug",$R418="Fairy",$R418="Flying",$R418="Poison",$R418="Psychic"),1,0)),IF(OR($S418="Dark",$S418="Ice",$S418="Normal",$S418="Rock",$S418="Steel"),0-1,IF(OR($S418="Bug",$S418="Fairy",$S418="Flying",$S418="Poison",$S418="Psychic"),1,0))))</f>
        <v>-1</v>
      </c>
      <c r="AI418" s="507" t="n">
        <f aca="false">SUM(IF(OR($R418="Bug",$R418="Grass",$R418="Ice",$R418="Steel"),0-1,IF(OR($R418="Dragon",$R418="Fire",$R418="Rock",$R418="Water"),1,0)),IF(OR($S418="Bug",$S418="Grass",$S418="Ice",$S418="Steel"),0-1,IF(OR($S418="Dragon",$S418="Fire",$S418="Rock",$S418="Water"),1,0)))</f>
        <v>-1</v>
      </c>
      <c r="AJ418" s="507" t="n">
        <f aca="false">SUM(IF(OR($R418="Bug",$R418="Grass",$R418="Fighting"),0-1,IF(OR($R418="Electric",$R418="Rock",$R418="Steel"),1,0)),IF(OR($S418="Bug",$S418="Grass",$S418="Fighting"),0-1,IF(OR($S418="Electric",$S418="Rock",$S418="Steel"),1,0)))</f>
        <v>-1</v>
      </c>
      <c r="AK418" s="507" t="n">
        <f aca="false">IF(OR($R418="Normal",$S418="Normal"),4,SUM(IF(OR($R418="Ghost",$R418="Psychic"),0-1,IF($R418="Dark",1,0)),IF(OR($S418="Ghost",$S418="Psychic"),0-1,IF($S418="Dark",1,0))))</f>
        <v>1</v>
      </c>
      <c r="AL418" s="507" t="n">
        <f aca="false">SUM(IF(OR($R418="Ground",$R418="Rock",$R418="Water"),0-1,IF(OR($R418="Bug",$R418="Flying",$R418="Fire",$R418="Dragon",$R418="Poison",$R418="Steel",$R418="Grass"),1,0)),IF(OR($S418="Ground",$S418="Rock",$S418="Water"),0-1,IF(OR($S418="Bug",$S418="Flying",$S418="Fire",$S418="Dragon",$S418="Poison",$S418="Steel",$S418="Grass"),1,0)))</f>
        <v>1</v>
      </c>
      <c r="AM418" s="507" t="n">
        <f aca="false">IF(OR($R418="Flying",$S418="Flying"),4,SUM(IF(OR($R418="Electric",$R418="Fire",$R418="Rock",$R418="Steel",$R418="Poison"),0-1,IF(OR($R418="Bug",$R418="Grass"),1,0)),IF(OR($S418="Electric",$S418="Fire",$S418="Rock",$S418="Steel",$S418="Poison"),0-1,IF(OR($S418="Bug",$S418="Grass"),1,0))))</f>
        <v>1</v>
      </c>
      <c r="AN418" s="507" t="n">
        <f aca="false">SUM(IF(OR($R418="Flying",$R418="Dragon",$R418="Grass",$R418="Ground"),0-1,IF(OR($R418="Steel",$R418="Ice",$R418="Fire",$R418="Water"),1,0)),IF(OR($S418="Flying",$S418="Dragon",$S418="Grass",$S418="Ground"),0-1,IF(OR($S418="Steel",$S418="Ice",$S418="Fire",$S418="Water"),1,0)))</f>
        <v>-1</v>
      </c>
      <c r="AO418" s="507" t="n">
        <f aca="false">IF(OR($R418="Ghost",$S418="Ghost"),4,SUM(IF(OR($R418="Steel",$R418="Rock"),1,0),IF(OR($S418="Steel",$S418="Rock"),1,0)))</f>
        <v>0</v>
      </c>
      <c r="AP418" s="507" t="n">
        <f aca="false">IF(OR($R418="Steel",$S418="Steel"),4,SUM(IF(OR($R418="Fairy",$R418="Grass"),0-1,IF(OR($R418="Ghost",$R418="Rock",$R418="Ground",$R418="Poison"),1,0)),IF(OR($S418="Fairy",$S418="Grass"),0-1,IF(OR($S418="Ghost",$S418="Rock",$S418="Ground",$S418="Poison"),1,0))))</f>
        <v>-1</v>
      </c>
      <c r="AQ418" s="507" t="n">
        <f aca="false">IF(OR($R418="Dark",$S418="Dark"),4,SUM(IF(OR($R418="Fighting",$R418="Poison"),0-1,IF(OR($R418="Psychic",$R418="Steel"),1,0)),IF(OR($S418="Fighting",$S418="Poison"),0-1,IF(OR($S418="Psychic",$S418="Steel"),1,0))))</f>
        <v>4</v>
      </c>
      <c r="AR418" s="507" t="n">
        <f aca="false">SUM(IF(OR($R418="Bug",$R418="Fire",$R418="Flying",$R418="Ice"),0-1,IF(OR($R418="Steel",$R418="Fighting",$R418="Ground"),1,0)),IF(OR($S418="Bug",$S418="Fire",$S418="Flying",$S418="Ice"),0-1,IF(OR($S418="Steel",$S418="Fighting",$S418="Ground"),1,0)))</f>
        <v>0</v>
      </c>
      <c r="AS418" s="507" t="n">
        <f aca="false">SUM(IF(OR($R418="Fairy",$R418="Ice",$R418="Rock"),0-1,IF(OR($R418="Steel",$R418="Electric",$R418="Fire",$R418="Water"),1,0)),IF(OR($S418="Fairy",$S418="Ice",$S418="Rock"),0-1,IF(OR($S418="Steel",$S418="Electric",$S418="Fire",$S418="Water"),1,0)))</f>
        <v>0</v>
      </c>
      <c r="AT418" s="508" t="n">
        <f aca="false">SUM(IF(OR($R418="Fire",$R418="Ground",$R418="Rock"),0-1,IF(OR($R418="Dragon",$R418="Grass",$R418="Water"),1,0)),IF(OR($S418="Fire",$S418="Ground",$S418="Rock"),0-1,IF(OR($S418="Dragon",$S418="Grass",$S418="Water"),1,0)))</f>
        <v>1</v>
      </c>
      <c r="AU418" s="518"/>
    </row>
    <row r="419" customFormat="false" ht="15.75" hidden="false" customHeight="false" outlineLevel="0" collapsed="false">
      <c r="A419" s="510" t="str">
        <f aca="false" t="array" ref="A419:A419">IF(ISNA(INDEX(Source!$U$7:$U$95,MATCH(B419,Source!$V$7:$V$95,0))),"FREE",INDEX(Source!$U$7:$U$95,MATCH(B419,Source!$V$7:$V$95,0)))</f>
        <v>BBG</v>
      </c>
      <c r="B419" s="511" t="s">
        <v>260</v>
      </c>
      <c r="C419" s="511"/>
      <c r="D419" s="511"/>
      <c r="E419" s="499" t="str">
        <f aca="false">IF(SUM($W419:$X419)&gt;0,SUM($W419:$X419),IF($H419&gt;0,0,IF($H419&gt;0,0,"-")))</f>
        <v>-</v>
      </c>
      <c r="F419" s="499" t="str">
        <f aca="false">IF(SUM($Y419:$Z419)&gt;0,SUM($Y419:$Z419),IF($H419&gt;0,0,"-"))</f>
        <v>-</v>
      </c>
      <c r="G419" s="499" t="str">
        <f aca="false">IF($H419&gt;0,minus(E419,F419),"-")</f>
        <v>-</v>
      </c>
      <c r="H419" s="500" t="n">
        <f aca="false">SUM(COUNTIF(MatchSource!$A:$A,$B419),COUNTIF(MatchSource!$H:$H,$B419))</f>
        <v>0</v>
      </c>
      <c r="I419" s="501" t="n">
        <f aca="false">SUM($AA419:$AB419)</f>
        <v>0</v>
      </c>
      <c r="J419" s="501" t="s">
        <v>701</v>
      </c>
      <c r="K419" s="512" t="n">
        <f aca="false" t="array" ref="K419:K419">IF(ISNA(INDEX(DraftRosters!$AA$3:$AA$199,MATCH($B419,DraftRosters!$AB$3:$AB$199,0))),"FA",IF(INDEX(DraftRosters!$AA$3:$AA$199,MATCH($B419,DraftRosters!$AB$3:$AB$199,0))="Franchise","Franch",INDEX(DraftRosters!$AA$3:$AA$199,MATCH($B419,DraftRosters!$AB$3:$AB$199,0))))</f>
        <v>73</v>
      </c>
      <c r="L419" s="499" t="n">
        <v>60</v>
      </c>
      <c r="M419" s="499" t="n">
        <v>45</v>
      </c>
      <c r="N419" s="499" t="n">
        <v>80</v>
      </c>
      <c r="O419" s="499" t="n">
        <v>90</v>
      </c>
      <c r="P419" s="499" t="n">
        <v>100</v>
      </c>
      <c r="Q419" s="501" t="n">
        <v>30</v>
      </c>
      <c r="R419" s="499" t="s">
        <v>798</v>
      </c>
      <c r="S419" s="501" t="s">
        <v>803</v>
      </c>
      <c r="T419" s="520" t="s">
        <v>891</v>
      </c>
      <c r="U419" s="513" t="s">
        <v>844</v>
      </c>
      <c r="V419" s="514" t="s">
        <v>1012</v>
      </c>
      <c r="W419" s="500" t="str">
        <f aca="false">IFERROR(__xludf.dummyfunction("if(isna(SUM(FILTER(MatchSource!$A:$D,MatchSource!$A:$A=$B419))),0,SUM(FILTER(MatchSource!$A:$D,MatchSource!$A:$A=$B419)))"),"0")</f>
        <v>0</v>
      </c>
      <c r="X419" s="499" t="str">
        <f aca="false">IFERROR(__xludf.dummyfunction("if(isna(SUM(FILTER(MatchSource!$H:$K,MatchSource!$H:$H=$B419))),0,SUM(FILTER(MatchSource!$H:$K,MatchSource!$H:$H=$B419)))"),"0")</f>
        <v>0</v>
      </c>
      <c r="Y419" s="499" t="str">
        <f aca="false">IFERROR(__xludf.dummyfunction("if(isna(ABS(MINUS(SUM(FILTER(MatchSource!$A:$E,MatchSource!$A:$A=$B419)),SUM($W419)))),0,ABS(MINUS(SUM(FILTER(MatchSource!$A:$E,MatchSource!$A:$A=$B419)),SUM($W419))))"),"0")</f>
        <v>0</v>
      </c>
      <c r="Z419" s="499" t="str">
        <f aca="false">IFERROR(__xludf.dummyfunction("if(isna(ABS(MINUS(SUM(FILTER(MatchSource!$H:$L,MatchSource!$H:$H=$B419)),SUM($X419)))),0,ABS(MINUS(SUM(FILTER(MatchSource!$H:$L,MatchSource!$H:$H=$B419)),SUM($X419))))"),"0")</f>
        <v>0</v>
      </c>
      <c r="AA419" s="499" t="str">
        <f aca="false">IFERROR(__xludf.dummyfunction("if(isna(ABS(MINUS(SUM(FILTER(MatchSource!$A:$F,MatchSource!$A:$A=$B419)),SUM($W419,$Y419)))),0,ABS(MINUS(SUM(FILTER(MatchSource!$A:$F,MatchSource!$A:$A=$B419)),SUM($W419, $Y419,))))"),"0")</f>
        <v>0</v>
      </c>
      <c r="AB419" s="501" t="str">
        <f aca="false">IFERROR(__xludf.dummyfunction("if(isna(ABS(MINUS(SUM(FILTER(MatchSource!$H:$M,MatchSource!$H:$H=$B419)),SUM($X419,$Z419)))),0,ABS(MINUS(SUM(FILTER(MatchSource!$H:$M,MatchSource!$H:$H=$B419)),SUM($X419,$Z419))))"),"0")</f>
        <v>0</v>
      </c>
      <c r="AC419" s="507" t="n">
        <f aca="false">SUM(IF(OR($R419="Grass",$R419="Psychic",$R419="Dark"),0-1,IF(OR($R419="Fighting",$R419="Flying",$R419="Fire",$R419="Ghost",$R419="Poison",$R419="Steel",$R419="Fairy"),1,0)),IF(OR($S419="Grass",$S419="Psychic",$S419="Dark"),0-1,IF(OR($S419="Fighting",$S419="Flying",$S419="Fire",$S419="Ghost",$S419="Poison",$S419="Steel",$S419="Fairy"),1,0)))</f>
        <v>0</v>
      </c>
      <c r="AD419" s="507" t="n">
        <f aca="false">SUM(IF(OR($R419="Ghost",$R419="Psychic"),0-1,IF(OR($R419="Fighting",$R419="Dark",$R419="Fairy"),1,0)),IF(OR($S419="Ghost",$S419="Psychic"),0-1,IF(OR($S419="Fighting",$S419="Dark",$S419="Fairy"),1,0)))</f>
        <v>1</v>
      </c>
      <c r="AE419" s="507" t="n">
        <f aca="false">IF(OR($R419="Fairy",$S419="Fairy"),4,SUM(IF($R419="Dragon",0-1,IF($R419="Steel",1,0)),IF($S419="Dragon",0-1,IF($S419="Steel",1,0))))</f>
        <v>4</v>
      </c>
      <c r="AF419" s="507" t="n">
        <f aca="false">IF(OR($R419="Ground",$S419="Ground"),4,SUM(IF(OR($R419="Flying",$R419="Water"),0-1,IF(OR($R419="Dragon",$R419="Electric",$R419="Grass"),1,0)),IF(OR($S419="Flying",$S419="Water"),0-1,IF(OR($S419="Dragon",$S419="Electric",$S419="Grass"),1,0))))</f>
        <v>1</v>
      </c>
      <c r="AG419" s="507" t="n">
        <f aca="false">SUM(IF(OR($R419="Dark",$R419="Dragon",$R419="Fighting"),0-1,IF(OR($R419="Steel",$R419="Poison",$R419="Fire"),1,0)),IF(OR($S419="Dark",$S419="Dragon",$S419="Fighting"),0-1,IF(OR($S419="Steel",$S419="Poison",$S419="Fire"),1,0)))</f>
        <v>0</v>
      </c>
      <c r="AH419" s="507" t="n">
        <f aca="false">IF(OR($R419="Ghost",$S419="Ghost"),4,SUM(IF(OR($R419="Dark",$R419="Ice",$R419="Normal",$R419="Rock",$R419="Steel"),0-1,IF(OR($R419="Bug",$R419="Fairy",$R419="Flying",$R419="Poison",$R419="Psychic"),1,0)),IF(OR($S419="Dark",$S419="Ice",$S419="Normal",$S419="Rock",$S419="Steel"),0-1,IF(OR($S419="Bug",$S419="Fairy",$S419="Flying",$S419="Poison",$S419="Psychic"),1,0))))</f>
        <v>1</v>
      </c>
      <c r="AI419" s="507" t="n">
        <f aca="false">SUM(IF(OR($R419="Bug",$R419="Grass",$R419="Ice",$R419="Steel"),0-1,IF(OR($R419="Dragon",$R419="Fire",$R419="Rock",$R419="Water"),1,0)),IF(OR($S419="Bug",$S419="Grass",$S419="Ice",$S419="Steel"),0-1,IF(OR($S419="Dragon",$S419="Fire",$S419="Rock",$S419="Water"),1,0)))</f>
        <v>-1</v>
      </c>
      <c r="AJ419" s="507" t="n">
        <f aca="false">SUM(IF(OR($R419="Bug",$R419="Grass",$R419="Fighting"),0-1,IF(OR($R419="Electric",$R419="Rock",$R419="Steel"),1,0)),IF(OR($S419="Bug",$S419="Grass",$S419="Fighting"),0-1,IF(OR($S419="Electric",$S419="Rock",$S419="Steel"),1,0)))</f>
        <v>-1</v>
      </c>
      <c r="AK419" s="507" t="n">
        <f aca="false">IF(OR($R419="Normal",$S419="Normal"),4,SUM(IF(OR($R419="Ghost",$R419="Psychic"),0-1,IF($R419="Dark",1,0)),IF(OR($S419="Ghost",$S419="Psychic"),0-1,IF($S419="Dark",1,0))))</f>
        <v>0</v>
      </c>
      <c r="AL419" s="507" t="n">
        <f aca="false">SUM(IF(OR($R419="Ground",$R419="Rock",$R419="Water"),0-1,IF(OR($R419="Bug",$R419="Flying",$R419="Fire",$R419="Dragon",$R419="Poison",$R419="Steel",$R419="Grass"),1,0)),IF(OR($S419="Ground",$S419="Rock",$S419="Water"),0-1,IF(OR($S419="Bug",$S419="Flying",$S419="Fire",$S419="Dragon",$S419="Poison",$S419="Steel",$S419="Grass"),1,0)))</f>
        <v>1</v>
      </c>
      <c r="AM419" s="507" t="n">
        <f aca="false">IF(OR($R419="Flying",$S419="Flying"),4,SUM(IF(OR($R419="Electric",$R419="Fire",$R419="Rock",$R419="Steel",$R419="Poison"),0-1,IF(OR($R419="Bug",$R419="Grass"),1,0)),IF(OR($S419="Electric",$S419="Fire",$S419="Rock",$S419="Steel",$S419="Poison"),0-1,IF(OR($S419="Bug",$S419="Grass"),1,0))))</f>
        <v>1</v>
      </c>
      <c r="AN419" s="507" t="n">
        <f aca="false">SUM(IF(OR($R419="Flying",$R419="Dragon",$R419="Grass",$R419="Ground"),0-1,IF(OR($R419="Steel",$R419="Ice",$R419="Fire",$R419="Water"),1,0)),IF(OR($S419="Flying",$S419="Dragon",$S419="Grass",$S419="Ground"),0-1,IF(OR($S419="Steel",$S419="Ice",$S419="Fire",$S419="Water"),1,0)))</f>
        <v>-1</v>
      </c>
      <c r="AO419" s="507" t="n">
        <f aca="false">IF(OR($R419="Ghost",$S419="Ghost"),4,SUM(IF(OR($R419="Steel",$R419="Rock"),1,0),IF(OR($S419="Steel",$S419="Rock"),1,0)))</f>
        <v>0</v>
      </c>
      <c r="AP419" s="507" t="n">
        <f aca="false">IF(OR($R419="Steel",$S419="Steel"),4,SUM(IF(OR($R419="Fairy",$R419="Grass"),0-1,IF(OR($R419="Ghost",$R419="Rock",$R419="Ground",$R419="Poison"),1,0)),IF(OR($S419="Fairy",$S419="Grass"),0-1,IF(OR($S419="Ghost",$S419="Rock",$S419="Ground",$S419="Poison"),1,0))))</f>
        <v>-2</v>
      </c>
      <c r="AQ419" s="507" t="n">
        <f aca="false">IF(OR($R419="Dark",$S419="Dark"),4,SUM(IF(OR($R419="Fighting",$R419="Poison"),0-1,IF(OR($R419="Psychic",$R419="Steel"),1,0)),IF(OR($S419="Fighting",$S419="Poison"),0-1,IF(OR($S419="Psychic",$S419="Steel"),1,0))))</f>
        <v>0</v>
      </c>
      <c r="AR419" s="507" t="n">
        <f aca="false">SUM(IF(OR($R419="Bug",$R419="Fire",$R419="Flying",$R419="Ice"),0-1,IF(OR($R419="Steel",$R419="Fighting",$R419="Ground"),1,0)),IF(OR($S419="Bug",$S419="Fire",$S419="Flying",$S419="Ice"),0-1,IF(OR($S419="Steel",$S419="Fighting",$S419="Ground"),1,0)))</f>
        <v>0</v>
      </c>
      <c r="AS419" s="507" t="n">
        <f aca="false">SUM(IF(OR($R419="Fairy",$R419="Ice",$R419="Rock"),0-1,IF(OR($R419="Steel",$R419="Electric",$R419="Fire",$R419="Water"),1,0)),IF(OR($S419="Fairy",$S419="Ice",$S419="Rock"),0-1,IF(OR($S419="Steel",$S419="Electric",$S419="Fire",$S419="Water"),1,0)))</f>
        <v>-1</v>
      </c>
      <c r="AT419" s="508" t="n">
        <f aca="false">SUM(IF(OR($R419="Fire",$R419="Ground",$R419="Rock"),0-1,IF(OR($R419="Dragon",$R419="Grass",$R419="Water"),1,0)),IF(OR($S419="Fire",$S419="Ground",$S419="Rock"),0-1,IF(OR($S419="Dragon",$S419="Grass",$S419="Water"),1,0)))</f>
        <v>1</v>
      </c>
      <c r="AU419" s="518"/>
    </row>
    <row r="420" customFormat="false" ht="15.75" hidden="false" customHeight="false" outlineLevel="0" collapsed="false">
      <c r="A420" s="510" t="str">
        <f aca="false" t="array" ref="A420:A420">IF(ISNA(INDEX(Source!$U$7:$U$95,MATCH(B420,Source!$V$7:$V$95,0))),"FREE",INDEX(Source!$U$7:$U$95,MATCH(B420,Source!$V$7:$V$95,0)))</f>
        <v>FREE</v>
      </c>
      <c r="B420" s="511" t="s">
        <v>639</v>
      </c>
      <c r="C420" s="511"/>
      <c r="D420" s="511"/>
      <c r="E420" s="499" t="str">
        <f aca="false">IF(SUM($W420:$X420)&gt;0,SUM($W420:$X420),IF($H420&gt;0,0,IF($H420&gt;0,0,"-")))</f>
        <v>-</v>
      </c>
      <c r="F420" s="499" t="str">
        <f aca="false">IF(SUM($Y420:$Z420)&gt;0,SUM($Y420:$Z420),IF($H420&gt;0,0,"-"))</f>
        <v>-</v>
      </c>
      <c r="G420" s="499" t="str">
        <f aca="false">IF($H420&gt;0,minus(E420,F420),"-")</f>
        <v>-</v>
      </c>
      <c r="H420" s="500" t="n">
        <f aca="false">SUM(COUNTIF(MatchSource!$A:$A,$B420),COUNTIF(MatchSource!$H:$H,$B420))</f>
        <v>0</v>
      </c>
      <c r="I420" s="501" t="n">
        <f aca="false">SUM($AA420:$AB420)</f>
        <v>0</v>
      </c>
      <c r="J420" s="501" t="s">
        <v>701</v>
      </c>
      <c r="K420" s="512" t="str">
        <f aca="false" t="array" ref="K420:K420">IF(ISNA(INDEX(DraftRosters!$AA$3:$AA$199,MATCH($B420,DraftRosters!$AB$3:$AB$199,0))),"FA",IF(INDEX(DraftRosters!$AA$3:$AA$199,MATCH($B420,DraftRosters!$AB$3:$AB$199,0))="Franchise","Franch",INDEX(DraftRosters!$AA$3:$AA$199,MATCH($B420,DraftRosters!$AB$3:$AB$199,0))))</f>
        <v>FA</v>
      </c>
      <c r="L420" s="499" t="n">
        <v>20</v>
      </c>
      <c r="M420" s="499" t="n">
        <v>10</v>
      </c>
      <c r="N420" s="499" t="n">
        <v>230</v>
      </c>
      <c r="O420" s="499" t="n">
        <v>10</v>
      </c>
      <c r="P420" s="499" t="n">
        <v>230</v>
      </c>
      <c r="Q420" s="501" t="n">
        <v>5</v>
      </c>
      <c r="R420" s="499" t="s">
        <v>794</v>
      </c>
      <c r="S420" s="501" t="s">
        <v>809</v>
      </c>
      <c r="T420" s="505" t="s">
        <v>1019</v>
      </c>
      <c r="U420" s="505" t="s">
        <v>826</v>
      </c>
      <c r="V420" s="506" t="s">
        <v>995</v>
      </c>
      <c r="W420" s="500" t="str">
        <f aca="false">IFERROR(__xludf.dummyfunction("if(isna(SUM(FILTER(MatchSource!$A:$D,MatchSource!$A:$A=$B420))),0,SUM(FILTER(MatchSource!$A:$D,MatchSource!$A:$A=$B420)))"),"0")</f>
        <v>0</v>
      </c>
      <c r="X420" s="499" t="str">
        <f aca="false">IFERROR(__xludf.dummyfunction("if(isna(SUM(FILTER(MatchSource!$H:$K,MatchSource!$H:$H=$B420))),0,SUM(FILTER(MatchSource!$H:$K,MatchSource!$H:$H=$B420)))"),"0")</f>
        <v>0</v>
      </c>
      <c r="Y420" s="499" t="str">
        <f aca="false">IFERROR(__xludf.dummyfunction("if(isna(ABS(MINUS(SUM(FILTER(MatchSource!$A:$E,MatchSource!$A:$A=$B420)),SUM($W420)))),0,ABS(MINUS(SUM(FILTER(MatchSource!$A:$E,MatchSource!$A:$A=$B420)),SUM($W420))))"),"0")</f>
        <v>0</v>
      </c>
      <c r="Z420" s="499" t="str">
        <f aca="false">IFERROR(__xludf.dummyfunction("if(isna(ABS(MINUS(SUM(FILTER(MatchSource!$H:$L,MatchSource!$H:$H=$B420)),SUM($X420)))),0,ABS(MINUS(SUM(FILTER(MatchSource!$H:$L,MatchSource!$H:$H=$B420)),SUM($X420))))"),"0")</f>
        <v>0</v>
      </c>
      <c r="AA420" s="499" t="str">
        <f aca="false">IFERROR(__xludf.dummyfunction("if(isna(ABS(MINUS(SUM(FILTER(MatchSource!$A:$F,MatchSource!$A:$A=$B420)),SUM($W420,$Y420)))),0,ABS(MINUS(SUM(FILTER(MatchSource!$A:$F,MatchSource!$A:$A=$B420)),SUM($W420, $Y420,))))"),"0")</f>
        <v>0</v>
      </c>
      <c r="AB420" s="501" t="str">
        <f aca="false">IFERROR(__xludf.dummyfunction("if(isna(ABS(MINUS(SUM(FILTER(MatchSource!$H:$M,MatchSource!$H:$H=$B420)),SUM($X420,$Z420)))),0,ABS(MINUS(SUM(FILTER(MatchSource!$H:$M,MatchSource!$H:$H=$B420)),SUM($X420,$Z420))))"),"0")</f>
        <v>0</v>
      </c>
      <c r="AC420" s="507" t="n">
        <f aca="false">SUM(IF(OR($R420="Grass",$R420="Psychic",$R420="Dark"),0-1,IF(OR($R420="Fighting",$R420="Flying",$R420="Fire",$R420="Ghost",$R420="Poison",$R420="Steel",$R420="Fairy"),1,0)),IF(OR($S420="Grass",$S420="Psychic",$S420="Dark"),0-1,IF(OR($S420="Fighting",$S420="Flying",$S420="Fire",$S420="Ghost",$S420="Poison",$S420="Steel",$S420="Fairy"),1,0)))</f>
        <v>0</v>
      </c>
      <c r="AD420" s="507" t="n">
        <f aca="false">SUM(IF(OR($R420="Ghost",$R420="Psychic"),0-1,IF(OR($R420="Fighting",$R420="Dark",$R420="Fairy"),1,0)),IF(OR($S420="Ghost",$S420="Psychic"),0-1,IF(OR($S420="Fighting",$S420="Dark",$S420="Fairy"),1,0)))</f>
        <v>0</v>
      </c>
      <c r="AE420" s="507" t="n">
        <f aca="false">IF(OR($R420="Fairy",$S420="Fairy"),4,SUM(IF($R420="Dragon",0-1,IF($R420="Steel",1,0)),IF($S420="Dragon",0-1,IF($S420="Steel",1,0))))</f>
        <v>0</v>
      </c>
      <c r="AF420" s="507" t="n">
        <f aca="false">IF(OR($R420="Ground",$S420="Ground"),4,SUM(IF(OR($R420="Flying",$R420="Water"),0-1,IF(OR($R420="Dragon",$R420="Electric",$R420="Grass"),1,0)),IF(OR($S420="Flying",$S420="Water"),0-1,IF(OR($S420="Dragon",$S420="Electric",$S420="Grass"),1,0))))</f>
        <v>0</v>
      </c>
      <c r="AG420" s="507" t="n">
        <f aca="false">SUM(IF(OR($R420="Dark",$R420="Dragon",$R420="Fighting"),0-1,IF(OR($R420="Steel",$R420="Poison",$R420="Fire"),1,0)),IF(OR($S420="Dark",$S420="Dragon",$S420="Fighting"),0-1,IF(OR($S420="Steel",$S420="Poison",$S420="Fire"),1,0)))</f>
        <v>0</v>
      </c>
      <c r="AH420" s="507" t="n">
        <f aca="false">IF(OR($R420="Ghost",$S420="Ghost"),4,SUM(IF(OR($R420="Dark",$R420="Ice",$R420="Normal",$R420="Rock",$R420="Steel"),0-1,IF(OR($R420="Bug",$R420="Fairy",$R420="Flying",$R420="Poison",$R420="Psychic"),1,0)),IF(OR($S420="Dark",$S420="Ice",$S420="Normal",$S420="Rock",$S420="Steel"),0-1,IF(OR($S420="Bug",$S420="Fairy",$S420="Flying",$S420="Poison",$S420="Psychic"),1,0))))</f>
        <v>0</v>
      </c>
      <c r="AI420" s="507" t="n">
        <f aca="false">SUM(IF(OR($R420="Bug",$R420="Grass",$R420="Ice",$R420="Steel"),0-1,IF(OR($R420="Dragon",$R420="Fire",$R420="Rock",$R420="Water"),1,0)),IF(OR($S420="Bug",$S420="Grass",$S420="Ice",$S420="Steel"),0-1,IF(OR($S420="Dragon",$S420="Fire",$S420="Rock",$S420="Water"),1,0)))</f>
        <v>0</v>
      </c>
      <c r="AJ420" s="507" t="n">
        <f aca="false">SUM(IF(OR($R420="Bug",$R420="Grass",$R420="Fighting"),0-1,IF(OR($R420="Electric",$R420="Rock",$R420="Steel"),1,0)),IF(OR($S420="Bug",$S420="Grass",$S420="Fighting"),0-1,IF(OR($S420="Electric",$S420="Rock",$S420="Steel"),1,0)))</f>
        <v>0</v>
      </c>
      <c r="AK420" s="507" t="n">
        <f aca="false">IF(OR($R420="Normal",$S420="Normal"),4,SUM(IF(OR($R420="Ghost",$R420="Psychic"),0-1,IF($R420="Dark",1,0)),IF(OR($S420="Ghost",$S420="Psychic"),0-1,IF($S420="Dark",1,0))))</f>
        <v>0</v>
      </c>
      <c r="AL420" s="507" t="n">
        <f aca="false">SUM(IF(OR($R420="Ground",$R420="Rock",$R420="Water"),0-1,IF(OR($R420="Bug",$R420="Flying",$R420="Fire",$R420="Dragon",$R420="Poison",$R420="Steel",$R420="Grass"),1,0)),IF(OR($S420="Ground",$S420="Rock",$S420="Water"),0-1,IF(OR($S420="Bug",$S420="Flying",$S420="Fire",$S420="Dragon",$S420="Poison",$S420="Steel",$S420="Grass"),1,0)))</f>
        <v>0</v>
      </c>
      <c r="AM420" s="507" t="n">
        <f aca="false">IF(OR($R420="Flying",$S420="Flying"),4,SUM(IF(OR($R420="Electric",$R420="Fire",$R420="Rock",$R420="Steel",$R420="Poison"),0-1,IF(OR($R420="Bug",$R420="Grass"),1,0)),IF(OR($S420="Electric",$S420="Fire",$S420="Rock",$S420="Steel",$S420="Poison"),0-1,IF(OR($S420="Bug",$S420="Grass"),1,0))))</f>
        <v>0</v>
      </c>
      <c r="AN420" s="507" t="n">
        <f aca="false">SUM(IF(OR($R420="Flying",$R420="Dragon",$R420="Grass",$R420="Ground"),0-1,IF(OR($R420="Steel",$R420="Ice",$R420="Fire",$R420="Water"),1,0)),IF(OR($S420="Flying",$S420="Dragon",$S420="Grass",$S420="Ground"),0-1,IF(OR($S420="Steel",$S420="Ice",$S420="Fire",$S420="Water"),1,0)))</f>
        <v>0</v>
      </c>
      <c r="AO420" s="507" t="n">
        <f aca="false">IF(OR($R420="Ghost",$S420="Ghost"),4,SUM(IF(OR($R420="Steel",$R420="Rock"),1,0),IF(OR($S420="Steel",$S420="Rock"),1,0)))</f>
        <v>1</v>
      </c>
      <c r="AP420" s="507" t="n">
        <f aca="false">IF(OR($R420="Steel",$S420="Steel"),4,SUM(IF(OR($R420="Fairy",$R420="Grass"),0-1,IF(OR($R420="Ghost",$R420="Rock",$R420="Ground",$R420="Poison"),1,0)),IF(OR($S420="Fairy",$S420="Grass"),0-1,IF(OR($S420="Ghost",$S420="Rock",$S420="Ground",$S420="Poison"),1,0))))</f>
        <v>1</v>
      </c>
      <c r="AQ420" s="507" t="n">
        <f aca="false">IF(OR($R420="Dark",$S420="Dark"),4,SUM(IF(OR($R420="Fighting",$R420="Poison"),0-1,IF(OR($R420="Psychic",$R420="Steel"),1,0)),IF(OR($S420="Fighting",$S420="Poison"),0-1,IF(OR($S420="Psychic",$S420="Steel"),1,0))))</f>
        <v>0</v>
      </c>
      <c r="AR420" s="507" t="n">
        <f aca="false">SUM(IF(OR($R420="Bug",$R420="Fire",$R420="Flying",$R420="Ice"),0-1,IF(OR($R420="Steel",$R420="Fighting",$R420="Ground"),1,0)),IF(OR($S420="Bug",$S420="Fire",$S420="Flying",$S420="Ice"),0-1,IF(OR($S420="Steel",$S420="Fighting",$S420="Ground"),1,0)))</f>
        <v>-1</v>
      </c>
      <c r="AS420" s="507" t="n">
        <f aca="false">SUM(IF(OR($R420="Fairy",$R420="Ice",$R420="Rock"),0-1,IF(OR($R420="Steel",$R420="Electric",$R420="Fire",$R420="Water"),1,0)),IF(OR($S420="Fairy",$S420="Ice",$S420="Rock"),0-1,IF(OR($S420="Steel",$S420="Electric",$S420="Fire",$S420="Water"),1,0)))</f>
        <v>-1</v>
      </c>
      <c r="AT420" s="508" t="n">
        <f aca="false">SUM(IF(OR($R420="Fire",$R420="Ground",$R420="Rock"),0-1,IF(OR($R420="Dragon",$R420="Grass",$R420="Water"),1,0)),IF(OR($S420="Fire",$S420="Ground",$S420="Rock"),0-1,IF(OR($S420="Dragon",$S420="Grass",$S420="Water"),1,0)))</f>
        <v>-1</v>
      </c>
      <c r="AU420" s="518"/>
    </row>
    <row r="421" customFormat="false" ht="15.75" hidden="false" customHeight="false" outlineLevel="0" collapsed="false">
      <c r="A421" s="510" t="str">
        <f aca="false" t="array" ref="A421:A421">IF(ISNA(INDEX(Source!$U$7:$U$95,MATCH(B421,Source!$V$7:$V$95,0))),"FREE",INDEX(Source!$U$7:$U$95,MATCH(B421,Source!$V$7:$V$95,0)))</f>
        <v>FREE</v>
      </c>
      <c r="B421" s="511" t="s">
        <v>96</v>
      </c>
      <c r="C421" s="511"/>
      <c r="D421" s="511"/>
      <c r="E421" s="499" t="n">
        <f aca="false">IF(SUM($W421:$X421)&gt;0,SUM($W421:$X421),IF($H421&gt;0,0,IF($H421&gt;0,0,"-")))</f>
        <v>0</v>
      </c>
      <c r="F421" s="499" t="n">
        <f aca="false">IF(SUM($Y421:$Z421)&gt;0,SUM($Y421:$Z421),IF($H421&gt;0,0,"-"))</f>
        <v>0</v>
      </c>
      <c r="G421" s="499" t="e">
        <f aca="false">IF($H421&gt;0,minus(E421,F421),"-")</f>
        <v>#NAME?</v>
      </c>
      <c r="H421" s="500" t="n">
        <f aca="false">SUM(COUNTIF(MatchSource!$A:$A,$B421),COUNTIF(MatchSource!$H:$H,$B421))</f>
        <v>4</v>
      </c>
      <c r="I421" s="501" t="n">
        <f aca="false">SUM($AA421:$AB421)</f>
        <v>0</v>
      </c>
      <c r="J421" s="501" t="s">
        <v>701</v>
      </c>
      <c r="K421" s="512" t="n">
        <f aca="false" t="array" ref="K421:K421">IF(ISNA(INDEX(DraftRosters!$AA$3:$AA$199,MATCH($B421,DraftRosters!$AB$3:$AB$199,0))),"FA",IF(INDEX(DraftRosters!$AA$3:$AA$199,MATCH($B421,DraftRosters!$AB$3:$AB$199,0))="Franchise","Franch",INDEX(DraftRosters!$AA$3:$AA$199,MATCH($B421,DraftRosters!$AB$3:$AB$199,0))))</f>
        <v>75</v>
      </c>
      <c r="L421" s="499" t="n">
        <v>72</v>
      </c>
      <c r="M421" s="499" t="n">
        <v>58</v>
      </c>
      <c r="N421" s="499" t="n">
        <v>80</v>
      </c>
      <c r="O421" s="499" t="n">
        <v>103</v>
      </c>
      <c r="P421" s="499" t="n">
        <v>80</v>
      </c>
      <c r="Q421" s="501" t="n">
        <v>97</v>
      </c>
      <c r="R421" s="499" t="s">
        <v>801</v>
      </c>
      <c r="S421" s="501" t="s">
        <v>828</v>
      </c>
      <c r="T421" s="504" t="s">
        <v>830</v>
      </c>
      <c r="U421" s="505" t="s">
        <v>903</v>
      </c>
      <c r="V421" s="506" t="s">
        <v>905</v>
      </c>
      <c r="W421" s="500" t="str">
        <f aca="false">IFERROR(__xludf.dummyfunction("if(isna(SUM(FILTER(MatchSource!$A:$D,MatchSource!$A:$A=$B421))),0,SUM(FILTER(MatchSource!$A:$D,MatchSource!$A:$A=$B421)))"),"0")</f>
        <v>0</v>
      </c>
      <c r="X421" s="499" t="str">
        <f aca="false">IFERROR(__xludf.dummyfunction("if(isna(SUM(FILTER(MatchSource!$H:$K,MatchSource!$H:$H=$B421))),0,SUM(FILTER(MatchSource!$H:$K,MatchSource!$H:$H=$B421)))"),"1")</f>
        <v>1</v>
      </c>
      <c r="Y421" s="499" t="str">
        <f aca="false">IFERROR(__xludf.dummyfunction("if(isna(ABS(MINUS(SUM(FILTER(MatchSource!$A:$E,MatchSource!$A:$A=$B421)),SUM($W421)))),0,ABS(MINUS(SUM(FILTER(MatchSource!$A:$E,MatchSource!$A:$A=$B421)),SUM($W421))))"),"1")</f>
        <v>1</v>
      </c>
      <c r="Z421" s="499" t="str">
        <f aca="false">IFERROR(__xludf.dummyfunction("if(isna(ABS(MINUS(SUM(FILTER(MatchSource!$H:$L,MatchSource!$H:$H=$B421)),SUM($X421)))),0,ABS(MINUS(SUM(FILTER(MatchSource!$H:$L,MatchSource!$H:$H=$B421)),SUM($X421))))"),"3")</f>
        <v>3</v>
      </c>
      <c r="AA421" s="499" t="str">
        <f aca="false">IFERROR(__xludf.dummyfunction("if(isna(ABS(MINUS(SUM(FILTER(MatchSource!$A:$F,MatchSource!$A:$A=$B421)),SUM($W421,$Y421)))),0,ABS(MINUS(SUM(FILTER(MatchSource!$A:$F,MatchSource!$A:$A=$B421)),SUM($W421, $Y421,))))"),"0")</f>
        <v>0</v>
      </c>
      <c r="AB421" s="501" t="str">
        <f aca="false">IFERROR(__xludf.dummyfunction("if(isna(ABS(MINUS(SUM(FILTER(MatchSource!$H:$M,MatchSource!$H:$H=$B421)),SUM($X421,$Z421)))),0,ABS(MINUS(SUM(FILTER(MatchSource!$H:$M,MatchSource!$H:$H=$B421)),SUM($X421,$Z421))))"),"0")</f>
        <v>0</v>
      </c>
      <c r="AC421" s="507" t="n">
        <f aca="false">SUM(IF(OR($R421="Grass",$R421="Psychic",$R421="Dark"),0-1,IF(OR($R421="Fighting",$R421="Flying",$R421="Fire",$R421="Ghost",$R421="Poison",$R421="Steel",$R421="Fairy"),1,0)),IF(OR($S421="Grass",$S421="Psychic",$S421="Dark"),0-1,IF(OR($S421="Fighting",$S421="Flying",$S421="Fire",$S421="Ghost",$S421="Poison",$S421="Steel",$S421="Fairy"),1,0)))</f>
        <v>0</v>
      </c>
      <c r="AD421" s="507" t="n">
        <f aca="false">SUM(IF(OR($R421="Ghost",$R421="Psychic"),0-1,IF(OR($R421="Fighting",$R421="Dark",$R421="Fairy"),1,0)),IF(OR($S421="Ghost",$S421="Psychic"),0-1,IF(OR($S421="Fighting",$S421="Dark",$S421="Fairy"),1,0)))</f>
        <v>-1</v>
      </c>
      <c r="AE421" s="507" t="n">
        <f aca="false">IF(OR($R421="Fairy",$S421="Fairy"),4,SUM(IF($R421="Dragon",0-1,IF($R421="Steel",1,0)),IF($S421="Dragon",0-1,IF($S421="Steel",1,0))))</f>
        <v>0</v>
      </c>
      <c r="AF421" s="507" t="n">
        <f aca="false">IF(OR($R421="Ground",$S421="Ground"),4,SUM(IF(OR($R421="Flying",$R421="Water"),0-1,IF(OR($R421="Dragon",$R421="Electric",$R421="Grass"),1,0)),IF(OR($S421="Flying",$S421="Water"),0-1,IF(OR($S421="Dragon",$S421="Electric",$S421="Grass"),1,0))))</f>
        <v>-1</v>
      </c>
      <c r="AG421" s="507" t="n">
        <f aca="false">SUM(IF(OR($R421="Dark",$R421="Dragon",$R421="Fighting"),0-1,IF(OR($R421="Steel",$R421="Poison",$R421="Fire"),1,0)),IF(OR($S421="Dark",$S421="Dragon",$S421="Fighting"),0-1,IF(OR($S421="Steel",$S421="Poison",$S421="Fire"),1,0)))</f>
        <v>0</v>
      </c>
      <c r="AH421" s="507" t="n">
        <f aca="false">IF(OR($R421="Ghost",$S421="Ghost"),4,SUM(IF(OR($R421="Dark",$R421="Ice",$R421="Normal",$R421="Rock",$R421="Steel"),0-1,IF(OR($R421="Bug",$R421="Fairy",$R421="Flying",$R421="Poison",$R421="Psychic"),1,0)),IF(OR($S421="Dark",$S421="Ice",$S421="Normal",$S421="Rock",$S421="Steel"),0-1,IF(OR($S421="Bug",$S421="Fairy",$S421="Flying",$S421="Poison",$S421="Psychic"),1,0))))</f>
        <v>2</v>
      </c>
      <c r="AI421" s="507" t="n">
        <f aca="false">SUM(IF(OR($R421="Bug",$R421="Grass",$R421="Ice",$R421="Steel"),0-1,IF(OR($R421="Dragon",$R421="Fire",$R421="Rock",$R421="Water"),1,0)),IF(OR($S421="Bug",$S421="Grass",$S421="Ice",$S421="Steel"),0-1,IF(OR($S421="Dragon",$S421="Fire",$S421="Rock",$S421="Water"),1,0)))</f>
        <v>0</v>
      </c>
      <c r="AJ421" s="507" t="n">
        <f aca="false">SUM(IF(OR($R421="Bug",$R421="Grass",$R421="Fighting"),0-1,IF(OR($R421="Electric",$R421="Rock",$R421="Steel"),1,0)),IF(OR($S421="Bug",$S421="Grass",$S421="Fighting"),0-1,IF(OR($S421="Electric",$S421="Rock",$S421="Steel"),1,0)))</f>
        <v>0</v>
      </c>
      <c r="AK421" s="507" t="n">
        <f aca="false">IF(OR($R421="Normal",$S421="Normal"),4,SUM(IF(OR($R421="Ghost",$R421="Psychic"),0-1,IF($R421="Dark",1,0)),IF(OR($S421="Ghost",$S421="Psychic"),0-1,IF($S421="Dark",1,0))))</f>
        <v>-1</v>
      </c>
      <c r="AL421" s="507" t="n">
        <f aca="false">SUM(IF(OR($R421="Ground",$R421="Rock",$R421="Water"),0-1,IF(OR($R421="Bug",$R421="Flying",$R421="Fire",$R421="Dragon",$R421="Poison",$R421="Steel",$R421="Grass"),1,0)),IF(OR($S421="Ground",$S421="Rock",$S421="Water"),0-1,IF(OR($S421="Bug",$S421="Flying",$S421="Fire",$S421="Dragon",$S421="Poison",$S421="Steel",$S421="Grass"),1,0)))</f>
        <v>1</v>
      </c>
      <c r="AM421" s="507" t="n">
        <f aca="false">IF(OR($R421="Flying",$S421="Flying"),4,SUM(IF(OR($R421="Electric",$R421="Fire",$R421="Rock",$R421="Steel",$R421="Poison"),0-1,IF(OR($R421="Bug",$R421="Grass"),1,0)),IF(OR($S421="Electric",$S421="Fire",$S421="Rock",$S421="Steel",$S421="Poison"),0-1,IF(OR($S421="Bug",$S421="Grass"),1,0))))</f>
        <v>4</v>
      </c>
      <c r="AN421" s="507" t="n">
        <f aca="false">SUM(IF(OR($R421="Flying",$R421="Dragon",$R421="Grass",$R421="Ground"),0-1,IF(OR($R421="Steel",$R421="Ice",$R421="Fire",$R421="Water"),1,0)),IF(OR($S421="Flying",$S421="Dragon",$S421="Grass",$S421="Ground"),0-1,IF(OR($S421="Steel",$S421="Ice",$S421="Fire",$S421="Water"),1,0)))</f>
        <v>-1</v>
      </c>
      <c r="AO421" s="507" t="n">
        <f aca="false">IF(OR($R421="Ghost",$S421="Ghost"),4,SUM(IF(OR($R421="Steel",$R421="Rock"),1,0),IF(OR($S421="Steel",$S421="Rock"),1,0)))</f>
        <v>0</v>
      </c>
      <c r="AP421" s="507" t="n">
        <f aca="false">IF(OR($R421="Steel",$S421="Steel"),4,SUM(IF(OR($R421="Fairy",$R421="Grass"),0-1,IF(OR($R421="Ghost",$R421="Rock",$R421="Ground",$R421="Poison"),1,0)),IF(OR($S421="Fairy",$S421="Grass"),0-1,IF(OR($S421="Ghost",$S421="Rock",$S421="Ground",$S421="Poison"),1,0))))</f>
        <v>0</v>
      </c>
      <c r="AQ421" s="507" t="n">
        <f aca="false">IF(OR($R421="Dark",$S421="Dark"),4,SUM(IF(OR($R421="Fighting",$R421="Poison"),0-1,IF(OR($R421="Psychic",$R421="Steel"),1,0)),IF(OR($S421="Fighting",$S421="Poison"),0-1,IF(OR($S421="Psychic",$S421="Steel"),1,0))))</f>
        <v>1</v>
      </c>
      <c r="AR421" s="507" t="n">
        <f aca="false">SUM(IF(OR($R421="Bug",$R421="Fire",$R421="Flying",$R421="Ice"),0-1,IF(OR($R421="Steel",$R421="Fighting",$R421="Ground"),1,0)),IF(OR($S421="Bug",$S421="Fire",$S421="Flying",$S421="Ice"),0-1,IF(OR($S421="Steel",$S421="Fighting",$S421="Ground"),1,0)))</f>
        <v>-1</v>
      </c>
      <c r="AS421" s="507" t="n">
        <f aca="false">SUM(IF(OR($R421="Fairy",$R421="Ice",$R421="Rock"),0-1,IF(OR($R421="Steel",$R421="Electric",$R421="Fire",$R421="Water"),1,0)),IF(OR($S421="Fairy",$S421="Ice",$S421="Rock"),0-1,IF(OR($S421="Steel",$S421="Electric",$S421="Fire",$S421="Water"),1,0)))</f>
        <v>0</v>
      </c>
      <c r="AT421" s="508" t="n">
        <f aca="false">SUM(IF(OR($R421="Fire",$R421="Ground",$R421="Rock"),0-1,IF(OR($R421="Dragon",$R421="Grass",$R421="Water"),1,0)),IF(OR($S421="Fire",$S421="Ground",$S421="Rock"),0-1,IF(OR($S421="Dragon",$S421="Grass",$S421="Water"),1,0)))</f>
        <v>0</v>
      </c>
      <c r="AU421" s="518"/>
    </row>
    <row r="422" customFormat="false" ht="15.75" hidden="false" customHeight="false" outlineLevel="0" collapsed="false">
      <c r="A422" s="510" t="str">
        <f aca="false" t="array" ref="A422:A422">IF(ISNA(INDEX(Source!$U$7:$U$95,MATCH(B422,Source!$V$7:$V$95,0))),"FREE",INDEX(Source!$U$7:$U$95,MATCH(B422,Source!$V$7:$V$95,0)))</f>
        <v>FREE</v>
      </c>
      <c r="B422" s="511" t="s">
        <v>257</v>
      </c>
      <c r="C422" s="511"/>
      <c r="D422" s="511"/>
      <c r="E422" s="499" t="str">
        <f aca="false">IF(SUM($W422:$X422)&gt;0,SUM($W422:$X422),IF($H422&gt;0,0,IF($H422&gt;0,0,"-")))</f>
        <v>-</v>
      </c>
      <c r="F422" s="499" t="str">
        <f aca="false">IF(SUM($Y422:$Z422)&gt;0,SUM($Y422:$Z422),IF($H422&gt;0,0,"-"))</f>
        <v>-</v>
      </c>
      <c r="G422" s="499" t="str">
        <f aca="false">IF($H422&gt;0,minus(E422,F422),"-")</f>
        <v>-</v>
      </c>
      <c r="H422" s="500" t="n">
        <f aca="false">SUM(COUNTIF(MatchSource!$A:$A,$B422),COUNTIF(MatchSource!$H:$H,$B422))</f>
        <v>0</v>
      </c>
      <c r="I422" s="501" t="n">
        <f aca="false">SUM($AA422:$AB422)</f>
        <v>0</v>
      </c>
      <c r="J422" s="501" t="s">
        <v>699</v>
      </c>
      <c r="K422" s="512" t="n">
        <f aca="false" t="array" ref="K422:K422">IF(ISNA(INDEX(DraftRosters!$AA$3:$AA$199,MATCH($B422,DraftRosters!$AB$3:$AB$199,0))),"FA",IF(INDEX(DraftRosters!$AA$3:$AA$199,MATCH($B422,DraftRosters!$AB$3:$AB$199,0))="Franchise","Franch",INDEX(DraftRosters!$AA$3:$AA$199,MATCH($B422,DraftRosters!$AB$3:$AB$199,0))))</f>
        <v>28</v>
      </c>
      <c r="L422" s="499" t="n">
        <v>95</v>
      </c>
      <c r="M422" s="499" t="n">
        <v>95</v>
      </c>
      <c r="N422" s="499" t="n">
        <v>95</v>
      </c>
      <c r="O422" s="499" t="n">
        <v>95</v>
      </c>
      <c r="P422" s="499" t="n">
        <v>95</v>
      </c>
      <c r="Q422" s="501" t="n">
        <v>95</v>
      </c>
      <c r="R422" s="499" t="s">
        <v>839</v>
      </c>
      <c r="S422" s="501"/>
      <c r="T422" s="520" t="s">
        <v>1066</v>
      </c>
      <c r="U422" s="513"/>
      <c r="V422" s="514"/>
      <c r="W422" s="500" t="str">
        <f aca="false">IFERROR(__xludf.dummyfunction("if(isna(SUM(FILTER(MatchSource!$A:$D,MatchSource!$A:$A=$B422))),0,SUM(FILTER(MatchSource!$A:$D,MatchSource!$A:$A=$B422)))"),"0")</f>
        <v>0</v>
      </c>
      <c r="X422" s="499" t="str">
        <f aca="false">IFERROR(__xludf.dummyfunction("if(isna(SUM(FILTER(MatchSource!$H:$K,MatchSource!$H:$H=$B422))),0,SUM(FILTER(MatchSource!$H:$K,MatchSource!$H:$H=$B422)))"),"0")</f>
        <v>0</v>
      </c>
      <c r="Y422" s="499" t="str">
        <f aca="false">IFERROR(__xludf.dummyfunction("if(isna(ABS(MINUS(SUM(FILTER(MatchSource!$A:$E,MatchSource!$A:$A=$B422)),SUM($W422)))),0,ABS(MINUS(SUM(FILTER(MatchSource!$A:$E,MatchSource!$A:$A=$B422)),SUM($W422))))"),"0")</f>
        <v>0</v>
      </c>
      <c r="Z422" s="499" t="str">
        <f aca="false">IFERROR(__xludf.dummyfunction("if(isna(ABS(MINUS(SUM(FILTER(MatchSource!$H:$L,MatchSource!$H:$H=$B422)),SUM($X422)))),0,ABS(MINUS(SUM(FILTER(MatchSource!$H:$L,MatchSource!$H:$H=$B422)),SUM($X422))))"),"0")</f>
        <v>0</v>
      </c>
      <c r="AA422" s="499" t="str">
        <f aca="false">IFERROR(__xludf.dummyfunction("if(isna(ABS(MINUS(SUM(FILTER(MatchSource!$A:$F,MatchSource!$A:$A=$B422)),SUM($W422,$Y422)))),0,ABS(MINUS(SUM(FILTER(MatchSource!$A:$F,MatchSource!$A:$A=$B422)),SUM($W422, $Y422,))))"),"0")</f>
        <v>0</v>
      </c>
      <c r="AB422" s="501" t="str">
        <f aca="false">IFERROR(__xludf.dummyfunction("if(isna(ABS(MINUS(SUM(FILTER(MatchSource!$H:$M,MatchSource!$H:$H=$B422)),SUM($X422,$Z422)))),0,ABS(MINUS(SUM(FILTER(MatchSource!$H:$M,MatchSource!$H:$H=$B422)),SUM($X422,$Z422))))"),"0")</f>
        <v>0</v>
      </c>
      <c r="AC422" s="507" t="n">
        <f aca="false">SUM(IF(OR($R422="Grass",$R422="Psychic",$R422="Dark"),0-1,IF(OR($R422="Fighting",$R422="Flying",$R422="Fire",$R422="Ghost",$R422="Poison",$R422="Steel",$R422="Fairy"),1,0)),IF(OR($S422="Grass",$S422="Psychic",$S422="Dark"),0-1,IF(OR($S422="Fighting",$S422="Flying",$S422="Fire",$S422="Ghost",$S422="Poison",$S422="Steel",$S422="Fairy"),1,0)))</f>
        <v>0</v>
      </c>
      <c r="AD422" s="507" t="n">
        <f aca="false">SUM(IF(OR($R422="Ghost",$R422="Psychic"),0-1,IF(OR($R422="Fighting",$R422="Dark",$R422="Fairy"),1,0)),IF(OR($S422="Ghost",$S422="Psychic"),0-1,IF(OR($S422="Fighting",$S422="Dark",$S422="Fairy"),1,0)))</f>
        <v>0</v>
      </c>
      <c r="AE422" s="507" t="n">
        <f aca="false">IF(OR($R422="Fairy",$S422="Fairy"),4,SUM(IF($R422="Dragon",0-1,IF($R422="Steel",1,0)),IF($S422="Dragon",0-1,IF($S422="Steel",1,0))))</f>
        <v>0</v>
      </c>
      <c r="AF422" s="507" t="n">
        <f aca="false">IF(OR($R422="Ground",$S422="Ground"),4,SUM(IF(OR($R422="Flying",$R422="Water"),0-1,IF(OR($R422="Dragon",$R422="Electric",$R422="Grass"),1,0)),IF(OR($S422="Flying",$S422="Water"),0-1,IF(OR($S422="Dragon",$S422="Electric",$S422="Grass"),1,0))))</f>
        <v>0</v>
      </c>
      <c r="AG422" s="507" t="n">
        <f aca="false">SUM(IF(OR($R422="Dark",$R422="Dragon",$R422="Fighting"),0-1,IF(OR($R422="Steel",$R422="Poison",$R422="Fire"),1,0)),IF(OR($S422="Dark",$S422="Dragon",$S422="Fighting"),0-1,IF(OR($S422="Steel",$S422="Poison",$S422="Fire"),1,0)))</f>
        <v>0</v>
      </c>
      <c r="AH422" s="507" t="n">
        <f aca="false">IF(OR($R422="Ghost",$S422="Ghost"),4,SUM(IF(OR($R422="Dark",$R422="Ice",$R422="Normal",$R422="Rock",$R422="Steel"),0-1,IF(OR($R422="Bug",$R422="Fairy",$R422="Flying",$R422="Poison",$R422="Psychic"),1,0)),IF(OR($S422="Dark",$S422="Ice",$S422="Normal",$S422="Rock",$S422="Steel"),0-1,IF(OR($S422="Bug",$S422="Fairy",$S422="Flying",$S422="Poison",$S422="Psychic"),1,0))))</f>
        <v>-1</v>
      </c>
      <c r="AI422" s="507" t="n">
        <f aca="false">SUM(IF(OR($R422="Bug",$R422="Grass",$R422="Ice",$R422="Steel"),0-1,IF(OR($R422="Dragon",$R422="Fire",$R422="Rock",$R422="Water"),1,0)),IF(OR($S422="Bug",$S422="Grass",$S422="Ice",$S422="Steel"),0-1,IF(OR($S422="Dragon",$S422="Fire",$S422="Rock",$S422="Water"),1,0)))</f>
        <v>0</v>
      </c>
      <c r="AJ422" s="507" t="n">
        <f aca="false">SUM(IF(OR($R422="Bug",$R422="Grass",$R422="Fighting"),0-1,IF(OR($R422="Electric",$R422="Rock",$R422="Steel"),1,0)),IF(OR($S422="Bug",$S422="Grass",$S422="Fighting"),0-1,IF(OR($S422="Electric",$S422="Rock",$S422="Steel"),1,0)))</f>
        <v>0</v>
      </c>
      <c r="AK422" s="507" t="n">
        <f aca="false">IF(OR($R422="Normal",$S422="Normal"),4,SUM(IF(OR($R422="Ghost",$R422="Psychic"),0-1,IF($R422="Dark",1,0)),IF(OR($S422="Ghost",$S422="Psychic"),0-1,IF($S422="Dark",1,0))))</f>
        <v>4</v>
      </c>
      <c r="AL422" s="507" t="n">
        <f aca="false">SUM(IF(OR($R422="Ground",$R422="Rock",$R422="Water"),0-1,IF(OR($R422="Bug",$R422="Flying",$R422="Fire",$R422="Dragon",$R422="Poison",$R422="Steel",$R422="Grass"),1,0)),IF(OR($S422="Ground",$S422="Rock",$S422="Water"),0-1,IF(OR($S422="Bug",$S422="Flying",$S422="Fire",$S422="Dragon",$S422="Poison",$S422="Steel",$S422="Grass"),1,0)))</f>
        <v>0</v>
      </c>
      <c r="AM422" s="507" t="n">
        <f aca="false">IF(OR($R422="Flying",$S422="Flying"),4,SUM(IF(OR($R422="Electric",$R422="Fire",$R422="Rock",$R422="Steel",$R422="Poison"),0-1,IF(OR($R422="Bug",$R422="Grass"),1,0)),IF(OR($S422="Electric",$S422="Fire",$S422="Rock",$S422="Steel",$S422="Poison"),0-1,IF(OR($S422="Bug",$S422="Grass"),1,0))))</f>
        <v>0</v>
      </c>
      <c r="AN422" s="507" t="n">
        <f aca="false">SUM(IF(OR($R422="Flying",$R422="Dragon",$R422="Grass",$R422="Ground"),0-1,IF(OR($R422="Steel",$R422="Ice",$R422="Fire",$R422="Water"),1,0)),IF(OR($S422="Flying",$S422="Dragon",$S422="Grass",$S422="Ground"),0-1,IF(OR($S422="Steel",$S422="Ice",$S422="Fire",$S422="Water"),1,0)))</f>
        <v>0</v>
      </c>
      <c r="AO422" s="507" t="n">
        <f aca="false">IF(OR($R422="Ghost",$S422="Ghost"),4,SUM(IF(OR($R422="Steel",$R422="Rock"),1,0),IF(OR($S422="Steel",$S422="Rock"),1,0)))</f>
        <v>0</v>
      </c>
      <c r="AP422" s="507" t="n">
        <f aca="false">IF(OR($R422="Steel",$S422="Steel"),4,SUM(IF(OR($R422="Fairy",$R422="Grass"),0-1,IF(OR($R422="Ghost",$R422="Rock",$R422="Ground",$R422="Poison"),1,0)),IF(OR($S422="Fairy",$S422="Grass"),0-1,IF(OR($S422="Ghost",$S422="Rock",$S422="Ground",$S422="Poison"),1,0))))</f>
        <v>0</v>
      </c>
      <c r="AQ422" s="507" t="n">
        <f aca="false">IF(OR($R422="Dark",$S422="Dark"),4,SUM(IF(OR($R422="Fighting",$R422="Poison"),0-1,IF(OR($R422="Psychic",$R422="Steel"),1,0)),IF(OR($S422="Fighting",$S422="Poison"),0-1,IF(OR($S422="Psychic",$S422="Steel"),1,0))))</f>
        <v>0</v>
      </c>
      <c r="AR422" s="507" t="n">
        <f aca="false">SUM(IF(OR($R422="Bug",$R422="Fire",$R422="Flying",$R422="Ice"),0-1,IF(OR($R422="Steel",$R422="Fighting",$R422="Ground"),1,0)),IF(OR($S422="Bug",$S422="Fire",$S422="Flying",$S422="Ice"),0-1,IF(OR($S422="Steel",$S422="Fighting",$S422="Ground"),1,0)))</f>
        <v>0</v>
      </c>
      <c r="AS422" s="507" t="n">
        <f aca="false">SUM(IF(OR($R422="Fairy",$R422="Ice",$R422="Rock"),0-1,IF(OR($R422="Steel",$R422="Electric",$R422="Fire",$R422="Water"),1,0)),IF(OR($S422="Fairy",$S422="Ice",$S422="Rock"),0-1,IF(OR($S422="Steel",$S422="Electric",$S422="Fire",$S422="Water"),1,0)))</f>
        <v>0</v>
      </c>
      <c r="AT422" s="508" t="n">
        <f aca="false">SUM(IF(OR($R422="Fire",$R422="Ground",$R422="Rock"),0-1,IF(OR($R422="Dragon",$R422="Grass",$R422="Water"),1,0)),IF(OR($S422="Fire",$S422="Ground",$S422="Rock"),0-1,IF(OR($S422="Dragon",$S422="Grass",$S422="Water"),1,0)))</f>
        <v>0</v>
      </c>
      <c r="AU422" s="518"/>
    </row>
    <row r="423" customFormat="false" ht="15.75" hidden="false" customHeight="false" outlineLevel="0" collapsed="false">
      <c r="A423" s="510" t="str">
        <f aca="false" t="array" ref="A423:A423">IF(ISNA(INDEX(Source!$U$7:$U$95,MATCH(B423,Source!$V$7:$V$95,0))),"FREE",INDEX(Source!$U$7:$U$95,MATCH(B423,Source!$V$7:$V$95,0)))</f>
        <v>FREE</v>
      </c>
      <c r="B423" s="511" t="s">
        <v>581</v>
      </c>
      <c r="C423" s="511"/>
      <c r="D423" s="511"/>
      <c r="E423" s="499" t="str">
        <f aca="false">IF(SUM($W423:$X423)&gt;0,SUM($W423:$X423),IF($H423&gt;0,0,IF($H423&gt;0,0,"-")))</f>
        <v>-</v>
      </c>
      <c r="F423" s="499" t="str">
        <f aca="false">IF(SUM($Y423:$Z423)&gt;0,SUM($Y423:$Z423),IF($H423&gt;0,0,"-"))</f>
        <v>-</v>
      </c>
      <c r="G423" s="499" t="str">
        <f aca="false">IF($H423&gt;0,minus(E423,F423),"-")</f>
        <v>-</v>
      </c>
      <c r="H423" s="500" t="n">
        <f aca="false">SUM(COUNTIF(MatchSource!$A:$A,$B423),COUNTIF(MatchSource!$H:$H,$B423))</f>
        <v>0</v>
      </c>
      <c r="I423" s="501" t="n">
        <f aca="false">SUM($AA423:$AB423)</f>
        <v>0</v>
      </c>
      <c r="J423" s="501" t="s">
        <v>702</v>
      </c>
      <c r="K423" s="512" t="str">
        <f aca="false" t="array" ref="K423:K423">IF(ISNA(INDEX(DraftRosters!$AA$3:$AA$199,MATCH($B423,DraftRosters!$AB$3:$AB$199,0))),"FA",IF(INDEX(DraftRosters!$AA$3:$AA$199,MATCH($B423,DraftRosters!$AB$3:$AB$199,0))="Franchise","Franch",INDEX(DraftRosters!$AA$3:$AA$199,MATCH($B423,DraftRosters!$AB$3:$AB$199,0))))</f>
        <v>FA</v>
      </c>
      <c r="L423" s="499" t="n">
        <v>75</v>
      </c>
      <c r="M423" s="499" t="n">
        <v>98</v>
      </c>
      <c r="N423" s="499" t="n">
        <v>63</v>
      </c>
      <c r="O423" s="499" t="n">
        <v>98</v>
      </c>
      <c r="P423" s="499" t="n">
        <v>63</v>
      </c>
      <c r="Q423" s="501" t="n">
        <v>101</v>
      </c>
      <c r="R423" s="499" t="s">
        <v>811</v>
      </c>
      <c r="S423" s="501"/>
      <c r="T423" s="504" t="s">
        <v>995</v>
      </c>
      <c r="U423" s="505" t="s">
        <v>890</v>
      </c>
      <c r="V423" s="506"/>
      <c r="W423" s="500" t="str">
        <f aca="false">IFERROR(__xludf.dummyfunction("if(isna(SUM(FILTER(MatchSource!$A:$D,MatchSource!$A:$A=$B423))),0,SUM(FILTER(MatchSource!$A:$D,MatchSource!$A:$A=$B423)))"),"0")</f>
        <v>0</v>
      </c>
      <c r="X423" s="499" t="str">
        <f aca="false">IFERROR(__xludf.dummyfunction("if(isna(SUM(FILTER(MatchSource!$H:$K,MatchSource!$H:$H=$B423))),0,SUM(FILTER(MatchSource!$H:$K,MatchSource!$H:$H=$B423)))"),"0")</f>
        <v>0</v>
      </c>
      <c r="Y423" s="499" t="str">
        <f aca="false">IFERROR(__xludf.dummyfunction("if(isna(ABS(MINUS(SUM(FILTER(MatchSource!$A:$E,MatchSource!$A:$A=$B423)),SUM($W423)))),0,ABS(MINUS(SUM(FILTER(MatchSource!$A:$E,MatchSource!$A:$A=$B423)),SUM($W423))))"),"0")</f>
        <v>0</v>
      </c>
      <c r="Z423" s="499" t="str">
        <f aca="false">IFERROR(__xludf.dummyfunction("if(isna(ABS(MINUS(SUM(FILTER(MatchSource!$H:$L,MatchSource!$H:$H=$B423)),SUM($X423)))),0,ABS(MINUS(SUM(FILTER(MatchSource!$H:$L,MatchSource!$H:$H=$B423)),SUM($X423))))"),"0")</f>
        <v>0</v>
      </c>
      <c r="AA423" s="499" t="str">
        <f aca="false">IFERROR(__xludf.dummyfunction("if(isna(ABS(MINUS(SUM(FILTER(MatchSource!$A:$F,MatchSource!$A:$A=$B423)),SUM($W423,$Y423)))),0,ABS(MINUS(SUM(FILTER(MatchSource!$A:$F,MatchSource!$A:$A=$B423)),SUM($W423, $Y423,))))"),"0")</f>
        <v>0</v>
      </c>
      <c r="AB423" s="501" t="str">
        <f aca="false">IFERROR(__xludf.dummyfunction("if(isna(ABS(MINUS(SUM(FILTER(MatchSource!$H:$M,MatchSource!$H:$H=$B423)),SUM($X423,$Z423)))),0,ABS(MINUS(SUM(FILTER(MatchSource!$H:$M,MatchSource!$H:$H=$B423)),SUM($X423,$Z423))))"),"0")</f>
        <v>0</v>
      </c>
      <c r="AC423" s="507" t="n">
        <f aca="false">SUM(IF(OR($R423="Grass",$R423="Psychic",$R423="Dark"),0-1,IF(OR($R423="Fighting",$R423="Flying",$R423="Fire",$R423="Ghost",$R423="Poison",$R423="Steel",$R423="Fairy"),1,0)),IF(OR($S423="Grass",$S423="Psychic",$S423="Dark"),0-1,IF(OR($S423="Fighting",$S423="Flying",$S423="Fire",$S423="Ghost",$S423="Poison",$S423="Steel",$S423="Fairy"),1,0)))</f>
        <v>0</v>
      </c>
      <c r="AD423" s="507" t="n">
        <f aca="false">SUM(IF(OR($R423="Ghost",$R423="Psychic"),0-1,IF(OR($R423="Fighting",$R423="Dark",$R423="Fairy"),1,0)),IF(OR($S423="Ghost",$S423="Psychic"),0-1,IF(OR($S423="Fighting",$S423="Dark",$S423="Fairy"),1,0)))</f>
        <v>0</v>
      </c>
      <c r="AE423" s="507" t="n">
        <f aca="false">IF(OR($R423="Fairy",$S423="Fairy"),4,SUM(IF($R423="Dragon",0-1,IF($R423="Steel",1,0)),IF($S423="Dragon",0-1,IF($S423="Steel",1,0))))</f>
        <v>0</v>
      </c>
      <c r="AF423" s="507" t="n">
        <f aca="false">IF(OR($R423="Ground",$S423="Ground"),4,SUM(IF(OR($R423="Flying",$R423="Water"),0-1,IF(OR($R423="Dragon",$R423="Electric",$R423="Grass"),1,0)),IF(OR($S423="Flying",$S423="Water"),0-1,IF(OR($S423="Dragon",$S423="Electric",$S423="Grass"),1,0))))</f>
        <v>-1</v>
      </c>
      <c r="AG423" s="507" t="n">
        <f aca="false">SUM(IF(OR($R423="Dark",$R423="Dragon",$R423="Fighting"),0-1,IF(OR($R423="Steel",$R423="Poison",$R423="Fire"),1,0)),IF(OR($S423="Dark",$S423="Dragon",$S423="Fighting"),0-1,IF(OR($S423="Steel",$S423="Poison",$S423="Fire"),1,0)))</f>
        <v>0</v>
      </c>
      <c r="AH423" s="507" t="n">
        <f aca="false">IF(OR($R423="Ghost",$S423="Ghost"),4,SUM(IF(OR($R423="Dark",$R423="Ice",$R423="Normal",$R423="Rock",$R423="Steel"),0-1,IF(OR($R423="Bug",$R423="Fairy",$R423="Flying",$R423="Poison",$R423="Psychic"),1,0)),IF(OR($S423="Dark",$S423="Ice",$S423="Normal",$S423="Rock",$S423="Steel"),0-1,IF(OR($S423="Bug",$S423="Fairy",$S423="Flying",$S423="Poison",$S423="Psychic"),1,0))))</f>
        <v>0</v>
      </c>
      <c r="AI423" s="507" t="n">
        <f aca="false">SUM(IF(OR($R423="Bug",$R423="Grass",$R423="Ice",$R423="Steel"),0-1,IF(OR($R423="Dragon",$R423="Fire",$R423="Rock",$R423="Water"),1,0)),IF(OR($S423="Bug",$S423="Grass",$S423="Ice",$S423="Steel"),0-1,IF(OR($S423="Dragon",$S423="Fire",$S423="Rock",$S423="Water"),1,0)))</f>
        <v>1</v>
      </c>
      <c r="AJ423" s="507" t="n">
        <f aca="false">SUM(IF(OR($R423="Bug",$R423="Grass",$R423="Fighting"),0-1,IF(OR($R423="Electric",$R423="Rock",$R423="Steel"),1,0)),IF(OR($S423="Bug",$S423="Grass",$S423="Fighting"),0-1,IF(OR($S423="Electric",$S423="Rock",$S423="Steel"),1,0)))</f>
        <v>0</v>
      </c>
      <c r="AK423" s="507" t="n">
        <f aca="false">IF(OR($R423="Normal",$S423="Normal"),4,SUM(IF(OR($R423="Ghost",$R423="Psychic"),0-1,IF($R423="Dark",1,0)),IF(OR($S423="Ghost",$S423="Psychic"),0-1,IF($S423="Dark",1,0))))</f>
        <v>0</v>
      </c>
      <c r="AL423" s="507" t="n">
        <f aca="false">SUM(IF(OR($R423="Ground",$R423="Rock",$R423="Water"),0-1,IF(OR($R423="Bug",$R423="Flying",$R423="Fire",$R423="Dragon",$R423="Poison",$R423="Steel",$R423="Grass"),1,0)),IF(OR($S423="Ground",$S423="Rock",$S423="Water"),0-1,IF(OR($S423="Bug",$S423="Flying",$S423="Fire",$S423="Dragon",$S423="Poison",$S423="Steel",$S423="Grass"),1,0)))</f>
        <v>-1</v>
      </c>
      <c r="AM423" s="507" t="n">
        <f aca="false">IF(OR($R423="Flying",$S423="Flying"),4,SUM(IF(OR($R423="Electric",$R423="Fire",$R423="Rock",$R423="Steel",$R423="Poison"),0-1,IF(OR($R423="Bug",$R423="Grass"),1,0)),IF(OR($S423="Electric",$S423="Fire",$S423="Rock",$S423="Steel",$S423="Poison"),0-1,IF(OR($S423="Bug",$S423="Grass"),1,0))))</f>
        <v>0</v>
      </c>
      <c r="AN423" s="507" t="n">
        <f aca="false">SUM(IF(OR($R423="Flying",$R423="Dragon",$R423="Grass",$R423="Ground"),0-1,IF(OR($R423="Steel",$R423="Ice",$R423="Fire",$R423="Water"),1,0)),IF(OR($S423="Flying",$S423="Dragon",$S423="Grass",$S423="Ground"),0-1,IF(OR($S423="Steel",$S423="Ice",$S423="Fire",$S423="Water"),1,0)))</f>
        <v>1</v>
      </c>
      <c r="AO423" s="507" t="n">
        <f aca="false">IF(OR($R423="Ghost",$S423="Ghost"),4,SUM(IF(OR($R423="Steel",$R423="Rock"),1,0),IF(OR($S423="Steel",$S423="Rock"),1,0)))</f>
        <v>0</v>
      </c>
      <c r="AP423" s="507" t="n">
        <f aca="false">IF(OR($R423="Steel",$S423="Steel"),4,SUM(IF(OR($R423="Fairy",$R423="Grass"),0-1,IF(OR($R423="Ghost",$R423="Rock",$R423="Ground",$R423="Poison"),1,0)),IF(OR($S423="Fairy",$S423="Grass"),0-1,IF(OR($S423="Ghost",$S423="Rock",$S423="Ground",$S423="Poison"),1,0))))</f>
        <v>0</v>
      </c>
      <c r="AQ423" s="507" t="n">
        <f aca="false">IF(OR($R423="Dark",$S423="Dark"),4,SUM(IF(OR($R423="Fighting",$R423="Poison"),0-1,IF(OR($R423="Psychic",$R423="Steel"),1,0)),IF(OR($S423="Fighting",$S423="Poison"),0-1,IF(OR($S423="Psychic",$S423="Steel"),1,0))))</f>
        <v>0</v>
      </c>
      <c r="AR423" s="507" t="n">
        <f aca="false">SUM(IF(OR($R423="Bug",$R423="Fire",$R423="Flying",$R423="Ice"),0-1,IF(OR($R423="Steel",$R423="Fighting",$R423="Ground"),1,0)),IF(OR($S423="Bug",$S423="Fire",$S423="Flying",$S423="Ice"),0-1,IF(OR($S423="Steel",$S423="Fighting",$S423="Ground"),1,0)))</f>
        <v>0</v>
      </c>
      <c r="AS423" s="507" t="n">
        <f aca="false">SUM(IF(OR($R423="Fairy",$R423="Ice",$R423="Rock"),0-1,IF(OR($R423="Steel",$R423="Electric",$R423="Fire",$R423="Water"),1,0)),IF(OR($S423="Fairy",$S423="Ice",$S423="Rock"),0-1,IF(OR($S423="Steel",$S423="Electric",$S423="Fire",$S423="Water"),1,0)))</f>
        <v>1</v>
      </c>
      <c r="AT423" s="508" t="n">
        <f aca="false">SUM(IF(OR($R423="Fire",$R423="Ground",$R423="Rock"),0-1,IF(OR($R423="Dragon",$R423="Grass",$R423="Water"),1,0)),IF(OR($S423="Fire",$S423="Ground",$S423="Rock"),0-1,IF(OR($S423="Dragon",$S423="Grass",$S423="Water"),1,0)))</f>
        <v>1</v>
      </c>
      <c r="AU423" s="518"/>
    </row>
    <row r="424" customFormat="false" ht="15.75" hidden="false" customHeight="false" outlineLevel="0" collapsed="false">
      <c r="A424" s="510" t="str">
        <f aca="false" t="array" ref="A424:A424">IF(ISNA(INDEX(Source!$U$7:$U$95,MATCH(B424,Source!$V$7:$V$95,0))),"FREE",INDEX(Source!$U$7:$U$95,MATCH(B424,Source!$V$7:$V$95,0)))</f>
        <v>FREE</v>
      </c>
      <c r="B424" s="511" t="s">
        <v>585</v>
      </c>
      <c r="C424" s="511"/>
      <c r="D424" s="511"/>
      <c r="E424" s="499" t="str">
        <f aca="false">IF(SUM($W424:$X424)&gt;0,SUM($W424:$X424),IF($H424&gt;0,0,IF($H424&gt;0,0,"-")))</f>
        <v>-</v>
      </c>
      <c r="F424" s="499" t="str">
        <f aca="false">IF(SUM($Y424:$Z424)&gt;0,SUM($Y424:$Z424),IF($H424&gt;0,0,"-"))</f>
        <v>-</v>
      </c>
      <c r="G424" s="499" t="str">
        <f aca="false">IF($H424&gt;0,minus(E424,F424),"-")</f>
        <v>-</v>
      </c>
      <c r="H424" s="500" t="n">
        <f aca="false">SUM(COUNTIF(MatchSource!$A:$A,$B424),COUNTIF(MatchSource!$H:$H,$B424))</f>
        <v>0</v>
      </c>
      <c r="I424" s="501" t="n">
        <f aca="false">SUM($AA424:$AB424)</f>
        <v>0</v>
      </c>
      <c r="J424" s="501" t="s">
        <v>702</v>
      </c>
      <c r="K424" s="512" t="str">
        <f aca="false" t="array" ref="K424:K424">IF(ISNA(INDEX(DraftRosters!$AA$3:$AA$199,MATCH($B424,DraftRosters!$AB$3:$AB$199,0))),"FA",IF(INDEX(DraftRosters!$AA$3:$AA$199,MATCH($B424,DraftRosters!$AB$3:$AB$199,0))="Franchise","Franch",INDEX(DraftRosters!$AA$3:$AA$199,MATCH($B424,DraftRosters!$AB$3:$AB$199,0))))</f>
        <v>FA</v>
      </c>
      <c r="L424" s="499" t="n">
        <v>75</v>
      </c>
      <c r="M424" s="499" t="n">
        <v>98</v>
      </c>
      <c r="N424" s="499" t="n">
        <v>63</v>
      </c>
      <c r="O424" s="499" t="n">
        <v>98</v>
      </c>
      <c r="P424" s="499" t="n">
        <v>63</v>
      </c>
      <c r="Q424" s="501" t="n">
        <v>101</v>
      </c>
      <c r="R424" s="499" t="s">
        <v>803</v>
      </c>
      <c r="S424" s="501"/>
      <c r="T424" s="504" t="s">
        <v>995</v>
      </c>
      <c r="U424" s="505" t="s">
        <v>921</v>
      </c>
      <c r="V424" s="506"/>
      <c r="W424" s="500" t="str">
        <f aca="false">IFERROR(__xludf.dummyfunction("if(isna(SUM(FILTER(MatchSource!$A:$D,MatchSource!$A:$A=$B424))),0,SUM(FILTER(MatchSource!$A:$D,MatchSource!$A:$A=$B424)))"),"0")</f>
        <v>0</v>
      </c>
      <c r="X424" s="499" t="str">
        <f aca="false">IFERROR(__xludf.dummyfunction("if(isna(SUM(FILTER(MatchSource!$H:$K,MatchSource!$H:$H=$B424))),0,SUM(FILTER(MatchSource!$H:$K,MatchSource!$H:$H=$B424)))"),"0")</f>
        <v>0</v>
      </c>
      <c r="Y424" s="499" t="str">
        <f aca="false">IFERROR(__xludf.dummyfunction("if(isna(ABS(MINUS(SUM(FILTER(MatchSource!$A:$E,MatchSource!$A:$A=$B424)),SUM($W424)))),0,ABS(MINUS(SUM(FILTER(MatchSource!$A:$E,MatchSource!$A:$A=$B424)),SUM($W424))))"),"0")</f>
        <v>0</v>
      </c>
      <c r="Z424" s="499" t="str">
        <f aca="false">IFERROR(__xludf.dummyfunction("if(isna(ABS(MINUS(SUM(FILTER(MatchSource!$H:$L,MatchSource!$H:$H=$B424)),SUM($X424)))),0,ABS(MINUS(SUM(FILTER(MatchSource!$H:$L,MatchSource!$H:$H=$B424)),SUM($X424))))"),"0")</f>
        <v>0</v>
      </c>
      <c r="AA424" s="499" t="str">
        <f aca="false">IFERROR(__xludf.dummyfunction("if(isna(ABS(MINUS(SUM(FILTER(MatchSource!$A:$F,MatchSource!$A:$A=$B424)),SUM($W424,$Y424)))),0,ABS(MINUS(SUM(FILTER(MatchSource!$A:$F,MatchSource!$A:$A=$B424)),SUM($W424, $Y424,))))"),"0")</f>
        <v>0</v>
      </c>
      <c r="AB424" s="501" t="str">
        <f aca="false">IFERROR(__xludf.dummyfunction("if(isna(ABS(MINUS(SUM(FILTER(MatchSource!$H:$M,MatchSource!$H:$H=$B424)),SUM($X424,$Z424)))),0,ABS(MINUS(SUM(FILTER(MatchSource!$H:$M,MatchSource!$H:$H=$B424)),SUM($X424,$Z424))))"),"0")</f>
        <v>0</v>
      </c>
      <c r="AC424" s="507" t="n">
        <f aca="false">SUM(IF(OR($R424="Grass",$R424="Psychic",$R424="Dark"),0-1,IF(OR($R424="Fighting",$R424="Flying",$R424="Fire",$R424="Ghost",$R424="Poison",$R424="Steel",$R424="Fairy"),1,0)),IF(OR($S424="Grass",$S424="Psychic",$S424="Dark"),0-1,IF(OR($S424="Fighting",$S424="Flying",$S424="Fire",$S424="Ghost",$S424="Poison",$S424="Steel",$S424="Fairy"),1,0)))</f>
        <v>-1</v>
      </c>
      <c r="AD424" s="507" t="n">
        <f aca="false">SUM(IF(OR($R424="Ghost",$R424="Psychic"),0-1,IF(OR($R424="Fighting",$R424="Dark",$R424="Fairy"),1,0)),IF(OR($S424="Ghost",$S424="Psychic"),0-1,IF(OR($S424="Fighting",$S424="Dark",$S424="Fairy"),1,0)))</f>
        <v>0</v>
      </c>
      <c r="AE424" s="507" t="n">
        <f aca="false">IF(OR($R424="Fairy",$S424="Fairy"),4,SUM(IF($R424="Dragon",0-1,IF($R424="Steel",1,0)),IF($S424="Dragon",0-1,IF($S424="Steel",1,0))))</f>
        <v>0</v>
      </c>
      <c r="AF424" s="507" t="n">
        <f aca="false">IF(OR($R424="Ground",$S424="Ground"),4,SUM(IF(OR($R424="Flying",$R424="Water"),0-1,IF(OR($R424="Dragon",$R424="Electric",$R424="Grass"),1,0)),IF(OR($S424="Flying",$S424="Water"),0-1,IF(OR($S424="Dragon",$S424="Electric",$S424="Grass"),1,0))))</f>
        <v>1</v>
      </c>
      <c r="AG424" s="507" t="n">
        <f aca="false">SUM(IF(OR($R424="Dark",$R424="Dragon",$R424="Fighting"),0-1,IF(OR($R424="Steel",$R424="Poison",$R424="Fire"),1,0)),IF(OR($S424="Dark",$S424="Dragon",$S424="Fighting"),0-1,IF(OR($S424="Steel",$S424="Poison",$S424="Fire"),1,0)))</f>
        <v>0</v>
      </c>
      <c r="AH424" s="507" t="n">
        <f aca="false">IF(OR($R424="Ghost",$S424="Ghost"),4,SUM(IF(OR($R424="Dark",$R424="Ice",$R424="Normal",$R424="Rock",$R424="Steel"),0-1,IF(OR($R424="Bug",$R424="Fairy",$R424="Flying",$R424="Poison",$R424="Psychic"),1,0)),IF(OR($S424="Dark",$S424="Ice",$S424="Normal",$S424="Rock",$S424="Steel"),0-1,IF(OR($S424="Bug",$S424="Fairy",$S424="Flying",$S424="Poison",$S424="Psychic"),1,0))))</f>
        <v>0</v>
      </c>
      <c r="AI424" s="507" t="n">
        <f aca="false">SUM(IF(OR($R424="Bug",$R424="Grass",$R424="Ice",$R424="Steel"),0-1,IF(OR($R424="Dragon",$R424="Fire",$R424="Rock",$R424="Water"),1,0)),IF(OR($S424="Bug",$S424="Grass",$S424="Ice",$S424="Steel"),0-1,IF(OR($S424="Dragon",$S424="Fire",$S424="Rock",$S424="Water"),1,0)))</f>
        <v>-1</v>
      </c>
      <c r="AJ424" s="507" t="n">
        <f aca="false">SUM(IF(OR($R424="Bug",$R424="Grass",$R424="Fighting"),0-1,IF(OR($R424="Electric",$R424="Rock",$R424="Steel"),1,0)),IF(OR($S424="Bug",$S424="Grass",$S424="Fighting"),0-1,IF(OR($S424="Electric",$S424="Rock",$S424="Steel"),1,0)))</f>
        <v>-1</v>
      </c>
      <c r="AK424" s="507" t="n">
        <f aca="false">IF(OR($R424="Normal",$S424="Normal"),4,SUM(IF(OR($R424="Ghost",$R424="Psychic"),0-1,IF($R424="Dark",1,0)),IF(OR($S424="Ghost",$S424="Psychic"),0-1,IF($S424="Dark",1,0))))</f>
        <v>0</v>
      </c>
      <c r="AL424" s="507" t="n">
        <f aca="false">SUM(IF(OR($R424="Ground",$R424="Rock",$R424="Water"),0-1,IF(OR($R424="Bug",$R424="Flying",$R424="Fire",$R424="Dragon",$R424="Poison",$R424="Steel",$R424="Grass"),1,0)),IF(OR($S424="Ground",$S424="Rock",$S424="Water"),0-1,IF(OR($S424="Bug",$S424="Flying",$S424="Fire",$S424="Dragon",$S424="Poison",$S424="Steel",$S424="Grass"),1,0)))</f>
        <v>1</v>
      </c>
      <c r="AM424" s="507" t="n">
        <f aca="false">IF(OR($R424="Flying",$S424="Flying"),4,SUM(IF(OR($R424="Electric",$R424="Fire",$R424="Rock",$R424="Steel",$R424="Poison"),0-1,IF(OR($R424="Bug",$R424="Grass"),1,0)),IF(OR($S424="Electric",$S424="Fire",$S424="Rock",$S424="Steel",$S424="Poison"),0-1,IF(OR($S424="Bug",$S424="Grass"),1,0))))</f>
        <v>1</v>
      </c>
      <c r="AN424" s="507" t="n">
        <f aca="false">SUM(IF(OR($R424="Flying",$R424="Dragon",$R424="Grass",$R424="Ground"),0-1,IF(OR($R424="Steel",$R424="Ice",$R424="Fire",$R424="Water"),1,0)),IF(OR($S424="Flying",$S424="Dragon",$S424="Grass",$S424="Ground"),0-1,IF(OR($S424="Steel",$S424="Ice",$S424="Fire",$S424="Water"),1,0)))</f>
        <v>-1</v>
      </c>
      <c r="AO424" s="507" t="n">
        <f aca="false">IF(OR($R424="Ghost",$S424="Ghost"),4,SUM(IF(OR($R424="Steel",$R424="Rock"),1,0),IF(OR($S424="Steel",$S424="Rock"),1,0)))</f>
        <v>0</v>
      </c>
      <c r="AP424" s="507" t="n">
        <f aca="false">IF(OR($R424="Steel",$S424="Steel"),4,SUM(IF(OR($R424="Fairy",$R424="Grass"),0-1,IF(OR($R424="Ghost",$R424="Rock",$R424="Ground",$R424="Poison"),1,0)),IF(OR($S424="Fairy",$S424="Grass"),0-1,IF(OR($S424="Ghost",$S424="Rock",$S424="Ground",$S424="Poison"),1,0))))</f>
        <v>-1</v>
      </c>
      <c r="AQ424" s="507" t="n">
        <f aca="false">IF(OR($R424="Dark",$S424="Dark"),4,SUM(IF(OR($R424="Fighting",$R424="Poison"),0-1,IF(OR($R424="Psychic",$R424="Steel"),1,0)),IF(OR($S424="Fighting",$S424="Poison"),0-1,IF(OR($S424="Psychic",$S424="Steel"),1,0))))</f>
        <v>0</v>
      </c>
      <c r="AR424" s="507" t="n">
        <f aca="false">SUM(IF(OR($R424="Bug",$R424="Fire",$R424="Flying",$R424="Ice"),0-1,IF(OR($R424="Steel",$R424="Fighting",$R424="Ground"),1,0)),IF(OR($S424="Bug",$S424="Fire",$S424="Flying",$S424="Ice"),0-1,IF(OR($S424="Steel",$S424="Fighting",$S424="Ground"),1,0)))</f>
        <v>0</v>
      </c>
      <c r="AS424" s="507" t="n">
        <f aca="false">SUM(IF(OR($R424="Fairy",$R424="Ice",$R424="Rock"),0-1,IF(OR($R424="Steel",$R424="Electric",$R424="Fire",$R424="Water"),1,0)),IF(OR($S424="Fairy",$S424="Ice",$S424="Rock"),0-1,IF(OR($S424="Steel",$S424="Electric",$S424="Fire",$S424="Water"),1,0)))</f>
        <v>0</v>
      </c>
      <c r="AT424" s="508" t="n">
        <f aca="false">SUM(IF(OR($R424="Fire",$R424="Ground",$R424="Rock"),0-1,IF(OR($R424="Dragon",$R424="Grass",$R424="Water"),1,0)),IF(OR($S424="Fire",$S424="Ground",$S424="Rock"),0-1,IF(OR($S424="Dragon",$S424="Grass",$S424="Water"),1,0)))</f>
        <v>1</v>
      </c>
      <c r="AU424" s="518"/>
    </row>
    <row r="425" customFormat="false" ht="15.75" hidden="false" customHeight="false" outlineLevel="0" collapsed="false">
      <c r="A425" s="510" t="str">
        <f aca="false" t="array" ref="A425:A425">IF(ISNA(INDEX(Source!$U$7:$U$95,MATCH(B425,Source!$V$7:$V$95,0))),"FREE",INDEX(Source!$U$7:$U$95,MATCH(B425,Source!$V$7:$V$95,0)))</f>
        <v>FREE</v>
      </c>
      <c r="B425" s="511" t="s">
        <v>589</v>
      </c>
      <c r="C425" s="511"/>
      <c r="D425" s="511"/>
      <c r="E425" s="499" t="str">
        <f aca="false">IF(SUM($W425:$X425)&gt;0,SUM($W425:$X425),IF($H425&gt;0,0,IF($H425&gt;0,0,"-")))</f>
        <v>-</v>
      </c>
      <c r="F425" s="499" t="str">
        <f aca="false">IF(SUM($Y425:$Z425)&gt;0,SUM($Y425:$Z425),IF($H425&gt;0,0,"-"))</f>
        <v>-</v>
      </c>
      <c r="G425" s="499" t="str">
        <f aca="false">IF($H425&gt;0,minus(E425,F425),"-")</f>
        <v>-</v>
      </c>
      <c r="H425" s="500" t="n">
        <f aca="false">SUM(COUNTIF(MatchSource!$A:$A,$B425),COUNTIF(MatchSource!$H:$H,$B425))</f>
        <v>0</v>
      </c>
      <c r="I425" s="501" t="n">
        <f aca="false">SUM($AA425:$AB425)</f>
        <v>0</v>
      </c>
      <c r="J425" s="501" t="s">
        <v>702</v>
      </c>
      <c r="K425" s="512" t="str">
        <f aca="false" t="array" ref="K425:K425">IF(ISNA(INDEX(DraftRosters!$AA$3:$AA$199,MATCH($B425,DraftRosters!$AB$3:$AB$199,0))),"FA",IF(INDEX(DraftRosters!$AA$3:$AA$199,MATCH($B425,DraftRosters!$AB$3:$AB$199,0))="Franchise","Franch",INDEX(DraftRosters!$AA$3:$AA$199,MATCH($B425,DraftRosters!$AB$3:$AB$199,0))))</f>
        <v>FA</v>
      </c>
      <c r="L425" s="499" t="n">
        <v>75</v>
      </c>
      <c r="M425" s="499" t="n">
        <v>98</v>
      </c>
      <c r="N425" s="499" t="n">
        <v>63</v>
      </c>
      <c r="O425" s="499" t="n">
        <v>98</v>
      </c>
      <c r="P425" s="499" t="n">
        <v>63</v>
      </c>
      <c r="Q425" s="501" t="n">
        <v>101</v>
      </c>
      <c r="R425" s="499" t="s">
        <v>800</v>
      </c>
      <c r="S425" s="501"/>
      <c r="T425" s="504" t="s">
        <v>893</v>
      </c>
      <c r="U425" s="505" t="s">
        <v>995</v>
      </c>
      <c r="V425" s="506"/>
      <c r="W425" s="500" t="str">
        <f aca="false">IFERROR(__xludf.dummyfunction("if(isna(SUM(FILTER(MatchSource!$A:$D,MatchSource!$A:$A=$B425))),0,SUM(FILTER(MatchSource!$A:$D,MatchSource!$A:$A=$B425)))"),"0")</f>
        <v>0</v>
      </c>
      <c r="X425" s="499" t="str">
        <f aca="false">IFERROR(__xludf.dummyfunction("if(isna(SUM(FILTER(MatchSource!$H:$K,MatchSource!$H:$H=$B425))),0,SUM(FILTER(MatchSource!$H:$K,MatchSource!$H:$H=$B425)))"),"0")</f>
        <v>0</v>
      </c>
      <c r="Y425" s="499" t="str">
        <f aca="false">IFERROR(__xludf.dummyfunction("if(isna(ABS(MINUS(SUM(FILTER(MatchSource!$A:$E,MatchSource!$A:$A=$B425)),SUM($W425)))),0,ABS(MINUS(SUM(FILTER(MatchSource!$A:$E,MatchSource!$A:$A=$B425)),SUM($W425))))"),"0")</f>
        <v>0</v>
      </c>
      <c r="Z425" s="499" t="str">
        <f aca="false">IFERROR(__xludf.dummyfunction("if(isna(ABS(MINUS(SUM(FILTER(MatchSource!$H:$L,MatchSource!$H:$H=$B425)),SUM($X425)))),0,ABS(MINUS(SUM(FILTER(MatchSource!$H:$L,MatchSource!$H:$H=$B425)),SUM($X425))))"),"0")</f>
        <v>0</v>
      </c>
      <c r="AA425" s="499" t="str">
        <f aca="false">IFERROR(__xludf.dummyfunction("if(isna(ABS(MINUS(SUM(FILTER(MatchSource!$A:$F,MatchSource!$A:$A=$B425)),SUM($W425,$Y425)))),0,ABS(MINUS(SUM(FILTER(MatchSource!$A:$F,MatchSource!$A:$A=$B425)),SUM($W425, $Y425,))))"),"0")</f>
        <v>0</v>
      </c>
      <c r="AB425" s="501" t="str">
        <f aca="false">IFERROR(__xludf.dummyfunction("if(isna(ABS(MINUS(SUM(FILTER(MatchSource!$H:$M,MatchSource!$H:$H=$B425)),SUM($X425,$Z425)))),0,ABS(MINUS(SUM(FILTER(MatchSource!$H:$M,MatchSource!$H:$H=$B425)),SUM($X425,$Z425))))"),"0")</f>
        <v>0</v>
      </c>
      <c r="AC425" s="507" t="n">
        <f aca="false">SUM(IF(OR($R425="Grass",$R425="Psychic",$R425="Dark"),0-1,IF(OR($R425="Fighting",$R425="Flying",$R425="Fire",$R425="Ghost",$R425="Poison",$R425="Steel",$R425="Fairy"),1,0)),IF(OR($S425="Grass",$S425="Psychic",$S425="Dark"),0-1,IF(OR($S425="Fighting",$S425="Flying",$S425="Fire",$S425="Ghost",$S425="Poison",$S425="Steel",$S425="Fairy"),1,0)))</f>
        <v>1</v>
      </c>
      <c r="AD425" s="507" t="n">
        <f aca="false">SUM(IF(OR($R425="Ghost",$R425="Psychic"),0-1,IF(OR($R425="Fighting",$R425="Dark",$R425="Fairy"),1,0)),IF(OR($S425="Ghost",$S425="Psychic"),0-1,IF(OR($S425="Fighting",$S425="Dark",$S425="Fairy"),1,0)))</f>
        <v>0</v>
      </c>
      <c r="AE425" s="507" t="n">
        <f aca="false">IF(OR($R425="Fairy",$S425="Fairy"),4,SUM(IF($R425="Dragon",0-1,IF($R425="Steel",1,0)),IF($S425="Dragon",0-1,IF($S425="Steel",1,0))))</f>
        <v>0</v>
      </c>
      <c r="AF425" s="507" t="n">
        <f aca="false">IF(OR($R425="Ground",$S425="Ground"),4,SUM(IF(OR($R425="Flying",$R425="Water"),0-1,IF(OR($R425="Dragon",$R425="Electric",$R425="Grass"),1,0)),IF(OR($S425="Flying",$S425="Water"),0-1,IF(OR($S425="Dragon",$S425="Electric",$S425="Grass"),1,0))))</f>
        <v>0</v>
      </c>
      <c r="AG425" s="507" t="n">
        <f aca="false">SUM(IF(OR($R425="Dark",$R425="Dragon",$R425="Fighting"),0-1,IF(OR($R425="Steel",$R425="Poison",$R425="Fire"),1,0)),IF(OR($S425="Dark",$S425="Dragon",$S425="Fighting"),0-1,IF(OR($S425="Steel",$S425="Poison",$S425="Fire"),1,0)))</f>
        <v>1</v>
      </c>
      <c r="AH425" s="507" t="n">
        <f aca="false">IF(OR($R425="Ghost",$S425="Ghost"),4,SUM(IF(OR($R425="Dark",$R425="Ice",$R425="Normal",$R425="Rock",$R425="Steel"),0-1,IF(OR($R425="Bug",$R425="Fairy",$R425="Flying",$R425="Poison",$R425="Psychic"),1,0)),IF(OR($S425="Dark",$S425="Ice",$S425="Normal",$S425="Rock",$S425="Steel"),0-1,IF(OR($S425="Bug",$S425="Fairy",$S425="Flying",$S425="Poison",$S425="Psychic"),1,0))))</f>
        <v>0</v>
      </c>
      <c r="AI425" s="507" t="n">
        <f aca="false">SUM(IF(OR($R425="Bug",$R425="Grass",$R425="Ice",$R425="Steel"),0-1,IF(OR($R425="Dragon",$R425="Fire",$R425="Rock",$R425="Water"),1,0)),IF(OR($S425="Bug",$S425="Grass",$S425="Ice",$S425="Steel"),0-1,IF(OR($S425="Dragon",$S425="Fire",$S425="Rock",$S425="Water"),1,0)))</f>
        <v>1</v>
      </c>
      <c r="AJ425" s="507" t="n">
        <f aca="false">SUM(IF(OR($R425="Bug",$R425="Grass",$R425="Fighting"),0-1,IF(OR($R425="Electric",$R425="Rock",$R425="Steel"),1,0)),IF(OR($S425="Bug",$S425="Grass",$S425="Fighting"),0-1,IF(OR($S425="Electric",$S425="Rock",$S425="Steel"),1,0)))</f>
        <v>0</v>
      </c>
      <c r="AK425" s="507" t="n">
        <f aca="false">IF(OR($R425="Normal",$S425="Normal"),4,SUM(IF(OR($R425="Ghost",$R425="Psychic"),0-1,IF($R425="Dark",1,0)),IF(OR($S425="Ghost",$S425="Psychic"),0-1,IF($S425="Dark",1,0))))</f>
        <v>0</v>
      </c>
      <c r="AL425" s="507" t="n">
        <f aca="false">SUM(IF(OR($R425="Ground",$R425="Rock",$R425="Water"),0-1,IF(OR($R425="Bug",$R425="Flying",$R425="Fire",$R425="Dragon",$R425="Poison",$R425="Steel",$R425="Grass"),1,0)),IF(OR($S425="Ground",$S425="Rock",$S425="Water"),0-1,IF(OR($S425="Bug",$S425="Flying",$S425="Fire",$S425="Dragon",$S425="Poison",$S425="Steel",$S425="Grass"),1,0)))</f>
        <v>1</v>
      </c>
      <c r="AM425" s="507" t="n">
        <f aca="false">IF(OR($R425="Flying",$S425="Flying"),4,SUM(IF(OR($R425="Electric",$R425="Fire",$R425="Rock",$R425="Steel",$R425="Poison"),0-1,IF(OR($R425="Bug",$R425="Grass"),1,0)),IF(OR($S425="Electric",$S425="Fire",$S425="Rock",$S425="Steel",$S425="Poison"),0-1,IF(OR($S425="Bug",$S425="Grass"),1,0))))</f>
        <v>-1</v>
      </c>
      <c r="AN425" s="507" t="n">
        <f aca="false">SUM(IF(OR($R425="Flying",$R425="Dragon",$R425="Grass",$R425="Ground"),0-1,IF(OR($R425="Steel",$R425="Ice",$R425="Fire",$R425="Water"),1,0)),IF(OR($S425="Flying",$S425="Dragon",$S425="Grass",$S425="Ground"),0-1,IF(OR($S425="Steel",$S425="Ice",$S425="Fire",$S425="Water"),1,0)))</f>
        <v>1</v>
      </c>
      <c r="AO425" s="507" t="n">
        <f aca="false">IF(OR($R425="Ghost",$S425="Ghost"),4,SUM(IF(OR($R425="Steel",$R425="Rock"),1,0),IF(OR($S425="Steel",$S425="Rock"),1,0)))</f>
        <v>0</v>
      </c>
      <c r="AP425" s="507" t="n">
        <f aca="false">IF(OR($R425="Steel",$S425="Steel"),4,SUM(IF(OR($R425="Fairy",$R425="Grass"),0-1,IF(OR($R425="Ghost",$R425="Rock",$R425="Ground",$R425="Poison"),1,0)),IF(OR($S425="Fairy",$S425="Grass"),0-1,IF(OR($S425="Ghost",$S425="Rock",$S425="Ground",$S425="Poison"),1,0))))</f>
        <v>0</v>
      </c>
      <c r="AQ425" s="507" t="n">
        <f aca="false">IF(OR($R425="Dark",$S425="Dark"),4,SUM(IF(OR($R425="Fighting",$R425="Poison"),0-1,IF(OR($R425="Psychic",$R425="Steel"),1,0)),IF(OR($S425="Fighting",$S425="Poison"),0-1,IF(OR($S425="Psychic",$S425="Steel"),1,0))))</f>
        <v>0</v>
      </c>
      <c r="AR425" s="507" t="n">
        <f aca="false">SUM(IF(OR($R425="Bug",$R425="Fire",$R425="Flying",$R425="Ice"),0-1,IF(OR($R425="Steel",$R425="Fighting",$R425="Ground"),1,0)),IF(OR($S425="Bug",$S425="Fire",$S425="Flying",$S425="Ice"),0-1,IF(OR($S425="Steel",$S425="Fighting",$S425="Ground"),1,0)))</f>
        <v>-1</v>
      </c>
      <c r="AS425" s="507" t="n">
        <f aca="false">SUM(IF(OR($R425="Fairy",$R425="Ice",$R425="Rock"),0-1,IF(OR($R425="Steel",$R425="Electric",$R425="Fire",$R425="Water"),1,0)),IF(OR($S425="Fairy",$S425="Ice",$S425="Rock"),0-1,IF(OR($S425="Steel",$S425="Electric",$S425="Fire",$S425="Water"),1,0)))</f>
        <v>1</v>
      </c>
      <c r="AT425" s="508" t="n">
        <f aca="false">SUM(IF(OR($R425="Fire",$R425="Ground",$R425="Rock"),0-1,IF(OR($R425="Dragon",$R425="Grass",$R425="Water"),1,0)),IF(OR($S425="Fire",$S425="Ground",$S425="Rock"),0-1,IF(OR($S425="Dragon",$S425="Grass",$S425="Water"),1,0)))</f>
        <v>-1</v>
      </c>
      <c r="AU425" s="518"/>
    </row>
    <row r="426" customFormat="false" ht="15.75" hidden="false" customHeight="false" outlineLevel="0" collapsed="false">
      <c r="A426" s="515" t="str">
        <f aca="false" t="array" ref="A426:A426">IF(ISNA(INDEX(Source!$U$7:$U$95,MATCH(B426,Source!$V$7:$V$95,0))),"FREE",INDEX(Source!$U$7:$U$95,MATCH(B426,Source!$V$7:$V$95,0)))</f>
        <v>FREE</v>
      </c>
      <c r="B426" s="511" t="s">
        <v>409</v>
      </c>
      <c r="C426" s="511"/>
      <c r="D426" s="511"/>
      <c r="E426" s="499" t="str">
        <f aca="false">IF(SUM($W426:$X426)&gt;0,SUM($W426:$X426),IF($H426&gt;0,0,IF($H426&gt;0,0,"-")))</f>
        <v>-</v>
      </c>
      <c r="F426" s="499" t="str">
        <f aca="false">IF(SUM($Y426:$Z426)&gt;0,SUM($Y426:$Z426),IF($H426&gt;0,0,"-"))</f>
        <v>-</v>
      </c>
      <c r="G426" s="499" t="str">
        <f aca="false">IF($H426&gt;0,minus(E426,F426),"-")</f>
        <v>-</v>
      </c>
      <c r="H426" s="500" t="n">
        <f aca="false">SUM(COUNTIF(MatchSource!$A:$A,$B426),COUNTIF(MatchSource!$H:$H,$B426))</f>
        <v>0</v>
      </c>
      <c r="I426" s="501" t="n">
        <f aca="false">SUM($AA426:$AB426)</f>
        <v>0</v>
      </c>
      <c r="J426" s="501" t="s">
        <v>698</v>
      </c>
      <c r="K426" s="512" t="str">
        <f aca="false" t="array" ref="K426:K426">IF(ISNA(INDEX(DraftRosters!$AA$3:$AA$199,MATCH($B426,DraftRosters!$AB$3:$AB$199,0))),"FA",IF(INDEX(DraftRosters!$AA$3:$AA$199,MATCH($B426,DraftRosters!$AB$3:$AB$199,0))="Franchise","Franch",INDEX(DraftRosters!$AA$3:$AA$199,MATCH($B426,DraftRosters!$AB$3:$AB$199,0))))</f>
        <v>FA</v>
      </c>
      <c r="L426" s="507" t="n">
        <v>65</v>
      </c>
      <c r="M426" s="507" t="n">
        <v>80</v>
      </c>
      <c r="N426" s="507" t="n">
        <v>140</v>
      </c>
      <c r="O426" s="507" t="n">
        <v>40</v>
      </c>
      <c r="P426" s="507" t="n">
        <v>70</v>
      </c>
      <c r="Q426" s="508" t="n">
        <v>70</v>
      </c>
      <c r="R426" s="499" t="s">
        <v>801</v>
      </c>
      <c r="S426" s="501" t="s">
        <v>810</v>
      </c>
      <c r="T426" s="504" t="s">
        <v>897</v>
      </c>
      <c r="U426" s="505" t="s">
        <v>937</v>
      </c>
      <c r="V426" s="506" t="s">
        <v>826</v>
      </c>
      <c r="W426" s="500" t="str">
        <f aca="false">IFERROR(__xludf.dummyfunction("if(isna(SUM(FILTER(MatchSource!$A:$D,MatchSource!$A:$A=$B426))),0,SUM(FILTER(MatchSource!$A:$D,MatchSource!$A:$A=$B426)))"),"0")</f>
        <v>0</v>
      </c>
      <c r="X426" s="499" t="str">
        <f aca="false">IFERROR(__xludf.dummyfunction("if(isna(SUM(FILTER(MatchSource!$H:$K,MatchSource!$H:$H=$B426))),0,SUM(FILTER(MatchSource!$H:$K,MatchSource!$H:$H=$B426)))"),"0")</f>
        <v>0</v>
      </c>
      <c r="Y426" s="499" t="str">
        <f aca="false">IFERROR(__xludf.dummyfunction("if(isna(ABS(MINUS(SUM(FILTER(MatchSource!$A:$E,MatchSource!$A:$A=$B426)),SUM($W426)))),0,ABS(MINUS(SUM(FILTER(MatchSource!$A:$E,MatchSource!$A:$A=$B426)),SUM($W426))))"),"0")</f>
        <v>0</v>
      </c>
      <c r="Z426" s="499" t="str">
        <f aca="false">IFERROR(__xludf.dummyfunction("if(isna(ABS(MINUS(SUM(FILTER(MatchSource!$H:$L,MatchSource!$H:$H=$B426)),SUM($X426)))),0,ABS(MINUS(SUM(FILTER(MatchSource!$H:$L,MatchSource!$H:$H=$B426)),SUM($X426))))"),"0")</f>
        <v>0</v>
      </c>
      <c r="AA426" s="499" t="str">
        <f aca="false">IFERROR(__xludf.dummyfunction("if(isna(ABS(MINUS(SUM(FILTER(MatchSource!$A:$F,MatchSource!$A:$A=$B426)),SUM($W426,$Y426)))),0,ABS(MINUS(SUM(FILTER(MatchSource!$A:$F,MatchSource!$A:$A=$B426)),SUM($W426, $Y426,))))"),"0")</f>
        <v>0</v>
      </c>
      <c r="AB426" s="501" t="str">
        <f aca="false">IFERROR(__xludf.dummyfunction("if(isna(ABS(MINUS(SUM(FILTER(MatchSource!$H:$M,MatchSource!$H:$H=$B426)),SUM($X426,$Z426)))),0,ABS(MINUS(SUM(FILTER(MatchSource!$H:$M,MatchSource!$H:$H=$B426)),SUM($X426,$Z426))))"),"0")</f>
        <v>0</v>
      </c>
      <c r="AC426" s="507" t="n">
        <f aca="false">SUM(IF(OR($R426="Grass",$R426="Psychic",$R426="Dark"),0-1,IF(OR($R426="Fighting",$R426="Flying",$R426="Fire",$R426="Ghost",$R426="Poison",$R426="Steel",$R426="Fairy"),1,0)),IF(OR($S426="Grass",$S426="Psychic",$S426="Dark"),0-1,IF(OR($S426="Fighting",$S426="Flying",$S426="Fire",$S426="Ghost",$S426="Poison",$S426="Steel",$S426="Fairy"),1,0)))</f>
        <v>2</v>
      </c>
      <c r="AD426" s="507" t="n">
        <f aca="false">SUM(IF(OR($R426="Ghost",$R426="Psychic"),0-1,IF(OR($R426="Fighting",$R426="Dark",$R426="Fairy"),1,0)),IF(OR($S426="Ghost",$S426="Psychic"),0-1,IF(OR($S426="Fighting",$S426="Dark",$S426="Fairy"),1,0)))</f>
        <v>0</v>
      </c>
      <c r="AE426" s="507" t="n">
        <f aca="false">IF(OR($R426="Fairy",$S426="Fairy"),4,SUM(IF($R426="Dragon",0-1,IF($R426="Steel",1,0)),IF($S426="Dragon",0-1,IF($S426="Steel",1,0))))</f>
        <v>1</v>
      </c>
      <c r="AF426" s="507" t="n">
        <f aca="false">IF(OR($R426="Ground",$S426="Ground"),4,SUM(IF(OR($R426="Flying",$R426="Water"),0-1,IF(OR($R426="Dragon",$R426="Electric",$R426="Grass"),1,0)),IF(OR($S426="Flying",$S426="Water"),0-1,IF(OR($S426="Dragon",$S426="Electric",$S426="Grass"),1,0))))</f>
        <v>-1</v>
      </c>
      <c r="AG426" s="507" t="n">
        <f aca="false">SUM(IF(OR($R426="Dark",$R426="Dragon",$R426="Fighting"),0-1,IF(OR($R426="Steel",$R426="Poison",$R426="Fire"),1,0)),IF(OR($S426="Dark",$S426="Dragon",$S426="Fighting"),0-1,IF(OR($S426="Steel",$S426="Poison",$S426="Fire"),1,0)))</f>
        <v>1</v>
      </c>
      <c r="AH426" s="507" t="n">
        <f aca="false">IF(OR($R426="Ghost",$S426="Ghost"),4,SUM(IF(OR($R426="Dark",$R426="Ice",$R426="Normal",$R426="Rock",$R426="Steel"),0-1,IF(OR($R426="Bug",$R426="Fairy",$R426="Flying",$R426="Poison",$R426="Psychic"),1,0)),IF(OR($S426="Dark",$S426="Ice",$S426="Normal",$S426="Rock",$S426="Steel"),0-1,IF(OR($S426="Bug",$S426="Fairy",$S426="Flying",$S426="Poison",$S426="Psychic"),1,0))))</f>
        <v>0</v>
      </c>
      <c r="AI426" s="507" t="n">
        <f aca="false">SUM(IF(OR($R426="Bug",$R426="Grass",$R426="Ice",$R426="Steel"),0-1,IF(OR($R426="Dragon",$R426="Fire",$R426="Rock",$R426="Water"),1,0)),IF(OR($S426="Bug",$S426="Grass",$S426="Ice",$S426="Steel"),0-1,IF(OR($S426="Dragon",$S426="Fire",$S426="Rock",$S426="Water"),1,0)))</f>
        <v>-1</v>
      </c>
      <c r="AJ426" s="507" t="n">
        <f aca="false">SUM(IF(OR($R426="Bug",$R426="Grass",$R426="Fighting"),0-1,IF(OR($R426="Electric",$R426="Rock",$R426="Steel"),1,0)),IF(OR($S426="Bug",$S426="Grass",$S426="Fighting"),0-1,IF(OR($S426="Electric",$S426="Rock",$S426="Steel"),1,0)))</f>
        <v>1</v>
      </c>
      <c r="AK426" s="507" t="n">
        <f aca="false">IF(OR($R426="Normal",$S426="Normal"),4,SUM(IF(OR($R426="Ghost",$R426="Psychic"),0-1,IF($R426="Dark",1,0)),IF(OR($S426="Ghost",$S426="Psychic"),0-1,IF($S426="Dark",1,0))))</f>
        <v>0</v>
      </c>
      <c r="AL426" s="507" t="n">
        <f aca="false">SUM(IF(OR($R426="Ground",$R426="Rock",$R426="Water"),0-1,IF(OR($R426="Bug",$R426="Flying",$R426="Fire",$R426="Dragon",$R426="Poison",$R426="Steel",$R426="Grass"),1,0)),IF(OR($S426="Ground",$S426="Rock",$S426="Water"),0-1,IF(OR($S426="Bug",$S426="Flying",$S426="Fire",$S426="Dragon",$S426="Poison",$S426="Steel",$S426="Grass"),1,0)))</f>
        <v>2</v>
      </c>
      <c r="AM426" s="507" t="n">
        <f aca="false">IF(OR($R426="Flying",$S426="Flying"),4,SUM(IF(OR($R426="Electric",$R426="Fire",$R426="Rock",$R426="Steel",$R426="Poison"),0-1,IF(OR($R426="Bug",$R426="Grass"),1,0)),IF(OR($S426="Electric",$S426="Fire",$S426="Rock",$S426="Steel",$S426="Poison"),0-1,IF(OR($S426="Bug",$S426="Grass"),1,0))))</f>
        <v>4</v>
      </c>
      <c r="AN426" s="507" t="n">
        <f aca="false">SUM(IF(OR($R426="Flying",$R426="Dragon",$R426="Grass",$R426="Ground"),0-1,IF(OR($R426="Steel",$R426="Ice",$R426="Fire",$R426="Water"),1,0)),IF(OR($S426="Flying",$S426="Dragon",$S426="Grass",$S426="Ground"),0-1,IF(OR($S426="Steel",$S426="Ice",$S426="Fire",$S426="Water"),1,0)))</f>
        <v>0</v>
      </c>
      <c r="AO426" s="507" t="n">
        <f aca="false">IF(OR($R426="Ghost",$S426="Ghost"),4,SUM(IF(OR($R426="Steel",$R426="Rock"),1,0),IF(OR($S426="Steel",$S426="Rock"),1,0)))</f>
        <v>1</v>
      </c>
      <c r="AP426" s="507" t="n">
        <f aca="false">IF(OR($R426="Steel",$S426="Steel"),4,SUM(IF(OR($R426="Fairy",$R426="Grass"),0-1,IF(OR($R426="Ghost",$R426="Rock",$R426="Ground",$R426="Poison"),1,0)),IF(OR($S426="Fairy",$S426="Grass"),0-1,IF(OR($S426="Ghost",$S426="Rock",$S426="Ground",$S426="Poison"),1,0))))</f>
        <v>4</v>
      </c>
      <c r="AQ426" s="507" t="n">
        <f aca="false">IF(OR($R426="Dark",$S426="Dark"),4,SUM(IF(OR($R426="Fighting",$R426="Poison"),0-1,IF(OR($R426="Psychic",$R426="Steel"),1,0)),IF(OR($S426="Fighting",$S426="Poison"),0-1,IF(OR($S426="Psychic",$S426="Steel"),1,0))))</f>
        <v>1</v>
      </c>
      <c r="AR426" s="507" t="n">
        <f aca="false">SUM(IF(OR($R426="Bug",$R426="Fire",$R426="Flying",$R426="Ice"),0-1,IF(OR($R426="Steel",$R426="Fighting",$R426="Ground"),1,0)),IF(OR($S426="Bug",$S426="Fire",$S426="Flying",$S426="Ice"),0-1,IF(OR($S426="Steel",$S426="Fighting",$S426="Ground"),1,0)))</f>
        <v>0</v>
      </c>
      <c r="AS426" s="507" t="n">
        <f aca="false">SUM(IF(OR($R426="Fairy",$R426="Ice",$R426="Rock"),0-1,IF(OR($R426="Steel",$R426="Electric",$R426="Fire",$R426="Water"),1,0)),IF(OR($S426="Fairy",$S426="Ice",$S426="Rock"),0-1,IF(OR($S426="Steel",$S426="Electric",$S426="Fire",$S426="Water"),1,0)))</f>
        <v>1</v>
      </c>
      <c r="AT426" s="508" t="n">
        <f aca="false">SUM(IF(OR($R426="Fire",$R426="Ground",$R426="Rock"),0-1,IF(OR($R426="Dragon",$R426="Grass",$R426="Water"),1,0)),IF(OR($S426="Fire",$S426="Ground",$S426="Rock"),0-1,IF(OR($S426="Dragon",$S426="Grass",$S426="Water"),1,0)))</f>
        <v>0</v>
      </c>
      <c r="AU426" s="518"/>
    </row>
    <row r="427" customFormat="false" ht="15.75" hidden="false" customHeight="false" outlineLevel="0" collapsed="false">
      <c r="A427" s="515" t="str">
        <f aca="false" t="array" ref="A427:A427">IF(ISNA(INDEX(Source!$U$7:$U$95,MATCH(B427,Source!$V$7:$V$95,0))),"FREE",INDEX(Source!$U$7:$U$95,MATCH(B427,Source!$V$7:$V$95,0)))</f>
        <v>FREE</v>
      </c>
      <c r="B427" s="511" t="s">
        <v>644</v>
      </c>
      <c r="C427" s="511"/>
      <c r="D427" s="511"/>
      <c r="E427" s="499" t="str">
        <f aca="false">IF(SUM($W427:$X427)&gt;0,SUM($W427:$X427),IF($H427&gt;0,0,IF($H427&gt;0,0,"-")))</f>
        <v>-</v>
      </c>
      <c r="F427" s="499" t="str">
        <f aca="false">IF(SUM($Y427:$Z427)&gt;0,SUM($Y427:$Z427),IF($H427&gt;0,0,"-"))</f>
        <v>-</v>
      </c>
      <c r="G427" s="499" t="str">
        <f aca="false">IF($H427&gt;0,minus(E427,F427),"-")</f>
        <v>-</v>
      </c>
      <c r="H427" s="500" t="n">
        <f aca="false">SUM(COUNTIF(MatchSource!$A:$A,$B427),COUNTIF(MatchSource!$H:$H,$B427))</f>
        <v>0</v>
      </c>
      <c r="I427" s="501" t="n">
        <f aca="false">SUM($AA427:$AB427)</f>
        <v>0</v>
      </c>
      <c r="J427" s="501" t="s">
        <v>701</v>
      </c>
      <c r="K427" s="512" t="str">
        <f aca="false" t="array" ref="K427:K427">IF(ISNA(INDEX(DraftRosters!$AA$3:$AA$199,MATCH($B427,DraftRosters!$AB$3:$AB$199,0))),"FA",IF(INDEX(DraftRosters!$AA$3:$AA$199,MATCH($B427,DraftRosters!$AB$3:$AB$199,0))="Franchise","Franch",INDEX(DraftRosters!$AA$3:$AA$199,MATCH($B427,DraftRosters!$AB$3:$AB$199,0))))</f>
        <v>FA</v>
      </c>
      <c r="L427" s="499" t="n">
        <v>103</v>
      </c>
      <c r="M427" s="499" t="n">
        <v>93</v>
      </c>
      <c r="N427" s="499" t="n">
        <v>67</v>
      </c>
      <c r="O427" s="499" t="n">
        <v>71</v>
      </c>
      <c r="P427" s="499" t="n">
        <v>61</v>
      </c>
      <c r="Q427" s="501" t="n">
        <v>84</v>
      </c>
      <c r="R427" s="499" t="s">
        <v>795</v>
      </c>
      <c r="S427" s="501" t="s">
        <v>843</v>
      </c>
      <c r="T427" s="504" t="s">
        <v>955</v>
      </c>
      <c r="U427" s="505" t="s">
        <v>977</v>
      </c>
      <c r="V427" s="506" t="s">
        <v>897</v>
      </c>
      <c r="W427" s="500" t="str">
        <f aca="false">IFERROR(__xludf.dummyfunction("if(isna(SUM(FILTER(MatchSource!$A:$D,MatchSource!$A:$A=$B427))),0,SUM(FILTER(MatchSource!$A:$D,MatchSource!$A:$A=$B427)))"),"0")</f>
        <v>0</v>
      </c>
      <c r="X427" s="499" t="str">
        <f aca="false">IFERROR(__xludf.dummyfunction("if(isna(SUM(FILTER(MatchSource!$H:$K,MatchSource!$H:$H=$B427))),0,SUM(FILTER(MatchSource!$H:$K,MatchSource!$H:$H=$B427)))"),"0")</f>
        <v>0</v>
      </c>
      <c r="Y427" s="499" t="str">
        <f aca="false">IFERROR(__xludf.dummyfunction("if(isna(ABS(MINUS(SUM(FILTER(MatchSource!$A:$E,MatchSource!$A:$A=$B427)),SUM($W427)))),0,ABS(MINUS(SUM(FILTER(MatchSource!$A:$E,MatchSource!$A:$A=$B427)),SUM($W427))))"),"0")</f>
        <v>0</v>
      </c>
      <c r="Z427" s="499" t="str">
        <f aca="false">IFERROR(__xludf.dummyfunction("if(isna(ABS(MINUS(SUM(FILTER(MatchSource!$H:$L,MatchSource!$H:$H=$B427)),SUM($X427)))),0,ABS(MINUS(SUM(FILTER(MatchSource!$H:$L,MatchSource!$H:$H=$B427)),SUM($X427))))"),"0")</f>
        <v>0</v>
      </c>
      <c r="AA427" s="499" t="str">
        <f aca="false">IFERROR(__xludf.dummyfunction("if(isna(ABS(MINUS(SUM(FILTER(MatchSource!$A:$F,MatchSource!$A:$A=$B427)),SUM($W427,$Y427)))),0,ABS(MINUS(SUM(FILTER(MatchSource!$A:$F,MatchSource!$A:$A=$B427)),SUM($W427, $Y427,))))"),"0")</f>
        <v>0</v>
      </c>
      <c r="AB427" s="501" t="str">
        <f aca="false">IFERROR(__xludf.dummyfunction("if(isna(ABS(MINUS(SUM(FILTER(MatchSource!$H:$M,MatchSource!$H:$H=$B427)),SUM($X427,$Z427)))),0,ABS(MINUS(SUM(FILTER(MatchSource!$H:$M,MatchSource!$H:$H=$B427)),SUM($X427,$Z427))))"),"0")</f>
        <v>0</v>
      </c>
      <c r="AC427" s="507" t="n">
        <f aca="false">SUM(IF(OR($R427="Grass",$R427="Psychic",$R427="Dark"),0-1,IF(OR($R427="Fighting",$R427="Flying",$R427="Fire",$R427="Ghost",$R427="Poison",$R427="Steel",$R427="Fairy"),1,0)),IF(OR($S427="Grass",$S427="Psychic",$S427="Dark"),0-1,IF(OR($S427="Fighting",$S427="Flying",$S427="Fire",$S427="Ghost",$S427="Poison",$S427="Steel",$S427="Fairy"),1,0)))</f>
        <v>0</v>
      </c>
      <c r="AD427" s="507" t="n">
        <f aca="false">SUM(IF(OR($R427="Ghost",$R427="Psychic"),0-1,IF(OR($R427="Fighting",$R427="Dark",$R427="Fairy"),1,0)),IF(OR($S427="Ghost",$S427="Psychic"),0-1,IF(OR($S427="Fighting",$S427="Dark",$S427="Fairy"),1,0)))</f>
        <v>1</v>
      </c>
      <c r="AE427" s="507" t="n">
        <f aca="false">IF(OR($R427="Fairy",$S427="Fairy"),4,SUM(IF($R427="Dragon",0-1,IF($R427="Steel",1,0)),IF($S427="Dragon",0-1,IF($S427="Steel",1,0))))</f>
        <v>0</v>
      </c>
      <c r="AF427" s="507" t="n">
        <f aca="false">IF(OR($R427="Ground",$S427="Ground"),4,SUM(IF(OR($R427="Flying",$R427="Water"),0-1,IF(OR($R427="Dragon",$R427="Electric",$R427="Grass"),1,0)),IF(OR($S427="Flying",$S427="Water"),0-1,IF(OR($S427="Dragon",$S427="Electric",$S427="Grass"),1,0))))</f>
        <v>0</v>
      </c>
      <c r="AG427" s="507" t="n">
        <f aca="false">SUM(IF(OR($R427="Dark",$R427="Dragon",$R427="Fighting"),0-1,IF(OR($R427="Steel",$R427="Poison",$R427="Fire"),1,0)),IF(OR($S427="Dark",$S427="Dragon",$S427="Fighting"),0-1,IF(OR($S427="Steel",$S427="Poison",$S427="Fire"),1,0)))</f>
        <v>0</v>
      </c>
      <c r="AH427" s="507" t="n">
        <f aca="false">IF(OR($R427="Ghost",$S427="Ghost"),4,SUM(IF(OR($R427="Dark",$R427="Ice",$R427="Normal",$R427="Rock",$R427="Steel"),0-1,IF(OR($R427="Bug",$R427="Fairy",$R427="Flying",$R427="Poison",$R427="Psychic"),1,0)),IF(OR($S427="Dark",$S427="Ice",$S427="Normal",$S427="Rock",$S427="Steel"),0-1,IF(OR($S427="Bug",$S427="Fairy",$S427="Flying",$S427="Poison",$S427="Psychic"),1,0))))</f>
        <v>0</v>
      </c>
      <c r="AI427" s="507" t="n">
        <f aca="false">SUM(IF(OR($R427="Bug",$R427="Grass",$R427="Ice",$R427="Steel"),0-1,IF(OR($R427="Dragon",$R427="Fire",$R427="Rock",$R427="Water"),1,0)),IF(OR($S427="Bug",$S427="Grass",$S427="Ice",$S427="Steel"),0-1,IF(OR($S427="Dragon",$S427="Fire",$S427="Rock",$S427="Water"),1,0)))</f>
        <v>0</v>
      </c>
      <c r="AJ427" s="507" t="n">
        <f aca="false">SUM(IF(OR($R427="Bug",$R427="Grass",$R427="Fighting"),0-1,IF(OR($R427="Electric",$R427="Rock",$R427="Steel"),1,0)),IF(OR($S427="Bug",$S427="Grass",$S427="Fighting"),0-1,IF(OR($S427="Electric",$S427="Rock",$S427="Steel"),1,0)))</f>
        <v>0</v>
      </c>
      <c r="AK427" s="507" t="n">
        <f aca="false">IF(OR($R427="Normal",$S427="Normal"),4,SUM(IF(OR($R427="Ghost",$R427="Psychic"),0-1,IF($R427="Dark",1,0)),IF(OR($S427="Ghost",$S427="Psychic"),0-1,IF($S427="Dark",1,0))))</f>
        <v>1</v>
      </c>
      <c r="AL427" s="507" t="n">
        <f aca="false">SUM(IF(OR($R427="Ground",$R427="Rock",$R427="Water"),0-1,IF(OR($R427="Bug",$R427="Flying",$R427="Fire",$R427="Dragon",$R427="Poison",$R427="Steel",$R427="Grass"),1,0)),IF(OR($S427="Ground",$S427="Rock",$S427="Water"),0-1,IF(OR($S427="Bug",$S427="Flying",$S427="Fire",$S427="Dragon",$S427="Poison",$S427="Steel",$S427="Grass"),1,0)))</f>
        <v>1</v>
      </c>
      <c r="AM427" s="507" t="n">
        <f aca="false">IF(OR($R427="Flying",$S427="Flying"),4,SUM(IF(OR($R427="Electric",$R427="Fire",$R427="Rock",$R427="Steel",$R427="Poison"),0-1,IF(OR($R427="Bug",$R427="Grass"),1,0)),IF(OR($S427="Electric",$S427="Fire",$S427="Rock",$S427="Steel",$S427="Poison"),0-1,IF(OR($S427="Bug",$S427="Grass"),1,0))))</f>
        <v>-1</v>
      </c>
      <c r="AN427" s="507" t="n">
        <f aca="false">SUM(IF(OR($R427="Flying",$R427="Dragon",$R427="Grass",$R427="Ground"),0-1,IF(OR($R427="Steel",$R427="Ice",$R427="Fire",$R427="Water"),1,0)),IF(OR($S427="Flying",$S427="Dragon",$S427="Grass",$S427="Ground"),0-1,IF(OR($S427="Steel",$S427="Ice",$S427="Fire",$S427="Water"),1,0)))</f>
        <v>0</v>
      </c>
      <c r="AO427" s="507" t="n">
        <f aca="false">IF(OR($R427="Ghost",$S427="Ghost"),4,SUM(IF(OR($R427="Steel",$R427="Rock"),1,0),IF(OR($S427="Steel",$S427="Rock"),1,0)))</f>
        <v>0</v>
      </c>
      <c r="AP427" s="507" t="n">
        <f aca="false">IF(OR($R427="Steel",$S427="Steel"),4,SUM(IF(OR($R427="Fairy",$R427="Grass"),0-1,IF(OR($R427="Ghost",$R427="Rock",$R427="Ground",$R427="Poison"),1,0)),IF(OR($S427="Fairy",$S427="Grass"),0-1,IF(OR($S427="Ghost",$S427="Rock",$S427="Ground",$S427="Poison"),1,0))))</f>
        <v>1</v>
      </c>
      <c r="AQ427" s="507" t="n">
        <f aca="false">IF(OR($R427="Dark",$S427="Dark"),4,SUM(IF(OR($R427="Fighting",$R427="Poison"),0-1,IF(OR($R427="Psychic",$R427="Steel"),1,0)),IF(OR($S427="Fighting",$S427="Poison"),0-1,IF(OR($S427="Psychic",$S427="Steel"),1,0))))</f>
        <v>4</v>
      </c>
      <c r="AR427" s="507" t="n">
        <f aca="false">SUM(IF(OR($R427="Bug",$R427="Fire",$R427="Flying",$R427="Ice"),0-1,IF(OR($R427="Steel",$R427="Fighting",$R427="Ground"),1,0)),IF(OR($S427="Bug",$S427="Fire",$S427="Flying",$S427="Ice"),0-1,IF(OR($S427="Steel",$S427="Fighting",$S427="Ground"),1,0)))</f>
        <v>0</v>
      </c>
      <c r="AS427" s="507" t="n">
        <f aca="false">SUM(IF(OR($R427="Fairy",$R427="Ice",$R427="Rock"),0-1,IF(OR($R427="Steel",$R427="Electric",$R427="Fire",$R427="Water"),1,0)),IF(OR($S427="Fairy",$S427="Ice",$S427="Rock"),0-1,IF(OR($S427="Steel",$S427="Electric",$S427="Fire",$S427="Water"),1,0)))</f>
        <v>0</v>
      </c>
      <c r="AT427" s="508" t="n">
        <f aca="false">SUM(IF(OR($R427="Fire",$R427="Ground",$R427="Rock"),0-1,IF(OR($R427="Dragon",$R427="Grass",$R427="Water"),1,0)),IF(OR($S427="Fire",$S427="Ground",$S427="Rock"),0-1,IF(OR($S427="Dragon",$S427="Grass",$S427="Water"),1,0)))</f>
        <v>0</v>
      </c>
      <c r="AU427" s="518"/>
    </row>
    <row r="428" customFormat="false" ht="15.75" hidden="false" customHeight="false" outlineLevel="0" collapsed="false">
      <c r="A428" s="515" t="str">
        <f aca="false" t="array" ref="A428:A428">IF(ISNA(INDEX(Source!$U$7:$U$95,MATCH(B428,Source!$V$7:$V$95,0))),"FREE",INDEX(Source!$U$7:$U$95,MATCH(B428,Source!$V$7:$V$95,0)))</f>
        <v>FREE</v>
      </c>
      <c r="B428" s="511" t="s">
        <v>592</v>
      </c>
      <c r="C428" s="511"/>
      <c r="D428" s="511"/>
      <c r="E428" s="499" t="str">
        <f aca="false">IF(SUM($W428:$X428)&gt;0,SUM($W428:$X428),IF($H428&gt;0,0,IF($H428&gt;0,0,"-")))</f>
        <v>-</v>
      </c>
      <c r="F428" s="499" t="str">
        <f aca="false">IF(SUM($Y428:$Z428)&gt;0,SUM($Y428:$Z428),IF($H428&gt;0,0,"-"))</f>
        <v>-</v>
      </c>
      <c r="G428" s="499" t="str">
        <f aca="false">IF($H428&gt;0,minus(E428,F428),"-")</f>
        <v>-</v>
      </c>
      <c r="H428" s="500" t="n">
        <f aca="false">SUM(COUNTIF(MatchSource!$A:$A,$B428),COUNTIF(MatchSource!$H:$H,$B428))</f>
        <v>0</v>
      </c>
      <c r="I428" s="501" t="n">
        <f aca="false">SUM($AA428:$AB428)</f>
        <v>0</v>
      </c>
      <c r="J428" s="501" t="s">
        <v>702</v>
      </c>
      <c r="K428" s="512" t="str">
        <f aca="false" t="array" ref="K428:K428">IF(ISNA(INDEX(DraftRosters!$AA$3:$AA$199,MATCH($B428,DraftRosters!$AB$3:$AB$199,0))),"FA",IF(INDEX(DraftRosters!$AA$3:$AA$199,MATCH($B428,DraftRosters!$AB$3:$AB$199,0))="Franchise","Franch",INDEX(DraftRosters!$AA$3:$AA$199,MATCH($B428,DraftRosters!$AB$3:$AB$199,0))))</f>
        <v>FA</v>
      </c>
      <c r="L428" s="499" t="n">
        <v>150</v>
      </c>
      <c r="M428" s="499" t="n">
        <v>160</v>
      </c>
      <c r="N428" s="499" t="n">
        <v>100</v>
      </c>
      <c r="O428" s="499" t="n">
        <v>95</v>
      </c>
      <c r="P428" s="499" t="n">
        <v>65</v>
      </c>
      <c r="Q428" s="501" t="n">
        <v>100</v>
      </c>
      <c r="R428" s="499" t="s">
        <v>839</v>
      </c>
      <c r="S428" s="501"/>
      <c r="T428" s="504" t="s">
        <v>962</v>
      </c>
      <c r="U428" s="505"/>
      <c r="V428" s="506"/>
      <c r="W428" s="500" t="str">
        <f aca="false">IFERROR(__xludf.dummyfunction("if(isna(SUM(FILTER(MatchSource!$A:$D,MatchSource!$A:$A=$B428))),0,SUM(FILTER(MatchSource!$A:$D,MatchSource!$A:$A=$B428)))"),"0")</f>
        <v>0</v>
      </c>
      <c r="X428" s="499" t="str">
        <f aca="false">IFERROR(__xludf.dummyfunction("if(isna(SUM(FILTER(MatchSource!$H:$K,MatchSource!$H:$H=$B428))),0,SUM(FILTER(MatchSource!$H:$K,MatchSource!$H:$H=$B428)))"),"0")</f>
        <v>0</v>
      </c>
      <c r="Y428" s="499" t="str">
        <f aca="false">IFERROR(__xludf.dummyfunction("if(isna(ABS(MINUS(SUM(FILTER(MatchSource!$A:$E,MatchSource!$A:$A=$B428)),SUM($W428)))),0,ABS(MINUS(SUM(FILTER(MatchSource!$A:$E,MatchSource!$A:$A=$B428)),SUM($W428))))"),"0")</f>
        <v>0</v>
      </c>
      <c r="Z428" s="499" t="str">
        <f aca="false">IFERROR(__xludf.dummyfunction("if(isna(ABS(MINUS(SUM(FILTER(MatchSource!$H:$L,MatchSource!$H:$H=$B428)),SUM($X428)))),0,ABS(MINUS(SUM(FILTER(MatchSource!$H:$L,MatchSource!$H:$H=$B428)),SUM($X428))))"),"0")</f>
        <v>0</v>
      </c>
      <c r="AA428" s="499" t="str">
        <f aca="false">IFERROR(__xludf.dummyfunction("if(isna(ABS(MINUS(SUM(FILTER(MatchSource!$A:$F,MatchSource!$A:$A=$B428)),SUM($W428,$Y428)))),0,ABS(MINUS(SUM(FILTER(MatchSource!$A:$F,MatchSource!$A:$A=$B428)),SUM($W428, $Y428,))))"),"0")</f>
        <v>0</v>
      </c>
      <c r="AB428" s="501" t="str">
        <f aca="false">IFERROR(__xludf.dummyfunction("if(isna(ABS(MINUS(SUM(FILTER(MatchSource!$H:$M,MatchSource!$H:$H=$B428)),SUM($X428,$Z428)))),0,ABS(MINUS(SUM(FILTER(MatchSource!$H:$M,MatchSource!$H:$H=$B428)),SUM($X428,$Z428))))"),"0")</f>
        <v>0</v>
      </c>
      <c r="AC428" s="507" t="n">
        <f aca="false">SUM(IF(OR($R428="Grass",$R428="Psychic",$R428="Dark"),0-1,IF(OR($R428="Fighting",$R428="Flying",$R428="Fire",$R428="Ghost",$R428="Poison",$R428="Steel",$R428="Fairy"),1,0)),IF(OR($S428="Grass",$S428="Psychic",$S428="Dark"),0-1,IF(OR($S428="Fighting",$S428="Flying",$S428="Fire",$S428="Ghost",$S428="Poison",$S428="Steel",$S428="Fairy"),1,0)))</f>
        <v>0</v>
      </c>
      <c r="AD428" s="507" t="n">
        <f aca="false">SUM(IF(OR($R428="Ghost",$R428="Psychic"),0-1,IF(OR($R428="Fighting",$R428="Dark",$R428="Fairy"),1,0)),IF(OR($S428="Ghost",$S428="Psychic"),0-1,IF(OR($S428="Fighting",$S428="Dark",$S428="Fairy"),1,0)))</f>
        <v>0</v>
      </c>
      <c r="AE428" s="507" t="n">
        <f aca="false">IF(OR($R428="Fairy",$S428="Fairy"),4,SUM(IF($R428="Dragon",0-1,IF($R428="Steel",1,0)),IF($S428="Dragon",0-1,IF($S428="Steel",1,0))))</f>
        <v>0</v>
      </c>
      <c r="AF428" s="507" t="n">
        <f aca="false">IF(OR($R428="Ground",$S428="Ground"),4,SUM(IF(OR($R428="Flying",$R428="Water"),0-1,IF(OR($R428="Dragon",$R428="Electric",$R428="Grass"),1,0)),IF(OR($S428="Flying",$S428="Water"),0-1,IF(OR($S428="Dragon",$S428="Electric",$S428="Grass"),1,0))))</f>
        <v>0</v>
      </c>
      <c r="AG428" s="507" t="n">
        <f aca="false">SUM(IF(OR($R428="Dark",$R428="Dragon",$R428="Fighting"),0-1,IF(OR($R428="Steel",$R428="Poison",$R428="Fire"),1,0)),IF(OR($S428="Dark",$S428="Dragon",$S428="Fighting"),0-1,IF(OR($S428="Steel",$S428="Poison",$S428="Fire"),1,0)))</f>
        <v>0</v>
      </c>
      <c r="AH428" s="507" t="n">
        <f aca="false">IF(OR($R428="Ghost",$S428="Ghost"),4,SUM(IF(OR($R428="Dark",$R428="Ice",$R428="Normal",$R428="Rock",$R428="Steel"),0-1,IF(OR($R428="Bug",$R428="Fairy",$R428="Flying",$R428="Poison",$R428="Psychic"),1,0)),IF(OR($S428="Dark",$S428="Ice",$S428="Normal",$S428="Rock",$S428="Steel"),0-1,IF(OR($S428="Bug",$S428="Fairy",$S428="Flying",$S428="Poison",$S428="Psychic"),1,0))))</f>
        <v>-1</v>
      </c>
      <c r="AI428" s="507" t="n">
        <f aca="false">SUM(IF(OR($R428="Bug",$R428="Grass",$R428="Ice",$R428="Steel"),0-1,IF(OR($R428="Dragon",$R428="Fire",$R428="Rock",$R428="Water"),1,0)),IF(OR($S428="Bug",$S428="Grass",$S428="Ice",$S428="Steel"),0-1,IF(OR($S428="Dragon",$S428="Fire",$S428="Rock",$S428="Water"),1,0)))</f>
        <v>0</v>
      </c>
      <c r="AJ428" s="507" t="n">
        <f aca="false">SUM(IF(OR($R428="Bug",$R428="Grass",$R428="Fighting"),0-1,IF(OR($R428="Electric",$R428="Rock",$R428="Steel"),1,0)),IF(OR($S428="Bug",$S428="Grass",$S428="Fighting"),0-1,IF(OR($S428="Electric",$S428="Rock",$S428="Steel"),1,0)))</f>
        <v>0</v>
      </c>
      <c r="AK428" s="507" t="n">
        <f aca="false">IF(OR($R428="Normal",$S428="Normal"),4,SUM(IF(OR($R428="Ghost",$R428="Psychic"),0-1,IF($R428="Dark",1,0)),IF(OR($S428="Ghost",$S428="Psychic"),0-1,IF($S428="Dark",1,0))))</f>
        <v>4</v>
      </c>
      <c r="AL428" s="507" t="n">
        <f aca="false">SUM(IF(OR($R428="Ground",$R428="Rock",$R428="Water"),0-1,IF(OR($R428="Bug",$R428="Flying",$R428="Fire",$R428="Dragon",$R428="Poison",$R428="Steel",$R428="Grass"),1,0)),IF(OR($S428="Ground",$S428="Rock",$S428="Water"),0-1,IF(OR($S428="Bug",$S428="Flying",$S428="Fire",$S428="Dragon",$S428="Poison",$S428="Steel",$S428="Grass"),1,0)))</f>
        <v>0</v>
      </c>
      <c r="AM428" s="507" t="n">
        <f aca="false">IF(OR($R428="Flying",$S428="Flying"),4,SUM(IF(OR($R428="Electric",$R428="Fire",$R428="Rock",$R428="Steel",$R428="Poison"),0-1,IF(OR($R428="Bug",$R428="Grass"),1,0)),IF(OR($S428="Electric",$S428="Fire",$S428="Rock",$S428="Steel",$S428="Poison"),0-1,IF(OR($S428="Bug",$S428="Grass"),1,0))))</f>
        <v>0</v>
      </c>
      <c r="AN428" s="507" t="n">
        <f aca="false">SUM(IF(OR($R428="Flying",$R428="Dragon",$R428="Grass",$R428="Ground"),0-1,IF(OR($R428="Steel",$R428="Ice",$R428="Fire",$R428="Water"),1,0)),IF(OR($S428="Flying",$S428="Dragon",$S428="Grass",$S428="Ground"),0-1,IF(OR($S428="Steel",$S428="Ice",$S428="Fire",$S428="Water"),1,0)))</f>
        <v>0</v>
      </c>
      <c r="AO428" s="507" t="n">
        <f aca="false">IF(OR($R428="Ghost",$S428="Ghost"),4,SUM(IF(OR($R428="Steel",$R428="Rock"),1,0),IF(OR($S428="Steel",$S428="Rock"),1,0)))</f>
        <v>0</v>
      </c>
      <c r="AP428" s="507" t="n">
        <f aca="false">IF(OR($R428="Steel",$S428="Steel"),4,SUM(IF(OR($R428="Fairy",$R428="Grass"),0-1,IF(OR($R428="Ghost",$R428="Rock",$R428="Ground",$R428="Poison"),1,0)),IF(OR($S428="Fairy",$S428="Grass"),0-1,IF(OR($S428="Ghost",$S428="Rock",$S428="Ground",$S428="Poison"),1,0))))</f>
        <v>0</v>
      </c>
      <c r="AQ428" s="507" t="n">
        <f aca="false">IF(OR($R428="Dark",$S428="Dark"),4,SUM(IF(OR($R428="Fighting",$R428="Poison"),0-1,IF(OR($R428="Psychic",$R428="Steel"),1,0)),IF(OR($S428="Fighting",$S428="Poison"),0-1,IF(OR($S428="Psychic",$S428="Steel"),1,0))))</f>
        <v>0</v>
      </c>
      <c r="AR428" s="507" t="n">
        <f aca="false">SUM(IF(OR($R428="Bug",$R428="Fire",$R428="Flying",$R428="Ice"),0-1,IF(OR($R428="Steel",$R428="Fighting",$R428="Ground"),1,0)),IF(OR($S428="Bug",$S428="Fire",$S428="Flying",$S428="Ice"),0-1,IF(OR($S428="Steel",$S428="Fighting",$S428="Ground"),1,0)))</f>
        <v>0</v>
      </c>
      <c r="AS428" s="507" t="n">
        <f aca="false">SUM(IF(OR($R428="Fairy",$R428="Ice",$R428="Rock"),0-1,IF(OR($R428="Steel",$R428="Electric",$R428="Fire",$R428="Water"),1,0)),IF(OR($S428="Fairy",$S428="Ice",$S428="Rock"),0-1,IF(OR($S428="Steel",$S428="Electric",$S428="Fire",$S428="Water"),1,0)))</f>
        <v>0</v>
      </c>
      <c r="AT428" s="508" t="n">
        <f aca="false">SUM(IF(OR($R428="Fire",$R428="Ground",$R428="Rock"),0-1,IF(OR($R428="Dragon",$R428="Grass",$R428="Water"),1,0)),IF(OR($S428="Fire",$S428="Ground",$S428="Rock"),0-1,IF(OR($S428="Dragon",$S428="Grass",$S428="Water"),1,0)))</f>
        <v>0</v>
      </c>
      <c r="AU428" s="518"/>
    </row>
    <row r="429" customFormat="false" ht="15.75" hidden="false" customHeight="false" outlineLevel="0" collapsed="false">
      <c r="A429" s="510" t="str">
        <f aca="false" t="array" ref="A429:A429">IF(ISNA(INDEX(Source!$U$7:$U$95,MATCH(B429,Source!$V$7:$V$95,0))),"FREE",INDEX(Source!$U$7:$U$95,MATCH(B429,Source!$V$7:$V$95,0)))</f>
        <v>FREE</v>
      </c>
      <c r="B429" s="511" t="s">
        <v>493</v>
      </c>
      <c r="C429" s="511"/>
      <c r="D429" s="511"/>
      <c r="E429" s="499" t="str">
        <f aca="false">IF(SUM($W429:$X429)&gt;0,SUM($W429:$X429),IF($H429&gt;0,0,IF($H429&gt;0,0,"-")))</f>
        <v>-</v>
      </c>
      <c r="F429" s="499" t="str">
        <f aca="false">IF(SUM($Y429:$Z429)&gt;0,SUM($Y429:$Z429),IF($H429&gt;0,0,"-"))</f>
        <v>-</v>
      </c>
      <c r="G429" s="499" t="str">
        <f aca="false">IF($H429&gt;0,minus(E429,F429),"-")</f>
        <v>-</v>
      </c>
      <c r="H429" s="500" t="n">
        <f aca="false">SUM(COUNTIF(MatchSource!$A:$A,$B429),COUNTIF(MatchSource!$H:$H,$B429))</f>
        <v>0</v>
      </c>
      <c r="I429" s="501" t="n">
        <f aca="false">SUM($AA429:$AB429)</f>
        <v>0</v>
      </c>
      <c r="J429" s="501" t="s">
        <v>699</v>
      </c>
      <c r="K429" s="512" t="str">
        <f aca="false" t="array" ref="K429:K429">IF(ISNA(INDEX(DraftRosters!$AA$3:$AA$199,MATCH($B429,DraftRosters!$AB$3:$AB$199,0))),"FA",IF(INDEX(DraftRosters!$AA$3:$AA$199,MATCH($B429,DraftRosters!$AB$3:$AB$199,0))="Franchise","Franch",INDEX(DraftRosters!$AA$3:$AA$199,MATCH($B429,DraftRosters!$AB$3:$AB$199,0))))</f>
        <v>FA</v>
      </c>
      <c r="L429" s="499" t="n">
        <v>95</v>
      </c>
      <c r="M429" s="499" t="n">
        <v>75</v>
      </c>
      <c r="N429" s="499" t="n">
        <v>110</v>
      </c>
      <c r="O429" s="499" t="n">
        <v>100</v>
      </c>
      <c r="P429" s="499" t="n">
        <v>80</v>
      </c>
      <c r="Q429" s="501" t="n">
        <v>30</v>
      </c>
      <c r="R429" s="499" t="s">
        <v>828</v>
      </c>
      <c r="S429" s="501" t="s">
        <v>811</v>
      </c>
      <c r="T429" s="504" t="s">
        <v>1002</v>
      </c>
      <c r="U429" s="505" t="s">
        <v>834</v>
      </c>
      <c r="V429" s="506" t="s">
        <v>865</v>
      </c>
      <c r="W429" s="500" t="str">
        <f aca="false">IFERROR(__xludf.dummyfunction("if(isna(SUM(FILTER(MatchSource!$A:$D,MatchSource!$A:$A=$B429))),0,SUM(FILTER(MatchSource!$A:$D,MatchSource!$A:$A=$B429)))"),"0")</f>
        <v>0</v>
      </c>
      <c r="X429" s="499" t="str">
        <f aca="false">IFERROR(__xludf.dummyfunction("if(isna(SUM(FILTER(MatchSource!$H:$K,MatchSource!$H:$H=$B429))),0,SUM(FILTER(MatchSource!$H:$K,MatchSource!$H:$H=$B429)))"),"0")</f>
        <v>0</v>
      </c>
      <c r="Y429" s="499" t="str">
        <f aca="false">IFERROR(__xludf.dummyfunction("if(isna(ABS(MINUS(SUM(FILTER(MatchSource!$A:$E,MatchSource!$A:$A=$B429)),SUM($W429)))),0,ABS(MINUS(SUM(FILTER(MatchSource!$A:$E,MatchSource!$A:$A=$B429)),SUM($W429))))"),"0")</f>
        <v>0</v>
      </c>
      <c r="Z429" s="499" t="str">
        <f aca="false">IFERROR(__xludf.dummyfunction("if(isna(ABS(MINUS(SUM(FILTER(MatchSource!$H:$L,MatchSource!$H:$H=$B429)),SUM($X429)))),0,ABS(MINUS(SUM(FILTER(MatchSource!$H:$L,MatchSource!$H:$H=$B429)),SUM($X429))))"),"0")</f>
        <v>0</v>
      </c>
      <c r="AA429" s="499" t="str">
        <f aca="false">IFERROR(__xludf.dummyfunction("if(isna(ABS(MINUS(SUM(FILTER(MatchSource!$A:$F,MatchSource!$A:$A=$B429)),SUM($W429,$Y429)))),0,ABS(MINUS(SUM(FILTER(MatchSource!$A:$F,MatchSource!$A:$A=$B429)),SUM($W429, $Y429,))))"),"0")</f>
        <v>0</v>
      </c>
      <c r="AB429" s="501" t="str">
        <f aca="false">IFERROR(__xludf.dummyfunction("if(isna(ABS(MINUS(SUM(FILTER(MatchSource!$H:$M,MatchSource!$H:$H=$B429)),SUM($X429,$Z429)))),0,ABS(MINUS(SUM(FILTER(MatchSource!$H:$M,MatchSource!$H:$H=$B429)),SUM($X429,$Z429))))"),"0")</f>
        <v>0</v>
      </c>
      <c r="AC429" s="507" t="n">
        <f aca="false">SUM(IF(OR($R429="Grass",$R429="Psychic",$R429="Dark"),0-1,IF(OR($R429="Fighting",$R429="Flying",$R429="Fire",$R429="Ghost",$R429="Poison",$R429="Steel",$R429="Fairy"),1,0)),IF(OR($S429="Grass",$S429="Psychic",$S429="Dark"),0-1,IF(OR($S429="Fighting",$S429="Flying",$S429="Fire",$S429="Ghost",$S429="Poison",$S429="Steel",$S429="Fairy"),1,0)))</f>
        <v>-1</v>
      </c>
      <c r="AD429" s="507" t="n">
        <f aca="false">SUM(IF(OR($R429="Ghost",$R429="Psychic"),0-1,IF(OR($R429="Fighting",$R429="Dark",$R429="Fairy"),1,0)),IF(OR($S429="Ghost",$S429="Psychic"),0-1,IF(OR($S429="Fighting",$S429="Dark",$S429="Fairy"),1,0)))</f>
        <v>-1</v>
      </c>
      <c r="AE429" s="507" t="n">
        <f aca="false">IF(OR($R429="Fairy",$S429="Fairy"),4,SUM(IF($R429="Dragon",0-1,IF($R429="Steel",1,0)),IF($S429="Dragon",0-1,IF($S429="Steel",1,0))))</f>
        <v>0</v>
      </c>
      <c r="AF429" s="507" t="n">
        <f aca="false">IF(OR($R429="Ground",$S429="Ground"),4,SUM(IF(OR($R429="Flying",$R429="Water"),0-1,IF(OR($R429="Dragon",$R429="Electric",$R429="Grass"),1,0)),IF(OR($S429="Flying",$S429="Water"),0-1,IF(OR($S429="Dragon",$S429="Electric",$S429="Grass"),1,0))))</f>
        <v>-1</v>
      </c>
      <c r="AG429" s="507" t="n">
        <f aca="false">SUM(IF(OR($R429="Dark",$R429="Dragon",$R429="Fighting"),0-1,IF(OR($R429="Steel",$R429="Poison",$R429="Fire"),1,0)),IF(OR($S429="Dark",$S429="Dragon",$S429="Fighting"),0-1,IF(OR($S429="Steel",$S429="Poison",$S429="Fire"),1,0)))</f>
        <v>0</v>
      </c>
      <c r="AH429" s="507" t="n">
        <f aca="false">IF(OR($R429="Ghost",$S429="Ghost"),4,SUM(IF(OR($R429="Dark",$R429="Ice",$R429="Normal",$R429="Rock",$R429="Steel"),0-1,IF(OR($R429="Bug",$R429="Fairy",$R429="Flying",$R429="Poison",$R429="Psychic"),1,0)),IF(OR($S429="Dark",$S429="Ice",$S429="Normal",$S429="Rock",$S429="Steel"),0-1,IF(OR($S429="Bug",$S429="Fairy",$S429="Flying",$S429="Poison",$S429="Psychic"),1,0))))</f>
        <v>1</v>
      </c>
      <c r="AI429" s="507" t="n">
        <f aca="false">SUM(IF(OR($R429="Bug",$R429="Grass",$R429="Ice",$R429="Steel"),0-1,IF(OR($R429="Dragon",$R429="Fire",$R429="Rock",$R429="Water"),1,0)),IF(OR($S429="Bug",$S429="Grass",$S429="Ice",$S429="Steel"),0-1,IF(OR($S429="Dragon",$S429="Fire",$S429="Rock",$S429="Water"),1,0)))</f>
        <v>1</v>
      </c>
      <c r="AJ429" s="507" t="n">
        <f aca="false">SUM(IF(OR($R429="Bug",$R429="Grass",$R429="Fighting"),0-1,IF(OR($R429="Electric",$R429="Rock",$R429="Steel"),1,0)),IF(OR($S429="Bug",$S429="Grass",$S429="Fighting"),0-1,IF(OR($S429="Electric",$S429="Rock",$S429="Steel"),1,0)))</f>
        <v>0</v>
      </c>
      <c r="AK429" s="507" t="n">
        <f aca="false">IF(OR($R429="Normal",$S429="Normal"),4,SUM(IF(OR($R429="Ghost",$R429="Psychic"),0-1,IF($R429="Dark",1,0)),IF(OR($S429="Ghost",$S429="Psychic"),0-1,IF($S429="Dark",1,0))))</f>
        <v>-1</v>
      </c>
      <c r="AL429" s="507" t="n">
        <f aca="false">SUM(IF(OR($R429="Ground",$R429="Rock",$R429="Water"),0-1,IF(OR($R429="Bug",$R429="Flying",$R429="Fire",$R429="Dragon",$R429="Poison",$R429="Steel",$R429="Grass"),1,0)),IF(OR($S429="Ground",$S429="Rock",$S429="Water"),0-1,IF(OR($S429="Bug",$S429="Flying",$S429="Fire",$S429="Dragon",$S429="Poison",$S429="Steel",$S429="Grass"),1,0)))</f>
        <v>-1</v>
      </c>
      <c r="AM429" s="507" t="n">
        <f aca="false">IF(OR($R429="Flying",$S429="Flying"),4,SUM(IF(OR($R429="Electric",$R429="Fire",$R429="Rock",$R429="Steel",$R429="Poison"),0-1,IF(OR($R429="Bug",$R429="Grass"),1,0)),IF(OR($S429="Electric",$S429="Fire",$S429="Rock",$S429="Steel",$S429="Poison"),0-1,IF(OR($S429="Bug",$S429="Grass"),1,0))))</f>
        <v>0</v>
      </c>
      <c r="AN429" s="507" t="n">
        <f aca="false">SUM(IF(OR($R429="Flying",$R429="Dragon",$R429="Grass",$R429="Ground"),0-1,IF(OR($R429="Steel",$R429="Ice",$R429="Fire",$R429="Water"),1,0)),IF(OR($S429="Flying",$S429="Dragon",$S429="Grass",$S429="Ground"),0-1,IF(OR($S429="Steel",$S429="Ice",$S429="Fire",$S429="Water"),1,0)))</f>
        <v>1</v>
      </c>
      <c r="AO429" s="507" t="n">
        <f aca="false">IF(OR($R429="Ghost",$S429="Ghost"),4,SUM(IF(OR($R429="Steel",$R429="Rock"),1,0),IF(OR($S429="Steel",$S429="Rock"),1,0)))</f>
        <v>0</v>
      </c>
      <c r="AP429" s="507" t="n">
        <f aca="false">IF(OR($R429="Steel",$S429="Steel"),4,SUM(IF(OR($R429="Fairy",$R429="Grass"),0-1,IF(OR($R429="Ghost",$R429="Rock",$R429="Ground",$R429="Poison"),1,0)),IF(OR($S429="Fairy",$S429="Grass"),0-1,IF(OR($S429="Ghost",$S429="Rock",$S429="Ground",$S429="Poison"),1,0))))</f>
        <v>0</v>
      </c>
      <c r="AQ429" s="507" t="n">
        <f aca="false">IF(OR($R429="Dark",$S429="Dark"),4,SUM(IF(OR($R429="Fighting",$R429="Poison"),0-1,IF(OR($R429="Psychic",$R429="Steel"),1,0)),IF(OR($S429="Fighting",$S429="Poison"),0-1,IF(OR($S429="Psychic",$S429="Steel"),1,0))))</f>
        <v>1</v>
      </c>
      <c r="AR429" s="507" t="n">
        <f aca="false">SUM(IF(OR($R429="Bug",$R429="Fire",$R429="Flying",$R429="Ice"),0-1,IF(OR($R429="Steel",$R429="Fighting",$R429="Ground"),1,0)),IF(OR($S429="Bug",$S429="Fire",$S429="Flying",$S429="Ice"),0-1,IF(OR($S429="Steel",$S429="Fighting",$S429="Ground"),1,0)))</f>
        <v>0</v>
      </c>
      <c r="AS429" s="507" t="n">
        <f aca="false">SUM(IF(OR($R429="Fairy",$R429="Ice",$R429="Rock"),0-1,IF(OR($R429="Steel",$R429="Electric",$R429="Fire",$R429="Water"),1,0)),IF(OR($S429="Fairy",$S429="Ice",$S429="Rock"),0-1,IF(OR($S429="Steel",$S429="Electric",$S429="Fire",$S429="Water"),1,0)))</f>
        <v>1</v>
      </c>
      <c r="AT429" s="508" t="n">
        <f aca="false">SUM(IF(OR($R429="Fire",$R429="Ground",$R429="Rock"),0-1,IF(OR($R429="Dragon",$R429="Grass",$R429="Water"),1,0)),IF(OR($S429="Fire",$S429="Ground",$S429="Rock"),0-1,IF(OR($S429="Dragon",$S429="Grass",$S429="Water"),1,0)))</f>
        <v>1</v>
      </c>
      <c r="AU429" s="518"/>
    </row>
    <row r="430" customFormat="false" ht="15.75" hidden="false" customHeight="false" outlineLevel="0" collapsed="false">
      <c r="A430" s="510" t="str">
        <f aca="false" t="array" ref="A430:A430">IF(ISNA(INDEX(Source!$U$7:$U$95,MATCH(B430,Source!$V$7:$V$95,0))),"FREE",INDEX(Source!$U$7:$U$95,MATCH(B430,Source!$V$7:$V$95,0)))</f>
        <v>FREE</v>
      </c>
      <c r="B430" s="511" t="s">
        <v>730</v>
      </c>
      <c r="C430" s="511"/>
      <c r="D430" s="511"/>
      <c r="E430" s="499" t="str">
        <f aca="false">IF(SUM($W430:$X430)&gt;0,SUM($W430:$X430),IF($H430&gt;0,0,IF($H430&gt;0,0,"-")))</f>
        <v>-</v>
      </c>
      <c r="F430" s="499" t="str">
        <f aca="false">IF(SUM($Y430:$Z430)&gt;0,SUM($Y430:$Z430),IF($H430&gt;0,0,"-"))</f>
        <v>-</v>
      </c>
      <c r="G430" s="499" t="str">
        <f aca="false">IF($H430&gt;0,minus(E430,F430),"-")</f>
        <v>-</v>
      </c>
      <c r="H430" s="500" t="n">
        <f aca="false">SUM(COUNTIF(MatchSource!$A:$A,$B430),COUNTIF(MatchSource!$H:$H,$B430))</f>
        <v>0</v>
      </c>
      <c r="I430" s="501" t="n">
        <f aca="false">SUM($AA430:$AB430)</f>
        <v>0</v>
      </c>
      <c r="J430" s="501" t="s">
        <v>279</v>
      </c>
      <c r="K430" s="512" t="str">
        <f aca="false" t="array" ref="K430:K430">IF(ISNA(INDEX(DraftRosters!$AA$3:$AA$199,MATCH($B430,DraftRosters!$AB$3:$AB$199,0))),"FA",IF(INDEX(DraftRosters!$AA$3:$AA$199,MATCH($B430,DraftRosters!$AB$3:$AB$199,0))="Franchise","Franch",INDEX(DraftRosters!$AA$3:$AA$199,MATCH($B430,DraftRosters!$AB$3:$AB$199,0))))</f>
        <v>FA</v>
      </c>
      <c r="L430" s="499" t="n">
        <v>95</v>
      </c>
      <c r="M430" s="499" t="n">
        <v>75</v>
      </c>
      <c r="N430" s="499" t="n">
        <v>180</v>
      </c>
      <c r="O430" s="499" t="n">
        <v>130</v>
      </c>
      <c r="P430" s="499" t="n">
        <v>80</v>
      </c>
      <c r="Q430" s="501" t="n">
        <v>30</v>
      </c>
      <c r="R430" s="499" t="s">
        <v>828</v>
      </c>
      <c r="S430" s="501" t="s">
        <v>811</v>
      </c>
      <c r="T430" s="504" t="s">
        <v>925</v>
      </c>
      <c r="U430" s="505"/>
      <c r="V430" s="506"/>
      <c r="W430" s="500" t="str">
        <f aca="false">IFERROR(__xludf.dummyfunction("if(isna(SUM(FILTER(MatchSource!$A:$D,MatchSource!$A:$A=$B430))),0,SUM(FILTER(MatchSource!$A:$D,MatchSource!$A:$A=$B430)))"),"0")</f>
        <v>0</v>
      </c>
      <c r="X430" s="499" t="str">
        <f aca="false">IFERROR(__xludf.dummyfunction("if(isna(SUM(FILTER(MatchSource!$H:$K,MatchSource!$H:$H=$B430))),0,SUM(FILTER(MatchSource!$H:$K,MatchSource!$H:$H=$B430)))"),"0")</f>
        <v>0</v>
      </c>
      <c r="Y430" s="499" t="str">
        <f aca="false">IFERROR(__xludf.dummyfunction("if(isna(ABS(MINUS(SUM(FILTER(MatchSource!$A:$E,MatchSource!$A:$A=$B430)),SUM($W430)))),0,ABS(MINUS(SUM(FILTER(MatchSource!$A:$E,MatchSource!$A:$A=$B430)),SUM($W430))))"),"0")</f>
        <v>0</v>
      </c>
      <c r="Z430" s="499" t="str">
        <f aca="false">IFERROR(__xludf.dummyfunction("if(isna(ABS(MINUS(SUM(FILTER(MatchSource!$H:$L,MatchSource!$H:$H=$B430)),SUM($X430)))),0,ABS(MINUS(SUM(FILTER(MatchSource!$H:$L,MatchSource!$H:$H=$B430)),SUM($X430))))"),"0")</f>
        <v>0</v>
      </c>
      <c r="AA430" s="499" t="str">
        <f aca="false">IFERROR(__xludf.dummyfunction("if(isna(ABS(MINUS(SUM(FILTER(MatchSource!$A:$F,MatchSource!$A:$A=$B430)),SUM($W430,$Y430)))),0,ABS(MINUS(SUM(FILTER(MatchSource!$A:$F,MatchSource!$A:$A=$B430)),SUM($W430, $Y430,))))"),"0")</f>
        <v>0</v>
      </c>
      <c r="AB430" s="501" t="str">
        <f aca="false">IFERROR(__xludf.dummyfunction("if(isna(ABS(MINUS(SUM(FILTER(MatchSource!$H:$M,MatchSource!$H:$H=$B430)),SUM($X430,$Z430)))),0,ABS(MINUS(SUM(FILTER(MatchSource!$H:$M,MatchSource!$H:$H=$B430)),SUM($X430,$Z430))))"),"0")</f>
        <v>0</v>
      </c>
      <c r="AC430" s="507" t="n">
        <f aca="false">SUM(IF(OR($R430="Grass",$R430="Psychic",$R430="Dark"),0-1,IF(OR($R430="Fighting",$R430="Flying",$R430="Fire",$R430="Ghost",$R430="Poison",$R430="Steel",$R430="Fairy"),1,0)),IF(OR($S430="Grass",$S430="Psychic",$S430="Dark"),0-1,IF(OR($S430="Fighting",$S430="Flying",$S430="Fire",$S430="Ghost",$S430="Poison",$S430="Steel",$S430="Fairy"),1,0)))</f>
        <v>-1</v>
      </c>
      <c r="AD430" s="507" t="n">
        <f aca="false">SUM(IF(OR($R430="Ghost",$R430="Psychic"),0-1,IF(OR($R430="Fighting",$R430="Dark",$R430="Fairy"),1,0)),IF(OR($S430="Ghost",$S430="Psychic"),0-1,IF(OR($S430="Fighting",$S430="Dark",$S430="Fairy"),1,0)))</f>
        <v>-1</v>
      </c>
      <c r="AE430" s="507" t="n">
        <f aca="false">IF(OR($R430="Fairy",$S430="Fairy"),4,SUM(IF($R430="Dragon",0-1,IF($R430="Steel",1,0)),IF($S430="Dragon",0-1,IF($S430="Steel",1,0))))</f>
        <v>0</v>
      </c>
      <c r="AF430" s="507" t="n">
        <f aca="false">IF(OR($R430="Ground",$S430="Ground"),4,SUM(IF(OR($R430="Flying",$R430="Water"),0-1,IF(OR($R430="Dragon",$R430="Electric",$R430="Grass"),1,0)),IF(OR($S430="Flying",$S430="Water"),0-1,IF(OR($S430="Dragon",$S430="Electric",$S430="Grass"),1,0))))</f>
        <v>-1</v>
      </c>
      <c r="AG430" s="507" t="n">
        <f aca="false">SUM(IF(OR($R430="Dark",$R430="Dragon",$R430="Fighting"),0-1,IF(OR($R430="Steel",$R430="Poison",$R430="Fire"),1,0)),IF(OR($S430="Dark",$S430="Dragon",$S430="Fighting"),0-1,IF(OR($S430="Steel",$S430="Poison",$S430="Fire"),1,0)))</f>
        <v>0</v>
      </c>
      <c r="AH430" s="507" t="n">
        <f aca="false">IF(OR($R430="Ghost",$S430="Ghost"),4,SUM(IF(OR($R430="Dark",$R430="Ice",$R430="Normal",$R430="Rock",$R430="Steel"),0-1,IF(OR($R430="Bug",$R430="Fairy",$R430="Flying",$R430="Poison",$R430="Psychic"),1,0)),IF(OR($S430="Dark",$S430="Ice",$S430="Normal",$S430="Rock",$S430="Steel"),0-1,IF(OR($S430="Bug",$S430="Fairy",$S430="Flying",$S430="Poison",$S430="Psychic"),1,0))))</f>
        <v>1</v>
      </c>
      <c r="AI430" s="507" t="n">
        <f aca="false">SUM(IF(OR($R430="Bug",$R430="Grass",$R430="Ice",$R430="Steel"),0-1,IF(OR($R430="Dragon",$R430="Fire",$R430="Rock",$R430="Water"),1,0)),IF(OR($S430="Bug",$S430="Grass",$S430="Ice",$S430="Steel"),0-1,IF(OR($S430="Dragon",$S430="Fire",$S430="Rock",$S430="Water"),1,0)))</f>
        <v>1</v>
      </c>
      <c r="AJ430" s="507" t="n">
        <f aca="false">SUM(IF(OR($R430="Bug",$R430="Grass",$R430="Fighting"),0-1,IF(OR($R430="Electric",$R430="Rock",$R430="Steel"),1,0)),IF(OR($S430="Bug",$S430="Grass",$S430="Fighting"),0-1,IF(OR($S430="Electric",$S430="Rock",$S430="Steel"),1,0)))</f>
        <v>0</v>
      </c>
      <c r="AK430" s="507" t="n">
        <f aca="false">IF(OR($R430="Normal",$S430="Normal"),4,SUM(IF(OR($R430="Ghost",$R430="Psychic"),0-1,IF($R430="Dark",1,0)),IF(OR($S430="Ghost",$S430="Psychic"),0-1,IF($S430="Dark",1,0))))</f>
        <v>-1</v>
      </c>
      <c r="AL430" s="507" t="n">
        <f aca="false">SUM(IF(OR($R430="Ground",$R430="Rock",$R430="Water"),0-1,IF(OR($R430="Bug",$R430="Flying",$R430="Fire",$R430="Dragon",$R430="Poison",$R430="Steel",$R430="Grass"),1,0)),IF(OR($S430="Ground",$S430="Rock",$S430="Water"),0-1,IF(OR($S430="Bug",$S430="Flying",$S430="Fire",$S430="Dragon",$S430="Poison",$S430="Steel",$S430="Grass"),1,0)))</f>
        <v>-1</v>
      </c>
      <c r="AM430" s="507" t="n">
        <f aca="false">IF(OR($R430="Flying",$S430="Flying"),4,SUM(IF(OR($R430="Electric",$R430="Fire",$R430="Rock",$R430="Steel",$R430="Poison"),0-1,IF(OR($R430="Bug",$R430="Grass"),1,0)),IF(OR($S430="Electric",$S430="Fire",$S430="Rock",$S430="Steel",$S430="Poison"),0-1,IF(OR($S430="Bug",$S430="Grass"),1,0))))</f>
        <v>0</v>
      </c>
      <c r="AN430" s="507" t="n">
        <f aca="false">SUM(IF(OR($R430="Flying",$R430="Dragon",$R430="Grass",$R430="Ground"),0-1,IF(OR($R430="Steel",$R430="Ice",$R430="Fire",$R430="Water"),1,0)),IF(OR($S430="Flying",$S430="Dragon",$S430="Grass",$S430="Ground"),0-1,IF(OR($S430="Steel",$S430="Ice",$S430="Fire",$S430="Water"),1,0)))</f>
        <v>1</v>
      </c>
      <c r="AO430" s="507" t="n">
        <f aca="false">IF(OR($R430="Ghost",$S430="Ghost"),4,SUM(IF(OR($R430="Steel",$R430="Rock"),1,0),IF(OR($S430="Steel",$S430="Rock"),1,0)))</f>
        <v>0</v>
      </c>
      <c r="AP430" s="507" t="n">
        <f aca="false">IF(OR($R430="Steel",$S430="Steel"),4,SUM(IF(OR($R430="Fairy",$R430="Grass"),0-1,IF(OR($R430="Ghost",$R430="Rock",$R430="Ground",$R430="Poison"),1,0)),IF(OR($S430="Fairy",$S430="Grass"),0-1,IF(OR($S430="Ghost",$S430="Rock",$S430="Ground",$S430="Poison"),1,0))))</f>
        <v>0</v>
      </c>
      <c r="AQ430" s="507" t="n">
        <f aca="false">IF(OR($R430="Dark",$S430="Dark"),4,SUM(IF(OR($R430="Fighting",$R430="Poison"),0-1,IF(OR($R430="Psychic",$R430="Steel"),1,0)),IF(OR($S430="Fighting",$S430="Poison"),0-1,IF(OR($S430="Psychic",$S430="Steel"),1,0))))</f>
        <v>1</v>
      </c>
      <c r="AR430" s="507" t="n">
        <f aca="false">SUM(IF(OR($R430="Bug",$R430="Fire",$R430="Flying",$R430="Ice"),0-1,IF(OR($R430="Steel",$R430="Fighting",$R430="Ground"),1,0)),IF(OR($S430="Bug",$S430="Fire",$S430="Flying",$S430="Ice"),0-1,IF(OR($S430="Steel",$S430="Fighting",$S430="Ground"),1,0)))</f>
        <v>0</v>
      </c>
      <c r="AS430" s="507" t="n">
        <f aca="false">SUM(IF(OR($R430="Fairy",$R430="Ice",$R430="Rock"),0-1,IF(OR($R430="Steel",$R430="Electric",$R430="Fire",$R430="Water"),1,0)),IF(OR($S430="Fairy",$S430="Ice",$S430="Rock"),0-1,IF(OR($S430="Steel",$S430="Electric",$S430="Fire",$S430="Water"),1,0)))</f>
        <v>1</v>
      </c>
      <c r="AT430" s="508" t="n">
        <f aca="false">SUM(IF(OR($R430="Fire",$R430="Ground",$R430="Rock"),0-1,IF(OR($R430="Dragon",$R430="Grass",$R430="Water"),1,0)),IF(OR($S430="Fire",$S430="Ground",$S430="Rock"),0-1,IF(OR($S430="Dragon",$S430="Grass",$S430="Water"),1,0)))</f>
        <v>1</v>
      </c>
      <c r="AU430" s="518"/>
    </row>
    <row r="431" customFormat="false" ht="15.75" hidden="false" customHeight="false" outlineLevel="0" collapsed="false">
      <c r="A431" s="510" t="str">
        <f aca="false" t="array" ref="A431:A431">IF(ISNA(INDEX(Source!$U$7:$U$95,MATCH(B431,Source!$V$7:$V$95,0))),"FREE",INDEX(Source!$U$7:$U$95,MATCH(B431,Source!$V$7:$V$95,0)))</f>
        <v>FREE</v>
      </c>
      <c r="B431" s="511" t="s">
        <v>566</v>
      </c>
      <c r="C431" s="511"/>
      <c r="D431" s="511"/>
      <c r="E431" s="499" t="str">
        <f aca="false">IF(SUM($W431:$X431)&gt;0,SUM($W431:$X431),IF($H431&gt;0,0,IF($H431&gt;0,0,"-")))</f>
        <v>-</v>
      </c>
      <c r="F431" s="499" t="str">
        <f aca="false">IF(SUM($Y431:$Z431)&gt;0,SUM($Y431:$Z431),IF($H431&gt;0,0,"-"))</f>
        <v>-</v>
      </c>
      <c r="G431" s="499" t="str">
        <f aca="false">IF($H431&gt;0,minus(E431,F431),"-")</f>
        <v>-</v>
      </c>
      <c r="H431" s="500" t="n">
        <f aca="false">SUM(COUNTIF(MatchSource!$A:$A,$B431),COUNTIF(MatchSource!$H:$H,$B431))</f>
        <v>0</v>
      </c>
      <c r="I431" s="501" t="n">
        <f aca="false">SUM($AA431:$AB431)</f>
        <v>0</v>
      </c>
      <c r="J431" s="501" t="s">
        <v>700</v>
      </c>
      <c r="K431" s="512" t="str">
        <f aca="false" t="array" ref="K431:K431">IF(ISNA(INDEX(DraftRosters!$AA$3:$AA$199,MATCH($B431,DraftRosters!$AB$3:$AB$199,0))),"FA",IF(INDEX(DraftRosters!$AA$3:$AA$199,MATCH($B431,DraftRosters!$AB$3:$AB$199,0))="Franchise","Franch",INDEX(DraftRosters!$AA$3:$AA$199,MATCH($B431,DraftRosters!$AB$3:$AB$199,0))))</f>
        <v>FA</v>
      </c>
      <c r="L431" s="499" t="n">
        <v>95</v>
      </c>
      <c r="M431" s="499" t="n">
        <v>75</v>
      </c>
      <c r="N431" s="499" t="n">
        <v>80</v>
      </c>
      <c r="O431" s="499" t="n">
        <v>100</v>
      </c>
      <c r="P431" s="499" t="n">
        <v>110</v>
      </c>
      <c r="Q431" s="501" t="n">
        <v>30</v>
      </c>
      <c r="R431" s="499" t="s">
        <v>828</v>
      </c>
      <c r="S431" s="501" t="s">
        <v>811</v>
      </c>
      <c r="T431" s="504" t="s">
        <v>1002</v>
      </c>
      <c r="U431" s="505" t="s">
        <v>834</v>
      </c>
      <c r="V431" s="506" t="s">
        <v>865</v>
      </c>
      <c r="W431" s="500" t="str">
        <f aca="false">IFERROR(__xludf.dummyfunction("if(isna(SUM(FILTER(MatchSource!$A:$D,MatchSource!$A:$A=$B431))),0,SUM(FILTER(MatchSource!$A:$D,MatchSource!$A:$A=$B431)))"),"0")</f>
        <v>0</v>
      </c>
      <c r="X431" s="499" t="str">
        <f aca="false">IFERROR(__xludf.dummyfunction("if(isna(SUM(FILTER(MatchSource!$H:$K,MatchSource!$H:$H=$B431))),0,SUM(FILTER(MatchSource!$H:$K,MatchSource!$H:$H=$B431)))"),"0")</f>
        <v>0</v>
      </c>
      <c r="Y431" s="499" t="str">
        <f aca="false">IFERROR(__xludf.dummyfunction("if(isna(ABS(MINUS(SUM(FILTER(MatchSource!$A:$E,MatchSource!$A:$A=$B431)),SUM($W431)))),0,ABS(MINUS(SUM(FILTER(MatchSource!$A:$E,MatchSource!$A:$A=$B431)),SUM($W431))))"),"0")</f>
        <v>0</v>
      </c>
      <c r="Z431" s="499" t="str">
        <f aca="false">IFERROR(__xludf.dummyfunction("if(isna(ABS(MINUS(SUM(FILTER(MatchSource!$H:$L,MatchSource!$H:$H=$B431)),SUM($X431)))),0,ABS(MINUS(SUM(FILTER(MatchSource!$H:$L,MatchSource!$H:$H=$B431)),SUM($X431))))"),"0")</f>
        <v>0</v>
      </c>
      <c r="AA431" s="499" t="str">
        <f aca="false">IFERROR(__xludf.dummyfunction("if(isna(ABS(MINUS(SUM(FILTER(MatchSource!$A:$F,MatchSource!$A:$A=$B431)),SUM($W431,$Y431)))),0,ABS(MINUS(SUM(FILTER(MatchSource!$A:$F,MatchSource!$A:$A=$B431)),SUM($W431, $Y431,))))"),"0")</f>
        <v>0</v>
      </c>
      <c r="AB431" s="501" t="str">
        <f aca="false">IFERROR(__xludf.dummyfunction("if(isna(ABS(MINUS(SUM(FILTER(MatchSource!$H:$M,MatchSource!$H:$H=$B431)),SUM($X431,$Z431)))),0,ABS(MINUS(SUM(FILTER(MatchSource!$H:$M,MatchSource!$H:$H=$B431)),SUM($X431,$Z431))))"),"0")</f>
        <v>0</v>
      </c>
      <c r="AC431" s="507" t="n">
        <f aca="false">SUM(IF(OR($R431="Grass",$R431="Psychic",$R431="Dark"),0-1,IF(OR($R431="Fighting",$R431="Flying",$R431="Fire",$R431="Ghost",$R431="Poison",$R431="Steel",$R431="Fairy"),1,0)),IF(OR($S431="Grass",$S431="Psychic",$S431="Dark"),0-1,IF(OR($S431="Fighting",$S431="Flying",$S431="Fire",$S431="Ghost",$S431="Poison",$S431="Steel",$S431="Fairy"),1,0)))</f>
        <v>-1</v>
      </c>
      <c r="AD431" s="507" t="n">
        <f aca="false">SUM(IF(OR($R431="Ghost",$R431="Psychic"),0-1,IF(OR($R431="Fighting",$R431="Dark",$R431="Fairy"),1,0)),IF(OR($S431="Ghost",$S431="Psychic"),0-1,IF(OR($S431="Fighting",$S431="Dark",$S431="Fairy"),1,0)))</f>
        <v>-1</v>
      </c>
      <c r="AE431" s="507" t="n">
        <f aca="false">IF(OR($R431="Fairy",$S431="Fairy"),4,SUM(IF($R431="Dragon",0-1,IF($R431="Steel",1,0)),IF($S431="Dragon",0-1,IF($S431="Steel",1,0))))</f>
        <v>0</v>
      </c>
      <c r="AF431" s="507" t="n">
        <f aca="false">IF(OR($R431="Ground",$S431="Ground"),4,SUM(IF(OR($R431="Flying",$R431="Water"),0-1,IF(OR($R431="Dragon",$R431="Electric",$R431="Grass"),1,0)),IF(OR($S431="Flying",$S431="Water"),0-1,IF(OR($S431="Dragon",$S431="Electric",$S431="Grass"),1,0))))</f>
        <v>-1</v>
      </c>
      <c r="AG431" s="507" t="n">
        <f aca="false">SUM(IF(OR($R431="Dark",$R431="Dragon",$R431="Fighting"),0-1,IF(OR($R431="Steel",$R431="Poison",$R431="Fire"),1,0)),IF(OR($S431="Dark",$S431="Dragon",$S431="Fighting"),0-1,IF(OR($S431="Steel",$S431="Poison",$S431="Fire"),1,0)))</f>
        <v>0</v>
      </c>
      <c r="AH431" s="507" t="n">
        <f aca="false">IF(OR($R431="Ghost",$S431="Ghost"),4,SUM(IF(OR($R431="Dark",$R431="Ice",$R431="Normal",$R431="Rock",$R431="Steel"),0-1,IF(OR($R431="Bug",$R431="Fairy",$R431="Flying",$R431="Poison",$R431="Psychic"),1,0)),IF(OR($S431="Dark",$S431="Ice",$S431="Normal",$S431="Rock",$S431="Steel"),0-1,IF(OR($S431="Bug",$S431="Fairy",$S431="Flying",$S431="Poison",$S431="Psychic"),1,0))))</f>
        <v>1</v>
      </c>
      <c r="AI431" s="507" t="n">
        <f aca="false">SUM(IF(OR($R431="Bug",$R431="Grass",$R431="Ice",$R431="Steel"),0-1,IF(OR($R431="Dragon",$R431="Fire",$R431="Rock",$R431="Water"),1,0)),IF(OR($S431="Bug",$S431="Grass",$S431="Ice",$S431="Steel"),0-1,IF(OR($S431="Dragon",$S431="Fire",$S431="Rock",$S431="Water"),1,0)))</f>
        <v>1</v>
      </c>
      <c r="AJ431" s="507" t="n">
        <f aca="false">SUM(IF(OR($R431="Bug",$R431="Grass",$R431="Fighting"),0-1,IF(OR($R431="Electric",$R431="Rock",$R431="Steel"),1,0)),IF(OR($S431="Bug",$S431="Grass",$S431="Fighting"),0-1,IF(OR($S431="Electric",$S431="Rock",$S431="Steel"),1,0)))</f>
        <v>0</v>
      </c>
      <c r="AK431" s="507" t="n">
        <f aca="false">IF(OR($R431="Normal",$S431="Normal"),4,SUM(IF(OR($R431="Ghost",$R431="Psychic"),0-1,IF($R431="Dark",1,0)),IF(OR($S431="Ghost",$S431="Psychic"),0-1,IF($S431="Dark",1,0))))</f>
        <v>-1</v>
      </c>
      <c r="AL431" s="507" t="n">
        <f aca="false">SUM(IF(OR($R431="Ground",$R431="Rock",$R431="Water"),0-1,IF(OR($R431="Bug",$R431="Flying",$R431="Fire",$R431="Dragon",$R431="Poison",$R431="Steel",$R431="Grass"),1,0)),IF(OR($S431="Ground",$S431="Rock",$S431="Water"),0-1,IF(OR($S431="Bug",$S431="Flying",$S431="Fire",$S431="Dragon",$S431="Poison",$S431="Steel",$S431="Grass"),1,0)))</f>
        <v>-1</v>
      </c>
      <c r="AM431" s="507" t="n">
        <f aca="false">IF(OR($R431="Flying",$S431="Flying"),4,SUM(IF(OR($R431="Electric",$R431="Fire",$R431="Rock",$R431="Steel",$R431="Poison"),0-1,IF(OR($R431="Bug",$R431="Grass"),1,0)),IF(OR($S431="Electric",$S431="Fire",$S431="Rock",$S431="Steel",$S431="Poison"),0-1,IF(OR($S431="Bug",$S431="Grass"),1,0))))</f>
        <v>0</v>
      </c>
      <c r="AN431" s="507" t="n">
        <f aca="false">SUM(IF(OR($R431="Flying",$R431="Dragon",$R431="Grass",$R431="Ground"),0-1,IF(OR($R431="Steel",$R431="Ice",$R431="Fire",$R431="Water"),1,0)),IF(OR($S431="Flying",$S431="Dragon",$S431="Grass",$S431="Ground"),0-1,IF(OR($S431="Steel",$S431="Ice",$S431="Fire",$S431="Water"),1,0)))</f>
        <v>1</v>
      </c>
      <c r="AO431" s="507" t="n">
        <f aca="false">IF(OR($R431="Ghost",$S431="Ghost"),4,SUM(IF(OR($R431="Steel",$R431="Rock"),1,0),IF(OR($S431="Steel",$S431="Rock"),1,0)))</f>
        <v>0</v>
      </c>
      <c r="AP431" s="507" t="n">
        <f aca="false">IF(OR($R431="Steel",$S431="Steel"),4,SUM(IF(OR($R431="Fairy",$R431="Grass"),0-1,IF(OR($R431="Ghost",$R431="Rock",$R431="Ground",$R431="Poison"),1,0)),IF(OR($S431="Fairy",$S431="Grass"),0-1,IF(OR($S431="Ghost",$S431="Rock",$S431="Ground",$S431="Poison"),1,0))))</f>
        <v>0</v>
      </c>
      <c r="AQ431" s="507" t="n">
        <f aca="false">IF(OR($R431="Dark",$S431="Dark"),4,SUM(IF(OR($R431="Fighting",$R431="Poison"),0-1,IF(OR($R431="Psychic",$R431="Steel"),1,0)),IF(OR($S431="Fighting",$S431="Poison"),0-1,IF(OR($S431="Psychic",$S431="Steel"),1,0))))</f>
        <v>1</v>
      </c>
      <c r="AR431" s="507" t="n">
        <f aca="false">SUM(IF(OR($R431="Bug",$R431="Fire",$R431="Flying",$R431="Ice"),0-1,IF(OR($R431="Steel",$R431="Fighting",$R431="Ground"),1,0)),IF(OR($S431="Bug",$S431="Fire",$S431="Flying",$S431="Ice"),0-1,IF(OR($S431="Steel",$S431="Fighting",$S431="Ground"),1,0)))</f>
        <v>0</v>
      </c>
      <c r="AS431" s="507" t="n">
        <f aca="false">SUM(IF(OR($R431="Fairy",$R431="Ice",$R431="Rock"),0-1,IF(OR($R431="Steel",$R431="Electric",$R431="Fire",$R431="Water"),1,0)),IF(OR($S431="Fairy",$S431="Ice",$S431="Rock"),0-1,IF(OR($S431="Steel",$S431="Electric",$S431="Fire",$S431="Water"),1,0)))</f>
        <v>1</v>
      </c>
      <c r="AT431" s="508" t="n">
        <f aca="false">SUM(IF(OR($R431="Fire",$R431="Ground",$R431="Rock"),0-1,IF(OR($R431="Dragon",$R431="Grass",$R431="Water"),1,0)),IF(OR($S431="Fire",$S431="Ground",$S431="Rock"),0-1,IF(OR($S431="Dragon",$S431="Grass",$S431="Water"),1,0)))</f>
        <v>1</v>
      </c>
      <c r="AU431" s="518"/>
    </row>
    <row r="432" customFormat="false" ht="15.75" hidden="false" customHeight="false" outlineLevel="0" collapsed="false">
      <c r="A432" s="510" t="str">
        <f aca="false" t="array" ref="A432:A432">IF(ISNA(INDEX(Source!$U$7:$U$95,MATCH(B432,Source!$V$7:$V$95,0))),"FREE",INDEX(Source!$U$7:$U$95,MATCH(B432,Source!$V$7:$V$95,0)))</f>
        <v>FREE</v>
      </c>
      <c r="B432" s="511" t="s">
        <v>647</v>
      </c>
      <c r="C432" s="511"/>
      <c r="D432" s="511"/>
      <c r="E432" s="499" t="str">
        <f aca="false">IF(SUM($W432:$X432)&gt;0,SUM($W432:$X432),IF($H432&gt;0,0,IF($H432&gt;0,0,"-")))</f>
        <v>-</v>
      </c>
      <c r="F432" s="499" t="str">
        <f aca="false">IF(SUM($Y432:$Z432)&gt;0,SUM($Y432:$Z432),IF($H432&gt;0,0,"-"))</f>
        <v>-</v>
      </c>
      <c r="G432" s="499" t="str">
        <f aca="false">IF($H432&gt;0,minus(E432,F432),"-")</f>
        <v>-</v>
      </c>
      <c r="H432" s="500" t="n">
        <f aca="false">SUM(COUNTIF(MatchSource!$A:$A,$B432),COUNTIF(MatchSource!$H:$H,$B432))</f>
        <v>0</v>
      </c>
      <c r="I432" s="501" t="n">
        <f aca="false">SUM($AA432:$AB432)</f>
        <v>0</v>
      </c>
      <c r="J432" s="501" t="s">
        <v>701</v>
      </c>
      <c r="K432" s="512" t="str">
        <f aca="false" t="array" ref="K432:K432">IF(ISNA(INDEX(DraftRosters!$AA$3:$AA$199,MATCH($B432,DraftRosters!$AB$3:$AB$199,0))),"FA",IF(INDEX(DraftRosters!$AA$3:$AA$199,MATCH($B432,DraftRosters!$AB$3:$AB$199,0))="Franchise","Franch",INDEX(DraftRosters!$AA$3:$AA$199,MATCH($B432,DraftRosters!$AB$3:$AB$199,0))))</f>
        <v>FA</v>
      </c>
      <c r="L432" s="507" t="n">
        <v>82</v>
      </c>
      <c r="M432" s="507" t="n">
        <v>80</v>
      </c>
      <c r="N432" s="507" t="n">
        <v>86</v>
      </c>
      <c r="O432" s="507" t="n">
        <v>85</v>
      </c>
      <c r="P432" s="507" t="n">
        <v>75</v>
      </c>
      <c r="Q432" s="508" t="n">
        <v>72</v>
      </c>
      <c r="R432" s="499" t="s">
        <v>798</v>
      </c>
      <c r="S432" s="501"/>
      <c r="T432" s="504" t="s">
        <v>1061</v>
      </c>
      <c r="U432" s="505" t="s">
        <v>821</v>
      </c>
      <c r="V432" s="506"/>
      <c r="W432" s="500" t="str">
        <f aca="false">IFERROR(__xludf.dummyfunction("if(isna(SUM(FILTER(MatchSource!$A:$D,MatchSource!$A:$A=$B432))),0,SUM(FILTER(MatchSource!$A:$D,MatchSource!$A:$A=$B432)))"),"0")</f>
        <v>0</v>
      </c>
      <c r="X432" s="499" t="str">
        <f aca="false">IFERROR(__xludf.dummyfunction("if(isna(SUM(FILTER(MatchSource!$H:$K,MatchSource!$H:$H=$B432))),0,SUM(FILTER(MatchSource!$H:$K,MatchSource!$H:$H=$B432)))"),"0")</f>
        <v>0</v>
      </c>
      <c r="Y432" s="499" t="str">
        <f aca="false">IFERROR(__xludf.dummyfunction("if(isna(ABS(MINUS(SUM(FILTER(MatchSource!$A:$E,MatchSource!$A:$A=$B432)),SUM($W432)))),0,ABS(MINUS(SUM(FILTER(MatchSource!$A:$E,MatchSource!$A:$A=$B432)),SUM($W432))))"),"0")</f>
        <v>0</v>
      </c>
      <c r="Z432" s="499" t="str">
        <f aca="false">IFERROR(__xludf.dummyfunction("if(isna(ABS(MINUS(SUM(FILTER(MatchSource!$H:$L,MatchSource!$H:$H=$B432)),SUM($X432)))),0,ABS(MINUS(SUM(FILTER(MatchSource!$H:$L,MatchSource!$H:$H=$B432)),SUM($X432))))"),"0")</f>
        <v>0</v>
      </c>
      <c r="AA432" s="499" t="str">
        <f aca="false">IFERROR(__xludf.dummyfunction("if(isna(ABS(MINUS(SUM(FILTER(MatchSource!$A:$F,MatchSource!$A:$A=$B432)),SUM($W432,$Y432)))),0,ABS(MINUS(SUM(FILTER(MatchSource!$A:$F,MatchSource!$A:$A=$B432)),SUM($W432, $Y432,))))"),"0")</f>
        <v>0</v>
      </c>
      <c r="AB432" s="501" t="str">
        <f aca="false">IFERROR(__xludf.dummyfunction("if(isna(ABS(MINUS(SUM(FILTER(MatchSource!$H:$M,MatchSource!$H:$H=$B432)),SUM($X432,$Z432)))),0,ABS(MINUS(SUM(FILTER(MatchSource!$H:$M,MatchSource!$H:$H=$B432)),SUM($X432,$Z432))))"),"0")</f>
        <v>0</v>
      </c>
      <c r="AC432" s="507" t="n">
        <f aca="false">SUM(IF(OR($R432="Grass",$R432="Psychic",$R432="Dark"),0-1,IF(OR($R432="Fighting",$R432="Flying",$R432="Fire",$R432="Ghost",$R432="Poison",$R432="Steel",$R432="Fairy"),1,0)),IF(OR($S432="Grass",$S432="Psychic",$S432="Dark"),0-1,IF(OR($S432="Fighting",$S432="Flying",$S432="Fire",$S432="Ghost",$S432="Poison",$S432="Steel",$S432="Fairy"),1,0)))</f>
        <v>1</v>
      </c>
      <c r="AD432" s="507" t="n">
        <f aca="false">SUM(IF(OR($R432="Ghost",$R432="Psychic"),0-1,IF(OR($R432="Fighting",$R432="Dark",$R432="Fairy"),1,0)),IF(OR($S432="Ghost",$S432="Psychic"),0-1,IF(OR($S432="Fighting",$S432="Dark",$S432="Fairy"),1,0)))</f>
        <v>1</v>
      </c>
      <c r="AE432" s="507" t="n">
        <f aca="false">IF(OR($R432="Fairy",$S432="Fairy"),4,SUM(IF($R432="Dragon",0-1,IF($R432="Steel",1,0)),IF($S432="Dragon",0-1,IF($S432="Steel",1,0))))</f>
        <v>4</v>
      </c>
      <c r="AF432" s="507" t="n">
        <f aca="false">IF(OR($R432="Ground",$S432="Ground"),4,SUM(IF(OR($R432="Flying",$R432="Water"),0-1,IF(OR($R432="Dragon",$R432="Electric",$R432="Grass"),1,0)),IF(OR($S432="Flying",$S432="Water"),0-1,IF(OR($S432="Dragon",$S432="Electric",$S432="Grass"),1,0))))</f>
        <v>0</v>
      </c>
      <c r="AG432" s="507" t="n">
        <f aca="false">SUM(IF(OR($R432="Dark",$R432="Dragon",$R432="Fighting"),0-1,IF(OR($R432="Steel",$R432="Poison",$R432="Fire"),1,0)),IF(OR($S432="Dark",$S432="Dragon",$S432="Fighting"),0-1,IF(OR($S432="Steel",$S432="Poison",$S432="Fire"),1,0)))</f>
        <v>0</v>
      </c>
      <c r="AH432" s="507" t="n">
        <f aca="false">IF(OR($R432="Ghost",$S432="Ghost"),4,SUM(IF(OR($R432="Dark",$R432="Ice",$R432="Normal",$R432="Rock",$R432="Steel"),0-1,IF(OR($R432="Bug",$R432="Fairy",$R432="Flying",$R432="Poison",$R432="Psychic"),1,0)),IF(OR($S432="Dark",$S432="Ice",$S432="Normal",$S432="Rock",$S432="Steel"),0-1,IF(OR($S432="Bug",$S432="Fairy",$S432="Flying",$S432="Poison",$S432="Psychic"),1,0))))</f>
        <v>1</v>
      </c>
      <c r="AI432" s="507" t="n">
        <f aca="false">SUM(IF(OR($R432="Bug",$R432="Grass",$R432="Ice",$R432="Steel"),0-1,IF(OR($R432="Dragon",$R432="Fire",$R432="Rock",$R432="Water"),1,0)),IF(OR($S432="Bug",$S432="Grass",$S432="Ice",$S432="Steel"),0-1,IF(OR($S432="Dragon",$S432="Fire",$S432="Rock",$S432="Water"),1,0)))</f>
        <v>0</v>
      </c>
      <c r="AJ432" s="507" t="n">
        <f aca="false">SUM(IF(OR($R432="Bug",$R432="Grass",$R432="Fighting"),0-1,IF(OR($R432="Electric",$R432="Rock",$R432="Steel"),1,0)),IF(OR($S432="Bug",$S432="Grass",$S432="Fighting"),0-1,IF(OR($S432="Electric",$S432="Rock",$S432="Steel"),1,0)))</f>
        <v>0</v>
      </c>
      <c r="AK432" s="507" t="n">
        <f aca="false">IF(OR($R432="Normal",$S432="Normal"),4,SUM(IF(OR($R432="Ghost",$R432="Psychic"),0-1,IF($R432="Dark",1,0)),IF(OR($S432="Ghost",$S432="Psychic"),0-1,IF($S432="Dark",1,0))))</f>
        <v>0</v>
      </c>
      <c r="AL432" s="507" t="n">
        <f aca="false">SUM(IF(OR($R432="Ground",$R432="Rock",$R432="Water"),0-1,IF(OR($R432="Bug",$R432="Flying",$R432="Fire",$R432="Dragon",$R432="Poison",$R432="Steel",$R432="Grass"),1,0)),IF(OR($S432="Ground",$S432="Rock",$S432="Water"),0-1,IF(OR($S432="Bug",$S432="Flying",$S432="Fire",$S432="Dragon",$S432="Poison",$S432="Steel",$S432="Grass"),1,0)))</f>
        <v>0</v>
      </c>
      <c r="AM432" s="507" t="n">
        <f aca="false">IF(OR($R432="Flying",$S432="Flying"),4,SUM(IF(OR($R432="Electric",$R432="Fire",$R432="Rock",$R432="Steel",$R432="Poison"),0-1,IF(OR($R432="Bug",$R432="Grass"),1,0)),IF(OR($S432="Electric",$S432="Fire",$S432="Rock",$S432="Steel",$S432="Poison"),0-1,IF(OR($S432="Bug",$S432="Grass"),1,0))))</f>
        <v>0</v>
      </c>
      <c r="AN432" s="507" t="n">
        <f aca="false">SUM(IF(OR($R432="Flying",$R432="Dragon",$R432="Grass",$R432="Ground"),0-1,IF(OR($R432="Steel",$R432="Ice",$R432="Fire",$R432="Water"),1,0)),IF(OR($S432="Flying",$S432="Dragon",$S432="Grass",$S432="Ground"),0-1,IF(OR($S432="Steel",$S432="Ice",$S432="Fire",$S432="Water"),1,0)))</f>
        <v>0</v>
      </c>
      <c r="AO432" s="507" t="n">
        <f aca="false">IF(OR($R432="Ghost",$S432="Ghost"),4,SUM(IF(OR($R432="Steel",$R432="Rock"),1,0),IF(OR($S432="Steel",$S432="Rock"),1,0)))</f>
        <v>0</v>
      </c>
      <c r="AP432" s="507" t="n">
        <f aca="false">IF(OR($R432="Steel",$S432="Steel"),4,SUM(IF(OR($R432="Fairy",$R432="Grass"),0-1,IF(OR($R432="Ghost",$R432="Rock",$R432="Ground",$R432="Poison"),1,0)),IF(OR($S432="Fairy",$S432="Grass"),0-1,IF(OR($S432="Ghost",$S432="Rock",$S432="Ground",$S432="Poison"),1,0))))</f>
        <v>-1</v>
      </c>
      <c r="AQ432" s="507" t="n">
        <f aca="false">IF(OR($R432="Dark",$S432="Dark"),4,SUM(IF(OR($R432="Fighting",$R432="Poison"),0-1,IF(OR($R432="Psychic",$R432="Steel"),1,0)),IF(OR($S432="Fighting",$S432="Poison"),0-1,IF(OR($S432="Psychic",$S432="Steel"),1,0))))</f>
        <v>0</v>
      </c>
      <c r="AR432" s="507" t="n">
        <f aca="false">SUM(IF(OR($R432="Bug",$R432="Fire",$R432="Flying",$R432="Ice"),0-1,IF(OR($R432="Steel",$R432="Fighting",$R432="Ground"),1,0)),IF(OR($S432="Bug",$S432="Fire",$S432="Flying",$S432="Ice"),0-1,IF(OR($S432="Steel",$S432="Fighting",$S432="Ground"),1,0)))</f>
        <v>0</v>
      </c>
      <c r="AS432" s="507" t="n">
        <f aca="false">SUM(IF(OR($R432="Fairy",$R432="Ice",$R432="Rock"),0-1,IF(OR($R432="Steel",$R432="Electric",$R432="Fire",$R432="Water"),1,0)),IF(OR($S432="Fairy",$S432="Ice",$S432="Rock"),0-1,IF(OR($S432="Steel",$S432="Electric",$S432="Fire",$S432="Water"),1,0)))</f>
        <v>-1</v>
      </c>
      <c r="AT432" s="508" t="n">
        <f aca="false">SUM(IF(OR($R432="Fire",$R432="Ground",$R432="Rock"),0-1,IF(OR($R432="Dragon",$R432="Grass",$R432="Water"),1,0)),IF(OR($S432="Fire",$S432="Ground",$S432="Rock"),0-1,IF(OR($S432="Dragon",$S432="Grass",$S432="Water"),1,0)))</f>
        <v>0</v>
      </c>
      <c r="AU432" s="518"/>
    </row>
    <row r="433" customFormat="false" ht="15.75" hidden="false" customHeight="false" outlineLevel="0" collapsed="false">
      <c r="A433" s="510" t="str">
        <f aca="false" t="array" ref="A433:A433">IF(ISNA(INDEX(Source!$U$7:$U$95,MATCH(B433,Source!$V$7:$V$95,0))),"FREE",INDEX(Source!$U$7:$U$95,MATCH(B433,Source!$V$7:$V$95,0)))</f>
        <v>FREE</v>
      </c>
      <c r="B433" s="511" t="s">
        <v>570</v>
      </c>
      <c r="C433" s="511"/>
      <c r="D433" s="511"/>
      <c r="E433" s="499" t="str">
        <f aca="false">IF(SUM($W433:$X433)&gt;0,SUM($W433:$X433),IF($H433&gt;0,0,IF($H433&gt;0,0,"-")))</f>
        <v>-</v>
      </c>
      <c r="F433" s="499" t="str">
        <f aca="false">IF(SUM($Y433:$Z433)&gt;0,SUM($Y433:$Z433),IF($H433&gt;0,0,"-"))</f>
        <v>-</v>
      </c>
      <c r="G433" s="499" t="str">
        <f aca="false">IF($H433&gt;0,minus(E433,F433),"-")</f>
        <v>-</v>
      </c>
      <c r="H433" s="500" t="n">
        <f aca="false">SUM(COUNTIF(MatchSource!$A:$A,$B433),COUNTIF(MatchSource!$H:$H,$B433))</f>
        <v>0</v>
      </c>
      <c r="I433" s="501" t="n">
        <f aca="false">SUM($AA433:$AB433)</f>
        <v>0</v>
      </c>
      <c r="J433" s="501" t="s">
        <v>700</v>
      </c>
      <c r="K433" s="512" t="str">
        <f aca="false" t="array" ref="K433:K433">IF(ISNA(INDEX(DraftRosters!$AA$3:$AA$199,MATCH($B433,DraftRosters!$AB$3:$AB$199,0))),"FA",IF(INDEX(DraftRosters!$AA$3:$AA$199,MATCH($B433,DraftRosters!$AB$3:$AB$199,0))="Franchise","Franch",INDEX(DraftRosters!$AA$3:$AA$199,MATCH($B433,DraftRosters!$AB$3:$AB$199,0))))</f>
        <v>FA</v>
      </c>
      <c r="L433" s="499" t="n">
        <v>55</v>
      </c>
      <c r="M433" s="499" t="n">
        <v>20</v>
      </c>
      <c r="N433" s="499" t="n">
        <v>35</v>
      </c>
      <c r="O433" s="499" t="n">
        <v>20</v>
      </c>
      <c r="P433" s="499" t="n">
        <v>45</v>
      </c>
      <c r="Q433" s="501" t="n">
        <v>75</v>
      </c>
      <c r="R433" s="499" t="s">
        <v>839</v>
      </c>
      <c r="S433" s="501"/>
      <c r="T433" s="504" t="s">
        <v>842</v>
      </c>
      <c r="U433" s="505" t="s">
        <v>865</v>
      </c>
      <c r="V433" s="506" t="s">
        <v>885</v>
      </c>
      <c r="W433" s="500" t="str">
        <f aca="false">IFERROR(__xludf.dummyfunction("if(isna(SUM(FILTER(MatchSource!$A:$D,MatchSource!$A:$A=$B433))),0,SUM(FILTER(MatchSource!$A:$D,MatchSource!$A:$A=$B433)))"),"0")</f>
        <v>0</v>
      </c>
      <c r="X433" s="499" t="str">
        <f aca="false">IFERROR(__xludf.dummyfunction("if(isna(SUM(FILTER(MatchSource!$H:$K,MatchSource!$H:$H=$B433))),0,SUM(FILTER(MatchSource!$H:$K,MatchSource!$H:$H=$B433)))"),"0")</f>
        <v>0</v>
      </c>
      <c r="Y433" s="499" t="str">
        <f aca="false">IFERROR(__xludf.dummyfunction("if(isna(ABS(MINUS(SUM(FILTER(MatchSource!$A:$E,MatchSource!$A:$A=$B433)),SUM($W433)))),0,ABS(MINUS(SUM(FILTER(MatchSource!$A:$E,MatchSource!$A:$A=$B433)),SUM($W433))))"),"0")</f>
        <v>0</v>
      </c>
      <c r="Z433" s="499" t="str">
        <f aca="false">IFERROR(__xludf.dummyfunction("if(isna(ABS(MINUS(SUM(FILTER(MatchSource!$H:$L,MatchSource!$H:$H=$B433)),SUM($X433)))),0,ABS(MINUS(SUM(FILTER(MatchSource!$H:$L,MatchSource!$H:$H=$B433)),SUM($X433))))"),"0")</f>
        <v>0</v>
      </c>
      <c r="AA433" s="499" t="str">
        <f aca="false">IFERROR(__xludf.dummyfunction("if(isna(ABS(MINUS(SUM(FILTER(MatchSource!$A:$F,MatchSource!$A:$A=$B433)),SUM($W433,$Y433)))),0,ABS(MINUS(SUM(FILTER(MatchSource!$A:$F,MatchSource!$A:$A=$B433)),SUM($W433, $Y433,))))"),"0")</f>
        <v>0</v>
      </c>
      <c r="AB433" s="501" t="str">
        <f aca="false">IFERROR(__xludf.dummyfunction("if(isna(ABS(MINUS(SUM(FILTER(MatchSource!$H:$M,MatchSource!$H:$H=$B433)),SUM($X433,$Z433)))),0,ABS(MINUS(SUM(FILTER(MatchSource!$H:$M,MatchSource!$H:$H=$B433)),SUM($X433,$Z433))))"),"0")</f>
        <v>0</v>
      </c>
      <c r="AC433" s="507" t="n">
        <f aca="false">SUM(IF(OR($R433="Grass",$R433="Psychic",$R433="Dark"),0-1,IF(OR($R433="Fighting",$R433="Flying",$R433="Fire",$R433="Ghost",$R433="Poison",$R433="Steel",$R433="Fairy"),1,0)),IF(OR($S433="Grass",$S433="Psychic",$S433="Dark"),0-1,IF(OR($S433="Fighting",$S433="Flying",$S433="Fire",$S433="Ghost",$S433="Poison",$S433="Steel",$S433="Fairy"),1,0)))</f>
        <v>0</v>
      </c>
      <c r="AD433" s="507" t="n">
        <f aca="false">SUM(IF(OR($R433="Ghost",$R433="Psychic"),0-1,IF(OR($R433="Fighting",$R433="Dark",$R433="Fairy"),1,0)),IF(OR($S433="Ghost",$S433="Psychic"),0-1,IF(OR($S433="Fighting",$S433="Dark",$S433="Fairy"),1,0)))</f>
        <v>0</v>
      </c>
      <c r="AE433" s="507" t="n">
        <f aca="false">IF(OR($R433="Fairy",$S433="Fairy"),4,SUM(IF($R433="Dragon",0-1,IF($R433="Steel",1,0)),IF($S433="Dragon",0-1,IF($S433="Steel",1,0))))</f>
        <v>0</v>
      </c>
      <c r="AF433" s="507" t="n">
        <f aca="false">IF(OR($R433="Ground",$S433="Ground"),4,SUM(IF(OR($R433="Flying",$R433="Water"),0-1,IF(OR($R433="Dragon",$R433="Electric",$R433="Grass"),1,0)),IF(OR($S433="Flying",$S433="Water"),0-1,IF(OR($S433="Dragon",$S433="Electric",$S433="Grass"),1,0))))</f>
        <v>0</v>
      </c>
      <c r="AG433" s="507" t="n">
        <f aca="false">SUM(IF(OR($R433="Dark",$R433="Dragon",$R433="Fighting"),0-1,IF(OR($R433="Steel",$R433="Poison",$R433="Fire"),1,0)),IF(OR($S433="Dark",$S433="Dragon",$S433="Fighting"),0-1,IF(OR($S433="Steel",$S433="Poison",$S433="Fire"),1,0)))</f>
        <v>0</v>
      </c>
      <c r="AH433" s="507" t="n">
        <f aca="false">IF(OR($R433="Ghost",$S433="Ghost"),4,SUM(IF(OR($R433="Dark",$R433="Ice",$R433="Normal",$R433="Rock",$R433="Steel"),0-1,IF(OR($R433="Bug",$R433="Fairy",$R433="Flying",$R433="Poison",$R433="Psychic"),1,0)),IF(OR($S433="Dark",$S433="Ice",$S433="Normal",$S433="Rock",$S433="Steel"),0-1,IF(OR($S433="Bug",$S433="Fairy",$S433="Flying",$S433="Poison",$S433="Psychic"),1,0))))</f>
        <v>-1</v>
      </c>
      <c r="AI433" s="507" t="n">
        <f aca="false">SUM(IF(OR($R433="Bug",$R433="Grass",$R433="Ice",$R433="Steel"),0-1,IF(OR($R433="Dragon",$R433="Fire",$R433="Rock",$R433="Water"),1,0)),IF(OR($S433="Bug",$S433="Grass",$S433="Ice",$S433="Steel"),0-1,IF(OR($S433="Dragon",$S433="Fire",$S433="Rock",$S433="Water"),1,0)))</f>
        <v>0</v>
      </c>
      <c r="AJ433" s="507" t="n">
        <f aca="false">SUM(IF(OR($R433="Bug",$R433="Grass",$R433="Fighting"),0-1,IF(OR($R433="Electric",$R433="Rock",$R433="Steel"),1,0)),IF(OR($S433="Bug",$S433="Grass",$S433="Fighting"),0-1,IF(OR($S433="Electric",$S433="Rock",$S433="Steel"),1,0)))</f>
        <v>0</v>
      </c>
      <c r="AK433" s="507" t="n">
        <f aca="false">IF(OR($R433="Normal",$S433="Normal"),4,SUM(IF(OR($R433="Ghost",$R433="Psychic"),0-1,IF($R433="Dark",1,0)),IF(OR($S433="Ghost",$S433="Psychic"),0-1,IF($S433="Dark",1,0))))</f>
        <v>4</v>
      </c>
      <c r="AL433" s="507" t="n">
        <f aca="false">SUM(IF(OR($R433="Ground",$R433="Rock",$R433="Water"),0-1,IF(OR($R433="Bug",$R433="Flying",$R433="Fire",$R433="Dragon",$R433="Poison",$R433="Steel",$R433="Grass"),1,0)),IF(OR($S433="Ground",$S433="Rock",$S433="Water"),0-1,IF(OR($S433="Bug",$S433="Flying",$S433="Fire",$S433="Dragon",$S433="Poison",$S433="Steel",$S433="Grass"),1,0)))</f>
        <v>0</v>
      </c>
      <c r="AM433" s="507" t="n">
        <f aca="false">IF(OR($R433="Flying",$S433="Flying"),4,SUM(IF(OR($R433="Electric",$R433="Fire",$R433="Rock",$R433="Steel",$R433="Poison"),0-1,IF(OR($R433="Bug",$R433="Grass"),1,0)),IF(OR($S433="Electric",$S433="Fire",$S433="Rock",$S433="Steel",$S433="Poison"),0-1,IF(OR($S433="Bug",$S433="Grass"),1,0))))</f>
        <v>0</v>
      </c>
      <c r="AN433" s="507" t="n">
        <f aca="false">SUM(IF(OR($R433="Flying",$R433="Dragon",$R433="Grass",$R433="Ground"),0-1,IF(OR($R433="Steel",$R433="Ice",$R433="Fire",$R433="Water"),1,0)),IF(OR($S433="Flying",$S433="Dragon",$S433="Grass",$S433="Ground"),0-1,IF(OR($S433="Steel",$S433="Ice",$S433="Fire",$S433="Water"),1,0)))</f>
        <v>0</v>
      </c>
      <c r="AO433" s="507" t="n">
        <f aca="false">IF(OR($R433="Ghost",$S433="Ghost"),4,SUM(IF(OR($R433="Steel",$R433="Rock"),1,0),IF(OR($S433="Steel",$S433="Rock"),1,0)))</f>
        <v>0</v>
      </c>
      <c r="AP433" s="507" t="n">
        <f aca="false">IF(OR($R433="Steel",$S433="Steel"),4,SUM(IF(OR($R433="Fairy",$R433="Grass"),0-1,IF(OR($R433="Ghost",$R433="Rock",$R433="Ground",$R433="Poison"),1,0)),IF(OR($S433="Fairy",$S433="Grass"),0-1,IF(OR($S433="Ghost",$S433="Rock",$S433="Ground",$S433="Poison"),1,0))))</f>
        <v>0</v>
      </c>
      <c r="AQ433" s="507" t="n">
        <f aca="false">IF(OR($R433="Dark",$S433="Dark"),4,SUM(IF(OR($R433="Fighting",$R433="Poison"),0-1,IF(OR($R433="Psychic",$R433="Steel"),1,0)),IF(OR($S433="Fighting",$S433="Poison"),0-1,IF(OR($S433="Psychic",$S433="Steel"),1,0))))</f>
        <v>0</v>
      </c>
      <c r="AR433" s="507" t="n">
        <f aca="false">SUM(IF(OR($R433="Bug",$R433="Fire",$R433="Flying",$R433="Ice"),0-1,IF(OR($R433="Steel",$R433="Fighting",$R433="Ground"),1,0)),IF(OR($S433="Bug",$S433="Fire",$S433="Flying",$S433="Ice"),0-1,IF(OR($S433="Steel",$S433="Fighting",$S433="Ground"),1,0)))</f>
        <v>0</v>
      </c>
      <c r="AS433" s="507" t="n">
        <f aca="false">SUM(IF(OR($R433="Fairy",$R433="Ice",$R433="Rock"),0-1,IF(OR($R433="Steel",$R433="Electric",$R433="Fire",$R433="Water"),1,0)),IF(OR($S433="Fairy",$S433="Ice",$S433="Rock"),0-1,IF(OR($S433="Steel",$S433="Electric",$S433="Fire",$S433="Water"),1,0)))</f>
        <v>0</v>
      </c>
      <c r="AT433" s="508" t="n">
        <f aca="false">SUM(IF(OR($R433="Fire",$R433="Ground",$R433="Rock"),0-1,IF(OR($R433="Dragon",$R433="Grass",$R433="Water"),1,0)),IF(OR($S433="Fire",$S433="Ground",$S433="Rock"),0-1,IF(OR($S433="Dragon",$S433="Grass",$S433="Water"),1,0)))</f>
        <v>0</v>
      </c>
      <c r="AU433" s="518"/>
    </row>
    <row r="434" customFormat="false" ht="15.75" hidden="false" customHeight="false" outlineLevel="0" collapsed="false">
      <c r="A434" s="510" t="str">
        <f aca="false" t="array" ref="A434:A434">IF(ISNA(INDEX(Source!$U$7:$U$95,MATCH(B434,Source!$V$7:$V$95,0))),"FREE",INDEX(Source!$U$7:$U$95,MATCH(B434,Source!$V$7:$V$95,0)))</f>
        <v>FREE</v>
      </c>
      <c r="B434" s="511" t="s">
        <v>649</v>
      </c>
      <c r="C434" s="511"/>
      <c r="D434" s="511"/>
      <c r="E434" s="499" t="str">
        <f aca="false">IF(SUM($W434:$X434)&gt;0,SUM($W434:$X434),IF($H434&gt;0,0,IF($H434&gt;0,0,"-")))</f>
        <v>-</v>
      </c>
      <c r="F434" s="499" t="str">
        <f aca="false">IF(SUM($Y434:$Z434)&gt;0,SUM($Y434:$Z434),IF($H434&gt;0,0,"-"))</f>
        <v>-</v>
      </c>
      <c r="G434" s="499" t="str">
        <f aca="false">IF($H434&gt;0,minus(E434,F434),"-")</f>
        <v>-</v>
      </c>
      <c r="H434" s="500" t="n">
        <f aca="false">SUM(COUNTIF(MatchSource!$A:$A,$B434),COUNTIF(MatchSource!$H:$H,$B434))</f>
        <v>0</v>
      </c>
      <c r="I434" s="501" t="n">
        <f aca="false">SUM($AA434:$AB434)</f>
        <v>0</v>
      </c>
      <c r="J434" s="501" t="s">
        <v>701</v>
      </c>
      <c r="K434" s="512" t="str">
        <f aca="false" t="array" ref="K434:K434">IF(ISNA(INDEX(DraftRosters!$AA$3:$AA$199,MATCH($B434,DraftRosters!$AB$3:$AB$199,0))),"FA",IF(INDEX(DraftRosters!$AA$3:$AA$199,MATCH($B434,DraftRosters!$AB$3:$AB$199,0))="Franchise","Franch",INDEX(DraftRosters!$AA$3:$AA$199,MATCH($B434,DraftRosters!$AB$3:$AB$199,0))))</f>
        <v>FA</v>
      </c>
      <c r="L434" s="499" t="n">
        <v>55</v>
      </c>
      <c r="M434" s="499" t="n">
        <v>95</v>
      </c>
      <c r="N434" s="499" t="n">
        <v>55</v>
      </c>
      <c r="O434" s="499" t="n">
        <v>35</v>
      </c>
      <c r="P434" s="499" t="n">
        <v>75</v>
      </c>
      <c r="Q434" s="501" t="n">
        <v>115</v>
      </c>
      <c r="R434" s="499" t="s">
        <v>795</v>
      </c>
      <c r="S434" s="501" t="s">
        <v>805</v>
      </c>
      <c r="T434" s="504" t="s">
        <v>829</v>
      </c>
      <c r="U434" s="505" t="s">
        <v>873</v>
      </c>
      <c r="V434" s="506" t="s">
        <v>897</v>
      </c>
      <c r="W434" s="500" t="str">
        <f aca="false">IFERROR(__xludf.dummyfunction("if(isna(SUM(FILTER(MatchSource!$A:$D,MatchSource!$A:$A=$B434))),0,SUM(FILTER(MatchSource!$A:$D,MatchSource!$A:$A=$B434)))"),"0")</f>
        <v>0</v>
      </c>
      <c r="X434" s="499" t="str">
        <f aca="false">IFERROR(__xludf.dummyfunction("if(isna(SUM(FILTER(MatchSource!$H:$K,MatchSource!$H:$H=$B434))),0,SUM(FILTER(MatchSource!$H:$K,MatchSource!$H:$H=$B434)))"),"0")</f>
        <v>0</v>
      </c>
      <c r="Y434" s="499" t="str">
        <f aca="false">IFERROR(__xludf.dummyfunction("if(isna(ABS(MINUS(SUM(FILTER(MatchSource!$A:$E,MatchSource!$A:$A=$B434)),SUM($W434)))),0,ABS(MINUS(SUM(FILTER(MatchSource!$A:$E,MatchSource!$A:$A=$B434)),SUM($W434))))"),"0")</f>
        <v>0</v>
      </c>
      <c r="Z434" s="499" t="str">
        <f aca="false">IFERROR(__xludf.dummyfunction("if(isna(ABS(MINUS(SUM(FILTER(MatchSource!$H:$L,MatchSource!$H:$H=$B434)),SUM($X434)))),0,ABS(MINUS(SUM(FILTER(MatchSource!$H:$L,MatchSource!$H:$H=$B434)),SUM($X434))))"),"0")</f>
        <v>0</v>
      </c>
      <c r="AA434" s="499" t="str">
        <f aca="false">IFERROR(__xludf.dummyfunction("if(isna(ABS(MINUS(SUM(FILTER(MatchSource!$A:$F,MatchSource!$A:$A=$B434)),SUM($W434,$Y434)))),0,ABS(MINUS(SUM(FILTER(MatchSource!$A:$F,MatchSource!$A:$A=$B434)),SUM($W434, $Y434,))))"),"0")</f>
        <v>0</v>
      </c>
      <c r="AB434" s="501" t="str">
        <f aca="false">IFERROR(__xludf.dummyfunction("if(isna(ABS(MINUS(SUM(FILTER(MatchSource!$H:$M,MatchSource!$H:$H=$B434)),SUM($X434,$Z434)))),0,ABS(MINUS(SUM(FILTER(MatchSource!$H:$M,MatchSource!$H:$H=$B434)),SUM($X434,$Z434))))"),"0")</f>
        <v>0</v>
      </c>
      <c r="AC434" s="507" t="n">
        <f aca="false">SUM(IF(OR($R434="Grass",$R434="Psychic",$R434="Dark"),0-1,IF(OR($R434="Fighting",$R434="Flying",$R434="Fire",$R434="Ghost",$R434="Poison",$R434="Steel",$R434="Fairy"),1,0)),IF(OR($S434="Grass",$S434="Psychic",$S434="Dark"),0-1,IF(OR($S434="Fighting",$S434="Flying",$S434="Fire",$S434="Ghost",$S434="Poison",$S434="Steel",$S434="Fairy"),1,0)))</f>
        <v>-1</v>
      </c>
      <c r="AD434" s="507" t="n">
        <f aca="false">SUM(IF(OR($R434="Ghost",$R434="Psychic"),0-1,IF(OR($R434="Fighting",$R434="Dark",$R434="Fairy"),1,0)),IF(OR($S434="Ghost",$S434="Psychic"),0-1,IF(OR($S434="Fighting",$S434="Dark",$S434="Fairy"),1,0)))</f>
        <v>1</v>
      </c>
      <c r="AE434" s="507" t="n">
        <f aca="false">IF(OR($R434="Fairy",$S434="Fairy"),4,SUM(IF($R434="Dragon",0-1,IF($R434="Steel",1,0)),IF($S434="Dragon",0-1,IF($S434="Steel",1,0))))</f>
        <v>0</v>
      </c>
      <c r="AF434" s="507" t="n">
        <f aca="false">IF(OR($R434="Ground",$S434="Ground"),4,SUM(IF(OR($R434="Flying",$R434="Water"),0-1,IF(OR($R434="Dragon",$R434="Electric",$R434="Grass"),1,0)),IF(OR($S434="Flying",$S434="Water"),0-1,IF(OR($S434="Dragon",$S434="Electric",$S434="Grass"),1,0))))</f>
        <v>0</v>
      </c>
      <c r="AG434" s="507" t="n">
        <f aca="false">SUM(IF(OR($R434="Dark",$R434="Dragon",$R434="Fighting"),0-1,IF(OR($R434="Steel",$R434="Poison",$R434="Fire"),1,0)),IF(OR($S434="Dark",$S434="Dragon",$S434="Fighting"),0-1,IF(OR($S434="Steel",$S434="Poison",$S434="Fire"),1,0)))</f>
        <v>-1</v>
      </c>
      <c r="AH434" s="507" t="n">
        <f aca="false">IF(OR($R434="Ghost",$S434="Ghost"),4,SUM(IF(OR($R434="Dark",$R434="Ice",$R434="Normal",$R434="Rock",$R434="Steel"),0-1,IF(OR($R434="Bug",$R434="Fairy",$R434="Flying",$R434="Poison",$R434="Psychic"),1,0)),IF(OR($S434="Dark",$S434="Ice",$S434="Normal",$S434="Rock",$S434="Steel"),0-1,IF(OR($S434="Bug",$S434="Fairy",$S434="Flying",$S434="Poison",$S434="Psychic"),1,0))))</f>
        <v>-2</v>
      </c>
      <c r="AI434" s="507" t="n">
        <f aca="false">SUM(IF(OR($R434="Bug",$R434="Grass",$R434="Ice",$R434="Steel"),0-1,IF(OR($R434="Dragon",$R434="Fire",$R434="Rock",$R434="Water"),1,0)),IF(OR($S434="Bug",$S434="Grass",$S434="Ice",$S434="Steel"),0-1,IF(OR($S434="Dragon",$S434="Fire",$S434="Rock",$S434="Water"),1,0)))</f>
        <v>-1</v>
      </c>
      <c r="AJ434" s="507" t="n">
        <f aca="false">SUM(IF(OR($R434="Bug",$R434="Grass",$R434="Fighting"),0-1,IF(OR($R434="Electric",$R434="Rock",$R434="Steel"),1,0)),IF(OR($S434="Bug",$S434="Grass",$S434="Fighting"),0-1,IF(OR($S434="Electric",$S434="Rock",$S434="Steel"),1,0)))</f>
        <v>0</v>
      </c>
      <c r="AK434" s="507" t="n">
        <f aca="false">IF(OR($R434="Normal",$S434="Normal"),4,SUM(IF(OR($R434="Ghost",$R434="Psychic"),0-1,IF($R434="Dark",1,0)),IF(OR($S434="Ghost",$S434="Psychic"),0-1,IF($S434="Dark",1,0))))</f>
        <v>1</v>
      </c>
      <c r="AL434" s="507" t="n">
        <f aca="false">SUM(IF(OR($R434="Ground",$R434="Rock",$R434="Water"),0-1,IF(OR($R434="Bug",$R434="Flying",$R434="Fire",$R434="Dragon",$R434="Poison",$R434="Steel",$R434="Grass"),1,0)),IF(OR($S434="Ground",$S434="Rock",$S434="Water"),0-1,IF(OR($S434="Bug",$S434="Flying",$S434="Fire",$S434="Dragon",$S434="Poison",$S434="Steel",$S434="Grass"),1,0)))</f>
        <v>0</v>
      </c>
      <c r="AM434" s="507" t="n">
        <f aca="false">IF(OR($R434="Flying",$S434="Flying"),4,SUM(IF(OR($R434="Electric",$R434="Fire",$R434="Rock",$R434="Steel",$R434="Poison"),0-1,IF(OR($R434="Bug",$R434="Grass"),1,0)),IF(OR($S434="Electric",$S434="Fire",$S434="Rock",$S434="Steel",$S434="Poison"),0-1,IF(OR($S434="Bug",$S434="Grass"),1,0))))</f>
        <v>0</v>
      </c>
      <c r="AN434" s="507" t="n">
        <f aca="false">SUM(IF(OR($R434="Flying",$R434="Dragon",$R434="Grass",$R434="Ground"),0-1,IF(OR($R434="Steel",$R434="Ice",$R434="Fire",$R434="Water"),1,0)),IF(OR($S434="Flying",$S434="Dragon",$S434="Grass",$S434="Ground"),0-1,IF(OR($S434="Steel",$S434="Ice",$S434="Fire",$S434="Water"),1,0)))</f>
        <v>1</v>
      </c>
      <c r="AO434" s="507" t="n">
        <f aca="false">IF(OR($R434="Ghost",$S434="Ghost"),4,SUM(IF(OR($R434="Steel",$R434="Rock"),1,0),IF(OR($S434="Steel",$S434="Rock"),1,0)))</f>
        <v>0</v>
      </c>
      <c r="AP434" s="507" t="n">
        <f aca="false">IF(OR($R434="Steel",$S434="Steel"),4,SUM(IF(OR($R434="Fairy",$R434="Grass"),0-1,IF(OR($R434="Ghost",$R434="Rock",$R434="Ground",$R434="Poison"),1,0)),IF(OR($S434="Fairy",$S434="Grass"),0-1,IF(OR($S434="Ghost",$S434="Rock",$S434="Ground",$S434="Poison"),1,0))))</f>
        <v>0</v>
      </c>
      <c r="AQ434" s="507" t="n">
        <f aca="false">IF(OR($R434="Dark",$S434="Dark"),4,SUM(IF(OR($R434="Fighting",$R434="Poison"),0-1,IF(OR($R434="Psychic",$R434="Steel"),1,0)),IF(OR($S434="Fighting",$S434="Poison"),0-1,IF(OR($S434="Psychic",$S434="Steel"),1,0))))</f>
        <v>4</v>
      </c>
      <c r="AR434" s="507" t="n">
        <f aca="false">SUM(IF(OR($R434="Bug",$R434="Fire",$R434="Flying",$R434="Ice"),0-1,IF(OR($R434="Steel",$R434="Fighting",$R434="Ground"),1,0)),IF(OR($S434="Bug",$S434="Fire",$S434="Flying",$S434="Ice"),0-1,IF(OR($S434="Steel",$S434="Fighting",$S434="Ground"),1,0)))</f>
        <v>-1</v>
      </c>
      <c r="AS434" s="507" t="n">
        <f aca="false">SUM(IF(OR($R434="Fairy",$R434="Ice",$R434="Rock"),0-1,IF(OR($R434="Steel",$R434="Electric",$R434="Fire",$R434="Water"),1,0)),IF(OR($S434="Fairy",$S434="Ice",$S434="Rock"),0-1,IF(OR($S434="Steel",$S434="Electric",$S434="Fire",$S434="Water"),1,0)))</f>
        <v>-1</v>
      </c>
      <c r="AT434" s="508" t="n">
        <f aca="false">SUM(IF(OR($R434="Fire",$R434="Ground",$R434="Rock"),0-1,IF(OR($R434="Dragon",$R434="Grass",$R434="Water"),1,0)),IF(OR($S434="Fire",$S434="Ground",$S434="Rock"),0-1,IF(OR($S434="Dragon",$S434="Grass",$S434="Water"),1,0)))</f>
        <v>0</v>
      </c>
      <c r="AU434" s="518"/>
    </row>
    <row r="435" customFormat="false" ht="15.75" hidden="false" customHeight="false" outlineLevel="0" collapsed="false">
      <c r="A435" s="510" t="str">
        <f aca="false" t="array" ref="A435:A435">IF(ISNA(INDEX(Source!$U$7:$U$95,MATCH(B435,Source!$V$7:$V$95,0))),"FREE",INDEX(Source!$U$7:$U$95,MATCH(B435,Source!$V$7:$V$95,0)))</f>
        <v>FREE</v>
      </c>
      <c r="B435" s="511" t="s">
        <v>574</v>
      </c>
      <c r="C435" s="511"/>
      <c r="D435" s="511"/>
      <c r="E435" s="499" t="str">
        <f aca="false">IF(SUM($W435:$X435)&gt;0,SUM($W435:$X435),IF($H435&gt;0,0,IF($H435&gt;0,0,"-")))</f>
        <v>-</v>
      </c>
      <c r="F435" s="499" t="str">
        <f aca="false">IF(SUM($Y435:$Z435)&gt;0,SUM($Y435:$Z435),IF($H435&gt;0,0,"-"))</f>
        <v>-</v>
      </c>
      <c r="G435" s="499" t="str">
        <f aca="false">IF($H435&gt;0,minus(E435,F435),"-")</f>
        <v>-</v>
      </c>
      <c r="H435" s="500" t="n">
        <f aca="false">SUM(COUNTIF(MatchSource!$A:$A,$B435),COUNTIF(MatchSource!$H:$H,$B435))</f>
        <v>0</v>
      </c>
      <c r="I435" s="501" t="n">
        <f aca="false">SUM($AA435:$AB435)</f>
        <v>0</v>
      </c>
      <c r="J435" s="501" t="s">
        <v>700</v>
      </c>
      <c r="K435" s="512" t="str">
        <f aca="false" t="array" ref="K435:K435">IF(ISNA(INDEX(DraftRosters!$AA$3:$AA$199,MATCH($B435,DraftRosters!$AB$3:$AB$199,0))),"FA",IF(INDEX(DraftRosters!$AA$3:$AA$199,MATCH($B435,DraftRosters!$AB$3:$AB$199,0))="Franchise","Franch",INDEX(DraftRosters!$AA$3:$AA$199,MATCH($B435,DraftRosters!$AB$3:$AB$199,0))))</f>
        <v>FA</v>
      </c>
      <c r="L435" s="507" t="n">
        <v>160</v>
      </c>
      <c r="M435" s="507" t="n">
        <v>110</v>
      </c>
      <c r="N435" s="507" t="n">
        <v>65</v>
      </c>
      <c r="O435" s="507" t="n">
        <v>65</v>
      </c>
      <c r="P435" s="507" t="n">
        <v>110</v>
      </c>
      <c r="Q435" s="508" t="n">
        <v>30</v>
      </c>
      <c r="R435" s="499" t="s">
        <v>839</v>
      </c>
      <c r="S435" s="501"/>
      <c r="T435" s="504" t="s">
        <v>995</v>
      </c>
      <c r="U435" s="505" t="s">
        <v>868</v>
      </c>
      <c r="V435" s="506" t="s">
        <v>981</v>
      </c>
      <c r="W435" s="500" t="str">
        <f aca="false">IFERROR(__xludf.dummyfunction("if(isna(SUM(FILTER(MatchSource!$A:$D,MatchSource!$A:$A=$B435))),0,SUM(FILTER(MatchSource!$A:$D,MatchSource!$A:$A=$B435)))"),"0")</f>
        <v>0</v>
      </c>
      <c r="X435" s="499" t="str">
        <f aca="false">IFERROR(__xludf.dummyfunction("if(isna(SUM(FILTER(MatchSource!$H:$K,MatchSource!$H:$H=$B435))),0,SUM(FILTER(MatchSource!$H:$K,MatchSource!$H:$H=$B435)))"),"0")</f>
        <v>0</v>
      </c>
      <c r="Y435" s="499" t="str">
        <f aca="false">IFERROR(__xludf.dummyfunction("if(isna(ABS(MINUS(SUM(FILTER(MatchSource!$A:$E,MatchSource!$A:$A=$B435)),SUM($W435)))),0,ABS(MINUS(SUM(FILTER(MatchSource!$A:$E,MatchSource!$A:$A=$B435)),SUM($W435))))"),"0")</f>
        <v>0</v>
      </c>
      <c r="Z435" s="499" t="str">
        <f aca="false">IFERROR(__xludf.dummyfunction("if(isna(ABS(MINUS(SUM(FILTER(MatchSource!$H:$L,MatchSource!$H:$H=$B435)),SUM($X435)))),0,ABS(MINUS(SUM(FILTER(MatchSource!$H:$L,MatchSource!$H:$H=$B435)),SUM($X435))))"),"0")</f>
        <v>0</v>
      </c>
      <c r="AA435" s="499" t="str">
        <f aca="false">IFERROR(__xludf.dummyfunction("if(isna(ABS(MINUS(SUM(FILTER(MatchSource!$A:$F,MatchSource!$A:$A=$B435)),SUM($W435,$Y435)))),0,ABS(MINUS(SUM(FILTER(MatchSource!$A:$F,MatchSource!$A:$A=$B435)),SUM($W435, $Y435,))))"),"0")</f>
        <v>0</v>
      </c>
      <c r="AB435" s="501" t="str">
        <f aca="false">IFERROR(__xludf.dummyfunction("if(isna(ABS(MINUS(SUM(FILTER(MatchSource!$H:$M,MatchSource!$H:$H=$B435)),SUM($X435,$Z435)))),0,ABS(MINUS(SUM(FILTER(MatchSource!$H:$M,MatchSource!$H:$H=$B435)),SUM($X435,$Z435))))"),"0")</f>
        <v>0</v>
      </c>
      <c r="AC435" s="507" t="n">
        <f aca="false">SUM(IF(OR($R435="Grass",$R435="Psychic",$R435="Dark"),0-1,IF(OR($R435="Fighting",$R435="Flying",$R435="Fire",$R435="Ghost",$R435="Poison",$R435="Steel",$R435="Fairy"),1,0)),IF(OR($S435="Grass",$S435="Psychic",$S435="Dark"),0-1,IF(OR($S435="Fighting",$S435="Flying",$S435="Fire",$S435="Ghost",$S435="Poison",$S435="Steel",$S435="Fairy"),1,0)))</f>
        <v>0</v>
      </c>
      <c r="AD435" s="507" t="n">
        <f aca="false">SUM(IF(OR($R435="Ghost",$R435="Psychic"),0-1,IF(OR($R435="Fighting",$R435="Dark",$R435="Fairy"),1,0)),IF(OR($S435="Ghost",$S435="Psychic"),0-1,IF(OR($S435="Fighting",$S435="Dark",$S435="Fairy"),1,0)))</f>
        <v>0</v>
      </c>
      <c r="AE435" s="507" t="n">
        <f aca="false">IF(OR($R435="Fairy",$S435="Fairy"),4,SUM(IF($R435="Dragon",0-1,IF($R435="Steel",1,0)),IF($S435="Dragon",0-1,IF($S435="Steel",1,0))))</f>
        <v>0</v>
      </c>
      <c r="AF435" s="507" t="n">
        <f aca="false">IF(OR($R435="Ground",$S435="Ground"),4,SUM(IF(OR($R435="Flying",$R435="Water"),0-1,IF(OR($R435="Dragon",$R435="Electric",$R435="Grass"),1,0)),IF(OR($S435="Flying",$S435="Water"),0-1,IF(OR($S435="Dragon",$S435="Electric",$S435="Grass"),1,0))))</f>
        <v>0</v>
      </c>
      <c r="AG435" s="507" t="n">
        <f aca="false">SUM(IF(OR($R435="Dark",$R435="Dragon",$R435="Fighting"),0-1,IF(OR($R435="Steel",$R435="Poison",$R435="Fire"),1,0)),IF(OR($S435="Dark",$S435="Dragon",$S435="Fighting"),0-1,IF(OR($S435="Steel",$S435="Poison",$S435="Fire"),1,0)))</f>
        <v>0</v>
      </c>
      <c r="AH435" s="507" t="n">
        <f aca="false">IF(OR($R435="Ghost",$S435="Ghost"),4,SUM(IF(OR($R435="Dark",$R435="Ice",$R435="Normal",$R435="Rock",$R435="Steel"),0-1,IF(OR($R435="Bug",$R435="Fairy",$R435="Flying",$R435="Poison",$R435="Psychic"),1,0)),IF(OR($S435="Dark",$S435="Ice",$S435="Normal",$S435="Rock",$S435="Steel"),0-1,IF(OR($S435="Bug",$S435="Fairy",$S435="Flying",$S435="Poison",$S435="Psychic"),1,0))))</f>
        <v>-1</v>
      </c>
      <c r="AI435" s="507" t="n">
        <f aca="false">SUM(IF(OR($R435="Bug",$R435="Grass",$R435="Ice",$R435="Steel"),0-1,IF(OR($R435="Dragon",$R435="Fire",$R435="Rock",$R435="Water"),1,0)),IF(OR($S435="Bug",$S435="Grass",$S435="Ice",$S435="Steel"),0-1,IF(OR($S435="Dragon",$S435="Fire",$S435="Rock",$S435="Water"),1,0)))</f>
        <v>0</v>
      </c>
      <c r="AJ435" s="507" t="n">
        <f aca="false">SUM(IF(OR($R435="Bug",$R435="Grass",$R435="Fighting"),0-1,IF(OR($R435="Electric",$R435="Rock",$R435="Steel"),1,0)),IF(OR($S435="Bug",$S435="Grass",$S435="Fighting"),0-1,IF(OR($S435="Electric",$S435="Rock",$S435="Steel"),1,0)))</f>
        <v>0</v>
      </c>
      <c r="AK435" s="507" t="n">
        <f aca="false">IF(OR($R435="Normal",$S435="Normal"),4,SUM(IF(OR($R435="Ghost",$R435="Psychic"),0-1,IF($R435="Dark",1,0)),IF(OR($S435="Ghost",$S435="Psychic"),0-1,IF($S435="Dark",1,0))))</f>
        <v>4</v>
      </c>
      <c r="AL435" s="507" t="n">
        <f aca="false">SUM(IF(OR($R435="Ground",$R435="Rock",$R435="Water"),0-1,IF(OR($R435="Bug",$R435="Flying",$R435="Fire",$R435="Dragon",$R435="Poison",$R435="Steel",$R435="Grass"),1,0)),IF(OR($S435="Ground",$S435="Rock",$S435="Water"),0-1,IF(OR($S435="Bug",$S435="Flying",$S435="Fire",$S435="Dragon",$S435="Poison",$S435="Steel",$S435="Grass"),1,0)))</f>
        <v>0</v>
      </c>
      <c r="AM435" s="507" t="n">
        <f aca="false">IF(OR($R435="Flying",$S435="Flying"),4,SUM(IF(OR($R435="Electric",$R435="Fire",$R435="Rock",$R435="Steel",$R435="Poison"),0-1,IF(OR($R435="Bug",$R435="Grass"),1,0)),IF(OR($S435="Electric",$S435="Fire",$S435="Rock",$S435="Steel",$S435="Poison"),0-1,IF(OR($S435="Bug",$S435="Grass"),1,0))))</f>
        <v>0</v>
      </c>
      <c r="AN435" s="507" t="n">
        <f aca="false">SUM(IF(OR($R435="Flying",$R435="Dragon",$R435="Grass",$R435="Ground"),0-1,IF(OR($R435="Steel",$R435="Ice",$R435="Fire",$R435="Water"),1,0)),IF(OR($S435="Flying",$S435="Dragon",$S435="Grass",$S435="Ground"),0-1,IF(OR($S435="Steel",$S435="Ice",$S435="Fire",$S435="Water"),1,0)))</f>
        <v>0</v>
      </c>
      <c r="AO435" s="507" t="n">
        <f aca="false">IF(OR($R435="Ghost",$S435="Ghost"),4,SUM(IF(OR($R435="Steel",$R435="Rock"),1,0),IF(OR($S435="Steel",$S435="Rock"),1,0)))</f>
        <v>0</v>
      </c>
      <c r="AP435" s="507" t="n">
        <f aca="false">IF(OR($R435="Steel",$S435="Steel"),4,SUM(IF(OR($R435="Fairy",$R435="Grass"),0-1,IF(OR($R435="Ghost",$R435="Rock",$R435="Ground",$R435="Poison"),1,0)),IF(OR($S435="Fairy",$S435="Grass"),0-1,IF(OR($S435="Ghost",$S435="Rock",$S435="Ground",$S435="Poison"),1,0))))</f>
        <v>0</v>
      </c>
      <c r="AQ435" s="507" t="n">
        <f aca="false">IF(OR($R435="Dark",$S435="Dark"),4,SUM(IF(OR($R435="Fighting",$R435="Poison"),0-1,IF(OR($R435="Psychic",$R435="Steel"),1,0)),IF(OR($S435="Fighting",$S435="Poison"),0-1,IF(OR($S435="Psychic",$S435="Steel"),1,0))))</f>
        <v>0</v>
      </c>
      <c r="AR435" s="507" t="n">
        <f aca="false">SUM(IF(OR($R435="Bug",$R435="Fire",$R435="Flying",$R435="Ice"),0-1,IF(OR($R435="Steel",$R435="Fighting",$R435="Ground"),1,0)),IF(OR($S435="Bug",$S435="Fire",$S435="Flying",$S435="Ice"),0-1,IF(OR($S435="Steel",$S435="Fighting",$S435="Ground"),1,0)))</f>
        <v>0</v>
      </c>
      <c r="AS435" s="507" t="n">
        <f aca="false">SUM(IF(OR($R435="Fairy",$R435="Ice",$R435="Rock"),0-1,IF(OR($R435="Steel",$R435="Electric",$R435="Fire",$R435="Water"),1,0)),IF(OR($S435="Fairy",$S435="Ice",$S435="Rock"),0-1,IF(OR($S435="Steel",$S435="Electric",$S435="Fire",$S435="Water"),1,0)))</f>
        <v>0</v>
      </c>
      <c r="AT435" s="508" t="n">
        <f aca="false">SUM(IF(OR($R435="Fire",$R435="Ground",$R435="Rock"),0-1,IF(OR($R435="Dragon",$R435="Grass",$R435="Water"),1,0)),IF(OR($S435="Fire",$S435="Ground",$S435="Rock"),0-1,IF(OR($S435="Dragon",$S435="Grass",$S435="Water"),1,0)))</f>
        <v>0</v>
      </c>
      <c r="AU435" s="518"/>
    </row>
    <row r="436" customFormat="false" ht="15.75" hidden="false" customHeight="false" outlineLevel="0" collapsed="false">
      <c r="A436" s="510" t="str">
        <f aca="false" t="array" ref="A436:A436">IF(ISNA(INDEX(Source!$U$7:$U$95,MATCH(B436,Source!$V$7:$V$95,0))),"FREE",INDEX(Source!$U$7:$U$95,MATCH(B436,Source!$V$7:$V$95,0)))</f>
        <v>FREE</v>
      </c>
      <c r="B436" s="511" t="s">
        <v>1067</v>
      </c>
      <c r="C436" s="511"/>
      <c r="D436" s="511"/>
      <c r="E436" s="499" t="str">
        <f aca="false">IF(SUM($W436:$X436)&gt;0,SUM($W436:$X436),IF($H436&gt;0,0,IF($H436&gt;0,0,"-")))</f>
        <v>-</v>
      </c>
      <c r="F436" s="499" t="str">
        <f aca="false">IF(SUM($Y436:$Z436)&gt;0,SUM($Y436:$Z436),IF($H436&gt;0,0,"-"))</f>
        <v>-</v>
      </c>
      <c r="G436" s="499" t="str">
        <f aca="false">IF($H436&gt;0,minus(E436,F436),"-")</f>
        <v>-</v>
      </c>
      <c r="H436" s="500" t="n">
        <f aca="false">SUM(COUNTIF(MatchSource!$A:$A,$B436),COUNTIF(MatchSource!$H:$H,$B436))</f>
        <v>0</v>
      </c>
      <c r="I436" s="501" t="n">
        <f aca="false">SUM($AA436:$AB436)</f>
        <v>0</v>
      </c>
      <c r="J436" s="501" t="s">
        <v>888</v>
      </c>
      <c r="K436" s="512" t="str">
        <f aca="false" t="array" ref="K436:K436">IF(ISNA(INDEX(DraftRosters!$AA$3:$AA$199,MATCH($B436,DraftRosters!$AB$3:$AB$199,0))),"FA",IF(INDEX(DraftRosters!$AA$3:$AA$199,MATCH($B436,DraftRosters!$AB$3:$AB$199,0))="Franchise","Franch",INDEX(DraftRosters!$AA$3:$AA$199,MATCH($B436,DraftRosters!$AB$3:$AB$199,0))))</f>
        <v>FA</v>
      </c>
      <c r="L436" s="499" t="n">
        <v>137</v>
      </c>
      <c r="M436" s="499" t="n">
        <v>137</v>
      </c>
      <c r="N436" s="499" t="n">
        <v>107</v>
      </c>
      <c r="O436" s="499" t="n">
        <v>113</v>
      </c>
      <c r="P436" s="499" t="n">
        <v>89</v>
      </c>
      <c r="Q436" s="501" t="n">
        <v>97</v>
      </c>
      <c r="R436" s="499" t="s">
        <v>828</v>
      </c>
      <c r="S436" s="501" t="s">
        <v>810</v>
      </c>
      <c r="T436" s="520" t="s">
        <v>1068</v>
      </c>
      <c r="U436" s="513"/>
      <c r="V436" s="514"/>
      <c r="W436" s="500" t="str">
        <f aca="false">IFERROR(__xludf.dummyfunction("if(isna(SUM(FILTER(MatchSource!$A:$D,MatchSource!$A:$A=$B436))),0,SUM(FILTER(MatchSource!$A:$D,MatchSource!$A:$A=$B436)))"),"0")</f>
        <v>0</v>
      </c>
      <c r="X436" s="499" t="str">
        <f aca="false">IFERROR(__xludf.dummyfunction("if(isna(SUM(FILTER(MatchSource!$H:$K,MatchSource!$H:$H=$B436))),0,SUM(FILTER(MatchSource!$H:$K,MatchSource!$H:$H=$B436)))"),"0")</f>
        <v>0</v>
      </c>
      <c r="Y436" s="499" t="str">
        <f aca="false">IFERROR(__xludf.dummyfunction("if(isna(ABS(MINUS(SUM(FILTER(MatchSource!$A:$E,MatchSource!$A:$A=$B436)),SUM($W436)))),0,ABS(MINUS(SUM(FILTER(MatchSource!$A:$E,MatchSource!$A:$A=$B436)),SUM($W436))))"),"0")</f>
        <v>0</v>
      </c>
      <c r="Z436" s="499" t="str">
        <f aca="false">IFERROR(__xludf.dummyfunction("if(isna(ABS(MINUS(SUM(FILTER(MatchSource!$H:$L,MatchSource!$H:$H=$B436)),SUM($X436)))),0,ABS(MINUS(SUM(FILTER(MatchSource!$H:$L,MatchSource!$H:$H=$B436)),SUM($X436))))"),"0")</f>
        <v>0</v>
      </c>
      <c r="AA436" s="499" t="str">
        <f aca="false">IFERROR(__xludf.dummyfunction("if(isna(ABS(MINUS(SUM(FILTER(MatchSource!$A:$F,MatchSource!$A:$A=$B436)),SUM($W436,$Y436)))),0,ABS(MINUS(SUM(FILTER(MatchSource!$A:$F,MatchSource!$A:$A=$B436)),SUM($W436, $Y436,))))"),"0")</f>
        <v>0</v>
      </c>
      <c r="AB436" s="501" t="str">
        <f aca="false">IFERROR(__xludf.dummyfunction("if(isna(ABS(MINUS(SUM(FILTER(MatchSource!$H:$M,MatchSource!$H:$H=$B436)),SUM($X436,$Z436)))),0,ABS(MINUS(SUM(FILTER(MatchSource!$H:$M,MatchSource!$H:$H=$B436)),SUM($X436,$Z436))))"),"0")</f>
        <v>0</v>
      </c>
      <c r="AC436" s="507" t="n">
        <f aca="false">SUM(IF(OR($R436="Grass",$R436="Psychic",$R436="Dark"),0-1,IF(OR($R436="Fighting",$R436="Flying",$R436="Fire",$R436="Ghost",$R436="Poison",$R436="Steel",$R436="Fairy"),1,0)),IF(OR($S436="Grass",$S436="Psychic",$S436="Dark"),0-1,IF(OR($S436="Fighting",$S436="Flying",$S436="Fire",$S436="Ghost",$S436="Poison",$S436="Steel",$S436="Fairy"),1,0)))</f>
        <v>0</v>
      </c>
      <c r="AD436" s="507" t="n">
        <f aca="false">SUM(IF(OR($R436="Ghost",$R436="Psychic"),0-1,IF(OR($R436="Fighting",$R436="Dark",$R436="Fairy"),1,0)),IF(OR($S436="Ghost",$S436="Psychic"),0-1,IF(OR($S436="Fighting",$S436="Dark",$S436="Fairy"),1,0)))</f>
        <v>-1</v>
      </c>
      <c r="AE436" s="507" t="n">
        <f aca="false">IF(OR($R436="Fairy",$S436="Fairy"),4,SUM(IF($R436="Dragon",0-1,IF($R436="Steel",1,0)),IF($S436="Dragon",0-1,IF($S436="Steel",1,0))))</f>
        <v>1</v>
      </c>
      <c r="AF436" s="507" t="n">
        <f aca="false">IF(OR($R436="Ground",$S436="Ground"),4,SUM(IF(OR($R436="Flying",$R436="Water"),0-1,IF(OR($R436="Dragon",$R436="Electric",$R436="Grass"),1,0)),IF(OR($S436="Flying",$S436="Water"),0-1,IF(OR($S436="Dragon",$S436="Electric",$S436="Grass"),1,0))))</f>
        <v>0</v>
      </c>
      <c r="AG436" s="507" t="n">
        <f aca="false">SUM(IF(OR($R436="Dark",$R436="Dragon",$R436="Fighting"),0-1,IF(OR($R436="Steel",$R436="Poison",$R436="Fire"),1,0)),IF(OR($S436="Dark",$S436="Dragon",$S436="Fighting"),0-1,IF(OR($S436="Steel",$S436="Poison",$S436="Fire"),1,0)))</f>
        <v>1</v>
      </c>
      <c r="AH436" s="507" t="n">
        <f aca="false">IF(OR($R436="Ghost",$S436="Ghost"),4,SUM(IF(OR($R436="Dark",$R436="Ice",$R436="Normal",$R436="Rock",$R436="Steel"),0-1,IF(OR($R436="Bug",$R436="Fairy",$R436="Flying",$R436="Poison",$R436="Psychic"),1,0)),IF(OR($S436="Dark",$S436="Ice",$S436="Normal",$S436="Rock",$S436="Steel"),0-1,IF(OR($S436="Bug",$S436="Fairy",$S436="Flying",$S436="Poison",$S436="Psychic"),1,0))))</f>
        <v>0</v>
      </c>
      <c r="AI436" s="507" t="n">
        <f aca="false">SUM(IF(OR($R436="Bug",$R436="Grass",$R436="Ice",$R436="Steel"),0-1,IF(OR($R436="Dragon",$R436="Fire",$R436="Rock",$R436="Water"),1,0)),IF(OR($S436="Bug",$S436="Grass",$S436="Ice",$S436="Steel"),0-1,IF(OR($S436="Dragon",$S436="Fire",$S436="Rock",$S436="Water"),1,0)))</f>
        <v>-1</v>
      </c>
      <c r="AJ436" s="507" t="n">
        <f aca="false">SUM(IF(OR($R436="Bug",$R436="Grass",$R436="Fighting"),0-1,IF(OR($R436="Electric",$R436="Rock",$R436="Steel"),1,0)),IF(OR($S436="Bug",$S436="Grass",$S436="Fighting"),0-1,IF(OR($S436="Electric",$S436="Rock",$S436="Steel"),1,0)))</f>
        <v>1</v>
      </c>
      <c r="AK436" s="507" t="n">
        <f aca="false">IF(OR($R436="Normal",$S436="Normal"),4,SUM(IF(OR($R436="Ghost",$R436="Psychic"),0-1,IF($R436="Dark",1,0)),IF(OR($S436="Ghost",$S436="Psychic"),0-1,IF($S436="Dark",1,0))))</f>
        <v>-1</v>
      </c>
      <c r="AL436" s="507" t="n">
        <f aca="false">SUM(IF(OR($R436="Ground",$R436="Rock",$R436="Water"),0-1,IF(OR($R436="Bug",$R436="Flying",$R436="Fire",$R436="Dragon",$R436="Poison",$R436="Steel",$R436="Grass"),1,0)),IF(OR($S436="Ground",$S436="Rock",$S436="Water"),0-1,IF(OR($S436="Bug",$S436="Flying",$S436="Fire",$S436="Dragon",$S436="Poison",$S436="Steel",$S436="Grass"),1,0)))</f>
        <v>1</v>
      </c>
      <c r="AM436" s="507" t="n">
        <f aca="false">IF(OR($R436="Flying",$S436="Flying"),4,SUM(IF(OR($R436="Electric",$R436="Fire",$R436="Rock",$R436="Steel",$R436="Poison"),0-1,IF(OR($R436="Bug",$R436="Grass"),1,0)),IF(OR($S436="Electric",$S436="Fire",$S436="Rock",$S436="Steel",$S436="Poison"),0-1,IF(OR($S436="Bug",$S436="Grass"),1,0))))</f>
        <v>-1</v>
      </c>
      <c r="AN436" s="507" t="n">
        <f aca="false">SUM(IF(OR($R436="Flying",$R436="Dragon",$R436="Grass",$R436="Ground"),0-1,IF(OR($R436="Steel",$R436="Ice",$R436="Fire",$R436="Water"),1,0)),IF(OR($S436="Flying",$S436="Dragon",$S436="Grass",$S436="Ground"),0-1,IF(OR($S436="Steel",$S436="Ice",$S436="Fire",$S436="Water"),1,0)))</f>
        <v>1</v>
      </c>
      <c r="AO436" s="507" t="n">
        <f aca="false">IF(OR($R436="Ghost",$S436="Ghost"),4,SUM(IF(OR($R436="Steel",$R436="Rock"),1,0),IF(OR($S436="Steel",$S436="Rock"),1,0)))</f>
        <v>1</v>
      </c>
      <c r="AP436" s="507" t="n">
        <f aca="false">IF(OR($R436="Steel",$S436="Steel"),4,SUM(IF(OR($R436="Fairy",$R436="Grass"),0-1,IF(OR($R436="Ghost",$R436="Rock",$R436="Ground",$R436="Poison"),1,0)),IF(OR($S436="Fairy",$S436="Grass"),0-1,IF(OR($S436="Ghost",$S436="Rock",$S436="Ground",$S436="Poison"),1,0))))</f>
        <v>4</v>
      </c>
      <c r="AQ436" s="507" t="n">
        <f aca="false">IF(OR($R436="Dark",$S436="Dark"),4,SUM(IF(OR($R436="Fighting",$R436="Poison"),0-1,IF(OR($R436="Psychic",$R436="Steel"),1,0)),IF(OR($S436="Fighting",$S436="Poison"),0-1,IF(OR($S436="Psychic",$S436="Steel"),1,0))))</f>
        <v>2</v>
      </c>
      <c r="AR436" s="507" t="n">
        <f aca="false">SUM(IF(OR($R436="Bug",$R436="Fire",$R436="Flying",$R436="Ice"),0-1,IF(OR($R436="Steel",$R436="Fighting",$R436="Ground"),1,0)),IF(OR($S436="Bug",$S436="Fire",$S436="Flying",$S436="Ice"),0-1,IF(OR($S436="Steel",$S436="Fighting",$S436="Ground"),1,0)))</f>
        <v>1</v>
      </c>
      <c r="AS436" s="507" t="n">
        <f aca="false">SUM(IF(OR($R436="Fairy",$R436="Ice",$R436="Rock"),0-1,IF(OR($R436="Steel",$R436="Electric",$R436="Fire",$R436="Water"),1,0)),IF(OR($S436="Fairy",$S436="Ice",$S436="Rock"),0-1,IF(OR($S436="Steel",$S436="Electric",$S436="Fire",$S436="Water"),1,0)))</f>
        <v>1</v>
      </c>
      <c r="AT436" s="508" t="n">
        <f aca="false">SUM(IF(OR($R436="Fire",$R436="Ground",$R436="Rock"),0-1,IF(OR($R436="Dragon",$R436="Grass",$R436="Water"),1,0)),IF(OR($S436="Fire",$S436="Ground",$S436="Rock"),0-1,IF(OR($S436="Dragon",$S436="Grass",$S436="Water"),1,0)))</f>
        <v>0</v>
      </c>
      <c r="AU436" s="518"/>
    </row>
    <row r="437" customFormat="false" ht="15.75" hidden="false" customHeight="false" outlineLevel="0" collapsed="false">
      <c r="A437" s="515" t="str">
        <f aca="false" t="array" ref="A437:A437">IF(ISNA(INDEX(Source!$U$7:$U$95,MATCH(B437,Source!$V$7:$V$95,0))),"FREE",INDEX(Source!$U$7:$U$95,MATCH(B437,Source!$V$7:$V$95,0)))</f>
        <v>FREE</v>
      </c>
      <c r="B437" s="511" t="s">
        <v>599</v>
      </c>
      <c r="C437" s="511"/>
      <c r="D437" s="511"/>
      <c r="E437" s="499" t="str">
        <f aca="false">IF(SUM($W437:$X437)&gt;0,SUM($W437:$X437),IF($H437&gt;0,0,IF($H437&gt;0,0,"-")))</f>
        <v>-</v>
      </c>
      <c r="F437" s="499" t="str">
        <f aca="false">IF(SUM($Y437:$Z437)&gt;0,SUM($Y437:$Z437),IF($H437&gt;0,0,"-"))</f>
        <v>-</v>
      </c>
      <c r="G437" s="499" t="str">
        <f aca="false">IF($H437&gt;0,minus(E437,F437),"-")</f>
        <v>-</v>
      </c>
      <c r="H437" s="500" t="n">
        <f aca="false">SUM(COUNTIF(MatchSource!$A:$A,$B437),COUNTIF(MatchSource!$H:$H,$B437))</f>
        <v>0</v>
      </c>
      <c r="I437" s="501" t="n">
        <f aca="false">SUM($AA437:$AB437)</f>
        <v>0</v>
      </c>
      <c r="J437" s="501" t="s">
        <v>702</v>
      </c>
      <c r="K437" s="512" t="str">
        <f aca="false" t="array" ref="K437:K437">IF(ISNA(INDEX(DraftRosters!$AA$3:$AA$199,MATCH($B437,DraftRosters!$AB$3:$AB$199,0))),"FA",IF(INDEX(DraftRosters!$AA$3:$AA$199,MATCH($B437,DraftRosters!$AB$3:$AB$199,0))="Franchise","Franch",INDEX(DraftRosters!$AA$3:$AA$199,MATCH($B437,DraftRosters!$AB$3:$AB$199,0))))</f>
        <v>FA</v>
      </c>
      <c r="L437" s="499" t="n">
        <v>90</v>
      </c>
      <c r="M437" s="499" t="n">
        <v>95</v>
      </c>
      <c r="N437" s="499" t="n">
        <v>85</v>
      </c>
      <c r="O437" s="499" t="n">
        <v>55</v>
      </c>
      <c r="P437" s="499" t="n">
        <v>65</v>
      </c>
      <c r="Q437" s="501" t="n">
        <v>70</v>
      </c>
      <c r="R437" s="499" t="s">
        <v>828</v>
      </c>
      <c r="S437" s="501" t="s">
        <v>809</v>
      </c>
      <c r="T437" s="504" t="s">
        <v>866</v>
      </c>
      <c r="U437" s="505"/>
      <c r="V437" s="506"/>
      <c r="W437" s="500" t="str">
        <f aca="false">IFERROR(__xludf.dummyfunction("if(isna(SUM(FILTER(MatchSource!$A:$D,MatchSource!$A:$A=$B437))),0,SUM(FILTER(MatchSource!$A:$D,MatchSource!$A:$A=$B437)))"),"0")</f>
        <v>0</v>
      </c>
      <c r="X437" s="499" t="str">
        <f aca="false">IFERROR(__xludf.dummyfunction("if(isna(SUM(FILTER(MatchSource!$H:$K,MatchSource!$H:$H=$B437))),0,SUM(FILTER(MatchSource!$H:$K,MatchSource!$H:$H=$B437)))"),"0")</f>
        <v>0</v>
      </c>
      <c r="Y437" s="499" t="str">
        <f aca="false">IFERROR(__xludf.dummyfunction("if(isna(ABS(MINUS(SUM(FILTER(MatchSource!$A:$E,MatchSource!$A:$A=$B437)),SUM($W437)))),0,ABS(MINUS(SUM(FILTER(MatchSource!$A:$E,MatchSource!$A:$A=$B437)),SUM($W437))))"),"0")</f>
        <v>0</v>
      </c>
      <c r="Z437" s="499" t="str">
        <f aca="false">IFERROR(__xludf.dummyfunction("if(isna(ABS(MINUS(SUM(FILTER(MatchSource!$H:$L,MatchSource!$H:$H=$B437)),SUM($X437)))),0,ABS(MINUS(SUM(FILTER(MatchSource!$H:$L,MatchSource!$H:$H=$B437)),SUM($X437))))"),"0")</f>
        <v>0</v>
      </c>
      <c r="AA437" s="499" t="str">
        <f aca="false">IFERROR(__xludf.dummyfunction("if(isna(ABS(MINUS(SUM(FILTER(MatchSource!$A:$F,MatchSource!$A:$A=$B437)),SUM($W437,$Y437)))),0,ABS(MINUS(SUM(FILTER(MatchSource!$A:$F,MatchSource!$A:$A=$B437)),SUM($W437, $Y437,))))"),"0")</f>
        <v>0</v>
      </c>
      <c r="AB437" s="501" t="str">
        <f aca="false">IFERROR(__xludf.dummyfunction("if(isna(ABS(MINUS(SUM(FILTER(MatchSource!$H:$M,MatchSource!$H:$H=$B437)),SUM($X437,$Z437)))),0,ABS(MINUS(SUM(FILTER(MatchSource!$H:$M,MatchSource!$H:$H=$B437)),SUM($X437,$Z437))))"),"0")</f>
        <v>0</v>
      </c>
      <c r="AC437" s="507" t="n">
        <f aca="false">SUM(IF(OR($R437="Grass",$R437="Psychic",$R437="Dark"),0-1,IF(OR($R437="Fighting",$R437="Flying",$R437="Fire",$R437="Ghost",$R437="Poison",$R437="Steel",$R437="Fairy"),1,0)),IF(OR($S437="Grass",$S437="Psychic",$S437="Dark"),0-1,IF(OR($S437="Fighting",$S437="Flying",$S437="Fire",$S437="Ghost",$S437="Poison",$S437="Steel",$S437="Fairy"),1,0)))</f>
        <v>-1</v>
      </c>
      <c r="AD437" s="507" t="n">
        <f aca="false">SUM(IF(OR($R437="Ghost",$R437="Psychic"),0-1,IF(OR($R437="Fighting",$R437="Dark",$R437="Fairy"),1,0)),IF(OR($S437="Ghost",$S437="Psychic"),0-1,IF(OR($S437="Fighting",$S437="Dark",$S437="Fairy"),1,0)))</f>
        <v>-1</v>
      </c>
      <c r="AE437" s="507" t="n">
        <f aca="false">IF(OR($R437="Fairy",$S437="Fairy"),4,SUM(IF($R437="Dragon",0-1,IF($R437="Steel",1,0)),IF($S437="Dragon",0-1,IF($S437="Steel",1,0))))</f>
        <v>0</v>
      </c>
      <c r="AF437" s="507" t="n">
        <f aca="false">IF(OR($R437="Ground",$S437="Ground"),4,SUM(IF(OR($R437="Flying",$R437="Water"),0-1,IF(OR($R437="Dragon",$R437="Electric",$R437="Grass"),1,0)),IF(OR($S437="Flying",$S437="Water"),0-1,IF(OR($S437="Dragon",$S437="Electric",$S437="Grass"),1,0))))</f>
        <v>0</v>
      </c>
      <c r="AG437" s="507" t="n">
        <f aca="false">SUM(IF(OR($R437="Dark",$R437="Dragon",$R437="Fighting"),0-1,IF(OR($R437="Steel",$R437="Poison",$R437="Fire"),1,0)),IF(OR($S437="Dark",$S437="Dragon",$S437="Fighting"),0-1,IF(OR($S437="Steel",$S437="Poison",$S437="Fire"),1,0)))</f>
        <v>0</v>
      </c>
      <c r="AH437" s="507" t="n">
        <f aca="false">IF(OR($R437="Ghost",$S437="Ghost"),4,SUM(IF(OR($R437="Dark",$R437="Ice",$R437="Normal",$R437="Rock",$R437="Steel"),0-1,IF(OR($R437="Bug",$R437="Fairy",$R437="Flying",$R437="Poison",$R437="Psychic"),1,0)),IF(OR($S437="Dark",$S437="Ice",$S437="Normal",$S437="Rock",$S437="Steel"),0-1,IF(OR($S437="Bug",$S437="Fairy",$S437="Flying",$S437="Poison",$S437="Psychic"),1,0))))</f>
        <v>0</v>
      </c>
      <c r="AI437" s="507" t="n">
        <f aca="false">SUM(IF(OR($R437="Bug",$R437="Grass",$R437="Ice",$R437="Steel"),0-1,IF(OR($R437="Dragon",$R437="Fire",$R437="Rock",$R437="Water"),1,0)),IF(OR($S437="Bug",$S437="Grass",$S437="Ice",$S437="Steel"),0-1,IF(OR($S437="Dragon",$S437="Fire",$S437="Rock",$S437="Water"),1,0)))</f>
        <v>1</v>
      </c>
      <c r="AJ437" s="507" t="n">
        <f aca="false">SUM(IF(OR($R437="Bug",$R437="Grass",$R437="Fighting"),0-1,IF(OR($R437="Electric",$R437="Rock",$R437="Steel"),1,0)),IF(OR($S437="Bug",$S437="Grass",$S437="Fighting"),0-1,IF(OR($S437="Electric",$S437="Rock",$S437="Steel"),1,0)))</f>
        <v>1</v>
      </c>
      <c r="AK437" s="507" t="n">
        <f aca="false">IF(OR($R437="Normal",$S437="Normal"),4,SUM(IF(OR($R437="Ghost",$R437="Psychic"),0-1,IF($R437="Dark",1,0)),IF(OR($S437="Ghost",$S437="Psychic"),0-1,IF($S437="Dark",1,0))))</f>
        <v>-1</v>
      </c>
      <c r="AL437" s="507" t="n">
        <f aca="false">SUM(IF(OR($R437="Ground",$R437="Rock",$R437="Water"),0-1,IF(OR($R437="Bug",$R437="Flying",$R437="Fire",$R437="Dragon",$R437="Poison",$R437="Steel",$R437="Grass"),1,0)),IF(OR($S437="Ground",$S437="Rock",$S437="Water"),0-1,IF(OR($S437="Bug",$S437="Flying",$S437="Fire",$S437="Dragon",$S437="Poison",$S437="Steel",$S437="Grass"),1,0)))</f>
        <v>-1</v>
      </c>
      <c r="AM437" s="507" t="n">
        <f aca="false">IF(OR($R437="Flying",$S437="Flying"),4,SUM(IF(OR($R437="Electric",$R437="Fire",$R437="Rock",$R437="Steel",$R437="Poison"),0-1,IF(OR($R437="Bug",$R437="Grass"),1,0)),IF(OR($S437="Electric",$S437="Fire",$S437="Rock",$S437="Steel",$S437="Poison"),0-1,IF(OR($S437="Bug",$S437="Grass"),1,0))))</f>
        <v>-1</v>
      </c>
      <c r="AN437" s="507" t="n">
        <f aca="false">SUM(IF(OR($R437="Flying",$R437="Dragon",$R437="Grass",$R437="Ground"),0-1,IF(OR($R437="Steel",$R437="Ice",$R437="Fire",$R437="Water"),1,0)),IF(OR($S437="Flying",$S437="Dragon",$S437="Grass",$S437="Ground"),0-1,IF(OR($S437="Steel",$S437="Ice",$S437="Fire",$S437="Water"),1,0)))</f>
        <v>0</v>
      </c>
      <c r="AO437" s="507" t="n">
        <f aca="false">IF(OR($R437="Ghost",$S437="Ghost"),4,SUM(IF(OR($R437="Steel",$R437="Rock"),1,0),IF(OR($S437="Steel",$S437="Rock"),1,0)))</f>
        <v>1</v>
      </c>
      <c r="AP437" s="507" t="n">
        <f aca="false">IF(OR($R437="Steel",$S437="Steel"),4,SUM(IF(OR($R437="Fairy",$R437="Grass"),0-1,IF(OR($R437="Ghost",$R437="Rock",$R437="Ground",$R437="Poison"),1,0)),IF(OR($S437="Fairy",$S437="Grass"),0-1,IF(OR($S437="Ghost",$S437="Rock",$S437="Ground",$S437="Poison"),1,0))))</f>
        <v>1</v>
      </c>
      <c r="AQ437" s="507" t="n">
        <f aca="false">IF(OR($R437="Dark",$S437="Dark"),4,SUM(IF(OR($R437="Fighting",$R437="Poison"),0-1,IF(OR($R437="Psychic",$R437="Steel"),1,0)),IF(OR($S437="Fighting",$S437="Poison"),0-1,IF(OR($S437="Psychic",$S437="Steel"),1,0))))</f>
        <v>1</v>
      </c>
      <c r="AR437" s="507" t="n">
        <f aca="false">SUM(IF(OR($R437="Bug",$R437="Fire",$R437="Flying",$R437="Ice"),0-1,IF(OR($R437="Steel",$R437="Fighting",$R437="Ground"),1,0)),IF(OR($S437="Bug",$S437="Fire",$S437="Flying",$S437="Ice"),0-1,IF(OR($S437="Steel",$S437="Fighting",$S437="Ground"),1,0)))</f>
        <v>0</v>
      </c>
      <c r="AS437" s="507" t="n">
        <f aca="false">SUM(IF(OR($R437="Fairy",$R437="Ice",$R437="Rock"),0-1,IF(OR($R437="Steel",$R437="Electric",$R437="Fire",$R437="Water"),1,0)),IF(OR($S437="Fairy",$S437="Ice",$S437="Rock"),0-1,IF(OR($S437="Steel",$S437="Electric",$S437="Fire",$S437="Water"),1,0)))</f>
        <v>-1</v>
      </c>
      <c r="AT437" s="508" t="n">
        <f aca="false">SUM(IF(OR($R437="Fire",$R437="Ground",$R437="Rock"),0-1,IF(OR($R437="Dragon",$R437="Grass",$R437="Water"),1,0)),IF(OR($S437="Fire",$S437="Ground",$S437="Rock"),0-1,IF(OR($S437="Dragon",$S437="Grass",$S437="Water"),1,0)))</f>
        <v>-1</v>
      </c>
      <c r="AU437" s="518"/>
    </row>
    <row r="438" customFormat="false" ht="15.75" hidden="false" customHeight="false" outlineLevel="0" collapsed="false">
      <c r="A438" s="515" t="str">
        <f aca="false" t="array" ref="A438:A438">IF(ISNA(INDEX(Source!$U$7:$U$95,MATCH(B438,Source!$V$7:$V$95,0))),"FREE",INDEX(Source!$U$7:$U$95,MATCH(B438,Source!$V$7:$V$95,0)))</f>
        <v>FREE</v>
      </c>
      <c r="B438" s="511" t="s">
        <v>602</v>
      </c>
      <c r="C438" s="511"/>
      <c r="D438" s="511"/>
      <c r="E438" s="499" t="str">
        <f aca="false">IF(SUM($W438:$X438)&gt;0,SUM($W438:$X438),IF($H438&gt;0,0,IF($H438&gt;0,0,"-")))</f>
        <v>-</v>
      </c>
      <c r="F438" s="499" t="str">
        <f aca="false">IF(SUM($Y438:$Z438)&gt;0,SUM($Y438:$Z438),IF($H438&gt;0,0,"-"))</f>
        <v>-</v>
      </c>
      <c r="G438" s="499" t="str">
        <f aca="false">IF($H438&gt;0,minus(E438,F438),"-")</f>
        <v>-</v>
      </c>
      <c r="H438" s="500" t="n">
        <f aca="false">SUM(COUNTIF(MatchSource!$A:$A,$B438),COUNTIF(MatchSource!$H:$H,$B438))</f>
        <v>0</v>
      </c>
      <c r="I438" s="501" t="n">
        <f aca="false">SUM($AA438:$AB438)</f>
        <v>0</v>
      </c>
      <c r="J438" s="501" t="s">
        <v>702</v>
      </c>
      <c r="K438" s="512" t="str">
        <f aca="false" t="array" ref="K438:K438">IF(ISNA(INDEX(DraftRosters!$AA$3:$AA$199,MATCH($B438,DraftRosters!$AB$3:$AB$199,0))),"FA",IF(INDEX(DraftRosters!$AA$3:$AA$199,MATCH($B438,DraftRosters!$AB$3:$AB$199,0))="Franchise","Franch",INDEX(DraftRosters!$AA$3:$AA$199,MATCH($B438,DraftRosters!$AB$3:$AB$199,0))))</f>
        <v>FA</v>
      </c>
      <c r="L438" s="499" t="n">
        <v>60</v>
      </c>
      <c r="M438" s="499" t="n">
        <v>60</v>
      </c>
      <c r="N438" s="499" t="n">
        <v>60</v>
      </c>
      <c r="O438" s="499" t="n">
        <v>60</v>
      </c>
      <c r="P438" s="499" t="n">
        <v>60</v>
      </c>
      <c r="Q438" s="501" t="n">
        <v>60</v>
      </c>
      <c r="R438" s="499" t="s">
        <v>839</v>
      </c>
      <c r="S438" s="501"/>
      <c r="T438" s="504" t="s">
        <v>1019</v>
      </c>
      <c r="U438" s="505" t="s">
        <v>918</v>
      </c>
      <c r="V438" s="506" t="s">
        <v>865</v>
      </c>
      <c r="W438" s="500" t="str">
        <f aca="false">IFERROR(__xludf.dummyfunction("if(isna(SUM(FILTER(MatchSource!$A:$D,MatchSource!$A:$A=$B438))),0,SUM(FILTER(MatchSource!$A:$D,MatchSource!$A:$A=$B438)))"),"0")</f>
        <v>0</v>
      </c>
      <c r="X438" s="499" t="str">
        <f aca="false">IFERROR(__xludf.dummyfunction("if(isna(SUM(FILTER(MatchSource!$H:$K,MatchSource!$H:$H=$B438))),0,SUM(FILTER(MatchSource!$H:$K,MatchSource!$H:$H=$B438)))"),"0")</f>
        <v>0</v>
      </c>
      <c r="Y438" s="499" t="str">
        <f aca="false">IFERROR(__xludf.dummyfunction("if(isna(ABS(MINUS(SUM(FILTER(MatchSource!$A:$E,MatchSource!$A:$A=$B438)),SUM($W438)))),0,ABS(MINUS(SUM(FILTER(MatchSource!$A:$E,MatchSource!$A:$A=$B438)),SUM($W438))))"),"0")</f>
        <v>0</v>
      </c>
      <c r="Z438" s="499" t="str">
        <f aca="false">IFERROR(__xludf.dummyfunction("if(isna(ABS(MINUS(SUM(FILTER(MatchSource!$H:$L,MatchSource!$H:$H=$B438)),SUM($X438)))),0,ABS(MINUS(SUM(FILTER(MatchSource!$H:$L,MatchSource!$H:$H=$B438)),SUM($X438))))"),"0")</f>
        <v>0</v>
      </c>
      <c r="AA438" s="499" t="str">
        <f aca="false">IFERROR(__xludf.dummyfunction("if(isna(ABS(MINUS(SUM(FILTER(MatchSource!$A:$F,MatchSource!$A:$A=$B438)),SUM($W438,$Y438)))),0,ABS(MINUS(SUM(FILTER(MatchSource!$A:$F,MatchSource!$A:$A=$B438)),SUM($W438, $Y438,))))"),"0")</f>
        <v>0</v>
      </c>
      <c r="AB438" s="501" t="str">
        <f aca="false">IFERROR(__xludf.dummyfunction("if(isna(ABS(MINUS(SUM(FILTER(MatchSource!$H:$M,MatchSource!$H:$H=$B438)),SUM($X438,$Z438)))),0,ABS(MINUS(SUM(FILTER(MatchSource!$H:$M,MatchSource!$H:$H=$B438)),SUM($X438,$Z438))))"),"0")</f>
        <v>0</v>
      </c>
      <c r="AC438" s="507" t="n">
        <f aca="false">SUM(IF(OR($R438="Grass",$R438="Psychic",$R438="Dark"),0-1,IF(OR($R438="Fighting",$R438="Flying",$R438="Fire",$R438="Ghost",$R438="Poison",$R438="Steel",$R438="Fairy"),1,0)),IF(OR($S438="Grass",$S438="Psychic",$S438="Dark"),0-1,IF(OR($S438="Fighting",$S438="Flying",$S438="Fire",$S438="Ghost",$S438="Poison",$S438="Steel",$S438="Fairy"),1,0)))</f>
        <v>0</v>
      </c>
      <c r="AD438" s="507" t="n">
        <f aca="false">SUM(IF(OR($R438="Ghost",$R438="Psychic"),0-1,IF(OR($R438="Fighting",$R438="Dark",$R438="Fairy"),1,0)),IF(OR($S438="Ghost",$S438="Psychic"),0-1,IF(OR($S438="Fighting",$S438="Dark",$S438="Fairy"),1,0)))</f>
        <v>0</v>
      </c>
      <c r="AE438" s="507" t="n">
        <f aca="false">IF(OR($R438="Fairy",$S438="Fairy"),4,SUM(IF($R438="Dragon",0-1,IF($R438="Steel",1,0)),IF($S438="Dragon",0-1,IF($S438="Steel",1,0))))</f>
        <v>0</v>
      </c>
      <c r="AF438" s="507" t="n">
        <f aca="false">IF(OR($R438="Ground",$S438="Ground"),4,SUM(IF(OR($R438="Flying",$R438="Water"),0-1,IF(OR($R438="Dragon",$R438="Electric",$R438="Grass"),1,0)),IF(OR($S438="Flying",$S438="Water"),0-1,IF(OR($S438="Dragon",$S438="Electric",$S438="Grass"),1,0))))</f>
        <v>0</v>
      </c>
      <c r="AG438" s="507" t="n">
        <f aca="false">SUM(IF(OR($R438="Dark",$R438="Dragon",$R438="Fighting"),0-1,IF(OR($R438="Steel",$R438="Poison",$R438="Fire"),1,0)),IF(OR($S438="Dark",$S438="Dragon",$S438="Fighting"),0-1,IF(OR($S438="Steel",$S438="Poison",$S438="Fire"),1,0)))</f>
        <v>0</v>
      </c>
      <c r="AH438" s="507" t="n">
        <f aca="false">IF(OR($R438="Ghost",$S438="Ghost"),4,SUM(IF(OR($R438="Dark",$R438="Ice",$R438="Normal",$R438="Rock",$R438="Steel"),0-1,IF(OR($R438="Bug",$R438="Fairy",$R438="Flying",$R438="Poison",$R438="Psychic"),1,0)),IF(OR($S438="Dark",$S438="Ice",$S438="Normal",$S438="Rock",$S438="Steel"),0-1,IF(OR($S438="Bug",$S438="Fairy",$S438="Flying",$S438="Poison",$S438="Psychic"),1,0))))</f>
        <v>-1</v>
      </c>
      <c r="AI438" s="507" t="n">
        <f aca="false">SUM(IF(OR($R438="Bug",$R438="Grass",$R438="Ice",$R438="Steel"),0-1,IF(OR($R438="Dragon",$R438="Fire",$R438="Rock",$R438="Water"),1,0)),IF(OR($S438="Bug",$S438="Grass",$S438="Ice",$S438="Steel"),0-1,IF(OR($S438="Dragon",$S438="Fire",$S438="Rock",$S438="Water"),1,0)))</f>
        <v>0</v>
      </c>
      <c r="AJ438" s="507" t="n">
        <f aca="false">SUM(IF(OR($R438="Bug",$R438="Grass",$R438="Fighting"),0-1,IF(OR($R438="Electric",$R438="Rock",$R438="Steel"),1,0)),IF(OR($S438="Bug",$S438="Grass",$S438="Fighting"),0-1,IF(OR($S438="Electric",$S438="Rock",$S438="Steel"),1,0)))</f>
        <v>0</v>
      </c>
      <c r="AK438" s="507" t="n">
        <f aca="false">IF(OR($R438="Normal",$S438="Normal"),4,SUM(IF(OR($R438="Ghost",$R438="Psychic"),0-1,IF($R438="Dark",1,0)),IF(OR($S438="Ghost",$S438="Psychic"),0-1,IF($S438="Dark",1,0))))</f>
        <v>4</v>
      </c>
      <c r="AL438" s="507" t="n">
        <f aca="false">SUM(IF(OR($R438="Ground",$R438="Rock",$R438="Water"),0-1,IF(OR($R438="Bug",$R438="Flying",$R438="Fire",$R438="Dragon",$R438="Poison",$R438="Steel",$R438="Grass"),1,0)),IF(OR($S438="Ground",$S438="Rock",$S438="Water"),0-1,IF(OR($S438="Bug",$S438="Flying",$S438="Fire",$S438="Dragon",$S438="Poison",$S438="Steel",$S438="Grass"),1,0)))</f>
        <v>0</v>
      </c>
      <c r="AM438" s="507" t="n">
        <f aca="false">IF(OR($R438="Flying",$S438="Flying"),4,SUM(IF(OR($R438="Electric",$R438="Fire",$R438="Rock",$R438="Steel",$R438="Poison"),0-1,IF(OR($R438="Bug",$R438="Grass"),1,0)),IF(OR($S438="Electric",$S438="Fire",$S438="Rock",$S438="Steel",$S438="Poison"),0-1,IF(OR($S438="Bug",$S438="Grass"),1,0))))</f>
        <v>0</v>
      </c>
      <c r="AN438" s="507" t="n">
        <f aca="false">SUM(IF(OR($R438="Flying",$R438="Dragon",$R438="Grass",$R438="Ground"),0-1,IF(OR($R438="Steel",$R438="Ice",$R438="Fire",$R438="Water"),1,0)),IF(OR($S438="Flying",$S438="Dragon",$S438="Grass",$S438="Ground"),0-1,IF(OR($S438="Steel",$S438="Ice",$S438="Fire",$S438="Water"),1,0)))</f>
        <v>0</v>
      </c>
      <c r="AO438" s="507" t="n">
        <f aca="false">IF(OR($R438="Ghost",$S438="Ghost"),4,SUM(IF(OR($R438="Steel",$R438="Rock"),1,0),IF(OR($S438="Steel",$S438="Rock"),1,0)))</f>
        <v>0</v>
      </c>
      <c r="AP438" s="507" t="n">
        <f aca="false">IF(OR($R438="Steel",$S438="Steel"),4,SUM(IF(OR($R438="Fairy",$R438="Grass"),0-1,IF(OR($R438="Ghost",$R438="Rock",$R438="Ground",$R438="Poison"),1,0)),IF(OR($S438="Fairy",$S438="Grass"),0-1,IF(OR($S438="Ghost",$S438="Rock",$S438="Ground",$S438="Poison"),1,0))))</f>
        <v>0</v>
      </c>
      <c r="AQ438" s="507" t="n">
        <f aca="false">IF(OR($R438="Dark",$S438="Dark"),4,SUM(IF(OR($R438="Fighting",$R438="Poison"),0-1,IF(OR($R438="Psychic",$R438="Steel"),1,0)),IF(OR($S438="Fighting",$S438="Poison"),0-1,IF(OR($S438="Psychic",$S438="Steel"),1,0))))</f>
        <v>0</v>
      </c>
      <c r="AR438" s="507" t="n">
        <f aca="false">SUM(IF(OR($R438="Bug",$R438="Fire",$R438="Flying",$R438="Ice"),0-1,IF(OR($R438="Steel",$R438="Fighting",$R438="Ground"),1,0)),IF(OR($S438="Bug",$S438="Fire",$S438="Flying",$S438="Ice"),0-1,IF(OR($S438="Steel",$S438="Fighting",$S438="Ground"),1,0)))</f>
        <v>0</v>
      </c>
      <c r="AS438" s="507" t="n">
        <f aca="false">SUM(IF(OR($R438="Fairy",$R438="Ice",$R438="Rock"),0-1,IF(OR($R438="Steel",$R438="Electric",$R438="Fire",$R438="Water"),1,0)),IF(OR($S438="Fairy",$S438="Ice",$S438="Rock"),0-1,IF(OR($S438="Steel",$S438="Electric",$S438="Fire",$S438="Water"),1,0)))</f>
        <v>0</v>
      </c>
      <c r="AT438" s="508" t="n">
        <f aca="false">SUM(IF(OR($R438="Fire",$R438="Ground",$R438="Rock"),0-1,IF(OR($R438="Dragon",$R438="Grass",$R438="Water"),1,0)),IF(OR($S438="Fire",$S438="Ground",$S438="Rock"),0-1,IF(OR($S438="Dragon",$S438="Grass",$S438="Water"),1,0)))</f>
        <v>0</v>
      </c>
      <c r="AU438" s="518"/>
    </row>
    <row r="439" customFormat="false" ht="15.75" hidden="false" customHeight="false" outlineLevel="0" collapsed="false">
      <c r="A439" s="536" t="str">
        <f aca="false" t="array" ref="A439:A439">IF(ISNA(INDEX(Source!$U$7:$U$95,MATCH(B439,Source!$V$7:$V$95,0))),"FREE",INDEX(Source!$U$7:$U$95,MATCH(B439,Source!$V$7:$V$95,0)))</f>
        <v>FREE</v>
      </c>
      <c r="B439" s="511" t="s">
        <v>652</v>
      </c>
      <c r="C439" s="511"/>
      <c r="D439" s="511"/>
      <c r="E439" s="499" t="str">
        <f aca="false">IF(SUM($W439:$X439)&gt;0,SUM($W439:$X439),IF($H439&gt;0,0,IF($H439&gt;0,0,"-")))</f>
        <v>-</v>
      </c>
      <c r="F439" s="499" t="str">
        <f aca="false">IF(SUM($Y439:$Z439)&gt;0,SUM($Y439:$Z439),IF($H439&gt;0,0,"-"))</f>
        <v>-</v>
      </c>
      <c r="G439" s="499" t="str">
        <f aca="false">IF($H439&gt;0,minus(E439,F439),"-")</f>
        <v>-</v>
      </c>
      <c r="H439" s="500" t="n">
        <f aca="false">SUM(COUNTIF(MatchSource!$A:$A,$B439),COUNTIF(MatchSource!$H:$H,$B439))</f>
        <v>0</v>
      </c>
      <c r="I439" s="501" t="n">
        <f aca="false">SUM($AA439:$AB439)</f>
        <v>0</v>
      </c>
      <c r="J439" s="501" t="s">
        <v>701</v>
      </c>
      <c r="K439" s="512" t="str">
        <f aca="false" t="array" ref="K439:K439">IF(ISNA(INDEX(DraftRosters!$AA$3:$AA$199,MATCH($B439,DraftRosters!$AB$3:$AB$199,0))),"FA",IF(INDEX(DraftRosters!$AA$3:$AA$199,MATCH($B439,DraftRosters!$AB$3:$AB$199,0))="Franchise","Franch",INDEX(DraftRosters!$AA$3:$AA$199,MATCH($B439,DraftRosters!$AB$3:$AB$199,0))))</f>
        <v>FA</v>
      </c>
      <c r="L439" s="499" t="n">
        <v>50</v>
      </c>
      <c r="M439" s="499" t="n">
        <v>92</v>
      </c>
      <c r="N439" s="499" t="n">
        <v>108</v>
      </c>
      <c r="O439" s="499" t="n">
        <v>92</v>
      </c>
      <c r="P439" s="499" t="n">
        <v>108</v>
      </c>
      <c r="Q439" s="501" t="n">
        <v>35</v>
      </c>
      <c r="R439" s="499" t="s">
        <v>795</v>
      </c>
      <c r="S439" s="501" t="s">
        <v>802</v>
      </c>
      <c r="T439" s="504" t="s">
        <v>914</v>
      </c>
      <c r="U439" s="505" t="s">
        <v>816</v>
      </c>
      <c r="V439" s="506"/>
      <c r="W439" s="500" t="str">
        <f aca="false">IFERROR(__xludf.dummyfunction("if(isna(SUM(FILTER(MatchSource!$A:$D,MatchSource!$A:$A=$B439))),0,SUM(FILTER(MatchSource!$A:$D,MatchSource!$A:$A=$B439)))"),"0")</f>
        <v>0</v>
      </c>
      <c r="X439" s="499" t="str">
        <f aca="false">IFERROR(__xludf.dummyfunction("if(isna(SUM(FILTER(MatchSource!$H:$K,MatchSource!$H:$H=$B439))),0,SUM(FILTER(MatchSource!$H:$K,MatchSource!$H:$H=$B439)))"),"0")</f>
        <v>0</v>
      </c>
      <c r="Y439" s="499" t="str">
        <f aca="false">IFERROR(__xludf.dummyfunction("if(isna(ABS(MINUS(SUM(FILTER(MatchSource!$A:$E,MatchSource!$A:$A=$B439)),SUM($W439)))),0,ABS(MINUS(SUM(FILTER(MatchSource!$A:$E,MatchSource!$A:$A=$B439)),SUM($W439))))"),"0")</f>
        <v>0</v>
      </c>
      <c r="Z439" s="499" t="str">
        <f aca="false">IFERROR(__xludf.dummyfunction("if(isna(ABS(MINUS(SUM(FILTER(MatchSource!$H:$L,MatchSource!$H:$H=$B439)),SUM($X439)))),0,ABS(MINUS(SUM(FILTER(MatchSource!$H:$L,MatchSource!$H:$H=$B439)),SUM($X439))))"),"0")</f>
        <v>0</v>
      </c>
      <c r="AA439" s="499" t="str">
        <f aca="false">IFERROR(__xludf.dummyfunction("if(isna(ABS(MINUS(SUM(FILTER(MatchSource!$A:$F,MatchSource!$A:$A=$B439)),SUM($W439,$Y439)))),0,ABS(MINUS(SUM(FILTER(MatchSource!$A:$F,MatchSource!$A:$A=$B439)),SUM($W439, $Y439,))))"),"0")</f>
        <v>0</v>
      </c>
      <c r="AB439" s="501" t="str">
        <f aca="false">IFERROR(__xludf.dummyfunction("if(isna(ABS(MINUS(SUM(FILTER(MatchSource!$H:$M,MatchSource!$H:$H=$B439)),SUM($X439,$Z439)))),0,ABS(MINUS(SUM(FILTER(MatchSource!$H:$M,MatchSource!$H:$H=$B439)),SUM($X439,$Z439))))"),"0")</f>
        <v>0</v>
      </c>
      <c r="AC439" s="507" t="n">
        <f aca="false">SUM(IF(OR($R439="Grass",$R439="Psychic",$R439="Dark"),0-1,IF(OR($R439="Fighting",$R439="Flying",$R439="Fire",$R439="Ghost",$R439="Poison",$R439="Steel",$R439="Fairy"),1,0)),IF(OR($S439="Grass",$S439="Psychic",$S439="Dark"),0-1,IF(OR($S439="Fighting",$S439="Flying",$S439="Fire",$S439="Ghost",$S439="Poison",$S439="Steel",$S439="Fairy"),1,0)))</f>
        <v>0</v>
      </c>
      <c r="AD439" s="507" t="n">
        <f aca="false">SUM(IF(OR($R439="Ghost",$R439="Psychic"),0-1,IF(OR($R439="Fighting",$R439="Dark",$R439="Fairy"),1,0)),IF(OR($S439="Ghost",$S439="Psychic"),0-1,IF(OR($S439="Fighting",$S439="Dark",$S439="Fairy"),1,0)))</f>
        <v>0</v>
      </c>
      <c r="AE439" s="507" t="n">
        <f aca="false">IF(OR($R439="Fairy",$S439="Fairy"),4,SUM(IF($R439="Dragon",0-1,IF($R439="Steel",1,0)),IF($S439="Dragon",0-1,IF($S439="Steel",1,0))))</f>
        <v>0</v>
      </c>
      <c r="AF439" s="507" t="n">
        <f aca="false">IF(OR($R439="Ground",$S439="Ground"),4,SUM(IF(OR($R439="Flying",$R439="Water"),0-1,IF(OR($R439="Dragon",$R439="Electric",$R439="Grass"),1,0)),IF(OR($S439="Flying",$S439="Water"),0-1,IF(OR($S439="Dragon",$S439="Electric",$S439="Grass"),1,0))))</f>
        <v>0</v>
      </c>
      <c r="AG439" s="507" t="n">
        <f aca="false">SUM(IF(OR($R439="Dark",$R439="Dragon",$R439="Fighting"),0-1,IF(OR($R439="Steel",$R439="Poison",$R439="Fire"),1,0)),IF(OR($S439="Dark",$S439="Dragon",$S439="Fighting"),0-1,IF(OR($S439="Steel",$S439="Poison",$S439="Fire"),1,0)))</f>
        <v>-1</v>
      </c>
      <c r="AH439" s="507" t="n">
        <f aca="false">IF(OR($R439="Ghost",$S439="Ghost"),4,SUM(IF(OR($R439="Dark",$R439="Ice",$R439="Normal",$R439="Rock",$R439="Steel"),0-1,IF(OR($R439="Bug",$R439="Fairy",$R439="Flying",$R439="Poison",$R439="Psychic"),1,0)),IF(OR($S439="Dark",$S439="Ice",$S439="Normal",$S439="Rock",$S439="Steel"),0-1,IF(OR($S439="Bug",$S439="Fairy",$S439="Flying",$S439="Poison",$S439="Psychic"),1,0))))</f>
        <v>4</v>
      </c>
      <c r="AI439" s="507" t="n">
        <f aca="false">SUM(IF(OR($R439="Bug",$R439="Grass",$R439="Ice",$R439="Steel"),0-1,IF(OR($R439="Dragon",$R439="Fire",$R439="Rock",$R439="Water"),1,0)),IF(OR($S439="Bug",$S439="Grass",$S439="Ice",$S439="Steel"),0-1,IF(OR($S439="Dragon",$S439="Fire",$S439="Rock",$S439="Water"),1,0)))</f>
        <v>0</v>
      </c>
      <c r="AJ439" s="507" t="n">
        <f aca="false">SUM(IF(OR($R439="Bug",$R439="Grass",$R439="Fighting"),0-1,IF(OR($R439="Electric",$R439="Rock",$R439="Steel"),1,0)),IF(OR($S439="Bug",$S439="Grass",$S439="Fighting"),0-1,IF(OR($S439="Electric",$S439="Rock",$S439="Steel"),1,0)))</f>
        <v>0</v>
      </c>
      <c r="AK439" s="507" t="n">
        <f aca="false">IF(OR($R439="Normal",$S439="Normal"),4,SUM(IF(OR($R439="Ghost",$R439="Psychic"),0-1,IF($R439="Dark",1,0)),IF(OR($S439="Ghost",$S439="Psychic"),0-1,IF($S439="Dark",1,0))))</f>
        <v>0</v>
      </c>
      <c r="AL439" s="507" t="n">
        <f aca="false">SUM(IF(OR($R439="Ground",$R439="Rock",$R439="Water"),0-1,IF(OR($R439="Bug",$R439="Flying",$R439="Fire",$R439="Dragon",$R439="Poison",$R439="Steel",$R439="Grass"),1,0)),IF(OR($S439="Ground",$S439="Rock",$S439="Water"),0-1,IF(OR($S439="Bug",$S439="Flying",$S439="Fire",$S439="Dragon",$S439="Poison",$S439="Steel",$S439="Grass"),1,0)))</f>
        <v>0</v>
      </c>
      <c r="AM439" s="507" t="n">
        <f aca="false">IF(OR($R439="Flying",$S439="Flying"),4,SUM(IF(OR($R439="Electric",$R439="Fire",$R439="Rock",$R439="Steel",$R439="Poison"),0-1,IF(OR($R439="Bug",$R439="Grass"),1,0)),IF(OR($S439="Electric",$S439="Fire",$S439="Rock",$S439="Steel",$S439="Poison"),0-1,IF(OR($S439="Bug",$S439="Grass"),1,0))))</f>
        <v>0</v>
      </c>
      <c r="AN439" s="507" t="n">
        <f aca="false">SUM(IF(OR($R439="Flying",$R439="Dragon",$R439="Grass",$R439="Ground"),0-1,IF(OR($R439="Steel",$R439="Ice",$R439="Fire",$R439="Water"),1,0)),IF(OR($S439="Flying",$S439="Dragon",$S439="Grass",$S439="Ground"),0-1,IF(OR($S439="Steel",$S439="Ice",$S439="Fire",$S439="Water"),1,0)))</f>
        <v>0</v>
      </c>
      <c r="AO439" s="507" t="n">
        <f aca="false">IF(OR($R439="Ghost",$S439="Ghost"),4,SUM(IF(OR($R439="Steel",$R439="Rock"),1,0),IF(OR($S439="Steel",$S439="Rock"),1,0)))</f>
        <v>4</v>
      </c>
      <c r="AP439" s="507" t="n">
        <f aca="false">IF(OR($R439="Steel",$S439="Steel"),4,SUM(IF(OR($R439="Fairy",$R439="Grass"),0-1,IF(OR($R439="Ghost",$R439="Rock",$R439="Ground",$R439="Poison"),1,0)),IF(OR($S439="Fairy",$S439="Grass"),0-1,IF(OR($S439="Ghost",$S439="Rock",$S439="Ground",$S439="Poison"),1,0))))</f>
        <v>1</v>
      </c>
      <c r="AQ439" s="507" t="n">
        <f aca="false">IF(OR($R439="Dark",$S439="Dark"),4,SUM(IF(OR($R439="Fighting",$R439="Poison"),0-1,IF(OR($R439="Psychic",$R439="Steel"),1,0)),IF(OR($S439="Fighting",$S439="Poison"),0-1,IF(OR($S439="Psychic",$S439="Steel"),1,0))))</f>
        <v>4</v>
      </c>
      <c r="AR439" s="507" t="n">
        <f aca="false">SUM(IF(OR($R439="Bug",$R439="Fire",$R439="Flying",$R439="Ice"),0-1,IF(OR($R439="Steel",$R439="Fighting",$R439="Ground"),1,0)),IF(OR($S439="Bug",$S439="Fire",$S439="Flying",$S439="Ice"),0-1,IF(OR($S439="Steel",$S439="Fighting",$S439="Ground"),1,0)))</f>
        <v>0</v>
      </c>
      <c r="AS439" s="507" t="n">
        <f aca="false">SUM(IF(OR($R439="Fairy",$R439="Ice",$R439="Rock"),0-1,IF(OR($R439="Steel",$R439="Electric",$R439="Fire",$R439="Water"),1,0)),IF(OR($S439="Fairy",$S439="Ice",$S439="Rock"),0-1,IF(OR($S439="Steel",$S439="Electric",$S439="Fire",$S439="Water"),1,0)))</f>
        <v>0</v>
      </c>
      <c r="AT439" s="508" t="n">
        <f aca="false">SUM(IF(OR($R439="Fire",$R439="Ground",$R439="Rock"),0-1,IF(OR($R439="Dragon",$R439="Grass",$R439="Water"),1,0)),IF(OR($S439="Fire",$S439="Ground",$S439="Rock"),0-1,IF(OR($S439="Dragon",$S439="Grass",$S439="Water"),1,0)))</f>
        <v>0</v>
      </c>
      <c r="AU439" s="518"/>
    </row>
    <row r="440" customFormat="false" ht="15.75" hidden="false" customHeight="false" outlineLevel="0" collapsed="false">
      <c r="A440" s="536" t="str">
        <f aca="false" t="array" ref="A440:A440">IF(ISNA(INDEX(Source!$U$7:$U$95,MATCH(B440,Source!$V$7:$V$95,0))),"FREE",INDEX(Source!$U$7:$U$95,MATCH(B440,Source!$V$7:$V$95,0)))</f>
        <v>FREE</v>
      </c>
      <c r="B440" s="511" t="s">
        <v>1069</v>
      </c>
      <c r="C440" s="511"/>
      <c r="D440" s="511"/>
      <c r="E440" s="499" t="str">
        <f aca="false">IF(SUM($W440:$X440)&gt;0,SUM($W440:$X440),IF($H440&gt;0,0,IF($H440&gt;0,0,"-")))</f>
        <v>-</v>
      </c>
      <c r="F440" s="499" t="str">
        <f aca="false">IF(SUM($Y440:$Z440)&gt;0,SUM($Y440:$Z440),IF($H440&gt;0,0,"-"))</f>
        <v>-</v>
      </c>
      <c r="G440" s="499" t="str">
        <f aca="false">IF($H440&gt;0,minus(E440,F440),"-")</f>
        <v>-</v>
      </c>
      <c r="H440" s="500" t="n">
        <f aca="false">SUM(COUNTIF(MatchSource!$A:$A,$B440),COUNTIF(MatchSource!$H:$H,$B440))</f>
        <v>0</v>
      </c>
      <c r="I440" s="501" t="n">
        <f aca="false">SUM($AA440:$AB440)</f>
        <v>0</v>
      </c>
      <c r="J440" s="501" t="s">
        <v>888</v>
      </c>
      <c r="K440" s="512" t="str">
        <f aca="false" t="array" ref="K440:K440">IF(ISNA(INDEX(DraftRosters!$AA$3:$AA$199,MATCH($B440,DraftRosters!$AB$3:$AB$199,0))),"FA",IF(INDEX(DraftRosters!$AA$3:$AA$199,MATCH($B440,DraftRosters!$AB$3:$AB$199,0))="Franchise","Franch",INDEX(DraftRosters!$AA$3:$AA$199,MATCH($B440,DraftRosters!$AB$3:$AB$199,0))))</f>
        <v>FA</v>
      </c>
      <c r="L440" s="499" t="n">
        <v>61</v>
      </c>
      <c r="M440" s="499" t="n">
        <v>131</v>
      </c>
      <c r="N440" s="499" t="n">
        <v>211</v>
      </c>
      <c r="O440" s="499" t="n">
        <v>53</v>
      </c>
      <c r="P440" s="499" t="n">
        <v>101</v>
      </c>
      <c r="Q440" s="501" t="n">
        <v>13</v>
      </c>
      <c r="R440" s="499" t="s">
        <v>809</v>
      </c>
      <c r="S440" s="501" t="s">
        <v>810</v>
      </c>
      <c r="T440" s="504" t="s">
        <v>889</v>
      </c>
      <c r="U440" s="505"/>
      <c r="V440" s="506"/>
      <c r="W440" s="500" t="str">
        <f aca="false">IFERROR(__xludf.dummyfunction("if(isna(SUM(FILTER(MatchSource!$A:$D,MatchSource!$A:$A=$B440))),0,SUM(FILTER(MatchSource!$A:$D,MatchSource!$A:$A=$B440)))"),"0")</f>
        <v>0</v>
      </c>
      <c r="X440" s="499" t="str">
        <f aca="false">IFERROR(__xludf.dummyfunction("if(isna(SUM(FILTER(MatchSource!$H:$K,MatchSource!$H:$H=$B440))),0,SUM(FILTER(MatchSource!$H:$K,MatchSource!$H:$H=$B440)))"),"0")</f>
        <v>0</v>
      </c>
      <c r="Y440" s="499" t="str">
        <f aca="false">IFERROR(__xludf.dummyfunction("if(isna(ABS(MINUS(SUM(FILTER(MatchSource!$A:$E,MatchSource!$A:$A=$B440)),SUM($W440)))),0,ABS(MINUS(SUM(FILTER(MatchSource!$A:$E,MatchSource!$A:$A=$B440)),SUM($W440))))"),"0")</f>
        <v>0</v>
      </c>
      <c r="Z440" s="499" t="str">
        <f aca="false">IFERROR(__xludf.dummyfunction("if(isna(ABS(MINUS(SUM(FILTER(MatchSource!$H:$L,MatchSource!$H:$H=$B440)),SUM($X440)))),0,ABS(MINUS(SUM(FILTER(MatchSource!$H:$L,MatchSource!$H:$H=$B440)),SUM($X440))))"),"0")</f>
        <v>0</v>
      </c>
      <c r="AA440" s="499" t="str">
        <f aca="false">IFERROR(__xludf.dummyfunction("if(isna(ABS(MINUS(SUM(FILTER(MatchSource!$A:$F,MatchSource!$A:$A=$B440)),SUM($W440,$Y440)))),0,ABS(MINUS(SUM(FILTER(MatchSource!$A:$F,MatchSource!$A:$A=$B440)),SUM($W440, $Y440,))))"),"0")</f>
        <v>0</v>
      </c>
      <c r="AB440" s="501" t="str">
        <f aca="false">IFERROR(__xludf.dummyfunction("if(isna(ABS(MINUS(SUM(FILTER(MatchSource!$H:$M,MatchSource!$H:$H=$B440)),SUM($X440,$Z440)))),0,ABS(MINUS(SUM(FILTER(MatchSource!$H:$M,MatchSource!$H:$H=$B440)),SUM($X440,$Z440))))"),"0")</f>
        <v>0</v>
      </c>
      <c r="AC440" s="507" t="n">
        <f aca="false">SUM(IF(OR($R440="Grass",$R440="Psychic",$R440="Dark"),0-1,IF(OR($R440="Fighting",$R440="Flying",$R440="Fire",$R440="Ghost",$R440="Poison",$R440="Steel",$R440="Fairy"),1,0)),IF(OR($S440="Grass",$S440="Psychic",$S440="Dark"),0-1,IF(OR($S440="Fighting",$S440="Flying",$S440="Fire",$S440="Ghost",$S440="Poison",$S440="Steel",$S440="Fairy"),1,0)))</f>
        <v>1</v>
      </c>
      <c r="AD440" s="507" t="n">
        <f aca="false">SUM(IF(OR($R440="Ghost",$R440="Psychic"),0-1,IF(OR($R440="Fighting",$R440="Dark",$R440="Fairy"),1,0)),IF(OR($S440="Ghost",$S440="Psychic"),0-1,IF(OR($S440="Fighting",$S440="Dark",$S440="Fairy"),1,0)))</f>
        <v>0</v>
      </c>
      <c r="AE440" s="507" t="n">
        <f aca="false">IF(OR($R440="Fairy",$S440="Fairy"),4,SUM(IF($R440="Dragon",0-1,IF($R440="Steel",1,0)),IF($S440="Dragon",0-1,IF($S440="Steel",1,0))))</f>
        <v>1</v>
      </c>
      <c r="AF440" s="507" t="n">
        <f aca="false">IF(OR($R440="Ground",$S440="Ground"),4,SUM(IF(OR($R440="Flying",$R440="Water"),0-1,IF(OR($R440="Dragon",$R440="Electric",$R440="Grass"),1,0)),IF(OR($S440="Flying",$S440="Water"),0-1,IF(OR($S440="Dragon",$S440="Electric",$S440="Grass"),1,0))))</f>
        <v>0</v>
      </c>
      <c r="AG440" s="507" t="n">
        <f aca="false">SUM(IF(OR($R440="Dark",$R440="Dragon",$R440="Fighting"),0-1,IF(OR($R440="Steel",$R440="Poison",$R440="Fire"),1,0)),IF(OR($S440="Dark",$S440="Dragon",$S440="Fighting"),0-1,IF(OR($S440="Steel",$S440="Poison",$S440="Fire"),1,0)))</f>
        <v>1</v>
      </c>
      <c r="AH440" s="507" t="n">
        <f aca="false">IF(OR($R440="Ghost",$S440="Ghost"),4,SUM(IF(OR($R440="Dark",$R440="Ice",$R440="Normal",$R440="Rock",$R440="Steel"),0-1,IF(OR($R440="Bug",$R440="Fairy",$R440="Flying",$R440="Poison",$R440="Psychic"),1,0)),IF(OR($S440="Dark",$S440="Ice",$S440="Normal",$S440="Rock",$S440="Steel"),0-1,IF(OR($S440="Bug",$S440="Fairy",$S440="Flying",$S440="Poison",$S440="Psychic"),1,0))))</f>
        <v>-2</v>
      </c>
      <c r="AI440" s="507" t="n">
        <f aca="false">SUM(IF(OR($R440="Bug",$R440="Grass",$R440="Ice",$R440="Steel"),0-1,IF(OR($R440="Dragon",$R440="Fire",$R440="Rock",$R440="Water"),1,0)),IF(OR($S440="Bug",$S440="Grass",$S440="Ice",$S440="Steel"),0-1,IF(OR($S440="Dragon",$S440="Fire",$S440="Rock",$S440="Water"),1,0)))</f>
        <v>0</v>
      </c>
      <c r="AJ440" s="507" t="n">
        <f aca="false">SUM(IF(OR($R440="Bug",$R440="Grass",$R440="Fighting"),0-1,IF(OR($R440="Electric",$R440="Rock",$R440="Steel"),1,0)),IF(OR($S440="Bug",$S440="Grass",$S440="Fighting"),0-1,IF(OR($S440="Electric",$S440="Rock",$S440="Steel"),1,0)))</f>
        <v>2</v>
      </c>
      <c r="AK440" s="507" t="n">
        <f aca="false">IF(OR($R440="Normal",$S440="Normal"),4,SUM(IF(OR($R440="Ghost",$R440="Psychic"),0-1,IF($R440="Dark",1,0)),IF(OR($S440="Ghost",$S440="Psychic"),0-1,IF($S440="Dark",1,0))))</f>
        <v>0</v>
      </c>
      <c r="AL440" s="507" t="n">
        <f aca="false">SUM(IF(OR($R440="Ground",$R440="Rock",$R440="Water"),0-1,IF(OR($R440="Bug",$R440="Flying",$R440="Fire",$R440="Dragon",$R440="Poison",$R440="Steel",$R440="Grass"),1,0)),IF(OR($S440="Ground",$S440="Rock",$S440="Water"),0-1,IF(OR($S440="Bug",$S440="Flying",$S440="Fire",$S440="Dragon",$S440="Poison",$S440="Steel",$S440="Grass"),1,0)))</f>
        <v>0</v>
      </c>
      <c r="AM440" s="507" t="n">
        <f aca="false">IF(OR($R440="Flying",$S440="Flying"),4,SUM(IF(OR($R440="Electric",$R440="Fire",$R440="Rock",$R440="Steel",$R440="Poison"),0-1,IF(OR($R440="Bug",$R440="Grass"),1,0)),IF(OR($S440="Electric",$S440="Fire",$S440="Rock",$S440="Steel",$S440="Poison"),0-1,IF(OR($S440="Bug",$S440="Grass"),1,0))))</f>
        <v>-2</v>
      </c>
      <c r="AN440" s="507" t="n">
        <f aca="false">SUM(IF(OR($R440="Flying",$R440="Dragon",$R440="Grass",$R440="Ground"),0-1,IF(OR($R440="Steel",$R440="Ice",$R440="Fire",$R440="Water"),1,0)),IF(OR($S440="Flying",$S440="Dragon",$S440="Grass",$S440="Ground"),0-1,IF(OR($S440="Steel",$S440="Ice",$S440="Fire",$S440="Water"),1,0)))</f>
        <v>1</v>
      </c>
      <c r="AO440" s="507" t="n">
        <f aca="false">IF(OR($R440="Ghost",$S440="Ghost"),4,SUM(IF(OR($R440="Steel",$R440="Rock"),1,0),IF(OR($S440="Steel",$S440="Rock"),1,0)))</f>
        <v>2</v>
      </c>
      <c r="AP440" s="507" t="n">
        <f aca="false">IF(OR($R440="Steel",$S440="Steel"),4,SUM(IF(OR($R440="Fairy",$R440="Grass"),0-1,IF(OR($R440="Ghost",$R440="Rock",$R440="Ground",$R440="Poison"),1,0)),IF(OR($S440="Fairy",$S440="Grass"),0-1,IF(OR($S440="Ghost",$S440="Rock",$S440="Ground",$S440="Poison"),1,0))))</f>
        <v>4</v>
      </c>
      <c r="AQ440" s="507" t="n">
        <f aca="false">IF(OR($R440="Dark",$S440="Dark"),4,SUM(IF(OR($R440="Fighting",$R440="Poison"),0-1,IF(OR($R440="Psychic",$R440="Steel"),1,0)),IF(OR($S440="Fighting",$S440="Poison"),0-1,IF(OR($S440="Psychic",$S440="Steel"),1,0))))</f>
        <v>1</v>
      </c>
      <c r="AR440" s="507" t="n">
        <f aca="false">SUM(IF(OR($R440="Bug",$R440="Fire",$R440="Flying",$R440="Ice"),0-1,IF(OR($R440="Steel",$R440="Fighting",$R440="Ground"),1,0)),IF(OR($S440="Bug",$S440="Fire",$S440="Flying",$S440="Ice"),0-1,IF(OR($S440="Steel",$S440="Fighting",$S440="Ground"),1,0)))</f>
        <v>1</v>
      </c>
      <c r="AS440" s="507" t="n">
        <f aca="false">SUM(IF(OR($R440="Fairy",$R440="Ice",$R440="Rock"),0-1,IF(OR($R440="Steel",$R440="Electric",$R440="Fire",$R440="Water"),1,0)),IF(OR($S440="Fairy",$S440="Ice",$S440="Rock"),0-1,IF(OR($S440="Steel",$S440="Electric",$S440="Fire",$S440="Water"),1,0)))</f>
        <v>0</v>
      </c>
      <c r="AT440" s="508" t="n">
        <f aca="false">SUM(IF(OR($R440="Fire",$R440="Ground",$R440="Rock"),0-1,IF(OR($R440="Dragon",$R440="Grass",$R440="Water"),1,0)),IF(OR($S440="Fire",$S440="Ground",$S440="Rock"),0-1,IF(OR($S440="Dragon",$S440="Grass",$S440="Water"),1,0)))</f>
        <v>-1</v>
      </c>
      <c r="AU440" s="518"/>
    </row>
    <row r="441" customFormat="false" ht="15.75" hidden="false" customHeight="false" outlineLevel="0" collapsed="false">
      <c r="A441" s="510" t="str">
        <f aca="false" t="array" ref="A441:A441">IF(ISNA(INDEX(Source!$U$7:$U$95,MATCH(B441,Source!$V$7:$V$95,0))),"FREE",INDEX(Source!$U$7:$U$95,MATCH(B441,Source!$V$7:$V$95,0)))</f>
        <v>FREE</v>
      </c>
      <c r="B441" s="511" t="s">
        <v>606</v>
      </c>
      <c r="C441" s="511"/>
      <c r="D441" s="511"/>
      <c r="E441" s="499" t="str">
        <f aca="false">IF(SUM($W441:$X441)&gt;0,SUM($W441:$X441),IF($H441&gt;0,0,IF($H441&gt;0,0,"-")))</f>
        <v>-</v>
      </c>
      <c r="F441" s="499" t="str">
        <f aca="false">IF(SUM($Y441:$Z441)&gt;0,SUM($Y441:$Z441),IF($H441&gt;0,0,"-"))</f>
        <v>-</v>
      </c>
      <c r="G441" s="499" t="str">
        <f aca="false">IF($H441&gt;0,minus(E441,F441),"-")</f>
        <v>-</v>
      </c>
      <c r="H441" s="500" t="n">
        <f aca="false">SUM(COUNTIF(MatchSource!$A:$A,$B441),COUNTIF(MatchSource!$H:$H,$B441))</f>
        <v>0</v>
      </c>
      <c r="I441" s="501" t="n">
        <f aca="false">SUM($AA441:$AB441)</f>
        <v>0</v>
      </c>
      <c r="J441" s="501" t="s">
        <v>702</v>
      </c>
      <c r="K441" s="512" t="str">
        <f aca="false" t="array" ref="K441:K441">IF(ISNA(INDEX(DraftRosters!$AA$3:$AA$199,MATCH($B441,DraftRosters!$AB$3:$AB$199,0))),"FA",IF(INDEX(DraftRosters!$AA$3:$AA$199,MATCH($B441,DraftRosters!$AB$3:$AB$199,0))="Franchise","Franch",INDEX(DraftRosters!$AA$3:$AA$199,MATCH($B441,DraftRosters!$AB$3:$AB$199,0))))</f>
        <v>FA</v>
      </c>
      <c r="L441" s="499" t="n">
        <v>73</v>
      </c>
      <c r="M441" s="499" t="n">
        <v>95</v>
      </c>
      <c r="N441" s="499" t="n">
        <v>62</v>
      </c>
      <c r="O441" s="499" t="n">
        <v>85</v>
      </c>
      <c r="P441" s="499" t="n">
        <v>65</v>
      </c>
      <c r="Q441" s="501" t="n">
        <v>85</v>
      </c>
      <c r="R441" s="499" t="s">
        <v>839</v>
      </c>
      <c r="S441" s="501"/>
      <c r="T441" s="504" t="s">
        <v>871</v>
      </c>
      <c r="U441" s="505" t="s">
        <v>869</v>
      </c>
      <c r="V441" s="506" t="s">
        <v>851</v>
      </c>
      <c r="W441" s="500" t="str">
        <f aca="false">IFERROR(__xludf.dummyfunction("if(isna(SUM(FILTER(MatchSource!$A:$D,MatchSource!$A:$A=$B441))),0,SUM(FILTER(MatchSource!$A:$D,MatchSource!$A:$A=$B441)))"),"0")</f>
        <v>0</v>
      </c>
      <c r="X441" s="499" t="str">
        <f aca="false">IFERROR(__xludf.dummyfunction("if(isna(SUM(FILTER(MatchSource!$H:$K,MatchSource!$H:$H=$B441))),0,SUM(FILTER(MatchSource!$H:$K,MatchSource!$H:$H=$B441)))"),"0")</f>
        <v>0</v>
      </c>
      <c r="Y441" s="499" t="str">
        <f aca="false">IFERROR(__xludf.dummyfunction("if(isna(ABS(MINUS(SUM(FILTER(MatchSource!$A:$E,MatchSource!$A:$A=$B441)),SUM($W441)))),0,ABS(MINUS(SUM(FILTER(MatchSource!$A:$E,MatchSource!$A:$A=$B441)),SUM($W441))))"),"0")</f>
        <v>0</v>
      </c>
      <c r="Z441" s="499" t="str">
        <f aca="false">IFERROR(__xludf.dummyfunction("if(isna(ABS(MINUS(SUM(FILTER(MatchSource!$H:$L,MatchSource!$H:$H=$B441)),SUM($X441)))),0,ABS(MINUS(SUM(FILTER(MatchSource!$H:$L,MatchSource!$H:$H=$B441)),SUM($X441))))"),"0")</f>
        <v>0</v>
      </c>
      <c r="AA441" s="499" t="str">
        <f aca="false">IFERROR(__xludf.dummyfunction("if(isna(ABS(MINUS(SUM(FILTER(MatchSource!$A:$F,MatchSource!$A:$A=$B441)),SUM($W441,$Y441)))),0,ABS(MINUS(SUM(FILTER(MatchSource!$A:$F,MatchSource!$A:$A=$B441)),SUM($W441, $Y441,))))"),"0")</f>
        <v>0</v>
      </c>
      <c r="AB441" s="501" t="str">
        <f aca="false">IFERROR(__xludf.dummyfunction("if(isna(ABS(MINUS(SUM(FILTER(MatchSource!$H:$M,MatchSource!$H:$H=$B441)),SUM($X441,$Z441)))),0,ABS(MINUS(SUM(FILTER(MatchSource!$H:$M,MatchSource!$H:$H=$B441)),SUM($X441,$Z441))))"),"0")</f>
        <v>0</v>
      </c>
      <c r="AC441" s="507" t="n">
        <f aca="false">SUM(IF(OR($R441="Grass",$R441="Psychic",$R441="Dark"),0-1,IF(OR($R441="Fighting",$R441="Flying",$R441="Fire",$R441="Ghost",$R441="Poison",$R441="Steel",$R441="Fairy"),1,0)),IF(OR($S441="Grass",$S441="Psychic",$S441="Dark"),0-1,IF(OR($S441="Fighting",$S441="Flying",$S441="Fire",$S441="Ghost",$S441="Poison",$S441="Steel",$S441="Fairy"),1,0)))</f>
        <v>0</v>
      </c>
      <c r="AD441" s="507" t="n">
        <f aca="false">SUM(IF(OR($R441="Ghost",$R441="Psychic"),0-1,IF(OR($R441="Fighting",$R441="Dark",$R441="Fairy"),1,0)),IF(OR($S441="Ghost",$S441="Psychic"),0-1,IF(OR($S441="Fighting",$S441="Dark",$S441="Fairy"),1,0)))</f>
        <v>0</v>
      </c>
      <c r="AE441" s="507" t="n">
        <f aca="false">IF(OR($R441="Fairy",$S441="Fairy"),4,SUM(IF($R441="Dragon",0-1,IF($R441="Steel",1,0)),IF($S441="Dragon",0-1,IF($S441="Steel",1,0))))</f>
        <v>0</v>
      </c>
      <c r="AF441" s="507" t="n">
        <f aca="false">IF(OR($R441="Ground",$S441="Ground"),4,SUM(IF(OR($R441="Flying",$R441="Water"),0-1,IF(OR($R441="Dragon",$R441="Electric",$R441="Grass"),1,0)),IF(OR($S441="Flying",$S441="Water"),0-1,IF(OR($S441="Dragon",$S441="Electric",$S441="Grass"),1,0))))</f>
        <v>0</v>
      </c>
      <c r="AG441" s="507" t="n">
        <f aca="false">SUM(IF(OR($R441="Dark",$R441="Dragon",$R441="Fighting"),0-1,IF(OR($R441="Steel",$R441="Poison",$R441="Fire"),1,0)),IF(OR($S441="Dark",$S441="Dragon",$S441="Fighting"),0-1,IF(OR($S441="Steel",$S441="Poison",$S441="Fire"),1,0)))</f>
        <v>0</v>
      </c>
      <c r="AH441" s="507" t="n">
        <f aca="false">IF(OR($R441="Ghost",$S441="Ghost"),4,SUM(IF(OR($R441="Dark",$R441="Ice",$R441="Normal",$R441="Rock",$R441="Steel"),0-1,IF(OR($R441="Bug",$R441="Fairy",$R441="Flying",$R441="Poison",$R441="Psychic"),1,0)),IF(OR($S441="Dark",$S441="Ice",$S441="Normal",$S441="Rock",$S441="Steel"),0-1,IF(OR($S441="Bug",$S441="Fairy",$S441="Flying",$S441="Poison",$S441="Psychic"),1,0))))</f>
        <v>-1</v>
      </c>
      <c r="AI441" s="507" t="n">
        <f aca="false">SUM(IF(OR($R441="Bug",$R441="Grass",$R441="Ice",$R441="Steel"),0-1,IF(OR($R441="Dragon",$R441="Fire",$R441="Rock",$R441="Water"),1,0)),IF(OR($S441="Bug",$S441="Grass",$S441="Ice",$S441="Steel"),0-1,IF(OR($S441="Dragon",$S441="Fire",$S441="Rock",$S441="Water"),1,0)))</f>
        <v>0</v>
      </c>
      <c r="AJ441" s="507" t="n">
        <f aca="false">SUM(IF(OR($R441="Bug",$R441="Grass",$R441="Fighting"),0-1,IF(OR($R441="Electric",$R441="Rock",$R441="Steel"),1,0)),IF(OR($S441="Bug",$S441="Grass",$S441="Fighting"),0-1,IF(OR($S441="Electric",$S441="Rock",$S441="Steel"),1,0)))</f>
        <v>0</v>
      </c>
      <c r="AK441" s="507" t="n">
        <f aca="false">IF(OR($R441="Normal",$S441="Normal"),4,SUM(IF(OR($R441="Ghost",$R441="Psychic"),0-1,IF($R441="Dark",1,0)),IF(OR($S441="Ghost",$S441="Psychic"),0-1,IF($S441="Dark",1,0))))</f>
        <v>4</v>
      </c>
      <c r="AL441" s="507" t="n">
        <f aca="false">SUM(IF(OR($R441="Ground",$R441="Rock",$R441="Water"),0-1,IF(OR($R441="Bug",$R441="Flying",$R441="Fire",$R441="Dragon",$R441="Poison",$R441="Steel",$R441="Grass"),1,0)),IF(OR($S441="Ground",$S441="Rock",$S441="Water"),0-1,IF(OR($S441="Bug",$S441="Flying",$S441="Fire",$S441="Dragon",$S441="Poison",$S441="Steel",$S441="Grass"),1,0)))</f>
        <v>0</v>
      </c>
      <c r="AM441" s="507" t="n">
        <f aca="false">IF(OR($R441="Flying",$S441="Flying"),4,SUM(IF(OR($R441="Electric",$R441="Fire",$R441="Rock",$R441="Steel",$R441="Poison"),0-1,IF(OR($R441="Bug",$R441="Grass"),1,0)),IF(OR($S441="Electric",$S441="Fire",$S441="Rock",$S441="Steel",$S441="Poison"),0-1,IF(OR($S441="Bug",$S441="Grass"),1,0))))</f>
        <v>0</v>
      </c>
      <c r="AN441" s="507" t="n">
        <f aca="false">SUM(IF(OR($R441="Flying",$R441="Dragon",$R441="Grass",$R441="Ground"),0-1,IF(OR($R441="Steel",$R441="Ice",$R441="Fire",$R441="Water"),1,0)),IF(OR($S441="Flying",$S441="Dragon",$S441="Grass",$S441="Ground"),0-1,IF(OR($S441="Steel",$S441="Ice",$S441="Fire",$S441="Water"),1,0)))</f>
        <v>0</v>
      </c>
      <c r="AO441" s="507" t="n">
        <f aca="false">IF(OR($R441="Ghost",$S441="Ghost"),4,SUM(IF(OR($R441="Steel",$R441="Rock"),1,0),IF(OR($S441="Steel",$S441="Rock"),1,0)))</f>
        <v>0</v>
      </c>
      <c r="AP441" s="507" t="n">
        <f aca="false">IF(OR($R441="Steel",$S441="Steel"),4,SUM(IF(OR($R441="Fairy",$R441="Grass"),0-1,IF(OR($R441="Ghost",$R441="Rock",$R441="Ground",$R441="Poison"),1,0)),IF(OR($S441="Fairy",$S441="Grass"),0-1,IF(OR($S441="Ghost",$S441="Rock",$S441="Ground",$S441="Poison"),1,0))))</f>
        <v>0</v>
      </c>
      <c r="AQ441" s="507" t="n">
        <f aca="false">IF(OR($R441="Dark",$S441="Dark"),4,SUM(IF(OR($R441="Fighting",$R441="Poison"),0-1,IF(OR($R441="Psychic",$R441="Steel"),1,0)),IF(OR($S441="Fighting",$S441="Poison"),0-1,IF(OR($S441="Psychic",$S441="Steel"),1,0))))</f>
        <v>0</v>
      </c>
      <c r="AR441" s="507" t="n">
        <f aca="false">SUM(IF(OR($R441="Bug",$R441="Fire",$R441="Flying",$R441="Ice"),0-1,IF(OR($R441="Steel",$R441="Fighting",$R441="Ground"),1,0)),IF(OR($S441="Bug",$S441="Fire",$S441="Flying",$S441="Ice"),0-1,IF(OR($S441="Steel",$S441="Fighting",$S441="Ground"),1,0)))</f>
        <v>0</v>
      </c>
      <c r="AS441" s="507" t="n">
        <f aca="false">SUM(IF(OR($R441="Fairy",$R441="Ice",$R441="Rock"),0-1,IF(OR($R441="Steel",$R441="Electric",$R441="Fire",$R441="Water"),1,0)),IF(OR($S441="Fairy",$S441="Ice",$S441="Rock"),0-1,IF(OR($S441="Steel",$S441="Electric",$S441="Fire",$S441="Water"),1,0)))</f>
        <v>0</v>
      </c>
      <c r="AT441" s="508" t="n">
        <f aca="false">SUM(IF(OR($R441="Fire",$R441="Ground",$R441="Rock"),0-1,IF(OR($R441="Dragon",$R441="Grass",$R441="Water"),1,0)),IF(OR($S441="Fire",$S441="Ground",$S441="Rock"),0-1,IF(OR($S441="Dragon",$S441="Grass",$S441="Water"),1,0)))</f>
        <v>0</v>
      </c>
      <c r="AU441" s="518"/>
    </row>
    <row r="442" customFormat="false" ht="15.75" hidden="false" customHeight="false" outlineLevel="0" collapsed="false">
      <c r="A442" s="510" t="str">
        <f aca="false" t="array" ref="A442:A442">IF(ISNA(INDEX(Source!$U$7:$U$95,MATCH(B442,Source!$V$7:$V$95,0))),"FREE",INDEX(Source!$U$7:$U$95,MATCH(B442,Source!$V$7:$V$95,0)))</f>
        <v>FREE</v>
      </c>
      <c r="B442" s="511" t="s">
        <v>498</v>
      </c>
      <c r="C442" s="511"/>
      <c r="D442" s="511"/>
      <c r="E442" s="499" t="str">
        <f aca="false">IF(SUM($W442:$X442)&gt;0,SUM($W442:$X442),IF($H442&gt;0,0,IF($H442&gt;0,0,"-")))</f>
        <v>-</v>
      </c>
      <c r="F442" s="499" t="str">
        <f aca="false">IF(SUM($Y442:$Z442)&gt;0,SUM($Y442:$Z442),IF($H442&gt;0,0,"-"))</f>
        <v>-</v>
      </c>
      <c r="G442" s="499" t="str">
        <f aca="false">IF($H442&gt;0,minus(E442,F442),"-")</f>
        <v>-</v>
      </c>
      <c r="H442" s="500" t="n">
        <f aca="false">SUM(COUNTIF(MatchSource!$A:$A,$B442),COUNTIF(MatchSource!$H:$H,$B442))</f>
        <v>0</v>
      </c>
      <c r="I442" s="501" t="n">
        <f aca="false">SUM($AA442:$AB442)</f>
        <v>0</v>
      </c>
      <c r="J442" s="501" t="s">
        <v>699</v>
      </c>
      <c r="K442" s="512" t="str">
        <f aca="false" t="array" ref="K442:K442">IF(ISNA(INDEX(DraftRosters!$AA$3:$AA$199,MATCH($B442,DraftRosters!$AB$3:$AB$199,0))),"FA",IF(INDEX(DraftRosters!$AA$3:$AA$199,MATCH($B442,DraftRosters!$AB$3:$AB$199,0))="Franchise","Franch",INDEX(DraftRosters!$AA$3:$AA$199,MATCH($B442,DraftRosters!$AB$3:$AB$199,0))))</f>
        <v>FA</v>
      </c>
      <c r="L442" s="499" t="n">
        <v>85</v>
      </c>
      <c r="M442" s="499" t="n">
        <v>120</v>
      </c>
      <c r="N442" s="499" t="n">
        <v>70</v>
      </c>
      <c r="O442" s="499" t="n">
        <v>50</v>
      </c>
      <c r="P442" s="499" t="n">
        <v>60</v>
      </c>
      <c r="Q442" s="501" t="n">
        <v>100</v>
      </c>
      <c r="R442" s="499" t="s">
        <v>801</v>
      </c>
      <c r="S442" s="501" t="s">
        <v>839</v>
      </c>
      <c r="T442" s="504" t="s">
        <v>851</v>
      </c>
      <c r="U442" s="505" t="s">
        <v>896</v>
      </c>
      <c r="V442" s="506"/>
      <c r="W442" s="500" t="str">
        <f aca="false">IFERROR(__xludf.dummyfunction("if(isna(SUM(FILTER(MatchSource!$A:$D,MatchSource!$A:$A=$B442))),0,SUM(FILTER(MatchSource!$A:$D,MatchSource!$A:$A=$B442)))"),"0")</f>
        <v>0</v>
      </c>
      <c r="X442" s="499" t="str">
        <f aca="false">IFERROR(__xludf.dummyfunction("if(isna(SUM(FILTER(MatchSource!$H:$K,MatchSource!$H:$H=$B442))),0,SUM(FILTER(MatchSource!$H:$K,MatchSource!$H:$H=$B442)))"),"0")</f>
        <v>0</v>
      </c>
      <c r="Y442" s="499" t="str">
        <f aca="false">IFERROR(__xludf.dummyfunction("if(isna(ABS(MINUS(SUM(FILTER(MatchSource!$A:$E,MatchSource!$A:$A=$B442)),SUM($W442)))),0,ABS(MINUS(SUM(FILTER(MatchSource!$A:$E,MatchSource!$A:$A=$B442)),SUM($W442))))"),"0")</f>
        <v>0</v>
      </c>
      <c r="Z442" s="499" t="str">
        <f aca="false">IFERROR(__xludf.dummyfunction("if(isna(ABS(MINUS(SUM(FILTER(MatchSource!$H:$L,MatchSource!$H:$H=$B442)),SUM($X442)))),0,ABS(MINUS(SUM(FILTER(MatchSource!$H:$L,MatchSource!$H:$H=$B442)),SUM($X442))))"),"0")</f>
        <v>0</v>
      </c>
      <c r="AA442" s="499" t="str">
        <f aca="false">IFERROR(__xludf.dummyfunction("if(isna(ABS(MINUS(SUM(FILTER(MatchSource!$A:$F,MatchSource!$A:$A=$B442)),SUM($W442,$Y442)))),0,ABS(MINUS(SUM(FILTER(MatchSource!$A:$F,MatchSource!$A:$A=$B442)),SUM($W442, $Y442,))))"),"0")</f>
        <v>0</v>
      </c>
      <c r="AB442" s="501" t="str">
        <f aca="false">IFERROR(__xludf.dummyfunction("if(isna(ABS(MINUS(SUM(FILTER(MatchSource!$H:$M,MatchSource!$H:$H=$B442)),SUM($X442,$Z442)))),0,ABS(MINUS(SUM(FILTER(MatchSource!$H:$M,MatchSource!$H:$H=$B442)),SUM($X442,$Z442))))"),"0")</f>
        <v>0</v>
      </c>
      <c r="AC442" s="507" t="n">
        <f aca="false">SUM(IF(OR($R442="Grass",$R442="Psychic",$R442="Dark"),0-1,IF(OR($R442="Fighting",$R442="Flying",$R442="Fire",$R442="Ghost",$R442="Poison",$R442="Steel",$R442="Fairy"),1,0)),IF(OR($S442="Grass",$S442="Psychic",$S442="Dark"),0-1,IF(OR($S442="Fighting",$S442="Flying",$S442="Fire",$S442="Ghost",$S442="Poison",$S442="Steel",$S442="Fairy"),1,0)))</f>
        <v>1</v>
      </c>
      <c r="AD442" s="507" t="n">
        <f aca="false">SUM(IF(OR($R442="Ghost",$R442="Psychic"),0-1,IF(OR($R442="Fighting",$R442="Dark",$R442="Fairy"),1,0)),IF(OR($S442="Ghost",$S442="Psychic"),0-1,IF(OR($S442="Fighting",$S442="Dark",$S442="Fairy"),1,0)))</f>
        <v>0</v>
      </c>
      <c r="AE442" s="507" t="n">
        <f aca="false">IF(OR($R442="Fairy",$S442="Fairy"),4,SUM(IF($R442="Dragon",0-1,IF($R442="Steel",1,0)),IF($S442="Dragon",0-1,IF($S442="Steel",1,0))))</f>
        <v>0</v>
      </c>
      <c r="AF442" s="507" t="n">
        <f aca="false">IF(OR($R442="Ground",$S442="Ground"),4,SUM(IF(OR($R442="Flying",$R442="Water"),0-1,IF(OR($R442="Dragon",$R442="Electric",$R442="Grass"),1,0)),IF(OR($S442="Flying",$S442="Water"),0-1,IF(OR($S442="Dragon",$S442="Electric",$S442="Grass"),1,0))))</f>
        <v>-1</v>
      </c>
      <c r="AG442" s="507" t="n">
        <f aca="false">SUM(IF(OR($R442="Dark",$R442="Dragon",$R442="Fighting"),0-1,IF(OR($R442="Steel",$R442="Poison",$R442="Fire"),1,0)),IF(OR($S442="Dark",$S442="Dragon",$S442="Fighting"),0-1,IF(OR($S442="Steel",$S442="Poison",$S442="Fire"),1,0)))</f>
        <v>0</v>
      </c>
      <c r="AH442" s="507" t="n">
        <f aca="false">IF(OR($R442="Ghost",$S442="Ghost"),4,SUM(IF(OR($R442="Dark",$R442="Ice",$R442="Normal",$R442="Rock",$R442="Steel"),0-1,IF(OR($R442="Bug",$R442="Fairy",$R442="Flying",$R442="Poison",$R442="Psychic"),1,0)),IF(OR($S442="Dark",$S442="Ice",$S442="Normal",$S442="Rock",$S442="Steel"),0-1,IF(OR($S442="Bug",$S442="Fairy",$S442="Flying",$S442="Poison",$S442="Psychic"),1,0))))</f>
        <v>0</v>
      </c>
      <c r="AI442" s="507" t="n">
        <f aca="false">SUM(IF(OR($R442="Bug",$R442="Grass",$R442="Ice",$R442="Steel"),0-1,IF(OR($R442="Dragon",$R442="Fire",$R442="Rock",$R442="Water"),1,0)),IF(OR($S442="Bug",$S442="Grass",$S442="Ice",$S442="Steel"),0-1,IF(OR($S442="Dragon",$S442="Fire",$S442="Rock",$S442="Water"),1,0)))</f>
        <v>0</v>
      </c>
      <c r="AJ442" s="507" t="n">
        <f aca="false">SUM(IF(OR($R442="Bug",$R442="Grass",$R442="Fighting"),0-1,IF(OR($R442="Electric",$R442="Rock",$R442="Steel"),1,0)),IF(OR($S442="Bug",$S442="Grass",$S442="Fighting"),0-1,IF(OR($S442="Electric",$S442="Rock",$S442="Steel"),1,0)))</f>
        <v>0</v>
      </c>
      <c r="AK442" s="507" t="n">
        <f aca="false">IF(OR($R442="Normal",$S442="Normal"),4,SUM(IF(OR($R442="Ghost",$R442="Psychic"),0-1,IF($R442="Dark",1,0)),IF(OR($S442="Ghost",$S442="Psychic"),0-1,IF($S442="Dark",1,0))))</f>
        <v>4</v>
      </c>
      <c r="AL442" s="507" t="n">
        <f aca="false">SUM(IF(OR($R442="Ground",$R442="Rock",$R442="Water"),0-1,IF(OR($R442="Bug",$R442="Flying",$R442="Fire",$R442="Dragon",$R442="Poison",$R442="Steel",$R442="Grass"),1,0)),IF(OR($S442="Ground",$S442="Rock",$S442="Water"),0-1,IF(OR($S442="Bug",$S442="Flying",$S442="Fire",$S442="Dragon",$S442="Poison",$S442="Steel",$S442="Grass"),1,0)))</f>
        <v>1</v>
      </c>
      <c r="AM442" s="507" t="n">
        <f aca="false">IF(OR($R442="Flying",$S442="Flying"),4,SUM(IF(OR($R442="Electric",$R442="Fire",$R442="Rock",$R442="Steel",$R442="Poison"),0-1,IF(OR($R442="Bug",$R442="Grass"),1,0)),IF(OR($S442="Electric",$S442="Fire",$S442="Rock",$S442="Steel",$S442="Poison"),0-1,IF(OR($S442="Bug",$S442="Grass"),1,0))))</f>
        <v>4</v>
      </c>
      <c r="AN442" s="507" t="n">
        <f aca="false">SUM(IF(OR($R442="Flying",$R442="Dragon",$R442="Grass",$R442="Ground"),0-1,IF(OR($R442="Steel",$R442="Ice",$R442="Fire",$R442="Water"),1,0)),IF(OR($S442="Flying",$S442="Dragon",$S442="Grass",$S442="Ground"),0-1,IF(OR($S442="Steel",$S442="Ice",$S442="Fire",$S442="Water"),1,0)))</f>
        <v>-1</v>
      </c>
      <c r="AO442" s="507" t="n">
        <f aca="false">IF(OR($R442="Ghost",$S442="Ghost"),4,SUM(IF(OR($R442="Steel",$R442="Rock"),1,0),IF(OR($S442="Steel",$S442="Rock"),1,0)))</f>
        <v>0</v>
      </c>
      <c r="AP442" s="507" t="n">
        <f aca="false">IF(OR($R442="Steel",$S442="Steel"),4,SUM(IF(OR($R442="Fairy",$R442="Grass"),0-1,IF(OR($R442="Ghost",$R442="Rock",$R442="Ground",$R442="Poison"),1,0)),IF(OR($S442="Fairy",$S442="Grass"),0-1,IF(OR($S442="Ghost",$S442="Rock",$S442="Ground",$S442="Poison"),1,0))))</f>
        <v>0</v>
      </c>
      <c r="AQ442" s="507" t="n">
        <f aca="false">IF(OR($R442="Dark",$S442="Dark"),4,SUM(IF(OR($R442="Fighting",$R442="Poison"),0-1,IF(OR($R442="Psychic",$R442="Steel"),1,0)),IF(OR($S442="Fighting",$S442="Poison"),0-1,IF(OR($S442="Psychic",$S442="Steel"),1,0))))</f>
        <v>0</v>
      </c>
      <c r="AR442" s="507" t="n">
        <f aca="false">SUM(IF(OR($R442="Bug",$R442="Fire",$R442="Flying",$R442="Ice"),0-1,IF(OR($R442="Steel",$R442="Fighting",$R442="Ground"),1,0)),IF(OR($S442="Bug",$S442="Fire",$S442="Flying",$S442="Ice"),0-1,IF(OR($S442="Steel",$S442="Fighting",$S442="Ground"),1,0)))</f>
        <v>-1</v>
      </c>
      <c r="AS442" s="507" t="n">
        <f aca="false">SUM(IF(OR($R442="Fairy",$R442="Ice",$R442="Rock"),0-1,IF(OR($R442="Steel",$R442="Electric",$R442="Fire",$R442="Water"),1,0)),IF(OR($S442="Fairy",$S442="Ice",$S442="Rock"),0-1,IF(OR($S442="Steel",$S442="Electric",$S442="Fire",$S442="Water"),1,0)))</f>
        <v>0</v>
      </c>
      <c r="AT442" s="508" t="n">
        <f aca="false">SUM(IF(OR($R442="Fire",$R442="Ground",$R442="Rock"),0-1,IF(OR($R442="Dragon",$R442="Grass",$R442="Water"),1,0)),IF(OR($S442="Fire",$S442="Ground",$S442="Rock"),0-1,IF(OR($S442="Dragon",$S442="Grass",$S442="Water"),1,0)))</f>
        <v>0</v>
      </c>
      <c r="AU442" s="518"/>
    </row>
    <row r="443" customFormat="false" ht="15.75" hidden="false" customHeight="false" outlineLevel="0" collapsed="false">
      <c r="A443" s="510" t="str">
        <f aca="false" t="array" ref="A443:A443">IF(ISNA(INDEX(Source!$U$7:$U$95,MATCH(B443,Source!$V$7:$V$95,0))),"FREE",INDEX(Source!$U$7:$U$95,MATCH(B443,Source!$V$7:$V$95,0)))</f>
        <v>FREE</v>
      </c>
      <c r="B443" s="511" t="s">
        <v>415</v>
      </c>
      <c r="C443" s="511"/>
      <c r="D443" s="511"/>
      <c r="E443" s="499" t="str">
        <f aca="false">IF(SUM($W443:$X443)&gt;0,SUM($W443:$X443),IF($H443&gt;0,0,IF($H443&gt;0,0,"-")))</f>
        <v>-</v>
      </c>
      <c r="F443" s="499" t="str">
        <f aca="false">IF(SUM($Y443:$Z443)&gt;0,SUM($Y443:$Z443),IF($H443&gt;0,0,"-"))</f>
        <v>-</v>
      </c>
      <c r="G443" s="499" t="str">
        <f aca="false">IF($H443&gt;0,minus(E443,F443),"-")</f>
        <v>-</v>
      </c>
      <c r="H443" s="500" t="n">
        <f aca="false">SUM(COUNTIF(MatchSource!$A:$A,$B443),COUNTIF(MatchSource!$H:$H,$B443))</f>
        <v>0</v>
      </c>
      <c r="I443" s="501" t="n">
        <f aca="false">SUM($AA443:$AB443)</f>
        <v>0</v>
      </c>
      <c r="J443" s="501" t="s">
        <v>698</v>
      </c>
      <c r="K443" s="512" t="str">
        <f aca="false" t="array" ref="K443:K443">IF(ISNA(INDEX(DraftRosters!$AA$3:$AA$199,MATCH($B443,DraftRosters!$AB$3:$AB$199,0))),"FA",IF(INDEX(DraftRosters!$AA$3:$AA$199,MATCH($B443,DraftRosters!$AB$3:$AB$199,0))="Franchise","Franch",INDEX(DraftRosters!$AA$3:$AA$199,MATCH($B443,DraftRosters!$AB$3:$AB$199,0))))</f>
        <v>FA</v>
      </c>
      <c r="L443" s="499" t="n">
        <v>60</v>
      </c>
      <c r="M443" s="499" t="n">
        <v>75</v>
      </c>
      <c r="N443" s="499" t="n">
        <v>85</v>
      </c>
      <c r="O443" s="499" t="n">
        <v>100</v>
      </c>
      <c r="P443" s="499" t="n">
        <v>85</v>
      </c>
      <c r="Q443" s="501" t="n">
        <v>115</v>
      </c>
      <c r="R443" s="499" t="s">
        <v>828</v>
      </c>
      <c r="S443" s="501" t="s">
        <v>811</v>
      </c>
      <c r="T443" s="504" t="s">
        <v>878</v>
      </c>
      <c r="U443" s="505" t="s">
        <v>1012</v>
      </c>
      <c r="V443" s="506" t="s">
        <v>837</v>
      </c>
      <c r="W443" s="500" t="str">
        <f aca="false">IFERROR(__xludf.dummyfunction("if(isna(SUM(FILTER(MatchSource!$A:$D,MatchSource!$A:$A=$B443))),0,SUM(FILTER(MatchSource!$A:$D,MatchSource!$A:$A=$B443)))"),"0")</f>
        <v>0</v>
      </c>
      <c r="X443" s="499" t="str">
        <f aca="false">IFERROR(__xludf.dummyfunction("if(isna(SUM(FILTER(MatchSource!$H:$K,MatchSource!$H:$H=$B443))),0,SUM(FILTER(MatchSource!$H:$K,MatchSource!$H:$H=$B443)))"),"0")</f>
        <v>0</v>
      </c>
      <c r="Y443" s="499" t="str">
        <f aca="false">IFERROR(__xludf.dummyfunction("if(isna(ABS(MINUS(SUM(FILTER(MatchSource!$A:$E,MatchSource!$A:$A=$B443)),SUM($W443)))),0,ABS(MINUS(SUM(FILTER(MatchSource!$A:$E,MatchSource!$A:$A=$B443)),SUM($W443))))"),"0")</f>
        <v>0</v>
      </c>
      <c r="Z443" s="499" t="str">
        <f aca="false">IFERROR(__xludf.dummyfunction("if(isna(ABS(MINUS(SUM(FILTER(MatchSource!$H:$L,MatchSource!$H:$H=$B443)),SUM($X443)))),0,ABS(MINUS(SUM(FILTER(MatchSource!$H:$L,MatchSource!$H:$H=$B443)),SUM($X443))))"),"0")</f>
        <v>0</v>
      </c>
      <c r="AA443" s="499" t="str">
        <f aca="false">IFERROR(__xludf.dummyfunction("if(isna(ABS(MINUS(SUM(FILTER(MatchSource!$A:$F,MatchSource!$A:$A=$B443)),SUM($W443,$Y443)))),0,ABS(MINUS(SUM(FILTER(MatchSource!$A:$F,MatchSource!$A:$A=$B443)),SUM($W443, $Y443,))))"),"0")</f>
        <v>0</v>
      </c>
      <c r="AB443" s="501" t="str">
        <f aca="false">IFERROR(__xludf.dummyfunction("if(isna(ABS(MINUS(SUM(FILTER(MatchSource!$H:$M,MatchSource!$H:$H=$B443)),SUM($X443,$Z443)))),0,ABS(MINUS(SUM(FILTER(MatchSource!$H:$M,MatchSource!$H:$H=$B443)),SUM($X443,$Z443))))"),"0")</f>
        <v>0</v>
      </c>
      <c r="AC443" s="507" t="n">
        <f aca="false">SUM(IF(OR($R443="Grass",$R443="Psychic",$R443="Dark"),0-1,IF(OR($R443="Fighting",$R443="Flying",$R443="Fire",$R443="Ghost",$R443="Poison",$R443="Steel",$R443="Fairy"),1,0)),IF(OR($S443="Grass",$S443="Psychic",$S443="Dark"),0-1,IF(OR($S443="Fighting",$S443="Flying",$S443="Fire",$S443="Ghost",$S443="Poison",$S443="Steel",$S443="Fairy"),1,0)))</f>
        <v>-1</v>
      </c>
      <c r="AD443" s="507" t="n">
        <f aca="false">SUM(IF(OR($R443="Ghost",$R443="Psychic"),0-1,IF(OR($R443="Fighting",$R443="Dark",$R443="Fairy"),1,0)),IF(OR($S443="Ghost",$S443="Psychic"),0-1,IF(OR($S443="Fighting",$S443="Dark",$S443="Fairy"),1,0)))</f>
        <v>-1</v>
      </c>
      <c r="AE443" s="507" t="n">
        <f aca="false">IF(OR($R443="Fairy",$S443="Fairy"),4,SUM(IF($R443="Dragon",0-1,IF($R443="Steel",1,0)),IF($S443="Dragon",0-1,IF($S443="Steel",1,0))))</f>
        <v>0</v>
      </c>
      <c r="AF443" s="507" t="n">
        <f aca="false">IF(OR($R443="Ground",$S443="Ground"),4,SUM(IF(OR($R443="Flying",$R443="Water"),0-1,IF(OR($R443="Dragon",$R443="Electric",$R443="Grass"),1,0)),IF(OR($S443="Flying",$S443="Water"),0-1,IF(OR($S443="Dragon",$S443="Electric",$S443="Grass"),1,0))))</f>
        <v>-1</v>
      </c>
      <c r="AG443" s="507" t="n">
        <f aca="false">SUM(IF(OR($R443="Dark",$R443="Dragon",$R443="Fighting"),0-1,IF(OR($R443="Steel",$R443="Poison",$R443="Fire"),1,0)),IF(OR($S443="Dark",$S443="Dragon",$S443="Fighting"),0-1,IF(OR($S443="Steel",$S443="Poison",$S443="Fire"),1,0)))</f>
        <v>0</v>
      </c>
      <c r="AH443" s="507" t="n">
        <f aca="false">IF(OR($R443="Ghost",$S443="Ghost"),4,SUM(IF(OR($R443="Dark",$R443="Ice",$R443="Normal",$R443="Rock",$R443="Steel"),0-1,IF(OR($R443="Bug",$R443="Fairy",$R443="Flying",$R443="Poison",$R443="Psychic"),1,0)),IF(OR($S443="Dark",$S443="Ice",$S443="Normal",$S443="Rock",$S443="Steel"),0-1,IF(OR($S443="Bug",$S443="Fairy",$S443="Flying",$S443="Poison",$S443="Psychic"),1,0))))</f>
        <v>1</v>
      </c>
      <c r="AI443" s="507" t="n">
        <f aca="false">SUM(IF(OR($R443="Bug",$R443="Grass",$R443="Ice",$R443="Steel"),0-1,IF(OR($R443="Dragon",$R443="Fire",$R443="Rock",$R443="Water"),1,0)),IF(OR($S443="Bug",$S443="Grass",$S443="Ice",$S443="Steel"),0-1,IF(OR($S443="Dragon",$S443="Fire",$S443="Rock",$S443="Water"),1,0)))</f>
        <v>1</v>
      </c>
      <c r="AJ443" s="507" t="n">
        <f aca="false">SUM(IF(OR($R443="Bug",$R443="Grass",$R443="Fighting"),0-1,IF(OR($R443="Electric",$R443="Rock",$R443="Steel"),1,0)),IF(OR($S443="Bug",$S443="Grass",$S443="Fighting"),0-1,IF(OR($S443="Electric",$S443="Rock",$S443="Steel"),1,0)))</f>
        <v>0</v>
      </c>
      <c r="AK443" s="507" t="n">
        <f aca="false">IF(OR($R443="Normal",$S443="Normal"),4,SUM(IF(OR($R443="Ghost",$R443="Psychic"),0-1,IF($R443="Dark",1,0)),IF(OR($S443="Ghost",$S443="Psychic"),0-1,IF($S443="Dark",1,0))))</f>
        <v>-1</v>
      </c>
      <c r="AL443" s="507" t="n">
        <f aca="false">SUM(IF(OR($R443="Ground",$R443="Rock",$R443="Water"),0-1,IF(OR($R443="Bug",$R443="Flying",$R443="Fire",$R443="Dragon",$R443="Poison",$R443="Steel",$R443="Grass"),1,0)),IF(OR($S443="Ground",$S443="Rock",$S443="Water"),0-1,IF(OR($S443="Bug",$S443="Flying",$S443="Fire",$S443="Dragon",$S443="Poison",$S443="Steel",$S443="Grass"),1,0)))</f>
        <v>-1</v>
      </c>
      <c r="AM443" s="507" t="n">
        <f aca="false">IF(OR($R443="Flying",$S443="Flying"),4,SUM(IF(OR($R443="Electric",$R443="Fire",$R443="Rock",$R443="Steel",$R443="Poison"),0-1,IF(OR($R443="Bug",$R443="Grass"),1,0)),IF(OR($S443="Electric",$S443="Fire",$S443="Rock",$S443="Steel",$S443="Poison"),0-1,IF(OR($S443="Bug",$S443="Grass"),1,0))))</f>
        <v>0</v>
      </c>
      <c r="AN443" s="507" t="n">
        <f aca="false">SUM(IF(OR($R443="Flying",$R443="Dragon",$R443="Grass",$R443="Ground"),0-1,IF(OR($R443="Steel",$R443="Ice",$R443="Fire",$R443="Water"),1,0)),IF(OR($S443="Flying",$S443="Dragon",$S443="Grass",$S443="Ground"),0-1,IF(OR($S443="Steel",$S443="Ice",$S443="Fire",$S443="Water"),1,0)))</f>
        <v>1</v>
      </c>
      <c r="AO443" s="507" t="n">
        <f aca="false">IF(OR($R443="Ghost",$S443="Ghost"),4,SUM(IF(OR($R443="Steel",$R443="Rock"),1,0),IF(OR($S443="Steel",$S443="Rock"),1,0)))</f>
        <v>0</v>
      </c>
      <c r="AP443" s="507" t="n">
        <f aca="false">IF(OR($R443="Steel",$S443="Steel"),4,SUM(IF(OR($R443="Fairy",$R443="Grass"),0-1,IF(OR($R443="Ghost",$R443="Rock",$R443="Ground",$R443="Poison"),1,0)),IF(OR($S443="Fairy",$S443="Grass"),0-1,IF(OR($S443="Ghost",$S443="Rock",$S443="Ground",$S443="Poison"),1,0))))</f>
        <v>0</v>
      </c>
      <c r="AQ443" s="507" t="n">
        <f aca="false">IF(OR($R443="Dark",$S443="Dark"),4,SUM(IF(OR($R443="Fighting",$R443="Poison"),0-1,IF(OR($R443="Psychic",$R443="Steel"),1,0)),IF(OR($S443="Fighting",$S443="Poison"),0-1,IF(OR($S443="Psychic",$S443="Steel"),1,0))))</f>
        <v>1</v>
      </c>
      <c r="AR443" s="507" t="n">
        <f aca="false">SUM(IF(OR($R443="Bug",$R443="Fire",$R443="Flying",$R443="Ice"),0-1,IF(OR($R443="Steel",$R443="Fighting",$R443="Ground"),1,0)),IF(OR($S443="Bug",$S443="Fire",$S443="Flying",$S443="Ice"),0-1,IF(OR($S443="Steel",$S443="Fighting",$S443="Ground"),1,0)))</f>
        <v>0</v>
      </c>
      <c r="AS443" s="507" t="n">
        <f aca="false">SUM(IF(OR($R443="Fairy",$R443="Ice",$R443="Rock"),0-1,IF(OR($R443="Steel",$R443="Electric",$R443="Fire",$R443="Water"),1,0)),IF(OR($S443="Fairy",$S443="Ice",$S443="Rock"),0-1,IF(OR($S443="Steel",$S443="Electric",$S443="Fire",$S443="Water"),1,0)))</f>
        <v>1</v>
      </c>
      <c r="AT443" s="508" t="n">
        <f aca="false">SUM(IF(OR($R443="Fire",$R443="Ground",$R443="Rock"),0-1,IF(OR($R443="Dragon",$R443="Grass",$R443="Water"),1,0)),IF(OR($S443="Fire",$S443="Ground",$S443="Rock"),0-1,IF(OR($S443="Dragon",$S443="Grass",$S443="Water"),1,0)))</f>
        <v>1</v>
      </c>
      <c r="AU443" s="518"/>
    </row>
    <row r="444" customFormat="false" ht="15.75" hidden="false" customHeight="false" outlineLevel="0" collapsed="false">
      <c r="A444" s="510" t="str">
        <f aca="false" t="array" ref="A444:A444">IF(ISNA(INDEX(Source!$U$7:$U$95,MATCH(B444,Source!$V$7:$V$95,0))),"FREE",INDEX(Source!$U$7:$U$95,MATCH(B444,Source!$V$7:$V$95,0)))</f>
        <v>FREE</v>
      </c>
      <c r="B444" s="511" t="s">
        <v>609</v>
      </c>
      <c r="C444" s="511"/>
      <c r="D444" s="511"/>
      <c r="E444" s="499" t="str">
        <f aca="false">IF(SUM($W444:$X444)&gt;0,SUM($W444:$X444),IF($H444&gt;0,0,IF($H444&gt;0,0,"-")))</f>
        <v>-</v>
      </c>
      <c r="F444" s="499" t="str">
        <f aca="false">IF(SUM($Y444:$Z444)&gt;0,SUM($Y444:$Z444),IF($H444&gt;0,0,"-"))</f>
        <v>-</v>
      </c>
      <c r="G444" s="499" t="str">
        <f aca="false">IF($H444&gt;0,minus(E444,F444),"-")</f>
        <v>-</v>
      </c>
      <c r="H444" s="500" t="n">
        <f aca="false">SUM(COUNTIF(MatchSource!$A:$A,$B444),COUNTIF(MatchSource!$H:$H,$B444))</f>
        <v>0</v>
      </c>
      <c r="I444" s="501" t="n">
        <f aca="false">SUM($AA444:$AB444)</f>
        <v>0</v>
      </c>
      <c r="J444" s="501" t="s">
        <v>702</v>
      </c>
      <c r="K444" s="512" t="str">
        <f aca="false" t="array" ref="K444:K444">IF(ISNA(INDEX(DraftRosters!$AA$3:$AA$199,MATCH($B444,DraftRosters!$AB$3:$AB$199,0))),"FA",IF(INDEX(DraftRosters!$AA$3:$AA$199,MATCH($B444,DraftRosters!$AB$3:$AB$199,0))="Franchise","Franch",INDEX(DraftRosters!$AA$3:$AA$199,MATCH($B444,DraftRosters!$AB$3:$AB$199,0))))</f>
        <v>FA</v>
      </c>
      <c r="L444" s="499" t="n">
        <v>75</v>
      </c>
      <c r="M444" s="499" t="n">
        <v>85</v>
      </c>
      <c r="N444" s="499" t="n">
        <v>200</v>
      </c>
      <c r="O444" s="499" t="n">
        <v>55</v>
      </c>
      <c r="P444" s="499" t="n">
        <v>65</v>
      </c>
      <c r="Q444" s="501" t="n">
        <v>30</v>
      </c>
      <c r="R444" s="499" t="s">
        <v>907</v>
      </c>
      <c r="S444" s="501" t="s">
        <v>810</v>
      </c>
      <c r="T444" s="504" t="s">
        <v>823</v>
      </c>
      <c r="U444" s="505" t="s">
        <v>898</v>
      </c>
      <c r="V444" s="506" t="s">
        <v>826</v>
      </c>
      <c r="W444" s="500" t="str">
        <f aca="false">IFERROR(__xludf.dummyfunction("if(isna(SUM(FILTER(MatchSource!$A:$D,MatchSource!$A:$A=$B444))),0,SUM(FILTER(MatchSource!$A:$D,MatchSource!$A:$A=$B444)))"),"0")</f>
        <v>0</v>
      </c>
      <c r="X444" s="499" t="str">
        <f aca="false">IFERROR(__xludf.dummyfunction("if(isna(SUM(FILTER(MatchSource!$H:$K,MatchSource!$H:$H=$B444))),0,SUM(FILTER(MatchSource!$H:$K,MatchSource!$H:$H=$B444)))"),"0")</f>
        <v>0</v>
      </c>
      <c r="Y444" s="499" t="str">
        <f aca="false">IFERROR(__xludf.dummyfunction("if(isna(ABS(MINUS(SUM(FILTER(MatchSource!$A:$E,MatchSource!$A:$A=$B444)),SUM($W444)))),0,ABS(MINUS(SUM(FILTER(MatchSource!$A:$E,MatchSource!$A:$A=$B444)),SUM($W444))))"),"0")</f>
        <v>0</v>
      </c>
      <c r="Z444" s="499" t="str">
        <f aca="false">IFERROR(__xludf.dummyfunction("if(isna(ABS(MINUS(SUM(FILTER(MatchSource!$H:$L,MatchSource!$H:$H=$B444)),SUM($X444)))),0,ABS(MINUS(SUM(FILTER(MatchSource!$H:$L,MatchSource!$H:$H=$B444)),SUM($X444))))"),"0")</f>
        <v>0</v>
      </c>
      <c r="AA444" s="499" t="str">
        <f aca="false">IFERROR(__xludf.dummyfunction("if(isna(ABS(MINUS(SUM(FILTER(MatchSource!$A:$F,MatchSource!$A:$A=$B444)),SUM($W444,$Y444)))),0,ABS(MINUS(SUM(FILTER(MatchSource!$A:$F,MatchSource!$A:$A=$B444)),SUM($W444, $Y444,))))"),"0")</f>
        <v>0</v>
      </c>
      <c r="AB444" s="501" t="str">
        <f aca="false">IFERROR(__xludf.dummyfunction("if(isna(ABS(MINUS(SUM(FILTER(MatchSource!$H:$M,MatchSource!$H:$H=$B444)),SUM($X444,$Z444)))),0,ABS(MINUS(SUM(FILTER(MatchSource!$H:$M,MatchSource!$H:$H=$B444)),SUM($X444,$Z444))))"),"0")</f>
        <v>0</v>
      </c>
      <c r="AC444" s="507" t="n">
        <f aca="false">SUM(IF(OR($R444="Grass",$R444="Psychic",$R444="Dark"),0-1,IF(OR($R444="Fighting",$R444="Flying",$R444="Fire",$R444="Ghost",$R444="Poison",$R444="Steel",$R444="Fairy"),1,0)),IF(OR($S444="Grass",$S444="Psychic",$S444="Dark"),0-1,IF(OR($S444="Fighting",$S444="Flying",$S444="Fire",$S444="Ghost",$S444="Poison",$S444="Steel",$S444="Fairy"),1,0)))</f>
        <v>1</v>
      </c>
      <c r="AD444" s="507" t="n">
        <f aca="false">SUM(IF(OR($R444="Ghost",$R444="Psychic"),0-1,IF(OR($R444="Fighting",$R444="Dark",$R444="Fairy"),1,0)),IF(OR($S444="Ghost",$S444="Psychic"),0-1,IF(OR($S444="Fighting",$S444="Dark",$S444="Fairy"),1,0)))</f>
        <v>0</v>
      </c>
      <c r="AE444" s="507" t="n">
        <f aca="false">IF(OR($R444="Fairy",$S444="Fairy"),4,SUM(IF($R444="Dragon",0-1,IF($R444="Steel",1,0)),IF($S444="Dragon",0-1,IF($S444="Steel",1,0))))</f>
        <v>1</v>
      </c>
      <c r="AF444" s="507" t="n">
        <f aca="false">IF(OR($R444="Ground",$S444="Ground"),4,SUM(IF(OR($R444="Flying",$R444="Water"),0-1,IF(OR($R444="Dragon",$R444="Electric",$R444="Grass"),1,0)),IF(OR($S444="Flying",$S444="Water"),0-1,IF(OR($S444="Dragon",$S444="Electric",$S444="Grass"),1,0))))</f>
        <v>4</v>
      </c>
      <c r="AG444" s="507" t="n">
        <f aca="false">SUM(IF(OR($R444="Dark",$R444="Dragon",$R444="Fighting"),0-1,IF(OR($R444="Steel",$R444="Poison",$R444="Fire"),1,0)),IF(OR($S444="Dark",$S444="Dragon",$S444="Fighting"),0-1,IF(OR($S444="Steel",$S444="Poison",$S444="Fire"),1,0)))</f>
        <v>1</v>
      </c>
      <c r="AH444" s="507" t="n">
        <f aca="false">IF(OR($R444="Ghost",$S444="Ghost"),4,SUM(IF(OR($R444="Dark",$R444="Ice",$R444="Normal",$R444="Rock",$R444="Steel"),0-1,IF(OR($R444="Bug",$R444="Fairy",$R444="Flying",$R444="Poison",$R444="Psychic"),1,0)),IF(OR($S444="Dark",$S444="Ice",$S444="Normal",$S444="Rock",$S444="Steel"),0-1,IF(OR($S444="Bug",$S444="Fairy",$S444="Flying",$S444="Poison",$S444="Psychic"),1,0))))</f>
        <v>-1</v>
      </c>
      <c r="AI444" s="507" t="n">
        <f aca="false">SUM(IF(OR($R444="Bug",$R444="Grass",$R444="Ice",$R444="Steel"),0-1,IF(OR($R444="Dragon",$R444="Fire",$R444="Rock",$R444="Water"),1,0)),IF(OR($S444="Bug",$S444="Grass",$S444="Ice",$S444="Steel"),0-1,IF(OR($S444="Dragon",$S444="Fire",$S444="Rock",$S444="Water"),1,0)))</f>
        <v>-1</v>
      </c>
      <c r="AJ444" s="507" t="n">
        <f aca="false">SUM(IF(OR($R444="Bug",$R444="Grass",$R444="Fighting"),0-1,IF(OR($R444="Electric",$R444="Rock",$R444="Steel"),1,0)),IF(OR($S444="Bug",$S444="Grass",$S444="Fighting"),0-1,IF(OR($S444="Electric",$S444="Rock",$S444="Steel"),1,0)))</f>
        <v>1</v>
      </c>
      <c r="AK444" s="507" t="n">
        <f aca="false">IF(OR($R444="Normal",$S444="Normal"),4,SUM(IF(OR($R444="Ghost",$R444="Psychic"),0-1,IF($R444="Dark",1,0)),IF(OR($S444="Ghost",$S444="Psychic"),0-1,IF($S444="Dark",1,0))))</f>
        <v>0</v>
      </c>
      <c r="AL444" s="507" t="n">
        <f aca="false">SUM(IF(OR($R444="Ground",$R444="Rock",$R444="Water"),0-1,IF(OR($R444="Bug",$R444="Flying",$R444="Fire",$R444="Dragon",$R444="Poison",$R444="Steel",$R444="Grass"),1,0)),IF(OR($S444="Ground",$S444="Rock",$S444="Water"),0-1,IF(OR($S444="Bug",$S444="Flying",$S444="Fire",$S444="Dragon",$S444="Poison",$S444="Steel",$S444="Grass"),1,0)))</f>
        <v>0</v>
      </c>
      <c r="AM444" s="507" t="n">
        <f aca="false">IF(OR($R444="Flying",$S444="Flying"),4,SUM(IF(OR($R444="Electric",$R444="Fire",$R444="Rock",$R444="Steel",$R444="Poison"),0-1,IF(OR($R444="Bug",$R444="Grass"),1,0)),IF(OR($S444="Electric",$S444="Fire",$S444="Rock",$S444="Steel",$S444="Poison"),0-1,IF(OR($S444="Bug",$S444="Grass"),1,0))))</f>
        <v>-1</v>
      </c>
      <c r="AN444" s="507" t="n">
        <f aca="false">SUM(IF(OR($R444="Flying",$R444="Dragon",$R444="Grass",$R444="Ground"),0-1,IF(OR($R444="Steel",$R444="Ice",$R444="Fire",$R444="Water"),1,0)),IF(OR($S444="Flying",$S444="Dragon",$S444="Grass",$S444="Ground"),0-1,IF(OR($S444="Steel",$S444="Ice",$S444="Fire",$S444="Water"),1,0)))</f>
        <v>0</v>
      </c>
      <c r="AO444" s="507" t="n">
        <f aca="false">IF(OR($R444="Ghost",$S444="Ghost"),4,SUM(IF(OR($R444="Steel",$R444="Rock"),1,0),IF(OR($S444="Steel",$S444="Rock"),1,0)))</f>
        <v>1</v>
      </c>
      <c r="AP444" s="507" t="n">
        <f aca="false">IF(OR($R444="Steel",$S444="Steel"),4,SUM(IF(OR($R444="Fairy",$R444="Grass"),0-1,IF(OR($R444="Ghost",$R444="Rock",$R444="Ground",$R444="Poison"),1,0)),IF(OR($S444="Fairy",$S444="Grass"),0-1,IF(OR($S444="Ghost",$S444="Rock",$S444="Ground",$S444="Poison"),1,0))))</f>
        <v>4</v>
      </c>
      <c r="AQ444" s="507" t="n">
        <f aca="false">IF(OR($R444="Dark",$S444="Dark"),4,SUM(IF(OR($R444="Fighting",$R444="Poison"),0-1,IF(OR($R444="Psychic",$R444="Steel"),1,0)),IF(OR($S444="Fighting",$S444="Poison"),0-1,IF(OR($S444="Psychic",$S444="Steel"),1,0))))</f>
        <v>1</v>
      </c>
      <c r="AR444" s="507" t="n">
        <f aca="false">SUM(IF(OR($R444="Bug",$R444="Fire",$R444="Flying",$R444="Ice"),0-1,IF(OR($R444="Steel",$R444="Fighting",$R444="Ground"),1,0)),IF(OR($S444="Bug",$S444="Fire",$S444="Flying",$S444="Ice"),0-1,IF(OR($S444="Steel",$S444="Fighting",$S444="Ground"),1,0)))</f>
        <v>2</v>
      </c>
      <c r="AS444" s="507" t="n">
        <f aca="false">SUM(IF(OR($R444="Fairy",$R444="Ice",$R444="Rock"),0-1,IF(OR($R444="Steel",$R444="Electric",$R444="Fire",$R444="Water"),1,0)),IF(OR($S444="Fairy",$S444="Ice",$S444="Rock"),0-1,IF(OR($S444="Steel",$S444="Electric",$S444="Fire",$S444="Water"),1,0)))</f>
        <v>1</v>
      </c>
      <c r="AT444" s="508" t="n">
        <f aca="false">SUM(IF(OR($R444="Fire",$R444="Ground",$R444="Rock"),0-1,IF(OR($R444="Dragon",$R444="Grass",$R444="Water"),1,0)),IF(OR($S444="Fire",$S444="Ground",$S444="Rock"),0-1,IF(OR($S444="Dragon",$S444="Grass",$S444="Water"),1,0)))</f>
        <v>-1</v>
      </c>
      <c r="AU444" s="518"/>
    </row>
    <row r="445" customFormat="false" ht="15.75" hidden="false" customHeight="false" outlineLevel="0" collapsed="false">
      <c r="A445" s="510" t="str">
        <f aca="false" t="array" ref="A445:A445">IF(ISNA(INDEX(Source!$U$7:$U$95,MATCH(B445,Source!$V$7:$V$95,0))),"FREE",INDEX(Source!$U$7:$U$95,MATCH(B445,Source!$V$7:$V$95,0)))</f>
        <v>FREE</v>
      </c>
      <c r="B445" s="511" t="s">
        <v>733</v>
      </c>
      <c r="C445" s="511"/>
      <c r="D445" s="511"/>
      <c r="E445" s="499" t="str">
        <f aca="false">IF(SUM($W445:$X445)&gt;0,SUM($W445:$X445),IF($H445&gt;0,0,IF($H445&gt;0,0,"-")))</f>
        <v>-</v>
      </c>
      <c r="F445" s="499" t="str">
        <f aca="false">IF(SUM($Y445:$Z445)&gt;0,SUM($Y445:$Z445),IF($H445&gt;0,0,"-"))</f>
        <v>-</v>
      </c>
      <c r="G445" s="499" t="str">
        <f aca="false">IF($H445&gt;0,minus(E445,F445),"-")</f>
        <v>-</v>
      </c>
      <c r="H445" s="500" t="n">
        <f aca="false">SUM(COUNTIF(MatchSource!$A:$A,$B445),COUNTIF(MatchSource!$H:$H,$B445))</f>
        <v>0</v>
      </c>
      <c r="I445" s="501" t="n">
        <f aca="false">SUM($AA445:$AB445)</f>
        <v>0</v>
      </c>
      <c r="J445" s="501" t="s">
        <v>279</v>
      </c>
      <c r="K445" s="512" t="str">
        <f aca="false" t="array" ref="K445:K445">IF(ISNA(INDEX(DraftRosters!$AA$3:$AA$199,MATCH($B445,DraftRosters!$AB$3:$AB$199,0))),"FA",IF(INDEX(DraftRosters!$AA$3:$AA$199,MATCH($B445,DraftRosters!$AB$3:$AB$199,0))="Franchise","Franch",INDEX(DraftRosters!$AA$3:$AA$199,MATCH($B445,DraftRosters!$AB$3:$AB$199,0))))</f>
        <v>FA</v>
      </c>
      <c r="L445" s="499" t="n">
        <v>75</v>
      </c>
      <c r="M445" s="499" t="n">
        <v>125</v>
      </c>
      <c r="N445" s="499" t="n">
        <v>230</v>
      </c>
      <c r="O445" s="499" t="n">
        <v>55</v>
      </c>
      <c r="P445" s="499" t="n">
        <v>95</v>
      </c>
      <c r="Q445" s="501" t="n">
        <v>30</v>
      </c>
      <c r="R445" s="499" t="s">
        <v>907</v>
      </c>
      <c r="S445" s="501" t="s">
        <v>810</v>
      </c>
      <c r="T445" s="504" t="s">
        <v>959</v>
      </c>
      <c r="U445" s="505"/>
      <c r="V445" s="506"/>
      <c r="W445" s="500" t="str">
        <f aca="false">IFERROR(__xludf.dummyfunction("if(isna(SUM(FILTER(MatchSource!$A:$D,MatchSource!$A:$A=$B445))),0,SUM(FILTER(MatchSource!$A:$D,MatchSource!$A:$A=$B445)))"),"0")</f>
        <v>0</v>
      </c>
      <c r="X445" s="499" t="str">
        <f aca="false">IFERROR(__xludf.dummyfunction("if(isna(SUM(FILTER(MatchSource!$H:$K,MatchSource!$H:$H=$B445))),0,SUM(FILTER(MatchSource!$H:$K,MatchSource!$H:$H=$B445)))"),"0")</f>
        <v>0</v>
      </c>
      <c r="Y445" s="499" t="str">
        <f aca="false">IFERROR(__xludf.dummyfunction("if(isna(ABS(MINUS(SUM(FILTER(MatchSource!$A:$E,MatchSource!$A:$A=$B445)),SUM($W445)))),0,ABS(MINUS(SUM(FILTER(MatchSource!$A:$E,MatchSource!$A:$A=$B445)),SUM($W445))))"),"0")</f>
        <v>0</v>
      </c>
      <c r="Z445" s="499" t="str">
        <f aca="false">IFERROR(__xludf.dummyfunction("if(isna(ABS(MINUS(SUM(FILTER(MatchSource!$H:$L,MatchSource!$H:$H=$B445)),SUM($X445)))),0,ABS(MINUS(SUM(FILTER(MatchSource!$H:$L,MatchSource!$H:$H=$B445)),SUM($X445))))"),"0")</f>
        <v>0</v>
      </c>
      <c r="AA445" s="499" t="str">
        <f aca="false">IFERROR(__xludf.dummyfunction("if(isna(ABS(MINUS(SUM(FILTER(MatchSource!$A:$F,MatchSource!$A:$A=$B445)),SUM($W445,$Y445)))),0,ABS(MINUS(SUM(FILTER(MatchSource!$A:$F,MatchSource!$A:$A=$B445)),SUM($W445, $Y445,))))"),"0")</f>
        <v>0</v>
      </c>
      <c r="AB445" s="501" t="str">
        <f aca="false">IFERROR(__xludf.dummyfunction("if(isna(ABS(MINUS(SUM(FILTER(MatchSource!$H:$M,MatchSource!$H:$H=$B445)),SUM($X445,$Z445)))),0,ABS(MINUS(SUM(FILTER(MatchSource!$H:$M,MatchSource!$H:$H=$B445)),SUM($X445,$Z445))))"),"0")</f>
        <v>0</v>
      </c>
      <c r="AC445" s="507" t="n">
        <f aca="false">SUM(IF(OR($R445="Grass",$R445="Psychic",$R445="Dark"),0-1,IF(OR($R445="Fighting",$R445="Flying",$R445="Fire",$R445="Ghost",$R445="Poison",$R445="Steel",$R445="Fairy"),1,0)),IF(OR($S445="Grass",$S445="Psychic",$S445="Dark"),0-1,IF(OR($S445="Fighting",$S445="Flying",$S445="Fire",$S445="Ghost",$S445="Poison",$S445="Steel",$S445="Fairy"),1,0)))</f>
        <v>1</v>
      </c>
      <c r="AD445" s="507" t="n">
        <f aca="false">SUM(IF(OR($R445="Ghost",$R445="Psychic"),0-1,IF(OR($R445="Fighting",$R445="Dark",$R445="Fairy"),1,0)),IF(OR($S445="Ghost",$S445="Psychic"),0-1,IF(OR($S445="Fighting",$S445="Dark",$S445="Fairy"),1,0)))</f>
        <v>0</v>
      </c>
      <c r="AE445" s="507" t="n">
        <f aca="false">IF(OR($R445="Fairy",$S445="Fairy"),4,SUM(IF($R445="Dragon",0-1,IF($R445="Steel",1,0)),IF($S445="Dragon",0-1,IF($S445="Steel",1,0))))</f>
        <v>1</v>
      </c>
      <c r="AF445" s="507" t="n">
        <f aca="false">IF(OR($R445="Ground",$S445="Ground"),4,SUM(IF(OR($R445="Flying",$R445="Water"),0-1,IF(OR($R445="Dragon",$R445="Electric",$R445="Grass"),1,0)),IF(OR($S445="Flying",$S445="Water"),0-1,IF(OR($S445="Dragon",$S445="Electric",$S445="Grass"),1,0))))</f>
        <v>4</v>
      </c>
      <c r="AG445" s="507" t="n">
        <f aca="false">SUM(IF(OR($R445="Dark",$R445="Dragon",$R445="Fighting"),0-1,IF(OR($R445="Steel",$R445="Poison",$R445="Fire"),1,0)),IF(OR($S445="Dark",$S445="Dragon",$S445="Fighting"),0-1,IF(OR($S445="Steel",$S445="Poison",$S445="Fire"),1,0)))</f>
        <v>1</v>
      </c>
      <c r="AH445" s="507" t="n">
        <f aca="false">IF(OR($R445="Ghost",$S445="Ghost"),4,SUM(IF(OR($R445="Dark",$R445="Ice",$R445="Normal",$R445="Rock",$R445="Steel"),0-1,IF(OR($R445="Bug",$R445="Fairy",$R445="Flying",$R445="Poison",$R445="Psychic"),1,0)),IF(OR($S445="Dark",$S445="Ice",$S445="Normal",$S445="Rock",$S445="Steel"),0-1,IF(OR($S445="Bug",$S445="Fairy",$S445="Flying",$S445="Poison",$S445="Psychic"),1,0))))</f>
        <v>-1</v>
      </c>
      <c r="AI445" s="507" t="n">
        <f aca="false">SUM(IF(OR($R445="Bug",$R445="Grass",$R445="Ice",$R445="Steel"),0-1,IF(OR($R445="Dragon",$R445="Fire",$R445="Rock",$R445="Water"),1,0)),IF(OR($S445="Bug",$S445="Grass",$S445="Ice",$S445="Steel"),0-1,IF(OR($S445="Dragon",$S445="Fire",$S445="Rock",$S445="Water"),1,0)))</f>
        <v>-1</v>
      </c>
      <c r="AJ445" s="507" t="n">
        <f aca="false">SUM(IF(OR($R445="Bug",$R445="Grass",$R445="Fighting"),0-1,IF(OR($R445="Electric",$R445="Rock",$R445="Steel"),1,0)),IF(OR($S445="Bug",$S445="Grass",$S445="Fighting"),0-1,IF(OR($S445="Electric",$S445="Rock",$S445="Steel"),1,0)))</f>
        <v>1</v>
      </c>
      <c r="AK445" s="507" t="n">
        <f aca="false">IF(OR($R445="Normal",$S445="Normal"),4,SUM(IF(OR($R445="Ghost",$R445="Psychic"),0-1,IF($R445="Dark",1,0)),IF(OR($S445="Ghost",$S445="Psychic"),0-1,IF($S445="Dark",1,0))))</f>
        <v>0</v>
      </c>
      <c r="AL445" s="507" t="n">
        <f aca="false">SUM(IF(OR($R445="Ground",$R445="Rock",$R445="Water"),0-1,IF(OR($R445="Bug",$R445="Flying",$R445="Fire",$R445="Dragon",$R445="Poison",$R445="Steel",$R445="Grass"),1,0)),IF(OR($S445="Ground",$S445="Rock",$S445="Water"),0-1,IF(OR($S445="Bug",$S445="Flying",$S445="Fire",$S445="Dragon",$S445="Poison",$S445="Steel",$S445="Grass"),1,0)))</f>
        <v>0</v>
      </c>
      <c r="AM445" s="507" t="n">
        <f aca="false">IF(OR($R445="Flying",$S445="Flying"),4,SUM(IF(OR($R445="Electric",$R445="Fire",$R445="Rock",$R445="Steel",$R445="Poison"),0-1,IF(OR($R445="Bug",$R445="Grass"),1,0)),IF(OR($S445="Electric",$S445="Fire",$S445="Rock",$S445="Steel",$S445="Poison"),0-1,IF(OR($S445="Bug",$S445="Grass"),1,0))))</f>
        <v>-1</v>
      </c>
      <c r="AN445" s="507" t="n">
        <f aca="false">SUM(IF(OR($R445="Flying",$R445="Dragon",$R445="Grass",$R445="Ground"),0-1,IF(OR($R445="Steel",$R445="Ice",$R445="Fire",$R445="Water"),1,0)),IF(OR($S445="Flying",$S445="Dragon",$S445="Grass",$S445="Ground"),0-1,IF(OR($S445="Steel",$S445="Ice",$S445="Fire",$S445="Water"),1,0)))</f>
        <v>0</v>
      </c>
      <c r="AO445" s="507" t="n">
        <f aca="false">IF(OR($R445="Ghost",$S445="Ghost"),4,SUM(IF(OR($R445="Steel",$R445="Rock"),1,0),IF(OR($S445="Steel",$S445="Rock"),1,0)))</f>
        <v>1</v>
      </c>
      <c r="AP445" s="507" t="n">
        <f aca="false">IF(OR($R445="Steel",$S445="Steel"),4,SUM(IF(OR($R445="Fairy",$R445="Grass"),0-1,IF(OR($R445="Ghost",$R445="Rock",$R445="Ground",$R445="Poison"),1,0)),IF(OR($S445="Fairy",$S445="Grass"),0-1,IF(OR($S445="Ghost",$S445="Rock",$S445="Ground",$S445="Poison"),1,0))))</f>
        <v>4</v>
      </c>
      <c r="AQ445" s="507" t="n">
        <f aca="false">IF(OR($R445="Dark",$S445="Dark"),4,SUM(IF(OR($R445="Fighting",$R445="Poison"),0-1,IF(OR($R445="Psychic",$R445="Steel"),1,0)),IF(OR($S445="Fighting",$S445="Poison"),0-1,IF(OR($S445="Psychic",$S445="Steel"),1,0))))</f>
        <v>1</v>
      </c>
      <c r="AR445" s="507" t="n">
        <f aca="false">SUM(IF(OR($R445="Bug",$R445="Fire",$R445="Flying",$R445="Ice"),0-1,IF(OR($R445="Steel",$R445="Fighting",$R445="Ground"),1,0)),IF(OR($S445="Bug",$S445="Fire",$S445="Flying",$S445="Ice"),0-1,IF(OR($S445="Steel",$S445="Fighting",$S445="Ground"),1,0)))</f>
        <v>2</v>
      </c>
      <c r="AS445" s="507" t="n">
        <f aca="false">SUM(IF(OR($R445="Fairy",$R445="Ice",$R445="Rock"),0-1,IF(OR($R445="Steel",$R445="Electric",$R445="Fire",$R445="Water"),1,0)),IF(OR($S445="Fairy",$S445="Ice",$S445="Rock"),0-1,IF(OR($S445="Steel",$S445="Electric",$S445="Fire",$S445="Water"),1,0)))</f>
        <v>1</v>
      </c>
      <c r="AT445" s="508" t="n">
        <f aca="false">SUM(IF(OR($R445="Fire",$R445="Ground",$R445="Rock"),0-1,IF(OR($R445="Dragon",$R445="Grass",$R445="Water"),1,0)),IF(OR($S445="Fire",$S445="Ground",$S445="Rock"),0-1,IF(OR($S445="Dragon",$S445="Grass",$S445="Water"),1,0)))</f>
        <v>-1</v>
      </c>
      <c r="AU445" s="518"/>
    </row>
    <row r="446" customFormat="false" ht="15.75" hidden="false" customHeight="false" outlineLevel="0" collapsed="false">
      <c r="A446" s="510" t="str">
        <f aca="false" t="array" ref="A446:A446">IF(ISNA(INDEX(Source!$U$7:$U$95,MATCH(B446,Source!$V$7:$V$95,0))),"FREE",INDEX(Source!$U$7:$U$95,MATCH(B446,Source!$V$7:$V$95,0)))</f>
        <v>FREE</v>
      </c>
      <c r="B446" s="511" t="s">
        <v>654</v>
      </c>
      <c r="C446" s="511"/>
      <c r="D446" s="511"/>
      <c r="E446" s="499" t="str">
        <f aca="false">IF(SUM($W446:$X446)&gt;0,SUM($W446:$X446),IF($H446&gt;0,0,IF($H446&gt;0,0,"-")))</f>
        <v>-</v>
      </c>
      <c r="F446" s="499" t="str">
        <f aca="false">IF(SUM($Y446:$Z446)&gt;0,SUM($Y446:$Z446),IF($H446&gt;0,0,"-"))</f>
        <v>-</v>
      </c>
      <c r="G446" s="499" t="str">
        <f aca="false">IF($H446&gt;0,minus(E446,F446),"-")</f>
        <v>-</v>
      </c>
      <c r="H446" s="500" t="n">
        <f aca="false">SUM(COUNTIF(MatchSource!$A:$A,$B446),COUNTIF(MatchSource!$H:$H,$B446))</f>
        <v>0</v>
      </c>
      <c r="I446" s="501" t="n">
        <f aca="false">SUM($AA446:$AB446)</f>
        <v>0</v>
      </c>
      <c r="J446" s="501" t="s">
        <v>701</v>
      </c>
      <c r="K446" s="512" t="str">
        <f aca="false" t="array" ref="K446:K446">IF(ISNA(INDEX(DraftRosters!$AA$3:$AA$199,MATCH($B446,DraftRosters!$AB$3:$AB$199,0))),"FA",IF(INDEX(DraftRosters!$AA$3:$AA$199,MATCH($B446,DraftRosters!$AB$3:$AB$199,0))="Franchise","Franch",INDEX(DraftRosters!$AA$3:$AA$199,MATCH($B446,DraftRosters!$AB$3:$AB$199,0))))</f>
        <v>FA</v>
      </c>
      <c r="L446" s="499" t="n">
        <v>85</v>
      </c>
      <c r="M446" s="499" t="n">
        <v>110</v>
      </c>
      <c r="N446" s="499" t="n">
        <v>90</v>
      </c>
      <c r="O446" s="499" t="n">
        <v>45</v>
      </c>
      <c r="P446" s="499" t="n">
        <v>90</v>
      </c>
      <c r="Q446" s="501" t="n">
        <v>80</v>
      </c>
      <c r="R446" s="499" t="s">
        <v>839</v>
      </c>
      <c r="S446" s="501"/>
      <c r="T446" s="505" t="s">
        <v>851</v>
      </c>
      <c r="U446" s="505" t="s">
        <v>969</v>
      </c>
      <c r="V446" s="506" t="s">
        <v>967</v>
      </c>
      <c r="W446" s="500" t="str">
        <f aca="false">IFERROR(__xludf.dummyfunction("if(isna(SUM(FILTER(MatchSource!$A:$D,MatchSource!$A:$A=$B446))),0,SUM(FILTER(MatchSource!$A:$D,MatchSource!$A:$A=$B446)))"),"0")</f>
        <v>0</v>
      </c>
      <c r="X446" s="499" t="str">
        <f aca="false">IFERROR(__xludf.dummyfunction("if(isna(SUM(FILTER(MatchSource!$H:$K,MatchSource!$H:$H=$B446))),0,SUM(FILTER(MatchSource!$H:$K,MatchSource!$H:$H=$B446)))"),"0")</f>
        <v>0</v>
      </c>
      <c r="Y446" s="499" t="str">
        <f aca="false">IFERROR(__xludf.dummyfunction("if(isna(ABS(MINUS(SUM(FILTER(MatchSource!$A:$E,MatchSource!$A:$A=$B446)),SUM($W446)))),0,ABS(MINUS(SUM(FILTER(MatchSource!$A:$E,MatchSource!$A:$A=$B446)),SUM($W446))))"),"0")</f>
        <v>0</v>
      </c>
      <c r="Z446" s="499" t="str">
        <f aca="false">IFERROR(__xludf.dummyfunction("if(isna(ABS(MINUS(SUM(FILTER(MatchSource!$H:$L,MatchSource!$H:$H=$B446)),SUM($X446)))),0,ABS(MINUS(SUM(FILTER(MatchSource!$H:$L,MatchSource!$H:$H=$B446)),SUM($X446))))"),"0")</f>
        <v>0</v>
      </c>
      <c r="AA446" s="499" t="str">
        <f aca="false">IFERROR(__xludf.dummyfunction("if(isna(ABS(MINUS(SUM(FILTER(MatchSource!$A:$F,MatchSource!$A:$A=$B446)),SUM($W446,$Y446)))),0,ABS(MINUS(SUM(FILTER(MatchSource!$A:$F,MatchSource!$A:$A=$B446)),SUM($W446, $Y446,))))"),"0")</f>
        <v>0</v>
      </c>
      <c r="AB446" s="501" t="str">
        <f aca="false">IFERROR(__xludf.dummyfunction("if(isna(ABS(MINUS(SUM(FILTER(MatchSource!$H:$M,MatchSource!$H:$H=$B446)),SUM($X446,$Z446)))),0,ABS(MINUS(SUM(FILTER(MatchSource!$H:$M,MatchSource!$H:$H=$B446)),SUM($X446,$Z446))))"),"0")</f>
        <v>0</v>
      </c>
      <c r="AC446" s="507" t="n">
        <f aca="false">SUM(IF(OR($R446="Grass",$R446="Psychic",$R446="Dark"),0-1,IF(OR($R446="Fighting",$R446="Flying",$R446="Fire",$R446="Ghost",$R446="Poison",$R446="Steel",$R446="Fairy"),1,0)),IF(OR($S446="Grass",$S446="Psychic",$S446="Dark"),0-1,IF(OR($S446="Fighting",$S446="Flying",$S446="Fire",$S446="Ghost",$S446="Poison",$S446="Steel",$S446="Fairy"),1,0)))</f>
        <v>0</v>
      </c>
      <c r="AD446" s="507" t="n">
        <f aca="false">SUM(IF(OR($R446="Ghost",$R446="Psychic"),0-1,IF(OR($R446="Fighting",$R446="Dark",$R446="Fairy"),1,0)),IF(OR($S446="Ghost",$S446="Psychic"),0-1,IF(OR($S446="Fighting",$S446="Dark",$S446="Fairy"),1,0)))</f>
        <v>0</v>
      </c>
      <c r="AE446" s="507" t="n">
        <f aca="false">IF(OR($R446="Fairy",$S446="Fairy"),4,SUM(IF($R446="Dragon",0-1,IF($R446="Steel",1,0)),IF($S446="Dragon",0-1,IF($S446="Steel",1,0))))</f>
        <v>0</v>
      </c>
      <c r="AF446" s="507" t="n">
        <f aca="false">IF(OR($R446="Ground",$S446="Ground"),4,SUM(IF(OR($R446="Flying",$R446="Water"),0-1,IF(OR($R446="Dragon",$R446="Electric",$R446="Grass"),1,0)),IF(OR($S446="Flying",$S446="Water"),0-1,IF(OR($S446="Dragon",$S446="Electric",$S446="Grass"),1,0))))</f>
        <v>0</v>
      </c>
      <c r="AG446" s="507" t="n">
        <f aca="false">SUM(IF(OR($R446="Dark",$R446="Dragon",$R446="Fighting"),0-1,IF(OR($R446="Steel",$R446="Poison",$R446="Fire"),1,0)),IF(OR($S446="Dark",$S446="Dragon",$S446="Fighting"),0-1,IF(OR($S446="Steel",$S446="Poison",$S446="Fire"),1,0)))</f>
        <v>0</v>
      </c>
      <c r="AH446" s="507" t="n">
        <f aca="false">IF(OR($R446="Ghost",$S446="Ghost"),4,SUM(IF(OR($R446="Dark",$R446="Ice",$R446="Normal",$R446="Rock",$R446="Steel"),0-1,IF(OR($R446="Bug",$R446="Fairy",$R446="Flying",$R446="Poison",$R446="Psychic"),1,0)),IF(OR($S446="Dark",$S446="Ice",$S446="Normal",$S446="Rock",$S446="Steel"),0-1,IF(OR($S446="Bug",$S446="Fairy",$S446="Flying",$S446="Poison",$S446="Psychic"),1,0))))</f>
        <v>-1</v>
      </c>
      <c r="AI446" s="507" t="n">
        <f aca="false">SUM(IF(OR($R446="Bug",$R446="Grass",$R446="Ice",$R446="Steel"),0-1,IF(OR($R446="Dragon",$R446="Fire",$R446="Rock",$R446="Water"),1,0)),IF(OR($S446="Bug",$S446="Grass",$S446="Ice",$S446="Steel"),0-1,IF(OR($S446="Dragon",$S446="Fire",$S446="Rock",$S446="Water"),1,0)))</f>
        <v>0</v>
      </c>
      <c r="AJ446" s="507" t="n">
        <f aca="false">SUM(IF(OR($R446="Bug",$R446="Grass",$R446="Fighting"),0-1,IF(OR($R446="Electric",$R446="Rock",$R446="Steel"),1,0)),IF(OR($S446="Bug",$S446="Grass",$S446="Fighting"),0-1,IF(OR($S446="Electric",$S446="Rock",$S446="Steel"),1,0)))</f>
        <v>0</v>
      </c>
      <c r="AK446" s="507" t="n">
        <f aca="false">IF(OR($R446="Normal",$S446="Normal"),4,SUM(IF(OR($R446="Ghost",$R446="Psychic"),0-1,IF($R446="Dark",1,0)),IF(OR($S446="Ghost",$S446="Psychic"),0-1,IF($S446="Dark",1,0))))</f>
        <v>4</v>
      </c>
      <c r="AL446" s="507" t="n">
        <f aca="false">SUM(IF(OR($R446="Ground",$R446="Rock",$R446="Water"),0-1,IF(OR($R446="Bug",$R446="Flying",$R446="Fire",$R446="Dragon",$R446="Poison",$R446="Steel",$R446="Grass"),1,0)),IF(OR($S446="Ground",$S446="Rock",$S446="Water"),0-1,IF(OR($S446="Bug",$S446="Flying",$S446="Fire",$S446="Dragon",$S446="Poison",$S446="Steel",$S446="Grass"),1,0)))</f>
        <v>0</v>
      </c>
      <c r="AM446" s="507" t="n">
        <f aca="false">IF(OR($R446="Flying",$S446="Flying"),4,SUM(IF(OR($R446="Electric",$R446="Fire",$R446="Rock",$R446="Steel",$R446="Poison"),0-1,IF(OR($R446="Bug",$R446="Grass"),1,0)),IF(OR($S446="Electric",$S446="Fire",$S446="Rock",$S446="Steel",$S446="Poison"),0-1,IF(OR($S446="Bug",$S446="Grass"),1,0))))</f>
        <v>0</v>
      </c>
      <c r="AN446" s="507" t="n">
        <f aca="false">SUM(IF(OR($R446="Flying",$R446="Dragon",$R446="Grass",$R446="Ground"),0-1,IF(OR($R446="Steel",$R446="Ice",$R446="Fire",$R446="Water"),1,0)),IF(OR($S446="Flying",$S446="Dragon",$S446="Grass",$S446="Ground"),0-1,IF(OR($S446="Steel",$S446="Ice",$S446="Fire",$S446="Water"),1,0)))</f>
        <v>0</v>
      </c>
      <c r="AO446" s="507" t="n">
        <f aca="false">IF(OR($R446="Ghost",$S446="Ghost"),4,SUM(IF(OR($R446="Steel",$R446="Rock"),1,0),IF(OR($S446="Steel",$S446="Rock"),1,0)))</f>
        <v>0</v>
      </c>
      <c r="AP446" s="507" t="n">
        <f aca="false">IF(OR($R446="Steel",$S446="Steel"),4,SUM(IF(OR($R446="Fairy",$R446="Grass"),0-1,IF(OR($R446="Ghost",$R446="Rock",$R446="Ground",$R446="Poison"),1,0)),IF(OR($S446="Fairy",$S446="Grass"),0-1,IF(OR($S446="Ghost",$S446="Rock",$S446="Ground",$S446="Poison"),1,0))))</f>
        <v>0</v>
      </c>
      <c r="AQ446" s="507" t="n">
        <f aca="false">IF(OR($R446="Dark",$S446="Dark"),4,SUM(IF(OR($R446="Fighting",$R446="Poison"),0-1,IF(OR($R446="Psychic",$R446="Steel"),1,0)),IF(OR($S446="Fighting",$S446="Poison"),0-1,IF(OR($S446="Psychic",$S446="Steel"),1,0))))</f>
        <v>0</v>
      </c>
      <c r="AR446" s="507" t="n">
        <f aca="false">SUM(IF(OR($R446="Bug",$R446="Fire",$R446="Flying",$R446="Ice"),0-1,IF(OR($R446="Steel",$R446="Fighting",$R446="Ground"),1,0)),IF(OR($S446="Bug",$S446="Fire",$S446="Flying",$S446="Ice"),0-1,IF(OR($S446="Steel",$S446="Fighting",$S446="Ground"),1,0)))</f>
        <v>0</v>
      </c>
      <c r="AS446" s="507" t="n">
        <f aca="false">SUM(IF(OR($R446="Fairy",$R446="Ice",$R446="Rock"),0-1,IF(OR($R446="Steel",$R446="Electric",$R446="Fire",$R446="Water"),1,0)),IF(OR($S446="Fairy",$S446="Ice",$S446="Rock"),0-1,IF(OR($S446="Steel",$S446="Electric",$S446="Fire",$S446="Water"),1,0)))</f>
        <v>0</v>
      </c>
      <c r="AT446" s="508" t="n">
        <f aca="false">SUM(IF(OR($R446="Fire",$R446="Ground",$R446="Rock"),0-1,IF(OR($R446="Dragon",$R446="Grass",$R446="Water"),1,0)),IF(OR($S446="Fire",$S446="Ground",$S446="Rock"),0-1,IF(OR($S446="Dragon",$S446="Grass",$S446="Water"),1,0)))</f>
        <v>0</v>
      </c>
      <c r="AU446" s="518"/>
    </row>
    <row r="447" customFormat="false" ht="15.75" hidden="false" customHeight="false" outlineLevel="0" collapsed="false">
      <c r="A447" s="510" t="str">
        <f aca="false" t="array" ref="A447:A447">IF(ISNA(INDEX(Source!$U$7:$U$95,MATCH(B447,Source!$V$7:$V$95,0))),"FREE",INDEX(Source!$U$7:$U$95,MATCH(B447,Source!$V$7:$V$95,0)))</f>
        <v>FREE</v>
      </c>
      <c r="B447" s="511" t="s">
        <v>613</v>
      </c>
      <c r="C447" s="511"/>
      <c r="D447" s="511"/>
      <c r="E447" s="499" t="str">
        <f aca="false">IF(SUM($W447:$X447)&gt;0,SUM($W447:$X447),IF($H447&gt;0,0,IF($H447&gt;0,0,"-")))</f>
        <v>-</v>
      </c>
      <c r="F447" s="499" t="str">
        <f aca="false">IF(SUM($Y447:$Z447)&gt;0,SUM($Y447:$Z447),IF($H447&gt;0,0,"-"))</f>
        <v>-</v>
      </c>
      <c r="G447" s="499" t="str">
        <f aca="false">IF($H447&gt;0,minus(E447,F447),"-")</f>
        <v>-</v>
      </c>
      <c r="H447" s="500" t="n">
        <f aca="false">SUM(COUNTIF(MatchSource!$A:$A,$B447),COUNTIF(MatchSource!$H:$H,$B447))</f>
        <v>0</v>
      </c>
      <c r="I447" s="501" t="n">
        <f aca="false">SUM($AA447:$AB447)</f>
        <v>0</v>
      </c>
      <c r="J447" s="501" t="s">
        <v>702</v>
      </c>
      <c r="K447" s="512" t="str">
        <f aca="false" t="array" ref="K447:K447">IF(ISNA(INDEX(DraftRosters!$AA$3:$AA$199,MATCH($B447,DraftRosters!$AB$3:$AB$199,0))),"FA",IF(INDEX(DraftRosters!$AA$3:$AA$199,MATCH($B447,DraftRosters!$AB$3:$AB$199,0))="Franchise","Franch",INDEX(DraftRosters!$AA$3:$AA$199,MATCH($B447,DraftRosters!$AB$3:$AB$199,0))))</f>
        <v>FA</v>
      </c>
      <c r="L447" s="499" t="n">
        <v>109</v>
      </c>
      <c r="M447" s="499" t="n">
        <v>66</v>
      </c>
      <c r="N447" s="499" t="n">
        <v>84</v>
      </c>
      <c r="O447" s="499" t="n">
        <v>81</v>
      </c>
      <c r="P447" s="499" t="n">
        <v>99</v>
      </c>
      <c r="Q447" s="501" t="n">
        <v>32</v>
      </c>
      <c r="R447" s="499" t="s">
        <v>845</v>
      </c>
      <c r="S447" s="501" t="s">
        <v>907</v>
      </c>
      <c r="T447" s="505" t="s">
        <v>947</v>
      </c>
      <c r="U447" s="505" t="s">
        <v>847</v>
      </c>
      <c r="V447" s="506" t="s">
        <v>906</v>
      </c>
      <c r="W447" s="500" t="str">
        <f aca="false">IFERROR(__xludf.dummyfunction("if(isna(SUM(FILTER(MatchSource!$A:$D,MatchSource!$A:$A=$B447))),0,SUM(FILTER(MatchSource!$A:$D,MatchSource!$A:$A=$B447)))"),"0")</f>
        <v>0</v>
      </c>
      <c r="X447" s="499" t="str">
        <f aca="false">IFERROR(__xludf.dummyfunction("if(isna(SUM(FILTER(MatchSource!$H:$K,MatchSource!$H:$H=$B447))),0,SUM(FILTER(MatchSource!$H:$K,MatchSource!$H:$H=$B447)))"),"0")</f>
        <v>0</v>
      </c>
      <c r="Y447" s="499" t="str">
        <f aca="false">IFERROR(__xludf.dummyfunction("if(isna(ABS(MINUS(SUM(FILTER(MatchSource!$A:$E,MatchSource!$A:$A=$B447)),SUM($W447)))),0,ABS(MINUS(SUM(FILTER(MatchSource!$A:$E,MatchSource!$A:$A=$B447)),SUM($W447))))"),"0")</f>
        <v>0</v>
      </c>
      <c r="Z447" s="499" t="str">
        <f aca="false">IFERROR(__xludf.dummyfunction("if(isna(ABS(MINUS(SUM(FILTER(MatchSource!$H:$L,MatchSource!$H:$H=$B447)),SUM($X447)))),0,ABS(MINUS(SUM(FILTER(MatchSource!$H:$L,MatchSource!$H:$H=$B447)),SUM($X447))))"),"0")</f>
        <v>0</v>
      </c>
      <c r="AA447" s="499" t="str">
        <f aca="false">IFERROR(__xludf.dummyfunction("if(isna(ABS(MINUS(SUM(FILTER(MatchSource!$A:$F,MatchSource!$A:$A=$B447)),SUM($W447,$Y447)))),0,ABS(MINUS(SUM(FILTER(MatchSource!$A:$F,MatchSource!$A:$A=$B447)),SUM($W447, $Y447,))))"),"0")</f>
        <v>0</v>
      </c>
      <c r="AB447" s="501" t="str">
        <f aca="false">IFERROR(__xludf.dummyfunction("if(isna(ABS(MINUS(SUM(FILTER(MatchSource!$H:$M,MatchSource!$H:$H=$B447)),SUM($X447,$Z447)))),0,ABS(MINUS(SUM(FILTER(MatchSource!$H:$M,MatchSource!$H:$H=$B447)),SUM($X447,$Z447))))"),"0")</f>
        <v>0</v>
      </c>
      <c r="AC447" s="507" t="n">
        <f aca="false">SUM(IF(OR($R447="Grass",$R447="Psychic",$R447="Dark"),0-1,IF(OR($R447="Fighting",$R447="Flying",$R447="Fire",$R447="Ghost",$R447="Poison",$R447="Steel",$R447="Fairy"),1,0)),IF(OR($S447="Grass",$S447="Psychic",$S447="Dark"),0-1,IF(OR($S447="Fighting",$S447="Flying",$S447="Fire",$S447="Ghost",$S447="Poison",$S447="Steel",$S447="Fairy"),1,0)))</f>
        <v>0</v>
      </c>
      <c r="AD447" s="507" t="n">
        <f aca="false">SUM(IF(OR($R447="Ghost",$R447="Psychic"),0-1,IF(OR($R447="Fighting",$R447="Dark",$R447="Fairy"),1,0)),IF(OR($S447="Ghost",$S447="Psychic"),0-1,IF(OR($S447="Fighting",$S447="Dark",$S447="Fairy"),1,0)))</f>
        <v>0</v>
      </c>
      <c r="AE447" s="507" t="n">
        <f aca="false">IF(OR($R447="Fairy",$S447="Fairy"),4,SUM(IF($R447="Dragon",0-1,IF($R447="Steel",1,0)),IF($S447="Dragon",0-1,IF($S447="Steel",1,0))))</f>
        <v>0</v>
      </c>
      <c r="AF447" s="507" t="n">
        <f aca="false">IF(OR($R447="Ground",$S447="Ground"),4,SUM(IF(OR($R447="Flying",$R447="Water"),0-1,IF(OR($R447="Dragon",$R447="Electric",$R447="Grass"),1,0)),IF(OR($S447="Flying",$S447="Water"),0-1,IF(OR($S447="Dragon",$S447="Electric",$S447="Grass"),1,0))))</f>
        <v>4</v>
      </c>
      <c r="AG447" s="507" t="n">
        <f aca="false">SUM(IF(OR($R447="Dark",$R447="Dragon",$R447="Fighting"),0-1,IF(OR($R447="Steel",$R447="Poison",$R447="Fire"),1,0)),IF(OR($S447="Dark",$S447="Dragon",$S447="Fighting"),0-1,IF(OR($S447="Steel",$S447="Poison",$S447="Fire"),1,0)))</f>
        <v>0</v>
      </c>
      <c r="AH447" s="507" t="n">
        <f aca="false">IF(OR($R447="Ghost",$S447="Ghost"),4,SUM(IF(OR($R447="Dark",$R447="Ice",$R447="Normal",$R447="Rock",$R447="Steel"),0-1,IF(OR($R447="Bug",$R447="Fairy",$R447="Flying",$R447="Poison",$R447="Psychic"),1,0)),IF(OR($S447="Dark",$S447="Ice",$S447="Normal",$S447="Rock",$S447="Steel"),0-1,IF(OR($S447="Bug",$S447="Fairy",$S447="Flying",$S447="Poison",$S447="Psychic"),1,0))))</f>
        <v>0</v>
      </c>
      <c r="AI447" s="507" t="n">
        <f aca="false">SUM(IF(OR($R447="Bug",$R447="Grass",$R447="Ice",$R447="Steel"),0-1,IF(OR($R447="Dragon",$R447="Fire",$R447="Rock",$R447="Water"),1,0)),IF(OR($S447="Bug",$S447="Grass",$S447="Ice",$S447="Steel"),0-1,IF(OR($S447="Dragon",$S447="Fire",$S447="Rock",$S447="Water"),1,0)))</f>
        <v>0</v>
      </c>
      <c r="AJ447" s="507" t="n">
        <f aca="false">SUM(IF(OR($R447="Bug",$R447="Grass",$R447="Fighting"),0-1,IF(OR($R447="Electric",$R447="Rock",$R447="Steel"),1,0)),IF(OR($S447="Bug",$S447="Grass",$S447="Fighting"),0-1,IF(OR($S447="Electric",$S447="Rock",$S447="Steel"),1,0)))</f>
        <v>1</v>
      </c>
      <c r="AK447" s="507" t="n">
        <f aca="false">IF(OR($R447="Normal",$S447="Normal"),4,SUM(IF(OR($R447="Ghost",$R447="Psychic"),0-1,IF($R447="Dark",1,0)),IF(OR($S447="Ghost",$S447="Psychic"),0-1,IF($S447="Dark",1,0))))</f>
        <v>0</v>
      </c>
      <c r="AL447" s="507" t="n">
        <f aca="false">SUM(IF(OR($R447="Ground",$R447="Rock",$R447="Water"),0-1,IF(OR($R447="Bug",$R447="Flying",$R447="Fire",$R447="Dragon",$R447="Poison",$R447="Steel",$R447="Grass"),1,0)),IF(OR($S447="Ground",$S447="Rock",$S447="Water"),0-1,IF(OR($S447="Bug",$S447="Flying",$S447="Fire",$S447="Dragon",$S447="Poison",$S447="Steel",$S447="Grass"),1,0)))</f>
        <v>-1</v>
      </c>
      <c r="AM447" s="507" t="n">
        <f aca="false">IF(OR($R447="Flying",$S447="Flying"),4,SUM(IF(OR($R447="Electric",$R447="Fire",$R447="Rock",$R447="Steel",$R447="Poison"),0-1,IF(OR($R447="Bug",$R447="Grass"),1,0)),IF(OR($S447="Electric",$S447="Fire",$S447="Rock",$S447="Steel",$S447="Poison"),0-1,IF(OR($S447="Bug",$S447="Grass"),1,0))))</f>
        <v>-1</v>
      </c>
      <c r="AN447" s="507" t="n">
        <f aca="false">SUM(IF(OR($R447="Flying",$R447="Dragon",$R447="Grass",$R447="Ground"),0-1,IF(OR($R447="Steel",$R447="Ice",$R447="Fire",$R447="Water"),1,0)),IF(OR($S447="Flying",$S447="Dragon",$S447="Grass",$S447="Ground"),0-1,IF(OR($S447="Steel",$S447="Ice",$S447="Fire",$S447="Water"),1,0)))</f>
        <v>-1</v>
      </c>
      <c r="AO447" s="507" t="n">
        <f aca="false">IF(OR($R447="Ghost",$S447="Ghost"),4,SUM(IF(OR($R447="Steel",$R447="Rock"),1,0),IF(OR($S447="Steel",$S447="Rock"),1,0)))</f>
        <v>0</v>
      </c>
      <c r="AP447" s="507" t="n">
        <f aca="false">IF(OR($R447="Steel",$S447="Steel"),4,SUM(IF(OR($R447="Fairy",$R447="Grass"),0-1,IF(OR($R447="Ghost",$R447="Rock",$R447="Ground",$R447="Poison"),1,0)),IF(OR($S447="Fairy",$S447="Grass"),0-1,IF(OR($S447="Ghost",$S447="Rock",$S447="Ground",$S447="Poison"),1,0))))</f>
        <v>1</v>
      </c>
      <c r="AQ447" s="507" t="n">
        <f aca="false">IF(OR($R447="Dark",$S447="Dark"),4,SUM(IF(OR($R447="Fighting",$R447="Poison"),0-1,IF(OR($R447="Psychic",$R447="Steel"),1,0)),IF(OR($S447="Fighting",$S447="Poison"),0-1,IF(OR($S447="Psychic",$S447="Steel"),1,0))))</f>
        <v>0</v>
      </c>
      <c r="AR447" s="507" t="n">
        <f aca="false">SUM(IF(OR($R447="Bug",$R447="Fire",$R447="Flying",$R447="Ice"),0-1,IF(OR($R447="Steel",$R447="Fighting",$R447="Ground"),1,0)),IF(OR($S447="Bug",$S447="Fire",$S447="Flying",$S447="Ice"),0-1,IF(OR($S447="Steel",$S447="Fighting",$S447="Ground"),1,0)))</f>
        <v>1</v>
      </c>
      <c r="AS447" s="507" t="n">
        <f aca="false">SUM(IF(OR($R447="Fairy",$R447="Ice",$R447="Rock"),0-1,IF(OR($R447="Steel",$R447="Electric",$R447="Fire",$R447="Water"),1,0)),IF(OR($S447="Fairy",$S447="Ice",$S447="Rock"),0-1,IF(OR($S447="Steel",$S447="Electric",$S447="Fire",$S447="Water"),1,0)))</f>
        <v>1</v>
      </c>
      <c r="AT447" s="508" t="n">
        <f aca="false">SUM(IF(OR($R447="Fire",$R447="Ground",$R447="Rock"),0-1,IF(OR($R447="Dragon",$R447="Grass",$R447="Water"),1,0)),IF(OR($S447="Fire",$S447="Ground",$S447="Rock"),0-1,IF(OR($S447="Dragon",$S447="Grass",$S447="Water"),1,0)))</f>
        <v>-1</v>
      </c>
      <c r="AU447" s="518"/>
    </row>
    <row r="448" customFormat="false" ht="15.75" hidden="false" customHeight="false" outlineLevel="0" collapsed="false">
      <c r="A448" s="515" t="str">
        <f aca="false" t="array" ref="A448:A448">IF(ISNA(INDEX(Source!$U$7:$U$95,MATCH(B448,Source!$V$7:$V$95,0))),"FREE",INDEX(Source!$U$7:$U$95,MATCH(B448,Source!$V$7:$V$95,0)))</f>
        <v>FREE</v>
      </c>
      <c r="B448" s="511" t="s">
        <v>616</v>
      </c>
      <c r="C448" s="511"/>
      <c r="D448" s="511"/>
      <c r="E448" s="499" t="str">
        <f aca="false">IF(SUM($W448:$X448)&gt;0,SUM($W448:$X448),IF($H448&gt;0,0,IF($H448&gt;0,0,"-")))</f>
        <v>-</v>
      </c>
      <c r="F448" s="499" t="str">
        <f aca="false">IF(SUM($Y448:$Z448)&gt;0,SUM($Y448:$Z448),IF($H448&gt;0,0,"-"))</f>
        <v>-</v>
      </c>
      <c r="G448" s="499" t="str">
        <f aca="false">IF($H448&gt;0,minus(E448,F448),"-")</f>
        <v>-</v>
      </c>
      <c r="H448" s="500" t="n">
        <f aca="false">SUM(COUNTIF(MatchSource!$A:$A,$B448),COUNTIF(MatchSource!$H:$H,$B448))</f>
        <v>0</v>
      </c>
      <c r="I448" s="501" t="n">
        <f aca="false">SUM($AA448:$AB448)</f>
        <v>0</v>
      </c>
      <c r="J448" s="501" t="s">
        <v>702</v>
      </c>
      <c r="K448" s="512" t="str">
        <f aca="false" t="array" ref="K448:K448">IF(ISNA(INDEX(DraftRosters!$AA$3:$AA$199,MATCH($B448,DraftRosters!$AB$3:$AB$199,0))),"FA",IF(INDEX(DraftRosters!$AA$3:$AA$199,MATCH($B448,DraftRosters!$AB$3:$AB$199,0))="Franchise","Franch",INDEX(DraftRosters!$AA$3:$AA$199,MATCH($B448,DraftRosters!$AB$3:$AB$199,0))))</f>
        <v>FA</v>
      </c>
      <c r="L448" s="499" t="n">
        <v>70</v>
      </c>
      <c r="M448" s="499" t="n">
        <v>100</v>
      </c>
      <c r="N448" s="499" t="n">
        <v>115</v>
      </c>
      <c r="O448" s="499" t="n">
        <v>30</v>
      </c>
      <c r="P448" s="499" t="n">
        <v>65</v>
      </c>
      <c r="Q448" s="501" t="n">
        <v>30</v>
      </c>
      <c r="R448" s="499" t="s">
        <v>809</v>
      </c>
      <c r="S448" s="501"/>
      <c r="T448" s="505" t="s">
        <v>961</v>
      </c>
      <c r="U448" s="505" t="s">
        <v>826</v>
      </c>
      <c r="V448" s="506" t="s">
        <v>823</v>
      </c>
      <c r="W448" s="500" t="str">
        <f aca="false">IFERROR(__xludf.dummyfunction("if(isna(SUM(FILTER(MatchSource!$A:$D,MatchSource!$A:$A=$B448))),0,SUM(FILTER(MatchSource!$A:$D,MatchSource!$A:$A=$B448)))"),"0")</f>
        <v>0</v>
      </c>
      <c r="X448" s="499" t="str">
        <f aca="false">IFERROR(__xludf.dummyfunction("if(isna(SUM(FILTER(MatchSource!$H:$K,MatchSource!$H:$H=$B448))),0,SUM(FILTER(MatchSource!$H:$K,MatchSource!$H:$H=$B448)))"),"0")</f>
        <v>0</v>
      </c>
      <c r="Y448" s="499" t="str">
        <f aca="false">IFERROR(__xludf.dummyfunction("if(isna(ABS(MINUS(SUM(FILTER(MatchSource!$A:$E,MatchSource!$A:$A=$B448)),SUM($W448)))),0,ABS(MINUS(SUM(FILTER(MatchSource!$A:$E,MatchSource!$A:$A=$B448)),SUM($W448))))"),"0")</f>
        <v>0</v>
      </c>
      <c r="Z448" s="499" t="str">
        <f aca="false">IFERROR(__xludf.dummyfunction("if(isna(ABS(MINUS(SUM(FILTER(MatchSource!$H:$L,MatchSource!$H:$H=$B448)),SUM($X448)))),0,ABS(MINUS(SUM(FILTER(MatchSource!$H:$L,MatchSource!$H:$H=$B448)),SUM($X448))))"),"0")</f>
        <v>0</v>
      </c>
      <c r="AA448" s="499" t="str">
        <f aca="false">IFERROR(__xludf.dummyfunction("if(isna(ABS(MINUS(SUM(FILTER(MatchSource!$A:$F,MatchSource!$A:$A=$B448)),SUM($W448,$Y448)))),0,ABS(MINUS(SUM(FILTER(MatchSource!$A:$F,MatchSource!$A:$A=$B448)),SUM($W448, $Y448,))))"),"0")</f>
        <v>0</v>
      </c>
      <c r="AB448" s="501" t="str">
        <f aca="false">IFERROR(__xludf.dummyfunction("if(isna(ABS(MINUS(SUM(FILTER(MatchSource!$H:$M,MatchSource!$H:$H=$B448)),SUM($X448,$Z448)))),0,ABS(MINUS(SUM(FILTER(MatchSource!$H:$M,MatchSource!$H:$H=$B448)),SUM($X448,$Z448))))"),"0")</f>
        <v>0</v>
      </c>
      <c r="AC448" s="507" t="n">
        <f aca="false">SUM(IF(OR($R448="Grass",$R448="Psychic",$R448="Dark"),0-1,IF(OR($R448="Fighting",$R448="Flying",$R448="Fire",$R448="Ghost",$R448="Poison",$R448="Steel",$R448="Fairy"),1,0)),IF(OR($S448="Grass",$S448="Psychic",$S448="Dark"),0-1,IF(OR($S448="Fighting",$S448="Flying",$S448="Fire",$S448="Ghost",$S448="Poison",$S448="Steel",$S448="Fairy"),1,0)))</f>
        <v>0</v>
      </c>
      <c r="AD448" s="507" t="n">
        <f aca="false">SUM(IF(OR($R448="Ghost",$R448="Psychic"),0-1,IF(OR($R448="Fighting",$R448="Dark",$R448="Fairy"),1,0)),IF(OR($S448="Ghost",$S448="Psychic"),0-1,IF(OR($S448="Fighting",$S448="Dark",$S448="Fairy"),1,0)))</f>
        <v>0</v>
      </c>
      <c r="AE448" s="507" t="n">
        <f aca="false">IF(OR($R448="Fairy",$S448="Fairy"),4,SUM(IF($R448="Dragon",0-1,IF($R448="Steel",1,0)),IF($S448="Dragon",0-1,IF($S448="Steel",1,0))))</f>
        <v>0</v>
      </c>
      <c r="AF448" s="507" t="n">
        <f aca="false">IF(OR($R448="Ground",$S448="Ground"),4,SUM(IF(OR($R448="Flying",$R448="Water"),0-1,IF(OR($R448="Dragon",$R448="Electric",$R448="Grass"),1,0)),IF(OR($S448="Flying",$S448="Water"),0-1,IF(OR($S448="Dragon",$S448="Electric",$S448="Grass"),1,0))))</f>
        <v>0</v>
      </c>
      <c r="AG448" s="507" t="n">
        <f aca="false">SUM(IF(OR($R448="Dark",$R448="Dragon",$R448="Fighting"),0-1,IF(OR($R448="Steel",$R448="Poison",$R448="Fire"),1,0)),IF(OR($S448="Dark",$S448="Dragon",$S448="Fighting"),0-1,IF(OR($S448="Steel",$S448="Poison",$S448="Fire"),1,0)))</f>
        <v>0</v>
      </c>
      <c r="AH448" s="507" t="n">
        <f aca="false">IF(OR($R448="Ghost",$S448="Ghost"),4,SUM(IF(OR($R448="Dark",$R448="Ice",$R448="Normal",$R448="Rock",$R448="Steel"),0-1,IF(OR($R448="Bug",$R448="Fairy",$R448="Flying",$R448="Poison",$R448="Psychic"),1,0)),IF(OR($S448="Dark",$S448="Ice",$S448="Normal",$S448="Rock",$S448="Steel"),0-1,IF(OR($S448="Bug",$S448="Fairy",$S448="Flying",$S448="Poison",$S448="Psychic"),1,0))))</f>
        <v>-1</v>
      </c>
      <c r="AI448" s="507" t="n">
        <f aca="false">SUM(IF(OR($R448="Bug",$R448="Grass",$R448="Ice",$R448="Steel"),0-1,IF(OR($R448="Dragon",$R448="Fire",$R448="Rock",$R448="Water"),1,0)),IF(OR($S448="Bug",$S448="Grass",$S448="Ice",$S448="Steel"),0-1,IF(OR($S448="Dragon",$S448="Fire",$S448="Rock",$S448="Water"),1,0)))</f>
        <v>1</v>
      </c>
      <c r="AJ448" s="507" t="n">
        <f aca="false">SUM(IF(OR($R448="Bug",$R448="Grass",$R448="Fighting"),0-1,IF(OR($R448="Electric",$R448="Rock",$R448="Steel"),1,0)),IF(OR($S448="Bug",$S448="Grass",$S448="Fighting"),0-1,IF(OR($S448="Electric",$S448="Rock",$S448="Steel"),1,0)))</f>
        <v>1</v>
      </c>
      <c r="AK448" s="507" t="n">
        <f aca="false">IF(OR($R448="Normal",$S448="Normal"),4,SUM(IF(OR($R448="Ghost",$R448="Psychic"),0-1,IF($R448="Dark",1,0)),IF(OR($S448="Ghost",$S448="Psychic"),0-1,IF($S448="Dark",1,0))))</f>
        <v>0</v>
      </c>
      <c r="AL448" s="507" t="n">
        <f aca="false">SUM(IF(OR($R448="Ground",$R448="Rock",$R448="Water"),0-1,IF(OR($R448="Bug",$R448="Flying",$R448="Fire",$R448="Dragon",$R448="Poison",$R448="Steel",$R448="Grass"),1,0)),IF(OR($S448="Ground",$S448="Rock",$S448="Water"),0-1,IF(OR($S448="Bug",$S448="Flying",$S448="Fire",$S448="Dragon",$S448="Poison",$S448="Steel",$S448="Grass"),1,0)))</f>
        <v>-1</v>
      </c>
      <c r="AM448" s="507" t="n">
        <f aca="false">IF(OR($R448="Flying",$S448="Flying"),4,SUM(IF(OR($R448="Electric",$R448="Fire",$R448="Rock",$R448="Steel",$R448="Poison"),0-1,IF(OR($R448="Bug",$R448="Grass"),1,0)),IF(OR($S448="Electric",$S448="Fire",$S448="Rock",$S448="Steel",$S448="Poison"),0-1,IF(OR($S448="Bug",$S448="Grass"),1,0))))</f>
        <v>-1</v>
      </c>
      <c r="AN448" s="507" t="n">
        <f aca="false">SUM(IF(OR($R448="Flying",$R448="Dragon",$R448="Grass",$R448="Ground"),0-1,IF(OR($R448="Steel",$R448="Ice",$R448="Fire",$R448="Water"),1,0)),IF(OR($S448="Flying",$S448="Dragon",$S448="Grass",$S448="Ground"),0-1,IF(OR($S448="Steel",$S448="Ice",$S448="Fire",$S448="Water"),1,0)))</f>
        <v>0</v>
      </c>
      <c r="AO448" s="507" t="n">
        <f aca="false">IF(OR($R448="Ghost",$S448="Ghost"),4,SUM(IF(OR($R448="Steel",$R448="Rock"),1,0),IF(OR($S448="Steel",$S448="Rock"),1,0)))</f>
        <v>1</v>
      </c>
      <c r="AP448" s="507" t="n">
        <f aca="false">IF(OR($R448="Steel",$S448="Steel"),4,SUM(IF(OR($R448="Fairy",$R448="Grass"),0-1,IF(OR($R448="Ghost",$R448="Rock",$R448="Ground",$R448="Poison"),1,0)),IF(OR($S448="Fairy",$S448="Grass"),0-1,IF(OR($S448="Ghost",$S448="Rock",$S448="Ground",$S448="Poison"),1,0))))</f>
        <v>1</v>
      </c>
      <c r="AQ448" s="507" t="n">
        <f aca="false">IF(OR($R448="Dark",$S448="Dark"),4,SUM(IF(OR($R448="Fighting",$R448="Poison"),0-1,IF(OR($R448="Psychic",$R448="Steel"),1,0)),IF(OR($S448="Fighting",$S448="Poison"),0-1,IF(OR($S448="Psychic",$S448="Steel"),1,0))))</f>
        <v>0</v>
      </c>
      <c r="AR448" s="507" t="n">
        <f aca="false">SUM(IF(OR($R448="Bug",$R448="Fire",$R448="Flying",$R448="Ice"),0-1,IF(OR($R448="Steel",$R448="Fighting",$R448="Ground"),1,0)),IF(OR($S448="Bug",$S448="Fire",$S448="Flying",$S448="Ice"),0-1,IF(OR($S448="Steel",$S448="Fighting",$S448="Ground"),1,0)))</f>
        <v>0</v>
      </c>
      <c r="AS448" s="507" t="n">
        <f aca="false">SUM(IF(OR($R448="Fairy",$R448="Ice",$R448="Rock"),0-1,IF(OR($R448="Steel",$R448="Electric",$R448="Fire",$R448="Water"),1,0)),IF(OR($S448="Fairy",$S448="Ice",$S448="Rock"),0-1,IF(OR($S448="Steel",$S448="Electric",$S448="Fire",$S448="Water"),1,0)))</f>
        <v>-1</v>
      </c>
      <c r="AT448" s="508" t="n">
        <f aca="false">SUM(IF(OR($R448="Fire",$R448="Ground",$R448="Rock"),0-1,IF(OR($R448="Dragon",$R448="Grass",$R448="Water"),1,0)),IF(OR($S448="Fire",$S448="Ground",$S448="Rock"),0-1,IF(OR($S448="Dragon",$S448="Grass",$S448="Water"),1,0)))</f>
        <v>-1</v>
      </c>
      <c r="AU448" s="518"/>
    </row>
    <row r="449" customFormat="false" ht="15.75" hidden="false" customHeight="false" outlineLevel="0" collapsed="false">
      <c r="A449" s="515" t="str">
        <f aca="false" t="array" ref="A449:A449">IF(ISNA(INDEX(Source!$U$7:$U$95,MATCH(B449,Source!$V$7:$V$95,0))),"FREE",INDEX(Source!$U$7:$U$95,MATCH(B449,Source!$V$7:$V$95,0)))</f>
        <v>FREE</v>
      </c>
      <c r="B449" s="511" t="s">
        <v>502</v>
      </c>
      <c r="C449" s="511"/>
      <c r="D449" s="511"/>
      <c r="E449" s="499" t="str">
        <f aca="false">IF(SUM($W449:$X449)&gt;0,SUM($W449:$X449),IF($H449&gt;0,0,IF($H449&gt;0,0,"-")))</f>
        <v>-</v>
      </c>
      <c r="F449" s="499" t="str">
        <f aca="false">IF(SUM($Y449:$Z449)&gt;0,SUM($Y449:$Z449),IF($H449&gt;0,0,"-"))</f>
        <v>-</v>
      </c>
      <c r="G449" s="499" t="str">
        <f aca="false">IF($H449&gt;0,minus(E449,F449),"-")</f>
        <v>-</v>
      </c>
      <c r="H449" s="500" t="n">
        <f aca="false">SUM(COUNTIF(MatchSource!$A:$A,$B449),COUNTIF(MatchSource!$H:$H,$B449))</f>
        <v>0</v>
      </c>
      <c r="I449" s="501" t="n">
        <f aca="false">SUM($AA449:$AB449)</f>
        <v>0</v>
      </c>
      <c r="J449" s="501" t="s">
        <v>699</v>
      </c>
      <c r="K449" s="512" t="str">
        <f aca="false" t="array" ref="K449:K449">IF(ISNA(INDEX(DraftRosters!$AA$3:$AA$199,MATCH($B449,DraftRosters!$AB$3:$AB$199,0))),"FA",IF(INDEX(DraftRosters!$AA$3:$AA$199,MATCH($B449,DraftRosters!$AB$3:$AB$199,0))="Franchise","Franch",INDEX(DraftRosters!$AA$3:$AA$199,MATCH($B449,DraftRosters!$AB$3:$AB$199,0))))</f>
        <v>FA</v>
      </c>
      <c r="L449" s="507" t="n">
        <v>100</v>
      </c>
      <c r="M449" s="507" t="n">
        <v>75</v>
      </c>
      <c r="N449" s="507" t="n">
        <v>115</v>
      </c>
      <c r="O449" s="507" t="n">
        <v>90</v>
      </c>
      <c r="P449" s="507" t="n">
        <v>115</v>
      </c>
      <c r="Q449" s="508" t="n">
        <v>85</v>
      </c>
      <c r="R449" s="499" t="s">
        <v>811</v>
      </c>
      <c r="S449" s="501"/>
      <c r="T449" s="505" t="s">
        <v>816</v>
      </c>
      <c r="U449" s="505" t="s">
        <v>829</v>
      </c>
      <c r="V449" s="506"/>
      <c r="W449" s="500" t="str">
        <f aca="false">IFERROR(__xludf.dummyfunction("if(isna(SUM(FILTER(MatchSource!$A:$D,MatchSource!$A:$A=$B449))),0,SUM(FILTER(MatchSource!$A:$D,MatchSource!$A:$A=$B449)))"),"0")</f>
        <v>0</v>
      </c>
      <c r="X449" s="499" t="str">
        <f aca="false">IFERROR(__xludf.dummyfunction("if(isna(SUM(FILTER(MatchSource!$H:$K,MatchSource!$H:$H=$B449))),0,SUM(FILTER(MatchSource!$H:$K,MatchSource!$H:$H=$B449)))"),"0")</f>
        <v>0</v>
      </c>
      <c r="Y449" s="499" t="str">
        <f aca="false">IFERROR(__xludf.dummyfunction("if(isna(ABS(MINUS(SUM(FILTER(MatchSource!$A:$E,MatchSource!$A:$A=$B449)),SUM($W449)))),0,ABS(MINUS(SUM(FILTER(MatchSource!$A:$E,MatchSource!$A:$A=$B449)),SUM($W449))))"),"0")</f>
        <v>0</v>
      </c>
      <c r="Z449" s="499" t="str">
        <f aca="false">IFERROR(__xludf.dummyfunction("if(isna(ABS(MINUS(SUM(FILTER(MatchSource!$H:$L,MatchSource!$H:$H=$B449)),SUM($X449)))),0,ABS(MINUS(SUM(FILTER(MatchSource!$H:$L,MatchSource!$H:$H=$B449)),SUM($X449))))"),"0")</f>
        <v>0</v>
      </c>
      <c r="AA449" s="499" t="str">
        <f aca="false">IFERROR(__xludf.dummyfunction("if(isna(ABS(MINUS(SUM(FILTER(MatchSource!$A:$F,MatchSource!$A:$A=$B449)),SUM($W449,$Y449)))),0,ABS(MINUS(SUM(FILTER(MatchSource!$A:$F,MatchSource!$A:$A=$B449)),SUM($W449, $Y449,))))"),"0")</f>
        <v>0</v>
      </c>
      <c r="AB449" s="501" t="str">
        <f aca="false">IFERROR(__xludf.dummyfunction("if(isna(ABS(MINUS(SUM(FILTER(MatchSource!$H:$M,MatchSource!$H:$H=$B449)),SUM($X449,$Z449)))),0,ABS(MINUS(SUM(FILTER(MatchSource!$H:$M,MatchSource!$H:$H=$B449)),SUM($X449,$Z449))))"),"0")</f>
        <v>0</v>
      </c>
      <c r="AC449" s="507" t="n">
        <f aca="false">SUM(IF(OR($R449="Grass",$R449="Psychic",$R449="Dark"),0-1,IF(OR($R449="Fighting",$R449="Flying",$R449="Fire",$R449="Ghost",$R449="Poison",$R449="Steel",$R449="Fairy"),1,0)),IF(OR($S449="Grass",$S449="Psychic",$S449="Dark"),0-1,IF(OR($S449="Fighting",$S449="Flying",$S449="Fire",$S449="Ghost",$S449="Poison",$S449="Steel",$S449="Fairy"),1,0)))</f>
        <v>0</v>
      </c>
      <c r="AD449" s="507" t="n">
        <f aca="false">SUM(IF(OR($R449="Ghost",$R449="Psychic"),0-1,IF(OR($R449="Fighting",$R449="Dark",$R449="Fairy"),1,0)),IF(OR($S449="Ghost",$S449="Psychic"),0-1,IF(OR($S449="Fighting",$S449="Dark",$S449="Fairy"),1,0)))</f>
        <v>0</v>
      </c>
      <c r="AE449" s="507" t="n">
        <f aca="false">IF(OR($R449="Fairy",$S449="Fairy"),4,SUM(IF($R449="Dragon",0-1,IF($R449="Steel",1,0)),IF($S449="Dragon",0-1,IF($S449="Steel",1,0))))</f>
        <v>0</v>
      </c>
      <c r="AF449" s="507" t="n">
        <f aca="false">IF(OR($R449="Ground",$S449="Ground"),4,SUM(IF(OR($R449="Flying",$R449="Water"),0-1,IF(OR($R449="Dragon",$R449="Electric",$R449="Grass"),1,0)),IF(OR($S449="Flying",$S449="Water"),0-1,IF(OR($S449="Dragon",$S449="Electric",$S449="Grass"),1,0))))</f>
        <v>-1</v>
      </c>
      <c r="AG449" s="507" t="n">
        <f aca="false">SUM(IF(OR($R449="Dark",$R449="Dragon",$R449="Fighting"),0-1,IF(OR($R449="Steel",$R449="Poison",$R449="Fire"),1,0)),IF(OR($S449="Dark",$S449="Dragon",$S449="Fighting"),0-1,IF(OR($S449="Steel",$S449="Poison",$S449="Fire"),1,0)))</f>
        <v>0</v>
      </c>
      <c r="AH449" s="507" t="n">
        <f aca="false">IF(OR($R449="Ghost",$S449="Ghost"),4,SUM(IF(OR($R449="Dark",$R449="Ice",$R449="Normal",$R449="Rock",$R449="Steel"),0-1,IF(OR($R449="Bug",$R449="Fairy",$R449="Flying",$R449="Poison",$R449="Psychic"),1,0)),IF(OR($S449="Dark",$S449="Ice",$S449="Normal",$S449="Rock",$S449="Steel"),0-1,IF(OR($S449="Bug",$S449="Fairy",$S449="Flying",$S449="Poison",$S449="Psychic"),1,0))))</f>
        <v>0</v>
      </c>
      <c r="AI449" s="507" t="n">
        <f aca="false">SUM(IF(OR($R449="Bug",$R449="Grass",$R449="Ice",$R449="Steel"),0-1,IF(OR($R449="Dragon",$R449="Fire",$R449="Rock",$R449="Water"),1,0)),IF(OR($S449="Bug",$S449="Grass",$S449="Ice",$S449="Steel"),0-1,IF(OR($S449="Dragon",$S449="Fire",$S449="Rock",$S449="Water"),1,0)))</f>
        <v>1</v>
      </c>
      <c r="AJ449" s="507" t="n">
        <f aca="false">SUM(IF(OR($R449="Bug",$R449="Grass",$R449="Fighting"),0-1,IF(OR($R449="Electric",$R449="Rock",$R449="Steel"),1,0)),IF(OR($S449="Bug",$S449="Grass",$S449="Fighting"),0-1,IF(OR($S449="Electric",$S449="Rock",$S449="Steel"),1,0)))</f>
        <v>0</v>
      </c>
      <c r="AK449" s="507" t="n">
        <f aca="false">IF(OR($R449="Normal",$S449="Normal"),4,SUM(IF(OR($R449="Ghost",$R449="Psychic"),0-1,IF($R449="Dark",1,0)),IF(OR($S449="Ghost",$S449="Psychic"),0-1,IF($S449="Dark",1,0))))</f>
        <v>0</v>
      </c>
      <c r="AL449" s="507" t="n">
        <f aca="false">SUM(IF(OR($R449="Ground",$R449="Rock",$R449="Water"),0-1,IF(OR($R449="Bug",$R449="Flying",$R449="Fire",$R449="Dragon",$R449="Poison",$R449="Steel",$R449="Grass"),1,0)),IF(OR($S449="Ground",$S449="Rock",$S449="Water"),0-1,IF(OR($S449="Bug",$S449="Flying",$S449="Fire",$S449="Dragon",$S449="Poison",$S449="Steel",$S449="Grass"),1,0)))</f>
        <v>-1</v>
      </c>
      <c r="AM449" s="507" t="n">
        <f aca="false">IF(OR($R449="Flying",$S449="Flying"),4,SUM(IF(OR($R449="Electric",$R449="Fire",$R449="Rock",$R449="Steel",$R449="Poison"),0-1,IF(OR($R449="Bug",$R449="Grass"),1,0)),IF(OR($S449="Electric",$S449="Fire",$S449="Rock",$S449="Steel",$S449="Poison"),0-1,IF(OR($S449="Bug",$S449="Grass"),1,0))))</f>
        <v>0</v>
      </c>
      <c r="AN449" s="507" t="n">
        <f aca="false">SUM(IF(OR($R449="Flying",$R449="Dragon",$R449="Grass",$R449="Ground"),0-1,IF(OR($R449="Steel",$R449="Ice",$R449="Fire",$R449="Water"),1,0)),IF(OR($S449="Flying",$S449="Dragon",$S449="Grass",$S449="Ground"),0-1,IF(OR($S449="Steel",$S449="Ice",$S449="Fire",$S449="Water"),1,0)))</f>
        <v>1</v>
      </c>
      <c r="AO449" s="507" t="n">
        <f aca="false">IF(OR($R449="Ghost",$S449="Ghost"),4,SUM(IF(OR($R449="Steel",$R449="Rock"),1,0),IF(OR($S449="Steel",$S449="Rock"),1,0)))</f>
        <v>0</v>
      </c>
      <c r="AP449" s="507" t="n">
        <f aca="false">IF(OR($R449="Steel",$S449="Steel"),4,SUM(IF(OR($R449="Fairy",$R449="Grass"),0-1,IF(OR($R449="Ghost",$R449="Rock",$R449="Ground",$R449="Poison"),1,0)),IF(OR($S449="Fairy",$S449="Grass"),0-1,IF(OR($S449="Ghost",$S449="Rock",$S449="Ground",$S449="Poison"),1,0))))</f>
        <v>0</v>
      </c>
      <c r="AQ449" s="507" t="n">
        <f aca="false">IF(OR($R449="Dark",$S449="Dark"),4,SUM(IF(OR($R449="Fighting",$R449="Poison"),0-1,IF(OR($R449="Psychic",$R449="Steel"),1,0)),IF(OR($S449="Fighting",$S449="Poison"),0-1,IF(OR($S449="Psychic",$S449="Steel"),1,0))))</f>
        <v>0</v>
      </c>
      <c r="AR449" s="507" t="n">
        <f aca="false">SUM(IF(OR($R449="Bug",$R449="Fire",$R449="Flying",$R449="Ice"),0-1,IF(OR($R449="Steel",$R449="Fighting",$R449="Ground"),1,0)),IF(OR($S449="Bug",$S449="Fire",$S449="Flying",$S449="Ice"),0-1,IF(OR($S449="Steel",$S449="Fighting",$S449="Ground"),1,0)))</f>
        <v>0</v>
      </c>
      <c r="AS449" s="507" t="n">
        <f aca="false">SUM(IF(OR($R449="Fairy",$R449="Ice",$R449="Rock"),0-1,IF(OR($R449="Steel",$R449="Electric",$R449="Fire",$R449="Water"),1,0)),IF(OR($S449="Fairy",$S449="Ice",$S449="Rock"),0-1,IF(OR($S449="Steel",$S449="Electric",$S449="Fire",$S449="Water"),1,0)))</f>
        <v>1</v>
      </c>
      <c r="AT449" s="508" t="n">
        <f aca="false">SUM(IF(OR($R449="Fire",$R449="Ground",$R449="Rock"),0-1,IF(OR($R449="Dragon",$R449="Grass",$R449="Water"),1,0)),IF(OR($S449="Fire",$S449="Ground",$S449="Rock"),0-1,IF(OR($S449="Dragon",$S449="Grass",$S449="Water"),1,0)))</f>
        <v>1</v>
      </c>
      <c r="AU449" s="518"/>
    </row>
    <row r="450" customFormat="false" ht="15.75" hidden="false" customHeight="false" outlineLevel="0" collapsed="false">
      <c r="A450" s="515" t="str">
        <f aca="false" t="array" ref="A450:A450">IF(ISNA(INDEX(Source!$U$7:$U$95,MATCH(B450,Source!$V$7:$V$95,0))),"FREE",INDEX(Source!$U$7:$U$95,MATCH(B450,Source!$V$7:$V$95,0)))</f>
        <v>FREE</v>
      </c>
      <c r="B450" s="511" t="s">
        <v>620</v>
      </c>
      <c r="C450" s="511"/>
      <c r="D450" s="511"/>
      <c r="E450" s="499" t="str">
        <f aca="false">IF(SUM($W450:$X450)&gt;0,SUM($W450:$X450),IF($H450&gt;0,0,IF($H450&gt;0,0,"-")))</f>
        <v>-</v>
      </c>
      <c r="F450" s="499" t="str">
        <f aca="false">IF(SUM($Y450:$Z450)&gt;0,SUM($Y450:$Z450),IF($H450&gt;0,0,"-"))</f>
        <v>-</v>
      </c>
      <c r="G450" s="499" t="str">
        <f aca="false">IF($H450&gt;0,minus(E450,F450),"-")</f>
        <v>-</v>
      </c>
      <c r="H450" s="500" t="n">
        <f aca="false">SUM(COUNTIF(MatchSource!$A:$A,$B450),COUNTIF(MatchSource!$H:$H,$B450))</f>
        <v>0</v>
      </c>
      <c r="I450" s="501" t="n">
        <f aca="false">SUM($AA450:$AB450)</f>
        <v>0</v>
      </c>
      <c r="J450" s="501" t="s">
        <v>702</v>
      </c>
      <c r="K450" s="512" t="str">
        <f aca="false" t="array" ref="K450:K450">IF(ISNA(INDEX(DraftRosters!$AA$3:$AA$199,MATCH($B450,DraftRosters!$AB$3:$AB$199,0))),"FA",IF(INDEX(DraftRosters!$AA$3:$AA$199,MATCH($B450,DraftRosters!$AB$3:$AB$199,0))="Franchise","Franch",INDEX(DraftRosters!$AA$3:$AA$199,MATCH($B450,DraftRosters!$AB$3:$AB$199,0))))</f>
        <v>FA</v>
      </c>
      <c r="L450" s="499" t="n">
        <v>75</v>
      </c>
      <c r="M450" s="499" t="n">
        <v>75</v>
      </c>
      <c r="N450" s="499" t="n">
        <v>55</v>
      </c>
      <c r="O450" s="499" t="n">
        <v>105</v>
      </c>
      <c r="P450" s="499" t="n">
        <v>85</v>
      </c>
      <c r="Q450" s="501" t="n">
        <v>30</v>
      </c>
      <c r="R450" s="499" t="s">
        <v>803</v>
      </c>
      <c r="S450" s="501"/>
      <c r="T450" s="505" t="s">
        <v>880</v>
      </c>
      <c r="U450" s="505" t="s">
        <v>915</v>
      </c>
      <c r="V450" s="506" t="s">
        <v>948</v>
      </c>
      <c r="W450" s="500" t="str">
        <f aca="false">IFERROR(__xludf.dummyfunction("if(isna(SUM(FILTER(MatchSource!$A:$D,MatchSource!$A:$A=$B450))),0,SUM(FILTER(MatchSource!$A:$D,MatchSource!$A:$A=$B450)))"),"0")</f>
        <v>0</v>
      </c>
      <c r="X450" s="499" t="str">
        <f aca="false">IFERROR(__xludf.dummyfunction("if(isna(SUM(FILTER(MatchSource!$H:$K,MatchSource!$H:$H=$B450))),0,SUM(FILTER(MatchSource!$H:$K,MatchSource!$H:$H=$B450)))"),"0")</f>
        <v>0</v>
      </c>
      <c r="Y450" s="499" t="str">
        <f aca="false">IFERROR(__xludf.dummyfunction("if(isna(ABS(MINUS(SUM(FILTER(MatchSource!$A:$E,MatchSource!$A:$A=$B450)),SUM($W450)))),0,ABS(MINUS(SUM(FILTER(MatchSource!$A:$E,MatchSource!$A:$A=$B450)),SUM($W450))))"),"0")</f>
        <v>0</v>
      </c>
      <c r="Z450" s="499" t="str">
        <f aca="false">IFERROR(__xludf.dummyfunction("if(isna(ABS(MINUS(SUM(FILTER(MatchSource!$H:$L,MatchSource!$H:$H=$B450)),SUM($X450)))),0,ABS(MINUS(SUM(FILTER(MatchSource!$H:$L,MatchSource!$H:$H=$B450)),SUM($X450))))"),"0")</f>
        <v>0</v>
      </c>
      <c r="AA450" s="499" t="str">
        <f aca="false">IFERROR(__xludf.dummyfunction("if(isna(ABS(MINUS(SUM(FILTER(MatchSource!$A:$F,MatchSource!$A:$A=$B450)),SUM($W450,$Y450)))),0,ABS(MINUS(SUM(FILTER(MatchSource!$A:$F,MatchSource!$A:$A=$B450)),SUM($W450, $Y450,))))"),"0")</f>
        <v>0</v>
      </c>
      <c r="AB450" s="501" t="str">
        <f aca="false">IFERROR(__xludf.dummyfunction("if(isna(ABS(MINUS(SUM(FILTER(MatchSource!$H:$M,MatchSource!$H:$H=$B450)),SUM($X450,$Z450)))),0,ABS(MINUS(SUM(FILTER(MatchSource!$H:$M,MatchSource!$H:$H=$B450)),SUM($X450,$Z450))))"),"0")</f>
        <v>0</v>
      </c>
      <c r="AC450" s="507" t="n">
        <f aca="false">SUM(IF(OR($R450="Grass",$R450="Psychic",$R450="Dark"),0-1,IF(OR($R450="Fighting",$R450="Flying",$R450="Fire",$R450="Ghost",$R450="Poison",$R450="Steel",$R450="Fairy"),1,0)),IF(OR($S450="Grass",$S450="Psychic",$S450="Dark"),0-1,IF(OR($S450="Fighting",$S450="Flying",$S450="Fire",$S450="Ghost",$S450="Poison",$S450="Steel",$S450="Fairy"),1,0)))</f>
        <v>-1</v>
      </c>
      <c r="AD450" s="507" t="n">
        <f aca="false">SUM(IF(OR($R450="Ghost",$R450="Psychic"),0-1,IF(OR($R450="Fighting",$R450="Dark",$R450="Fairy"),1,0)),IF(OR($S450="Ghost",$S450="Psychic"),0-1,IF(OR($S450="Fighting",$S450="Dark",$S450="Fairy"),1,0)))</f>
        <v>0</v>
      </c>
      <c r="AE450" s="507" t="n">
        <f aca="false">IF(OR($R450="Fairy",$S450="Fairy"),4,SUM(IF($R450="Dragon",0-1,IF($R450="Steel",1,0)),IF($S450="Dragon",0-1,IF($S450="Steel",1,0))))</f>
        <v>0</v>
      </c>
      <c r="AF450" s="507" t="n">
        <f aca="false">IF(OR($R450="Ground",$S450="Ground"),4,SUM(IF(OR($R450="Flying",$R450="Water"),0-1,IF(OR($R450="Dragon",$R450="Electric",$R450="Grass"),1,0)),IF(OR($S450="Flying",$S450="Water"),0-1,IF(OR($S450="Dragon",$S450="Electric",$S450="Grass"),1,0))))</f>
        <v>1</v>
      </c>
      <c r="AG450" s="507" t="n">
        <f aca="false">SUM(IF(OR($R450="Dark",$R450="Dragon",$R450="Fighting"),0-1,IF(OR($R450="Steel",$R450="Poison",$R450="Fire"),1,0)),IF(OR($S450="Dark",$S450="Dragon",$S450="Fighting"),0-1,IF(OR($S450="Steel",$S450="Poison",$S450="Fire"),1,0)))</f>
        <v>0</v>
      </c>
      <c r="AH450" s="507" t="n">
        <f aca="false">IF(OR($R450="Ghost",$S450="Ghost"),4,SUM(IF(OR($R450="Dark",$R450="Ice",$R450="Normal",$R450="Rock",$R450="Steel"),0-1,IF(OR($R450="Bug",$R450="Fairy",$R450="Flying",$R450="Poison",$R450="Psychic"),1,0)),IF(OR($S450="Dark",$S450="Ice",$S450="Normal",$S450="Rock",$S450="Steel"),0-1,IF(OR($S450="Bug",$S450="Fairy",$S450="Flying",$S450="Poison",$S450="Psychic"),1,0))))</f>
        <v>0</v>
      </c>
      <c r="AI450" s="507" t="n">
        <f aca="false">SUM(IF(OR($R450="Bug",$R450="Grass",$R450="Ice",$R450="Steel"),0-1,IF(OR($R450="Dragon",$R450="Fire",$R450="Rock",$R450="Water"),1,0)),IF(OR($S450="Bug",$S450="Grass",$S450="Ice",$S450="Steel"),0-1,IF(OR($S450="Dragon",$S450="Fire",$S450="Rock",$S450="Water"),1,0)))</f>
        <v>-1</v>
      </c>
      <c r="AJ450" s="507" t="n">
        <f aca="false">SUM(IF(OR($R450="Bug",$R450="Grass",$R450="Fighting"),0-1,IF(OR($R450="Electric",$R450="Rock",$R450="Steel"),1,0)),IF(OR($S450="Bug",$S450="Grass",$S450="Fighting"),0-1,IF(OR($S450="Electric",$S450="Rock",$S450="Steel"),1,0)))</f>
        <v>-1</v>
      </c>
      <c r="AK450" s="507" t="n">
        <f aca="false">IF(OR($R450="Normal",$S450="Normal"),4,SUM(IF(OR($R450="Ghost",$R450="Psychic"),0-1,IF($R450="Dark",1,0)),IF(OR($S450="Ghost",$S450="Psychic"),0-1,IF($S450="Dark",1,0))))</f>
        <v>0</v>
      </c>
      <c r="AL450" s="507" t="n">
        <f aca="false">SUM(IF(OR($R450="Ground",$R450="Rock",$R450="Water"),0-1,IF(OR($R450="Bug",$R450="Flying",$R450="Fire",$R450="Dragon",$R450="Poison",$R450="Steel",$R450="Grass"),1,0)),IF(OR($S450="Ground",$S450="Rock",$S450="Water"),0-1,IF(OR($S450="Bug",$S450="Flying",$S450="Fire",$S450="Dragon",$S450="Poison",$S450="Steel",$S450="Grass"),1,0)))</f>
        <v>1</v>
      </c>
      <c r="AM450" s="507" t="n">
        <f aca="false">IF(OR($R450="Flying",$S450="Flying"),4,SUM(IF(OR($R450="Electric",$R450="Fire",$R450="Rock",$R450="Steel",$R450="Poison"),0-1,IF(OR($R450="Bug",$R450="Grass"),1,0)),IF(OR($S450="Electric",$S450="Fire",$S450="Rock",$S450="Steel",$S450="Poison"),0-1,IF(OR($S450="Bug",$S450="Grass"),1,0))))</f>
        <v>1</v>
      </c>
      <c r="AN450" s="507" t="n">
        <f aca="false">SUM(IF(OR($R450="Flying",$R450="Dragon",$R450="Grass",$R450="Ground"),0-1,IF(OR($R450="Steel",$R450="Ice",$R450="Fire",$R450="Water"),1,0)),IF(OR($S450="Flying",$S450="Dragon",$S450="Grass",$S450="Ground"),0-1,IF(OR($S450="Steel",$S450="Ice",$S450="Fire",$S450="Water"),1,0)))</f>
        <v>-1</v>
      </c>
      <c r="AO450" s="507" t="n">
        <f aca="false">IF(OR($R450="Ghost",$S450="Ghost"),4,SUM(IF(OR($R450="Steel",$R450="Rock"),1,0),IF(OR($S450="Steel",$S450="Rock"),1,0)))</f>
        <v>0</v>
      </c>
      <c r="AP450" s="507" t="n">
        <f aca="false">IF(OR($R450="Steel",$S450="Steel"),4,SUM(IF(OR($R450="Fairy",$R450="Grass"),0-1,IF(OR($R450="Ghost",$R450="Rock",$R450="Ground",$R450="Poison"),1,0)),IF(OR($S450="Fairy",$S450="Grass"),0-1,IF(OR($S450="Ghost",$S450="Rock",$S450="Ground",$S450="Poison"),1,0))))</f>
        <v>-1</v>
      </c>
      <c r="AQ450" s="507" t="n">
        <f aca="false">IF(OR($R450="Dark",$S450="Dark"),4,SUM(IF(OR($R450="Fighting",$R450="Poison"),0-1,IF(OR($R450="Psychic",$R450="Steel"),1,0)),IF(OR($S450="Fighting",$S450="Poison"),0-1,IF(OR($S450="Psychic",$S450="Steel"),1,0))))</f>
        <v>0</v>
      </c>
      <c r="AR450" s="507" t="n">
        <f aca="false">SUM(IF(OR($R450="Bug",$R450="Fire",$R450="Flying",$R450="Ice"),0-1,IF(OR($R450="Steel",$R450="Fighting",$R450="Ground"),1,0)),IF(OR($S450="Bug",$S450="Fire",$S450="Flying",$S450="Ice"),0-1,IF(OR($S450="Steel",$S450="Fighting",$S450="Ground"),1,0)))</f>
        <v>0</v>
      </c>
      <c r="AS450" s="507" t="n">
        <f aca="false">SUM(IF(OR($R450="Fairy",$R450="Ice",$R450="Rock"),0-1,IF(OR($R450="Steel",$R450="Electric",$R450="Fire",$R450="Water"),1,0)),IF(OR($S450="Fairy",$S450="Ice",$S450="Rock"),0-1,IF(OR($S450="Steel",$S450="Electric",$S450="Fire",$S450="Water"),1,0)))</f>
        <v>0</v>
      </c>
      <c r="AT450" s="508" t="n">
        <f aca="false">SUM(IF(OR($R450="Fire",$R450="Ground",$R450="Rock"),0-1,IF(OR($R450="Dragon",$R450="Grass",$R450="Water"),1,0)),IF(OR($S450="Fire",$S450="Ground",$S450="Rock"),0-1,IF(OR($S450="Dragon",$S450="Grass",$S450="Water"),1,0)))</f>
        <v>1</v>
      </c>
      <c r="AU450" s="518"/>
    </row>
    <row r="451" customFormat="false" ht="15.75" hidden="false" customHeight="false" outlineLevel="0" collapsed="false">
      <c r="A451" s="510" t="str">
        <f aca="false" t="array" ref="A451:A451">IF(ISNA(INDEX(Source!$U$7:$U$95,MATCH(B451,Source!$V$7:$V$95,0))),"FREE",INDEX(Source!$U$7:$U$95,MATCH(B451,Source!$V$7:$V$95,0)))</f>
        <v>FREE</v>
      </c>
      <c r="B451" s="511" t="s">
        <v>623</v>
      </c>
      <c r="C451" s="511"/>
      <c r="D451" s="511"/>
      <c r="E451" s="499" t="str">
        <f aca="false">IF(SUM($W451:$X451)&gt;0,SUM($W451:$X451),IF($H451&gt;0,0,IF($H451&gt;0,0,"-")))</f>
        <v>-</v>
      </c>
      <c r="F451" s="499" t="str">
        <f aca="false">IF(SUM($Y451:$Z451)&gt;0,SUM($Y451:$Z451),IF($H451&gt;0,0,"-"))</f>
        <v>-</v>
      </c>
      <c r="G451" s="499" t="str">
        <f aca="false">IF($H451&gt;0,minus(E451,F451),"-")</f>
        <v>-</v>
      </c>
      <c r="H451" s="500" t="n">
        <f aca="false">SUM(COUNTIF(MatchSource!$A:$A,$B451),COUNTIF(MatchSource!$H:$H,$B451))</f>
        <v>0</v>
      </c>
      <c r="I451" s="501" t="n">
        <f aca="false">SUM($AA451:$AB451)</f>
        <v>0</v>
      </c>
      <c r="J451" s="501" t="s">
        <v>702</v>
      </c>
      <c r="K451" s="512" t="str">
        <f aca="false" t="array" ref="K451:K451">IF(ISNA(INDEX(DraftRosters!$AA$3:$AA$199,MATCH($B451,DraftRosters!$AB$3:$AB$199,0))),"FA",IF(INDEX(DraftRosters!$AA$3:$AA$199,MATCH($B451,DraftRosters!$AB$3:$AB$199,0))="Franchise","Franch",INDEX(DraftRosters!$AA$3:$AA$199,MATCH($B451,DraftRosters!$AB$3:$AB$199,0))))</f>
        <v>FA</v>
      </c>
      <c r="L451" s="499" t="n">
        <v>100</v>
      </c>
      <c r="M451" s="499" t="n">
        <v>73</v>
      </c>
      <c r="N451" s="499" t="n">
        <v>83</v>
      </c>
      <c r="O451" s="499" t="n">
        <v>73</v>
      </c>
      <c r="P451" s="499" t="n">
        <v>83</v>
      </c>
      <c r="Q451" s="501" t="n">
        <v>55</v>
      </c>
      <c r="R451" s="499" t="s">
        <v>843</v>
      </c>
      <c r="S451" s="501"/>
      <c r="T451" s="505" t="s">
        <v>995</v>
      </c>
      <c r="U451" s="505" t="s">
        <v>820</v>
      </c>
      <c r="V451" s="506" t="s">
        <v>1070</v>
      </c>
      <c r="W451" s="500" t="str">
        <f aca="false">IFERROR(__xludf.dummyfunction("if(isna(SUM(FILTER(MatchSource!$A:$D,MatchSource!$A:$A=$B451))),0,SUM(FILTER(MatchSource!$A:$D,MatchSource!$A:$A=$B451)))"),"0")</f>
        <v>0</v>
      </c>
      <c r="X451" s="499" t="str">
        <f aca="false">IFERROR(__xludf.dummyfunction("if(isna(SUM(FILTER(MatchSource!$H:$K,MatchSource!$H:$H=$B451))),0,SUM(FILTER(MatchSource!$H:$K,MatchSource!$H:$H=$B451)))"),"0")</f>
        <v>0</v>
      </c>
      <c r="Y451" s="499" t="str">
        <f aca="false">IFERROR(__xludf.dummyfunction("if(isna(ABS(MINUS(SUM(FILTER(MatchSource!$A:$E,MatchSource!$A:$A=$B451)),SUM($W451)))),0,ABS(MINUS(SUM(FILTER(MatchSource!$A:$E,MatchSource!$A:$A=$B451)),SUM($W451))))"),"0")</f>
        <v>0</v>
      </c>
      <c r="Z451" s="499" t="str">
        <f aca="false">IFERROR(__xludf.dummyfunction("if(isna(ABS(MINUS(SUM(FILTER(MatchSource!$H:$L,MatchSource!$H:$H=$B451)),SUM($X451)))),0,ABS(MINUS(SUM(FILTER(MatchSource!$H:$L,MatchSource!$H:$H=$B451)),SUM($X451))))"),"0")</f>
        <v>0</v>
      </c>
      <c r="AA451" s="499" t="str">
        <f aca="false">IFERROR(__xludf.dummyfunction("if(isna(ABS(MINUS(SUM(FILTER(MatchSource!$A:$F,MatchSource!$A:$A=$B451)),SUM($W451,$Y451)))),0,ABS(MINUS(SUM(FILTER(MatchSource!$A:$F,MatchSource!$A:$A=$B451)),SUM($W451, $Y451,))))"),"0")</f>
        <v>0</v>
      </c>
      <c r="AB451" s="501" t="str">
        <f aca="false">IFERROR(__xludf.dummyfunction("if(isna(ABS(MINUS(SUM(FILTER(MatchSource!$H:$M,MatchSource!$H:$H=$B451)),SUM($X451,$Z451)))),0,ABS(MINUS(SUM(FILTER(MatchSource!$H:$M,MatchSource!$H:$H=$B451)),SUM($X451,$Z451))))"),"0")</f>
        <v>0</v>
      </c>
      <c r="AC451" s="507" t="n">
        <f aca="false">SUM(IF(OR($R451="Grass",$R451="Psychic",$R451="Dark"),0-1,IF(OR($R451="Fighting",$R451="Flying",$R451="Fire",$R451="Ghost",$R451="Poison",$R451="Steel",$R451="Fairy"),1,0)),IF(OR($S451="Grass",$S451="Psychic",$S451="Dark"),0-1,IF(OR($S451="Fighting",$S451="Flying",$S451="Fire",$S451="Ghost",$S451="Poison",$S451="Steel",$S451="Fairy"),1,0)))</f>
        <v>1</v>
      </c>
      <c r="AD451" s="507" t="n">
        <f aca="false">SUM(IF(OR($R451="Ghost",$R451="Psychic"),0-1,IF(OR($R451="Fighting",$R451="Dark",$R451="Fairy"),1,0)),IF(OR($S451="Ghost",$S451="Psychic"),0-1,IF(OR($S451="Fighting",$S451="Dark",$S451="Fairy"),1,0)))</f>
        <v>0</v>
      </c>
      <c r="AE451" s="507" t="n">
        <f aca="false">IF(OR($R451="Fairy",$S451="Fairy"),4,SUM(IF($R451="Dragon",0-1,IF($R451="Steel",1,0)),IF($S451="Dragon",0-1,IF($S451="Steel",1,0))))</f>
        <v>0</v>
      </c>
      <c r="AF451" s="507" t="n">
        <f aca="false">IF(OR($R451="Ground",$S451="Ground"),4,SUM(IF(OR($R451="Flying",$R451="Water"),0-1,IF(OR($R451="Dragon",$R451="Electric",$R451="Grass"),1,0)),IF(OR($S451="Flying",$S451="Water"),0-1,IF(OR($S451="Dragon",$S451="Electric",$S451="Grass"),1,0))))</f>
        <v>0</v>
      </c>
      <c r="AG451" s="507" t="n">
        <f aca="false">SUM(IF(OR($R451="Dark",$R451="Dragon",$R451="Fighting"),0-1,IF(OR($R451="Steel",$R451="Poison",$R451="Fire"),1,0)),IF(OR($S451="Dark",$S451="Dragon",$S451="Fighting"),0-1,IF(OR($S451="Steel",$S451="Poison",$S451="Fire"),1,0)))</f>
        <v>1</v>
      </c>
      <c r="AH451" s="507" t="n">
        <f aca="false">IF(OR($R451="Ghost",$S451="Ghost"),4,SUM(IF(OR($R451="Dark",$R451="Ice",$R451="Normal",$R451="Rock",$R451="Steel"),0-1,IF(OR($R451="Bug",$R451="Fairy",$R451="Flying",$R451="Poison",$R451="Psychic"),1,0)),IF(OR($S451="Dark",$S451="Ice",$S451="Normal",$S451="Rock",$S451="Steel"),0-1,IF(OR($S451="Bug",$S451="Fairy",$S451="Flying",$S451="Poison",$S451="Psychic"),1,0))))</f>
        <v>1</v>
      </c>
      <c r="AI451" s="507" t="n">
        <f aca="false">SUM(IF(OR($R451="Bug",$R451="Grass",$R451="Ice",$R451="Steel"),0-1,IF(OR($R451="Dragon",$R451="Fire",$R451="Rock",$R451="Water"),1,0)),IF(OR($S451="Bug",$S451="Grass",$S451="Ice",$S451="Steel"),0-1,IF(OR($S451="Dragon",$S451="Fire",$S451="Rock",$S451="Water"),1,0)))</f>
        <v>0</v>
      </c>
      <c r="AJ451" s="507" t="n">
        <f aca="false">SUM(IF(OR($R451="Bug",$R451="Grass",$R451="Fighting"),0-1,IF(OR($R451="Electric",$R451="Rock",$R451="Steel"),1,0)),IF(OR($S451="Bug",$S451="Grass",$S451="Fighting"),0-1,IF(OR($S451="Electric",$S451="Rock",$S451="Steel"),1,0)))</f>
        <v>0</v>
      </c>
      <c r="AK451" s="507" t="n">
        <f aca="false">IF(OR($R451="Normal",$S451="Normal"),4,SUM(IF(OR($R451="Ghost",$R451="Psychic"),0-1,IF($R451="Dark",1,0)),IF(OR($S451="Ghost",$S451="Psychic"),0-1,IF($S451="Dark",1,0))))</f>
        <v>0</v>
      </c>
      <c r="AL451" s="507" t="n">
        <f aca="false">SUM(IF(OR($R451="Ground",$R451="Rock",$R451="Water"),0-1,IF(OR($R451="Bug",$R451="Flying",$R451="Fire",$R451="Dragon",$R451="Poison",$R451="Steel",$R451="Grass"),1,0)),IF(OR($S451="Ground",$S451="Rock",$S451="Water"),0-1,IF(OR($S451="Bug",$S451="Flying",$S451="Fire",$S451="Dragon",$S451="Poison",$S451="Steel",$S451="Grass"),1,0)))</f>
        <v>1</v>
      </c>
      <c r="AM451" s="507" t="n">
        <f aca="false">IF(OR($R451="Flying",$S451="Flying"),4,SUM(IF(OR($R451="Electric",$R451="Fire",$R451="Rock",$R451="Steel",$R451="Poison"),0-1,IF(OR($R451="Bug",$R451="Grass"),1,0)),IF(OR($S451="Electric",$S451="Fire",$S451="Rock",$S451="Steel",$S451="Poison"),0-1,IF(OR($S451="Bug",$S451="Grass"),1,0))))</f>
        <v>-1</v>
      </c>
      <c r="AN451" s="507" t="n">
        <f aca="false">SUM(IF(OR($R451="Flying",$R451="Dragon",$R451="Grass",$R451="Ground"),0-1,IF(OR($R451="Steel",$R451="Ice",$R451="Fire",$R451="Water"),1,0)),IF(OR($S451="Flying",$S451="Dragon",$S451="Grass",$S451="Ground"),0-1,IF(OR($S451="Steel",$S451="Ice",$S451="Fire",$S451="Water"),1,0)))</f>
        <v>0</v>
      </c>
      <c r="AO451" s="507" t="n">
        <f aca="false">IF(OR($R451="Ghost",$S451="Ghost"),4,SUM(IF(OR($R451="Steel",$R451="Rock"),1,0),IF(OR($S451="Steel",$S451="Rock"),1,0)))</f>
        <v>0</v>
      </c>
      <c r="AP451" s="507" t="n">
        <f aca="false">IF(OR($R451="Steel",$S451="Steel"),4,SUM(IF(OR($R451="Fairy",$R451="Grass"),0-1,IF(OR($R451="Ghost",$R451="Rock",$R451="Ground",$R451="Poison"),1,0)),IF(OR($S451="Fairy",$S451="Grass"),0-1,IF(OR($S451="Ghost",$S451="Rock",$S451="Ground",$S451="Poison"),1,0))))</f>
        <v>1</v>
      </c>
      <c r="AQ451" s="507" t="n">
        <f aca="false">IF(OR($R451="Dark",$S451="Dark"),4,SUM(IF(OR($R451="Fighting",$R451="Poison"),0-1,IF(OR($R451="Psychic",$R451="Steel"),1,0)),IF(OR($S451="Fighting",$S451="Poison"),0-1,IF(OR($S451="Psychic",$S451="Steel"),1,0))))</f>
        <v>-1</v>
      </c>
      <c r="AR451" s="507" t="n">
        <f aca="false">SUM(IF(OR($R451="Bug",$R451="Fire",$R451="Flying",$R451="Ice"),0-1,IF(OR($R451="Steel",$R451="Fighting",$R451="Ground"),1,0)),IF(OR($S451="Bug",$S451="Fire",$S451="Flying",$S451="Ice"),0-1,IF(OR($S451="Steel",$S451="Fighting",$S451="Ground"),1,0)))</f>
        <v>0</v>
      </c>
      <c r="AS451" s="507" t="n">
        <f aca="false">SUM(IF(OR($R451="Fairy",$R451="Ice",$R451="Rock"),0-1,IF(OR($R451="Steel",$R451="Electric",$R451="Fire",$R451="Water"),1,0)),IF(OR($S451="Fairy",$S451="Ice",$S451="Rock"),0-1,IF(OR($S451="Steel",$S451="Electric",$S451="Fire",$S451="Water"),1,0)))</f>
        <v>0</v>
      </c>
      <c r="AT451" s="508" t="n">
        <f aca="false">SUM(IF(OR($R451="Fire",$R451="Ground",$R451="Rock"),0-1,IF(OR($R451="Dragon",$R451="Grass",$R451="Water"),1,0)),IF(OR($S451="Fire",$S451="Ground",$S451="Rock"),0-1,IF(OR($S451="Dragon",$S451="Grass",$S451="Water"),1,0)))</f>
        <v>0</v>
      </c>
      <c r="AU451" s="518"/>
    </row>
    <row r="452" customFormat="false" ht="15.75" hidden="false" customHeight="false" outlineLevel="0" collapsed="false">
      <c r="A452" s="510" t="str">
        <f aca="false" t="array" ref="A452:A452">IF(ISNA(INDEX(Source!$U$7:$U$95,MATCH(B452,Source!$V$7:$V$95,0))),"FREE",INDEX(Source!$U$7:$U$95,MATCH(B452,Source!$V$7:$V$95,0)))</f>
        <v>FREE</v>
      </c>
      <c r="B452" s="511" t="s">
        <v>578</v>
      </c>
      <c r="C452" s="511"/>
      <c r="D452" s="511"/>
      <c r="E452" s="499" t="str">
        <f aca="false">IF(SUM($W452:$X452)&gt;0,SUM($W452:$X452),IF($H452&gt;0,0,IF($H452&gt;0,0,"-")))</f>
        <v>-</v>
      </c>
      <c r="F452" s="499" t="str">
        <f aca="false">IF(SUM($Y452:$Z452)&gt;0,SUM($Y452:$Z452),IF($H452&gt;0,0,"-"))</f>
        <v>-</v>
      </c>
      <c r="G452" s="499" t="str">
        <f aca="false">IF($H452&gt;0,minus(E452,F452),"-")</f>
        <v>-</v>
      </c>
      <c r="H452" s="500" t="n">
        <f aca="false">SUM(COUNTIF(MatchSource!$A:$A,$B452),COUNTIF(MatchSource!$H:$H,$B452))</f>
        <v>0</v>
      </c>
      <c r="I452" s="501" t="n">
        <f aca="false">SUM($AA452:$AB452)</f>
        <v>0</v>
      </c>
      <c r="J452" s="501" t="s">
        <v>700</v>
      </c>
      <c r="K452" s="512" t="str">
        <f aca="false" t="array" ref="K452:K452">IF(ISNA(INDEX(DraftRosters!$AA$3:$AA$199,MATCH($B452,DraftRosters!$AB$3:$AB$199,0))),"FA",IF(INDEX(DraftRosters!$AA$3:$AA$199,MATCH($B452,DraftRosters!$AB$3:$AB$199,0))="Franchise","Franch",INDEX(DraftRosters!$AA$3:$AA$199,MATCH($B452,DraftRosters!$AB$3:$AB$199,0))))</f>
        <v>FA</v>
      </c>
      <c r="L452" s="499" t="n">
        <v>100</v>
      </c>
      <c r="M452" s="499" t="n">
        <v>110</v>
      </c>
      <c r="N452" s="499" t="n">
        <v>90</v>
      </c>
      <c r="O452" s="499" t="n">
        <v>85</v>
      </c>
      <c r="P452" s="499" t="n">
        <v>90</v>
      </c>
      <c r="Q452" s="501" t="n">
        <v>60</v>
      </c>
      <c r="R452" s="499" t="s">
        <v>907</v>
      </c>
      <c r="S452" s="501" t="s">
        <v>811</v>
      </c>
      <c r="T452" s="505" t="s">
        <v>983</v>
      </c>
      <c r="U452" s="505" t="s">
        <v>890</v>
      </c>
      <c r="V452" s="506"/>
      <c r="W452" s="500" t="str">
        <f aca="false">IFERROR(__xludf.dummyfunction("if(isna(SUM(FILTER(MatchSource!$A:$D,MatchSource!$A:$A=$B452))),0,SUM(FILTER(MatchSource!$A:$D,MatchSource!$A:$A=$B452)))"),"0")</f>
        <v>0</v>
      </c>
      <c r="X452" s="499" t="str">
        <f aca="false">IFERROR(__xludf.dummyfunction("if(isna(SUM(FILTER(MatchSource!$H:$K,MatchSource!$H:$H=$B452))),0,SUM(FILTER(MatchSource!$H:$K,MatchSource!$H:$H=$B452)))"),"0")</f>
        <v>0</v>
      </c>
      <c r="Y452" s="499" t="str">
        <f aca="false">IFERROR(__xludf.dummyfunction("if(isna(ABS(MINUS(SUM(FILTER(MatchSource!$A:$E,MatchSource!$A:$A=$B452)),SUM($W452)))),0,ABS(MINUS(SUM(FILTER(MatchSource!$A:$E,MatchSource!$A:$A=$B452)),SUM($W452))))"),"0")</f>
        <v>0</v>
      </c>
      <c r="Z452" s="499" t="str">
        <f aca="false">IFERROR(__xludf.dummyfunction("if(isna(ABS(MINUS(SUM(FILTER(MatchSource!$H:$L,MatchSource!$H:$H=$B452)),SUM($X452)))),0,ABS(MINUS(SUM(FILTER(MatchSource!$H:$L,MatchSource!$H:$H=$B452)),SUM($X452))))"),"0")</f>
        <v>0</v>
      </c>
      <c r="AA452" s="499" t="str">
        <f aca="false">IFERROR(__xludf.dummyfunction("if(isna(ABS(MINUS(SUM(FILTER(MatchSource!$A:$F,MatchSource!$A:$A=$B452)),SUM($W452,$Y452)))),0,ABS(MINUS(SUM(FILTER(MatchSource!$A:$F,MatchSource!$A:$A=$B452)),SUM($W452, $Y452,))))"),"0")</f>
        <v>0</v>
      </c>
      <c r="AB452" s="501" t="str">
        <f aca="false">IFERROR(__xludf.dummyfunction("if(isna(ABS(MINUS(SUM(FILTER(MatchSource!$H:$M,MatchSource!$H:$H=$B452)),SUM($X452,$Z452)))),0,ABS(MINUS(SUM(FILTER(MatchSource!$H:$M,MatchSource!$H:$H=$B452)),SUM($X452,$Z452))))"),"0")</f>
        <v>0</v>
      </c>
      <c r="AC452" s="507" t="n">
        <f aca="false">SUM(IF(OR($R452="Grass",$R452="Psychic",$R452="Dark"),0-1,IF(OR($R452="Fighting",$R452="Flying",$R452="Fire",$R452="Ghost",$R452="Poison",$R452="Steel",$R452="Fairy"),1,0)),IF(OR($S452="Grass",$S452="Psychic",$S452="Dark"),0-1,IF(OR($S452="Fighting",$S452="Flying",$S452="Fire",$S452="Ghost",$S452="Poison",$S452="Steel",$S452="Fairy"),1,0)))</f>
        <v>0</v>
      </c>
      <c r="AD452" s="507" t="n">
        <f aca="false">SUM(IF(OR($R452="Ghost",$R452="Psychic"),0-1,IF(OR($R452="Fighting",$R452="Dark",$R452="Fairy"),1,0)),IF(OR($S452="Ghost",$S452="Psychic"),0-1,IF(OR($S452="Fighting",$S452="Dark",$S452="Fairy"),1,0)))</f>
        <v>0</v>
      </c>
      <c r="AE452" s="507" t="n">
        <f aca="false">IF(OR($R452="Fairy",$S452="Fairy"),4,SUM(IF($R452="Dragon",0-1,IF($R452="Steel",1,0)),IF($S452="Dragon",0-1,IF($S452="Steel",1,0))))</f>
        <v>0</v>
      </c>
      <c r="AF452" s="507" t="n">
        <f aca="false">IF(OR($R452="Ground",$S452="Ground"),4,SUM(IF(OR($R452="Flying",$R452="Water"),0-1,IF(OR($R452="Dragon",$R452="Electric",$R452="Grass"),1,0)),IF(OR($S452="Flying",$S452="Water"),0-1,IF(OR($S452="Dragon",$S452="Electric",$S452="Grass"),1,0))))</f>
        <v>4</v>
      </c>
      <c r="AG452" s="507" t="n">
        <f aca="false">SUM(IF(OR($R452="Dark",$R452="Dragon",$R452="Fighting"),0-1,IF(OR($R452="Steel",$R452="Poison",$R452="Fire"),1,0)),IF(OR($S452="Dark",$S452="Dragon",$S452="Fighting"),0-1,IF(OR($S452="Steel",$S452="Poison",$S452="Fire"),1,0)))</f>
        <v>0</v>
      </c>
      <c r="AH452" s="507" t="n">
        <f aca="false">IF(OR($R452="Ghost",$S452="Ghost"),4,SUM(IF(OR($R452="Dark",$R452="Ice",$R452="Normal",$R452="Rock",$R452="Steel"),0-1,IF(OR($R452="Bug",$R452="Fairy",$R452="Flying",$R452="Poison",$R452="Psychic"),1,0)),IF(OR($S452="Dark",$S452="Ice",$S452="Normal",$S452="Rock",$S452="Steel"),0-1,IF(OR($S452="Bug",$S452="Fairy",$S452="Flying",$S452="Poison",$S452="Psychic"),1,0))))</f>
        <v>0</v>
      </c>
      <c r="AI452" s="507" t="n">
        <f aca="false">SUM(IF(OR($R452="Bug",$R452="Grass",$R452="Ice",$R452="Steel"),0-1,IF(OR($R452="Dragon",$R452="Fire",$R452="Rock",$R452="Water"),1,0)),IF(OR($S452="Bug",$S452="Grass",$S452="Ice",$S452="Steel"),0-1,IF(OR($S452="Dragon",$S452="Fire",$S452="Rock",$S452="Water"),1,0)))</f>
        <v>1</v>
      </c>
      <c r="AJ452" s="507" t="n">
        <f aca="false">SUM(IF(OR($R452="Bug",$R452="Grass",$R452="Fighting"),0-1,IF(OR($R452="Electric",$R452="Rock",$R452="Steel"),1,0)),IF(OR($S452="Bug",$S452="Grass",$S452="Fighting"),0-1,IF(OR($S452="Electric",$S452="Rock",$S452="Steel"),1,0)))</f>
        <v>0</v>
      </c>
      <c r="AK452" s="507" t="n">
        <f aca="false">IF(OR($R452="Normal",$S452="Normal"),4,SUM(IF(OR($R452="Ghost",$R452="Psychic"),0-1,IF($R452="Dark",1,0)),IF(OR($S452="Ghost",$S452="Psychic"),0-1,IF($S452="Dark",1,0))))</f>
        <v>0</v>
      </c>
      <c r="AL452" s="507" t="n">
        <f aca="false">SUM(IF(OR($R452="Ground",$R452="Rock",$R452="Water"),0-1,IF(OR($R452="Bug",$R452="Flying",$R452="Fire",$R452="Dragon",$R452="Poison",$R452="Steel",$R452="Grass"),1,0)),IF(OR($S452="Ground",$S452="Rock",$S452="Water"),0-1,IF(OR($S452="Bug",$S452="Flying",$S452="Fire",$S452="Dragon",$S452="Poison",$S452="Steel",$S452="Grass"),1,0)))</f>
        <v>-2</v>
      </c>
      <c r="AM452" s="507" t="n">
        <f aca="false">IF(OR($R452="Flying",$S452="Flying"),4,SUM(IF(OR($R452="Electric",$R452="Fire",$R452="Rock",$R452="Steel",$R452="Poison"),0-1,IF(OR($R452="Bug",$R452="Grass"),1,0)),IF(OR($S452="Electric",$S452="Fire",$S452="Rock",$S452="Steel",$S452="Poison"),0-1,IF(OR($S452="Bug",$S452="Grass"),1,0))))</f>
        <v>0</v>
      </c>
      <c r="AN452" s="507" t="n">
        <f aca="false">SUM(IF(OR($R452="Flying",$R452="Dragon",$R452="Grass",$R452="Ground"),0-1,IF(OR($R452="Steel",$R452="Ice",$R452="Fire",$R452="Water"),1,0)),IF(OR($S452="Flying",$S452="Dragon",$S452="Grass",$S452="Ground"),0-1,IF(OR($S452="Steel",$S452="Ice",$S452="Fire",$S452="Water"),1,0)))</f>
        <v>0</v>
      </c>
      <c r="AO452" s="507" t="n">
        <f aca="false">IF(OR($R452="Ghost",$S452="Ghost"),4,SUM(IF(OR($R452="Steel",$R452="Rock"),1,0),IF(OR($S452="Steel",$S452="Rock"),1,0)))</f>
        <v>0</v>
      </c>
      <c r="AP452" s="507" t="n">
        <f aca="false">IF(OR($R452="Steel",$S452="Steel"),4,SUM(IF(OR($R452="Fairy",$R452="Grass"),0-1,IF(OR($R452="Ghost",$R452="Rock",$R452="Ground",$R452="Poison"),1,0)),IF(OR($S452="Fairy",$S452="Grass"),0-1,IF(OR($S452="Ghost",$S452="Rock",$S452="Ground",$S452="Poison"),1,0))))</f>
        <v>1</v>
      </c>
      <c r="AQ452" s="507" t="n">
        <f aca="false">IF(OR($R452="Dark",$S452="Dark"),4,SUM(IF(OR($R452="Fighting",$R452="Poison"),0-1,IF(OR($R452="Psychic",$R452="Steel"),1,0)),IF(OR($S452="Fighting",$S452="Poison"),0-1,IF(OR($S452="Psychic",$S452="Steel"),1,0))))</f>
        <v>0</v>
      </c>
      <c r="AR452" s="507" t="n">
        <f aca="false">SUM(IF(OR($R452="Bug",$R452="Fire",$R452="Flying",$R452="Ice"),0-1,IF(OR($R452="Steel",$R452="Fighting",$R452="Ground"),1,0)),IF(OR($S452="Bug",$S452="Fire",$S452="Flying",$S452="Ice"),0-1,IF(OR($S452="Steel",$S452="Fighting",$S452="Ground"),1,0)))</f>
        <v>1</v>
      </c>
      <c r="AS452" s="507" t="n">
        <f aca="false">SUM(IF(OR($R452="Fairy",$R452="Ice",$R452="Rock"),0-1,IF(OR($R452="Steel",$R452="Electric",$R452="Fire",$R452="Water"),1,0)),IF(OR($S452="Fairy",$S452="Ice",$S452="Rock"),0-1,IF(OR($S452="Steel",$S452="Electric",$S452="Fire",$S452="Water"),1,0)))</f>
        <v>1</v>
      </c>
      <c r="AT452" s="508" t="n">
        <f aca="false">SUM(IF(OR($R452="Fire",$R452="Ground",$R452="Rock"),0-1,IF(OR($R452="Dragon",$R452="Grass",$R452="Water"),1,0)),IF(OR($S452="Fire",$S452="Ground",$S452="Rock"),0-1,IF(OR($S452="Dragon",$S452="Grass",$S452="Water"),1,0)))</f>
        <v>0</v>
      </c>
      <c r="AU452" s="518"/>
    </row>
    <row r="453" customFormat="false" ht="15.75" hidden="false" customHeight="false" outlineLevel="0" collapsed="false">
      <c r="A453" s="510" t="str">
        <f aca="false" t="array" ref="A453:A453">IF(ISNA(INDEX(Source!$U$7:$U$95,MATCH(B453,Source!$V$7:$V$95,0))),"FREE",INDEX(Source!$U$7:$U$95,MATCH(B453,Source!$V$7:$V$95,0)))</f>
        <v>FREE</v>
      </c>
      <c r="B453" s="511" t="s">
        <v>735</v>
      </c>
      <c r="C453" s="511"/>
      <c r="D453" s="511"/>
      <c r="E453" s="499" t="str">
        <f aca="false">IF(SUM($W453:$X453)&gt;0,SUM($W453:$X453),IF($H453&gt;0,0,IF($H453&gt;0,0,"-")))</f>
        <v>-</v>
      </c>
      <c r="F453" s="499" t="str">
        <f aca="false">IF(SUM($Y453:$Z453)&gt;0,SUM($Y453:$Z453),IF($H453&gt;0,0,"-"))</f>
        <v>-</v>
      </c>
      <c r="G453" s="499" t="str">
        <f aca="false">IF($H453&gt;0,minus(E453,F453),"-")</f>
        <v>-</v>
      </c>
      <c r="H453" s="500" t="n">
        <f aca="false">SUM(COUNTIF(MatchSource!$A:$A,$B453),COUNTIF(MatchSource!$H:$H,$B453))</f>
        <v>0</v>
      </c>
      <c r="I453" s="501" t="n">
        <f aca="false">SUM($AA453:$AB453)</f>
        <v>0</v>
      </c>
      <c r="J453" s="501" t="s">
        <v>279</v>
      </c>
      <c r="K453" s="512" t="str">
        <f aca="false" t="array" ref="K453:K453">IF(ISNA(INDEX(DraftRosters!$AA$3:$AA$199,MATCH($B453,DraftRosters!$AB$3:$AB$199,0))),"FA",IF(INDEX(DraftRosters!$AA$3:$AA$199,MATCH($B453,DraftRosters!$AB$3:$AB$199,0))="Franchise","Franch",INDEX(DraftRosters!$AA$3:$AA$199,MATCH($B453,DraftRosters!$AB$3:$AB$199,0))))</f>
        <v>FA</v>
      </c>
      <c r="L453" s="499" t="n">
        <v>100</v>
      </c>
      <c r="M453" s="499" t="n">
        <v>150</v>
      </c>
      <c r="N453" s="499" t="n">
        <v>110</v>
      </c>
      <c r="O453" s="499" t="n">
        <v>95</v>
      </c>
      <c r="P453" s="499" t="n">
        <v>110</v>
      </c>
      <c r="Q453" s="501" t="n">
        <v>70</v>
      </c>
      <c r="R453" s="499" t="s">
        <v>907</v>
      </c>
      <c r="S453" s="501" t="s">
        <v>811</v>
      </c>
      <c r="T453" s="505" t="s">
        <v>859</v>
      </c>
      <c r="U453" s="505"/>
      <c r="V453" s="506"/>
      <c r="W453" s="500" t="str">
        <f aca="false">IFERROR(__xludf.dummyfunction("if(isna(SUM(FILTER(MatchSource!$A:$D,MatchSource!$A:$A=$B453))),0,SUM(FILTER(MatchSource!$A:$D,MatchSource!$A:$A=$B453)))"),"0")</f>
        <v>0</v>
      </c>
      <c r="X453" s="499" t="str">
        <f aca="false">IFERROR(__xludf.dummyfunction("if(isna(SUM(FILTER(MatchSource!$H:$K,MatchSource!$H:$H=$B453))),0,SUM(FILTER(MatchSource!$H:$K,MatchSource!$H:$H=$B453)))"),"0")</f>
        <v>0</v>
      </c>
      <c r="Y453" s="499" t="str">
        <f aca="false">IFERROR(__xludf.dummyfunction("if(isna(ABS(MINUS(SUM(FILTER(MatchSource!$A:$E,MatchSource!$A:$A=$B453)),SUM($W453)))),0,ABS(MINUS(SUM(FILTER(MatchSource!$A:$E,MatchSource!$A:$A=$B453)),SUM($W453))))"),"0")</f>
        <v>0</v>
      </c>
      <c r="Z453" s="499" t="str">
        <f aca="false">IFERROR(__xludf.dummyfunction("if(isna(ABS(MINUS(SUM(FILTER(MatchSource!$H:$L,MatchSource!$H:$H=$B453)),SUM($X453)))),0,ABS(MINUS(SUM(FILTER(MatchSource!$H:$L,MatchSource!$H:$H=$B453)),SUM($X453))))"),"0")</f>
        <v>0</v>
      </c>
      <c r="AA453" s="499" t="str">
        <f aca="false">IFERROR(__xludf.dummyfunction("if(isna(ABS(MINUS(SUM(FILTER(MatchSource!$A:$F,MatchSource!$A:$A=$B453)),SUM($W453,$Y453)))),0,ABS(MINUS(SUM(FILTER(MatchSource!$A:$F,MatchSource!$A:$A=$B453)),SUM($W453, $Y453,))))"),"0")</f>
        <v>0</v>
      </c>
      <c r="AB453" s="501" t="str">
        <f aca="false">IFERROR(__xludf.dummyfunction("if(isna(ABS(MINUS(SUM(FILTER(MatchSource!$H:$M,MatchSource!$H:$H=$B453)),SUM($X453,$Z453)))),0,ABS(MINUS(SUM(FILTER(MatchSource!$H:$M,MatchSource!$H:$H=$B453)),SUM($X453,$Z453))))"),"0")</f>
        <v>0</v>
      </c>
      <c r="AC453" s="507" t="n">
        <f aca="false">SUM(IF(OR($R453="Grass",$R453="Psychic",$R453="Dark"),0-1,IF(OR($R453="Fighting",$R453="Flying",$R453="Fire",$R453="Ghost",$R453="Poison",$R453="Steel",$R453="Fairy"),1,0)),IF(OR($S453="Grass",$S453="Psychic",$S453="Dark"),0-1,IF(OR($S453="Fighting",$S453="Flying",$S453="Fire",$S453="Ghost",$S453="Poison",$S453="Steel",$S453="Fairy"),1,0)))</f>
        <v>0</v>
      </c>
      <c r="AD453" s="507" t="n">
        <f aca="false">SUM(IF(OR($R453="Ghost",$R453="Psychic"),0-1,IF(OR($R453="Fighting",$R453="Dark",$R453="Fairy"),1,0)),IF(OR($S453="Ghost",$S453="Psychic"),0-1,IF(OR($S453="Fighting",$S453="Dark",$S453="Fairy"),1,0)))</f>
        <v>0</v>
      </c>
      <c r="AE453" s="507" t="n">
        <f aca="false">IF(OR($R453="Fairy",$S453="Fairy"),4,SUM(IF($R453="Dragon",0-1,IF($R453="Steel",1,0)),IF($S453="Dragon",0-1,IF($S453="Steel",1,0))))</f>
        <v>0</v>
      </c>
      <c r="AF453" s="507" t="n">
        <f aca="false">IF(OR($R453="Ground",$S453="Ground"),4,SUM(IF(OR($R453="Flying",$R453="Water"),0-1,IF(OR($R453="Dragon",$R453="Electric",$R453="Grass"),1,0)),IF(OR($S453="Flying",$S453="Water"),0-1,IF(OR($S453="Dragon",$S453="Electric",$S453="Grass"),1,0))))</f>
        <v>4</v>
      </c>
      <c r="AG453" s="507" t="n">
        <f aca="false">SUM(IF(OR($R453="Dark",$R453="Dragon",$R453="Fighting"),0-1,IF(OR($R453="Steel",$R453="Poison",$R453="Fire"),1,0)),IF(OR($S453="Dark",$S453="Dragon",$S453="Fighting"),0-1,IF(OR($S453="Steel",$S453="Poison",$S453="Fire"),1,0)))</f>
        <v>0</v>
      </c>
      <c r="AH453" s="507" t="n">
        <f aca="false">IF(OR($R453="Ghost",$S453="Ghost"),4,SUM(IF(OR($R453="Dark",$R453="Ice",$R453="Normal",$R453="Rock",$R453="Steel"),0-1,IF(OR($R453="Bug",$R453="Fairy",$R453="Flying",$R453="Poison",$R453="Psychic"),1,0)),IF(OR($S453="Dark",$S453="Ice",$S453="Normal",$S453="Rock",$S453="Steel"),0-1,IF(OR($S453="Bug",$S453="Fairy",$S453="Flying",$S453="Poison",$S453="Psychic"),1,0))))</f>
        <v>0</v>
      </c>
      <c r="AI453" s="507" t="n">
        <f aca="false">SUM(IF(OR($R453="Bug",$R453="Grass",$R453="Ice",$R453="Steel"),0-1,IF(OR($R453="Dragon",$R453="Fire",$R453="Rock",$R453="Water"),1,0)),IF(OR($S453="Bug",$S453="Grass",$S453="Ice",$S453="Steel"),0-1,IF(OR($S453="Dragon",$S453="Fire",$S453="Rock",$S453="Water"),1,0)))</f>
        <v>1</v>
      </c>
      <c r="AJ453" s="507" t="n">
        <f aca="false">SUM(IF(OR($R453="Bug",$R453="Grass",$R453="Fighting"),0-1,IF(OR($R453="Electric",$R453="Rock",$R453="Steel"),1,0)),IF(OR($S453="Bug",$S453="Grass",$S453="Fighting"),0-1,IF(OR($S453="Electric",$S453="Rock",$S453="Steel"),1,0)))</f>
        <v>0</v>
      </c>
      <c r="AK453" s="507" t="n">
        <f aca="false">IF(OR($R453="Normal",$S453="Normal"),4,SUM(IF(OR($R453="Ghost",$R453="Psychic"),0-1,IF($R453="Dark",1,0)),IF(OR($S453="Ghost",$S453="Psychic"),0-1,IF($S453="Dark",1,0))))</f>
        <v>0</v>
      </c>
      <c r="AL453" s="507" t="n">
        <f aca="false">SUM(IF(OR($R453="Ground",$R453="Rock",$R453="Water"),0-1,IF(OR($R453="Bug",$R453="Flying",$R453="Fire",$R453="Dragon",$R453="Poison",$R453="Steel",$R453="Grass"),1,0)),IF(OR($S453="Ground",$S453="Rock",$S453="Water"),0-1,IF(OR($S453="Bug",$S453="Flying",$S453="Fire",$S453="Dragon",$S453="Poison",$S453="Steel",$S453="Grass"),1,0)))</f>
        <v>-2</v>
      </c>
      <c r="AM453" s="507" t="n">
        <f aca="false">IF(OR($R453="Flying",$S453="Flying"),4,SUM(IF(OR($R453="Electric",$R453="Fire",$R453="Rock",$R453="Steel",$R453="Poison"),0-1,IF(OR($R453="Bug",$R453="Grass"),1,0)),IF(OR($S453="Electric",$S453="Fire",$S453="Rock",$S453="Steel",$S453="Poison"),0-1,IF(OR($S453="Bug",$S453="Grass"),1,0))))</f>
        <v>0</v>
      </c>
      <c r="AN453" s="507" t="n">
        <f aca="false">SUM(IF(OR($R453="Flying",$R453="Dragon",$R453="Grass",$R453="Ground"),0-1,IF(OR($R453="Steel",$R453="Ice",$R453="Fire",$R453="Water"),1,0)),IF(OR($S453="Flying",$S453="Dragon",$S453="Grass",$S453="Ground"),0-1,IF(OR($S453="Steel",$S453="Ice",$S453="Fire",$S453="Water"),1,0)))</f>
        <v>0</v>
      </c>
      <c r="AO453" s="507" t="n">
        <f aca="false">IF(OR($R453="Ghost",$S453="Ghost"),4,SUM(IF(OR($R453="Steel",$R453="Rock"),1,0),IF(OR($S453="Steel",$S453="Rock"),1,0)))</f>
        <v>0</v>
      </c>
      <c r="AP453" s="507" t="n">
        <f aca="false">IF(OR($R453="Steel",$S453="Steel"),4,SUM(IF(OR($R453="Fairy",$R453="Grass"),0-1,IF(OR($R453="Ghost",$R453="Rock",$R453="Ground",$R453="Poison"),1,0)),IF(OR($S453="Fairy",$S453="Grass"),0-1,IF(OR($S453="Ghost",$S453="Rock",$S453="Ground",$S453="Poison"),1,0))))</f>
        <v>1</v>
      </c>
      <c r="AQ453" s="507" t="n">
        <f aca="false">IF(OR($R453="Dark",$S453="Dark"),4,SUM(IF(OR($R453="Fighting",$R453="Poison"),0-1,IF(OR($R453="Psychic",$R453="Steel"),1,0)),IF(OR($S453="Fighting",$S453="Poison"),0-1,IF(OR($S453="Psychic",$S453="Steel"),1,0))))</f>
        <v>0</v>
      </c>
      <c r="AR453" s="507" t="n">
        <f aca="false">SUM(IF(OR($R453="Bug",$R453="Fire",$R453="Flying",$R453="Ice"),0-1,IF(OR($R453="Steel",$R453="Fighting",$R453="Ground"),1,0)),IF(OR($S453="Bug",$S453="Fire",$S453="Flying",$S453="Ice"),0-1,IF(OR($S453="Steel",$S453="Fighting",$S453="Ground"),1,0)))</f>
        <v>1</v>
      </c>
      <c r="AS453" s="507" t="n">
        <f aca="false">SUM(IF(OR($R453="Fairy",$R453="Ice",$R453="Rock"),0-1,IF(OR($R453="Steel",$R453="Electric",$R453="Fire",$R453="Water"),1,0)),IF(OR($S453="Fairy",$S453="Ice",$S453="Rock"),0-1,IF(OR($S453="Steel",$S453="Electric",$S453="Fire",$S453="Water"),1,0)))</f>
        <v>1</v>
      </c>
      <c r="AT453" s="508" t="n">
        <f aca="false">SUM(IF(OR($R453="Fire",$R453="Ground",$R453="Rock"),0-1,IF(OR($R453="Dragon",$R453="Grass",$R453="Water"),1,0)),IF(OR($S453="Fire",$S453="Ground",$S453="Rock"),0-1,IF(OR($S453="Dragon",$S453="Grass",$S453="Water"),1,0)))</f>
        <v>0</v>
      </c>
      <c r="AU453" s="518"/>
    </row>
    <row r="454" customFormat="false" ht="15.75" hidden="false" customHeight="false" outlineLevel="0" collapsed="false">
      <c r="A454" s="510" t="str">
        <f aca="false" t="array" ref="A454:A454">IF(ISNA(INDEX(Source!$U$7:$U$95,MATCH(B454,Source!$V$7:$V$95,0))),"FREE",INDEX(Source!$U$7:$U$95,MATCH(B454,Source!$V$7:$V$95,0)))</f>
        <v>FREE</v>
      </c>
      <c r="B454" s="511" t="s">
        <v>625</v>
      </c>
      <c r="C454" s="511"/>
      <c r="D454" s="511"/>
      <c r="E454" s="499" t="str">
        <f aca="false">IF(SUM($W454:$X454)&gt;0,SUM($W454:$X454),IF($H454&gt;0,0,IF($H454&gt;0,0,"-")))</f>
        <v>-</v>
      </c>
      <c r="F454" s="499" t="str">
        <f aca="false">IF(SUM($Y454:$Z454)&gt;0,SUM($Y454:$Z454),IF($H454&gt;0,0,"-"))</f>
        <v>-</v>
      </c>
      <c r="G454" s="499" t="str">
        <f aca="false">IF($H454&gt;0,minus(E454,F454),"-")</f>
        <v>-</v>
      </c>
      <c r="H454" s="500" t="n">
        <f aca="false">SUM(COUNTIF(MatchSource!$A:$A,$B454),COUNTIF(MatchSource!$H:$H,$B454))</f>
        <v>0</v>
      </c>
      <c r="I454" s="501" t="n">
        <f aca="false">SUM($AA454:$AB454)</f>
        <v>0</v>
      </c>
      <c r="J454" s="501" t="s">
        <v>702</v>
      </c>
      <c r="K454" s="512" t="str">
        <f aca="false" t="array" ref="K454:K454">IF(ISNA(INDEX(DraftRosters!$AA$3:$AA$199,MATCH($B454,DraftRosters!$AB$3:$AB$199,0))),"FA",IF(INDEX(DraftRosters!$AA$3:$AA$199,MATCH($B454,DraftRosters!$AB$3:$AB$199,0))="Franchise","Franch",INDEX(DraftRosters!$AA$3:$AA$199,MATCH($B454,DraftRosters!$AB$3:$AB$199,0))))</f>
        <v>FA</v>
      </c>
      <c r="L454" s="499" t="n">
        <v>75</v>
      </c>
      <c r="M454" s="499" t="n">
        <v>87</v>
      </c>
      <c r="N454" s="499" t="n">
        <v>63</v>
      </c>
      <c r="O454" s="499" t="n">
        <v>87</v>
      </c>
      <c r="P454" s="499" t="n">
        <v>63</v>
      </c>
      <c r="Q454" s="501" t="n">
        <v>98</v>
      </c>
      <c r="R454" s="499" t="s">
        <v>801</v>
      </c>
      <c r="S454" s="501" t="s">
        <v>811</v>
      </c>
      <c r="T454" s="505" t="s">
        <v>917</v>
      </c>
      <c r="U454" s="505" t="s">
        <v>897</v>
      </c>
      <c r="V454" s="506" t="s">
        <v>819</v>
      </c>
      <c r="W454" s="500" t="str">
        <f aca="false">IFERROR(__xludf.dummyfunction("if(isna(SUM(FILTER(MatchSource!$A:$D,MatchSource!$A:$A=$B454))),0,SUM(FILTER(MatchSource!$A:$D,MatchSource!$A:$A=$B454)))"),"0")</f>
        <v>0</v>
      </c>
      <c r="X454" s="499" t="str">
        <f aca="false">IFERROR(__xludf.dummyfunction("if(isna(SUM(FILTER(MatchSource!$H:$K,MatchSource!$H:$H=$B454))),0,SUM(FILTER(MatchSource!$H:$K,MatchSource!$H:$H=$B454)))"),"0")</f>
        <v>0</v>
      </c>
      <c r="Y454" s="499" t="str">
        <f aca="false">IFERROR(__xludf.dummyfunction("if(isna(ABS(MINUS(SUM(FILTER(MatchSource!$A:$E,MatchSource!$A:$A=$B454)),SUM($W454)))),0,ABS(MINUS(SUM(FILTER(MatchSource!$A:$E,MatchSource!$A:$A=$B454)),SUM($W454))))"),"0")</f>
        <v>0</v>
      </c>
      <c r="Z454" s="499" t="str">
        <f aca="false">IFERROR(__xludf.dummyfunction("if(isna(ABS(MINUS(SUM(FILTER(MatchSource!$H:$L,MatchSource!$H:$H=$B454)),SUM($X454)))),0,ABS(MINUS(SUM(FILTER(MatchSource!$H:$L,MatchSource!$H:$H=$B454)),SUM($X454))))"),"0")</f>
        <v>0</v>
      </c>
      <c r="AA454" s="499" t="str">
        <f aca="false">IFERROR(__xludf.dummyfunction("if(isna(ABS(MINUS(SUM(FILTER(MatchSource!$A:$F,MatchSource!$A:$A=$B454)),SUM($W454,$Y454)))),0,ABS(MINUS(SUM(FILTER(MatchSource!$A:$F,MatchSource!$A:$A=$B454)),SUM($W454, $Y454,))))"),"0")</f>
        <v>0</v>
      </c>
      <c r="AB454" s="501" t="str">
        <f aca="false">IFERROR(__xludf.dummyfunction("if(isna(ABS(MINUS(SUM(FILTER(MatchSource!$H:$M,MatchSource!$H:$H=$B454)),SUM($X454,$Z454)))),0,ABS(MINUS(SUM(FILTER(MatchSource!$H:$M,MatchSource!$H:$H=$B454)),SUM($X454,$Z454))))"),"0")</f>
        <v>0</v>
      </c>
      <c r="AC454" s="507" t="n">
        <f aca="false">SUM(IF(OR($R454="Grass",$R454="Psychic",$R454="Dark"),0-1,IF(OR($R454="Fighting",$R454="Flying",$R454="Fire",$R454="Ghost",$R454="Poison",$R454="Steel",$R454="Fairy"),1,0)),IF(OR($S454="Grass",$S454="Psychic",$S454="Dark"),0-1,IF(OR($S454="Fighting",$S454="Flying",$S454="Fire",$S454="Ghost",$S454="Poison",$S454="Steel",$S454="Fairy"),1,0)))</f>
        <v>1</v>
      </c>
      <c r="AD454" s="507" t="n">
        <f aca="false">SUM(IF(OR($R454="Ghost",$R454="Psychic"),0-1,IF(OR($R454="Fighting",$R454="Dark",$R454="Fairy"),1,0)),IF(OR($S454="Ghost",$S454="Psychic"),0-1,IF(OR($S454="Fighting",$S454="Dark",$S454="Fairy"),1,0)))</f>
        <v>0</v>
      </c>
      <c r="AE454" s="507" t="n">
        <f aca="false">IF(OR($R454="Fairy",$S454="Fairy"),4,SUM(IF($R454="Dragon",0-1,IF($R454="Steel",1,0)),IF($S454="Dragon",0-1,IF($S454="Steel",1,0))))</f>
        <v>0</v>
      </c>
      <c r="AF454" s="507" t="n">
        <f aca="false">IF(OR($R454="Ground",$S454="Ground"),4,SUM(IF(OR($R454="Flying",$R454="Water"),0-1,IF(OR($R454="Dragon",$R454="Electric",$R454="Grass"),1,0)),IF(OR($S454="Flying",$S454="Water"),0-1,IF(OR($S454="Dragon",$S454="Electric",$S454="Grass"),1,0))))</f>
        <v>-2</v>
      </c>
      <c r="AG454" s="507" t="n">
        <f aca="false">SUM(IF(OR($R454="Dark",$R454="Dragon",$R454="Fighting"),0-1,IF(OR($R454="Steel",$R454="Poison",$R454="Fire"),1,0)),IF(OR($S454="Dark",$S454="Dragon",$S454="Fighting"),0-1,IF(OR($S454="Steel",$S454="Poison",$S454="Fire"),1,0)))</f>
        <v>0</v>
      </c>
      <c r="AH454" s="507" t="n">
        <f aca="false">IF(OR($R454="Ghost",$S454="Ghost"),4,SUM(IF(OR($R454="Dark",$R454="Ice",$R454="Normal",$R454="Rock",$R454="Steel"),0-1,IF(OR($R454="Bug",$R454="Fairy",$R454="Flying",$R454="Poison",$R454="Psychic"),1,0)),IF(OR($S454="Dark",$S454="Ice",$S454="Normal",$S454="Rock",$S454="Steel"),0-1,IF(OR($S454="Bug",$S454="Fairy",$S454="Flying",$S454="Poison",$S454="Psychic"),1,0))))</f>
        <v>1</v>
      </c>
      <c r="AI454" s="507" t="n">
        <f aca="false">SUM(IF(OR($R454="Bug",$R454="Grass",$R454="Ice",$R454="Steel"),0-1,IF(OR($R454="Dragon",$R454="Fire",$R454="Rock",$R454="Water"),1,0)),IF(OR($S454="Bug",$S454="Grass",$S454="Ice",$S454="Steel"),0-1,IF(OR($S454="Dragon",$S454="Fire",$S454="Rock",$S454="Water"),1,0)))</f>
        <v>1</v>
      </c>
      <c r="AJ454" s="507" t="n">
        <f aca="false">SUM(IF(OR($R454="Bug",$R454="Grass",$R454="Fighting"),0-1,IF(OR($R454="Electric",$R454="Rock",$R454="Steel"),1,0)),IF(OR($S454="Bug",$S454="Grass",$S454="Fighting"),0-1,IF(OR($S454="Electric",$S454="Rock",$S454="Steel"),1,0)))</f>
        <v>0</v>
      </c>
      <c r="AK454" s="507" t="n">
        <f aca="false">IF(OR($R454="Normal",$S454="Normal"),4,SUM(IF(OR($R454="Ghost",$R454="Psychic"),0-1,IF($R454="Dark",1,0)),IF(OR($S454="Ghost",$S454="Psychic"),0-1,IF($S454="Dark",1,0))))</f>
        <v>0</v>
      </c>
      <c r="AL454" s="507" t="n">
        <f aca="false">SUM(IF(OR($R454="Ground",$R454="Rock",$R454="Water"),0-1,IF(OR($R454="Bug",$R454="Flying",$R454="Fire",$R454="Dragon",$R454="Poison",$R454="Steel",$R454="Grass"),1,0)),IF(OR($S454="Ground",$S454="Rock",$S454="Water"),0-1,IF(OR($S454="Bug",$S454="Flying",$S454="Fire",$S454="Dragon",$S454="Poison",$S454="Steel",$S454="Grass"),1,0)))</f>
        <v>0</v>
      </c>
      <c r="AM454" s="507" t="n">
        <f aca="false">IF(OR($R454="Flying",$S454="Flying"),4,SUM(IF(OR($R454="Electric",$R454="Fire",$R454="Rock",$R454="Steel",$R454="Poison"),0-1,IF(OR($R454="Bug",$R454="Grass"),1,0)),IF(OR($S454="Electric",$S454="Fire",$S454="Rock",$S454="Steel",$S454="Poison"),0-1,IF(OR($S454="Bug",$S454="Grass"),1,0))))</f>
        <v>4</v>
      </c>
      <c r="AN454" s="507" t="n">
        <f aca="false">SUM(IF(OR($R454="Flying",$R454="Dragon",$R454="Grass",$R454="Ground"),0-1,IF(OR($R454="Steel",$R454="Ice",$R454="Fire",$R454="Water"),1,0)),IF(OR($S454="Flying",$S454="Dragon",$S454="Grass",$S454="Ground"),0-1,IF(OR($S454="Steel",$S454="Ice",$S454="Fire",$S454="Water"),1,0)))</f>
        <v>0</v>
      </c>
      <c r="AO454" s="507" t="n">
        <f aca="false">IF(OR($R454="Ghost",$S454="Ghost"),4,SUM(IF(OR($R454="Steel",$R454="Rock"),1,0),IF(OR($S454="Steel",$S454="Rock"),1,0)))</f>
        <v>0</v>
      </c>
      <c r="AP454" s="507" t="n">
        <f aca="false">IF(OR($R454="Steel",$S454="Steel"),4,SUM(IF(OR($R454="Fairy",$R454="Grass"),0-1,IF(OR($R454="Ghost",$R454="Rock",$R454="Ground",$R454="Poison"),1,0)),IF(OR($S454="Fairy",$S454="Grass"),0-1,IF(OR($S454="Ghost",$S454="Rock",$S454="Ground",$S454="Poison"),1,0))))</f>
        <v>0</v>
      </c>
      <c r="AQ454" s="507" t="n">
        <f aca="false">IF(OR($R454="Dark",$S454="Dark"),4,SUM(IF(OR($R454="Fighting",$R454="Poison"),0-1,IF(OR($R454="Psychic",$R454="Steel"),1,0)),IF(OR($S454="Fighting",$S454="Poison"),0-1,IF(OR($S454="Psychic",$S454="Steel"),1,0))))</f>
        <v>0</v>
      </c>
      <c r="AR454" s="507" t="n">
        <f aca="false">SUM(IF(OR($R454="Bug",$R454="Fire",$R454="Flying",$R454="Ice"),0-1,IF(OR($R454="Steel",$R454="Fighting",$R454="Ground"),1,0)),IF(OR($S454="Bug",$S454="Fire",$S454="Flying",$S454="Ice"),0-1,IF(OR($S454="Steel",$S454="Fighting",$S454="Ground"),1,0)))</f>
        <v>-1</v>
      </c>
      <c r="AS454" s="507" t="n">
        <f aca="false">SUM(IF(OR($R454="Fairy",$R454="Ice",$R454="Rock"),0-1,IF(OR($R454="Steel",$R454="Electric",$R454="Fire",$R454="Water"),1,0)),IF(OR($S454="Fairy",$S454="Ice",$S454="Rock"),0-1,IF(OR($S454="Steel",$S454="Electric",$S454="Fire",$S454="Water"),1,0)))</f>
        <v>1</v>
      </c>
      <c r="AT454" s="508" t="n">
        <f aca="false">SUM(IF(OR($R454="Fire",$R454="Ground",$R454="Rock"),0-1,IF(OR($R454="Dragon",$R454="Grass",$R454="Water"),1,0)),IF(OR($S454="Fire",$S454="Ground",$S454="Rock"),0-1,IF(OR($S454="Dragon",$S454="Grass",$S454="Water"),1,0)))</f>
        <v>1</v>
      </c>
      <c r="AU454" s="518"/>
    </row>
    <row r="455" customFormat="false" ht="15.75" hidden="false" customHeight="false" outlineLevel="0" collapsed="false">
      <c r="A455" s="510" t="str">
        <f aca="false" t="array" ref="A455:A455">IF(ISNA(INDEX(Source!$U$7:$U$95,MATCH(B455,Source!$V$7:$V$95,0))),"FREE",INDEX(Source!$U$7:$U$95,MATCH(B455,Source!$V$7:$V$95,0)))</f>
        <v>JVJ</v>
      </c>
      <c r="B455" s="511" t="s">
        <v>258</v>
      </c>
      <c r="C455" s="511"/>
      <c r="D455" s="511"/>
      <c r="E455" s="499" t="str">
        <f aca="false">IF(SUM($W455:$X455)&gt;0,SUM($W455:$X455),IF($H455&gt;0,0,IF($H455&gt;0,0,"-")))</f>
        <v>-</v>
      </c>
      <c r="F455" s="499" t="str">
        <f aca="false">IF(SUM($Y455:$Z455)&gt;0,SUM($Y455:$Z455),IF($H455&gt;0,0,"-"))</f>
        <v>-</v>
      </c>
      <c r="G455" s="499" t="str">
        <f aca="false">IF($H455&gt;0,minus(E455,F455),"-")</f>
        <v>-</v>
      </c>
      <c r="H455" s="500" t="n">
        <f aca="false">SUM(COUNTIF(MatchSource!$A:$A,$B455),COUNTIF(MatchSource!$H:$H,$B455))</f>
        <v>0</v>
      </c>
      <c r="I455" s="501" t="n">
        <f aca="false">SUM($AA455:$AB455)</f>
        <v>0</v>
      </c>
      <c r="J455" s="501" t="s">
        <v>701</v>
      </c>
      <c r="K455" s="512" t="str">
        <f aca="false" t="array" ref="K455:K455">IF(ISNA(INDEX(DraftRosters!$AA$3:$AA$199,MATCH($B455,DraftRosters!$AB$3:$AB$199,0))),"FA",IF(INDEX(DraftRosters!$AA$3:$AA$199,MATCH($B455,DraftRosters!$AB$3:$AB$199,0))="Franchise","Franch",INDEX(DraftRosters!$AA$3:$AA$199,MATCH($B455,DraftRosters!$AB$3:$AB$199,0))))</f>
        <v>FA</v>
      </c>
      <c r="L455" s="499" t="n">
        <v>60</v>
      </c>
      <c r="M455" s="499" t="n">
        <v>85</v>
      </c>
      <c r="N455" s="499" t="n">
        <v>60</v>
      </c>
      <c r="O455" s="499" t="n">
        <v>75</v>
      </c>
      <c r="P455" s="499" t="n">
        <v>50</v>
      </c>
      <c r="Q455" s="501" t="n">
        <v>125</v>
      </c>
      <c r="R455" s="499" t="s">
        <v>801</v>
      </c>
      <c r="S455" s="501" t="s">
        <v>839</v>
      </c>
      <c r="T455" s="505" t="s">
        <v>930</v>
      </c>
      <c r="U455" s="505" t="s">
        <v>969</v>
      </c>
      <c r="V455" s="506"/>
      <c r="W455" s="500" t="str">
        <f aca="false">IFERROR(__xludf.dummyfunction("if(isna(SUM(FILTER(MatchSource!$A:$D,MatchSource!$A:$A=$B455))),0,SUM(FILTER(MatchSource!$A:$D,MatchSource!$A:$A=$B455)))"),"0")</f>
        <v>0</v>
      </c>
      <c r="X455" s="499" t="str">
        <f aca="false">IFERROR(__xludf.dummyfunction("if(isna(SUM(FILTER(MatchSource!$H:$K,MatchSource!$H:$H=$B455))),0,SUM(FILTER(MatchSource!$H:$K,MatchSource!$H:$H=$B455)))"),"0")</f>
        <v>0</v>
      </c>
      <c r="Y455" s="499" t="str">
        <f aca="false">IFERROR(__xludf.dummyfunction("if(isna(ABS(MINUS(SUM(FILTER(MatchSource!$A:$E,MatchSource!$A:$A=$B455)),SUM($W455)))),0,ABS(MINUS(SUM(FILTER(MatchSource!$A:$E,MatchSource!$A:$A=$B455)),SUM($W455))))"),"0")</f>
        <v>0</v>
      </c>
      <c r="Z455" s="499" t="str">
        <f aca="false">IFERROR(__xludf.dummyfunction("if(isna(ABS(MINUS(SUM(FILTER(MatchSource!$H:$L,MatchSource!$H:$H=$B455)),SUM($X455)))),0,ABS(MINUS(SUM(FILTER(MatchSource!$H:$L,MatchSource!$H:$H=$B455)),SUM($X455))))"),"0")</f>
        <v>0</v>
      </c>
      <c r="AA455" s="499" t="str">
        <f aca="false">IFERROR(__xludf.dummyfunction("if(isna(ABS(MINUS(SUM(FILTER(MatchSource!$A:$F,MatchSource!$A:$A=$B455)),SUM($W455,$Y455)))),0,ABS(MINUS(SUM(FILTER(MatchSource!$A:$F,MatchSource!$A:$A=$B455)),SUM($W455, $Y455,))))"),"0")</f>
        <v>0</v>
      </c>
      <c r="AB455" s="501" t="str">
        <f aca="false">IFERROR(__xludf.dummyfunction("if(isna(ABS(MINUS(SUM(FILTER(MatchSource!$H:$M,MatchSource!$H:$H=$B455)),SUM($X455,$Z455)))),0,ABS(MINUS(SUM(FILTER(MatchSource!$H:$M,MatchSource!$H:$H=$B455)),SUM($X455,$Z455))))"),"0")</f>
        <v>0</v>
      </c>
      <c r="AC455" s="507" t="n">
        <f aca="false">SUM(IF(OR($R455="Grass",$R455="Psychic",$R455="Dark"),0-1,IF(OR($R455="Fighting",$R455="Flying",$R455="Fire",$R455="Ghost",$R455="Poison",$R455="Steel",$R455="Fairy"),1,0)),IF(OR($S455="Grass",$S455="Psychic",$S455="Dark"),0-1,IF(OR($S455="Fighting",$S455="Flying",$S455="Fire",$S455="Ghost",$S455="Poison",$S455="Steel",$S455="Fairy"),1,0)))</f>
        <v>1</v>
      </c>
      <c r="AD455" s="507" t="n">
        <f aca="false">SUM(IF(OR($R455="Ghost",$R455="Psychic"),0-1,IF(OR($R455="Fighting",$R455="Dark",$R455="Fairy"),1,0)),IF(OR($S455="Ghost",$S455="Psychic"),0-1,IF(OR($S455="Fighting",$S455="Dark",$S455="Fairy"),1,0)))</f>
        <v>0</v>
      </c>
      <c r="AE455" s="507" t="n">
        <f aca="false">IF(OR($R455="Fairy",$S455="Fairy"),4,SUM(IF($R455="Dragon",0-1,IF($R455="Steel",1,0)),IF($S455="Dragon",0-1,IF($S455="Steel",1,0))))</f>
        <v>0</v>
      </c>
      <c r="AF455" s="507" t="n">
        <f aca="false">IF(OR($R455="Ground",$S455="Ground"),4,SUM(IF(OR($R455="Flying",$R455="Water"),0-1,IF(OR($R455="Dragon",$R455="Electric",$R455="Grass"),1,0)),IF(OR($S455="Flying",$S455="Water"),0-1,IF(OR($S455="Dragon",$S455="Electric",$S455="Grass"),1,0))))</f>
        <v>-1</v>
      </c>
      <c r="AG455" s="507" t="n">
        <f aca="false">SUM(IF(OR($R455="Dark",$R455="Dragon",$R455="Fighting"),0-1,IF(OR($R455="Steel",$R455="Poison",$R455="Fire"),1,0)),IF(OR($S455="Dark",$S455="Dragon",$S455="Fighting"),0-1,IF(OR($S455="Steel",$S455="Poison",$S455="Fire"),1,0)))</f>
        <v>0</v>
      </c>
      <c r="AH455" s="507" t="n">
        <f aca="false">IF(OR($R455="Ghost",$S455="Ghost"),4,SUM(IF(OR($R455="Dark",$R455="Ice",$R455="Normal",$R455="Rock",$R455="Steel"),0-1,IF(OR($R455="Bug",$R455="Fairy",$R455="Flying",$R455="Poison",$R455="Psychic"),1,0)),IF(OR($S455="Dark",$S455="Ice",$S455="Normal",$S455="Rock",$S455="Steel"),0-1,IF(OR($S455="Bug",$S455="Fairy",$S455="Flying",$S455="Poison",$S455="Psychic"),1,0))))</f>
        <v>0</v>
      </c>
      <c r="AI455" s="507" t="n">
        <f aca="false">SUM(IF(OR($R455="Bug",$R455="Grass",$R455="Ice",$R455="Steel"),0-1,IF(OR($R455="Dragon",$R455="Fire",$R455="Rock",$R455="Water"),1,0)),IF(OR($S455="Bug",$S455="Grass",$S455="Ice",$S455="Steel"),0-1,IF(OR($S455="Dragon",$S455="Fire",$S455="Rock",$S455="Water"),1,0)))</f>
        <v>0</v>
      </c>
      <c r="AJ455" s="507" t="n">
        <f aca="false">SUM(IF(OR($R455="Bug",$R455="Grass",$R455="Fighting"),0-1,IF(OR($R455="Electric",$R455="Rock",$R455="Steel"),1,0)),IF(OR($S455="Bug",$S455="Grass",$S455="Fighting"),0-1,IF(OR($S455="Electric",$S455="Rock",$S455="Steel"),1,0)))</f>
        <v>0</v>
      </c>
      <c r="AK455" s="507" t="n">
        <f aca="false">IF(OR($R455="Normal",$S455="Normal"),4,SUM(IF(OR($R455="Ghost",$R455="Psychic"),0-1,IF($R455="Dark",1,0)),IF(OR($S455="Ghost",$S455="Psychic"),0-1,IF($S455="Dark",1,0))))</f>
        <v>4</v>
      </c>
      <c r="AL455" s="507" t="n">
        <f aca="false">SUM(IF(OR($R455="Ground",$R455="Rock",$R455="Water"),0-1,IF(OR($R455="Bug",$R455="Flying",$R455="Fire",$R455="Dragon",$R455="Poison",$R455="Steel",$R455="Grass"),1,0)),IF(OR($S455="Ground",$S455="Rock",$S455="Water"),0-1,IF(OR($S455="Bug",$S455="Flying",$S455="Fire",$S455="Dragon",$S455="Poison",$S455="Steel",$S455="Grass"),1,0)))</f>
        <v>1</v>
      </c>
      <c r="AM455" s="507" t="n">
        <f aca="false">IF(OR($R455="Flying",$S455="Flying"),4,SUM(IF(OR($R455="Electric",$R455="Fire",$R455="Rock",$R455="Steel",$R455="Poison"),0-1,IF(OR($R455="Bug",$R455="Grass"),1,0)),IF(OR($S455="Electric",$S455="Fire",$S455="Rock",$S455="Steel",$S455="Poison"),0-1,IF(OR($S455="Bug",$S455="Grass"),1,0))))</f>
        <v>4</v>
      </c>
      <c r="AN455" s="507" t="n">
        <f aca="false">SUM(IF(OR($R455="Flying",$R455="Dragon",$R455="Grass",$R455="Ground"),0-1,IF(OR($R455="Steel",$R455="Ice",$R455="Fire",$R455="Water"),1,0)),IF(OR($S455="Flying",$S455="Dragon",$S455="Grass",$S455="Ground"),0-1,IF(OR($S455="Steel",$S455="Ice",$S455="Fire",$S455="Water"),1,0)))</f>
        <v>-1</v>
      </c>
      <c r="AO455" s="507" t="n">
        <f aca="false">IF(OR($R455="Ghost",$S455="Ghost"),4,SUM(IF(OR($R455="Steel",$R455="Rock"),1,0),IF(OR($S455="Steel",$S455="Rock"),1,0)))</f>
        <v>0</v>
      </c>
      <c r="AP455" s="507" t="n">
        <f aca="false">IF(OR($R455="Steel",$S455="Steel"),4,SUM(IF(OR($R455="Fairy",$R455="Grass"),0-1,IF(OR($R455="Ghost",$R455="Rock",$R455="Ground",$R455="Poison"),1,0)),IF(OR($S455="Fairy",$S455="Grass"),0-1,IF(OR($S455="Ghost",$S455="Rock",$S455="Ground",$S455="Poison"),1,0))))</f>
        <v>0</v>
      </c>
      <c r="AQ455" s="507" t="n">
        <f aca="false">IF(OR($R455="Dark",$S455="Dark"),4,SUM(IF(OR($R455="Fighting",$R455="Poison"),0-1,IF(OR($R455="Psychic",$R455="Steel"),1,0)),IF(OR($S455="Fighting",$S455="Poison"),0-1,IF(OR($S455="Psychic",$S455="Steel"),1,0))))</f>
        <v>0</v>
      </c>
      <c r="AR455" s="507" t="n">
        <f aca="false">SUM(IF(OR($R455="Bug",$R455="Fire",$R455="Flying",$R455="Ice"),0-1,IF(OR($R455="Steel",$R455="Fighting",$R455="Ground"),1,0)),IF(OR($S455="Bug",$S455="Fire",$S455="Flying",$S455="Ice"),0-1,IF(OR($S455="Steel",$S455="Fighting",$S455="Ground"),1,0)))</f>
        <v>-1</v>
      </c>
      <c r="AS455" s="507" t="n">
        <f aca="false">SUM(IF(OR($R455="Fairy",$R455="Ice",$R455="Rock"),0-1,IF(OR($R455="Steel",$R455="Electric",$R455="Fire",$R455="Water"),1,0)),IF(OR($S455="Fairy",$S455="Ice",$S455="Rock"),0-1,IF(OR($S455="Steel",$S455="Electric",$S455="Fire",$S455="Water"),1,0)))</f>
        <v>0</v>
      </c>
      <c r="AT455" s="508" t="n">
        <f aca="false">SUM(IF(OR($R455="Fire",$R455="Ground",$R455="Rock"),0-1,IF(OR($R455="Dragon",$R455="Grass",$R455="Water"),1,0)),IF(OR($S455="Fire",$S455="Ground",$S455="Rock"),0-1,IF(OR($S455="Dragon",$S455="Grass",$S455="Water"),1,0)))</f>
        <v>0</v>
      </c>
      <c r="AU455" s="518"/>
    </row>
    <row r="456" customFormat="false" ht="15.75" hidden="false" customHeight="false" outlineLevel="0" collapsed="false">
      <c r="A456" s="510" t="str">
        <f aca="false" t="array" ref="A456:A456">IF(ISNA(INDEX(Source!$U$7:$U$95,MATCH(B456,Source!$V$7:$V$95,0))),"FREE",INDEX(Source!$U$7:$U$95,MATCH(B456,Source!$V$7:$V$95,0)))</f>
        <v>FREE</v>
      </c>
      <c r="B456" s="511" t="s">
        <v>628</v>
      </c>
      <c r="C456" s="511"/>
      <c r="D456" s="511"/>
      <c r="E456" s="499" t="str">
        <f aca="false">IF(SUM($W456:$X456)&gt;0,SUM($W456:$X456),IF($H456&gt;0,0,IF($H456&gt;0,0,"-")))</f>
        <v>-</v>
      </c>
      <c r="F456" s="499" t="str">
        <f aca="false">IF(SUM($Y456:$Z456)&gt;0,SUM($Y456:$Z456),IF($H456&gt;0,0,"-"))</f>
        <v>-</v>
      </c>
      <c r="G456" s="499" t="str">
        <f aca="false">IF($H456&gt;0,minus(E456,F456),"-")</f>
        <v>-</v>
      </c>
      <c r="H456" s="500" t="n">
        <f aca="false">SUM(COUNTIF(MatchSource!$A:$A,$B456),COUNTIF(MatchSource!$H:$H,$B456))</f>
        <v>0</v>
      </c>
      <c r="I456" s="501" t="n">
        <f aca="false">SUM($AA456:$AB456)</f>
        <v>0</v>
      </c>
      <c r="J456" s="501" t="s">
        <v>702</v>
      </c>
      <c r="K456" s="512" t="str">
        <f aca="false" t="array" ref="K456:K456">IF(ISNA(INDEX(DraftRosters!$AA$3:$AA$199,MATCH($B456,DraftRosters!$AB$3:$AB$199,0))),"FA",IF(INDEX(DraftRosters!$AA$3:$AA$199,MATCH($B456,DraftRosters!$AB$3:$AB$199,0))="Franchise","Franch",INDEX(DraftRosters!$AA$3:$AA$199,MATCH($B456,DraftRosters!$AB$3:$AB$199,0))))</f>
        <v>FA</v>
      </c>
      <c r="L456" s="499" t="n">
        <v>67</v>
      </c>
      <c r="M456" s="499" t="n">
        <v>57</v>
      </c>
      <c r="N456" s="499" t="n">
        <v>55</v>
      </c>
      <c r="O456" s="499" t="n">
        <v>77</v>
      </c>
      <c r="P456" s="499" t="n">
        <v>55</v>
      </c>
      <c r="Q456" s="501" t="n">
        <v>114</v>
      </c>
      <c r="R456" s="499" t="s">
        <v>801</v>
      </c>
      <c r="S456" s="501" t="s">
        <v>828</v>
      </c>
      <c r="T456" s="505" t="s">
        <v>862</v>
      </c>
      <c r="U456" s="505" t="s">
        <v>884</v>
      </c>
      <c r="V456" s="506" t="s">
        <v>883</v>
      </c>
      <c r="W456" s="500" t="str">
        <f aca="false">IFERROR(__xludf.dummyfunction("if(isna(SUM(FILTER(MatchSource!$A:$D,MatchSource!$A:$A=$B456))),0,SUM(FILTER(MatchSource!$A:$D,MatchSource!$A:$A=$B456)))"),"0")</f>
        <v>0</v>
      </c>
      <c r="X456" s="499" t="str">
        <f aca="false">IFERROR(__xludf.dummyfunction("if(isna(SUM(FILTER(MatchSource!$H:$K,MatchSource!$H:$H=$B456))),0,SUM(FILTER(MatchSource!$H:$K,MatchSource!$H:$H=$B456)))"),"0")</f>
        <v>0</v>
      </c>
      <c r="Y456" s="499" t="str">
        <f aca="false">IFERROR(__xludf.dummyfunction("if(isna(ABS(MINUS(SUM(FILTER(MatchSource!$A:$E,MatchSource!$A:$A=$B456)),SUM($W456)))),0,ABS(MINUS(SUM(FILTER(MatchSource!$A:$E,MatchSource!$A:$A=$B456)),SUM($W456))))"),"0")</f>
        <v>0</v>
      </c>
      <c r="Z456" s="499" t="str">
        <f aca="false">IFERROR(__xludf.dummyfunction("if(isna(ABS(MINUS(SUM(FILTER(MatchSource!$H:$L,MatchSource!$H:$H=$B456)),SUM($X456)))),0,ABS(MINUS(SUM(FILTER(MatchSource!$H:$L,MatchSource!$H:$H=$B456)),SUM($X456))))"),"0")</f>
        <v>0</v>
      </c>
      <c r="AA456" s="499" t="str">
        <f aca="false">IFERROR(__xludf.dummyfunction("if(isna(ABS(MINUS(SUM(FILTER(MatchSource!$A:$F,MatchSource!$A:$A=$B456)),SUM($W456,$Y456)))),0,ABS(MINUS(SUM(FILTER(MatchSource!$A:$F,MatchSource!$A:$A=$B456)),SUM($W456, $Y456,))))"),"0")</f>
        <v>0</v>
      </c>
      <c r="AB456" s="501" t="str">
        <f aca="false">IFERROR(__xludf.dummyfunction("if(isna(ABS(MINUS(SUM(FILTER(MatchSource!$H:$M,MatchSource!$H:$H=$B456)),SUM($X456,$Z456)))),0,ABS(MINUS(SUM(FILTER(MatchSource!$H:$M,MatchSource!$H:$H=$B456)),SUM($X456,$Z456))))"),"0")</f>
        <v>0</v>
      </c>
      <c r="AC456" s="507" t="n">
        <f aca="false">SUM(IF(OR($R456="Grass",$R456="Psychic",$R456="Dark"),0-1,IF(OR($R456="Fighting",$R456="Flying",$R456="Fire",$R456="Ghost",$R456="Poison",$R456="Steel",$R456="Fairy"),1,0)),IF(OR($S456="Grass",$S456="Psychic",$S456="Dark"),0-1,IF(OR($S456="Fighting",$S456="Flying",$S456="Fire",$S456="Ghost",$S456="Poison",$S456="Steel",$S456="Fairy"),1,0)))</f>
        <v>0</v>
      </c>
      <c r="AD456" s="507" t="n">
        <f aca="false">SUM(IF(OR($R456="Ghost",$R456="Psychic"),0-1,IF(OR($R456="Fighting",$R456="Dark",$R456="Fairy"),1,0)),IF(OR($S456="Ghost",$S456="Psychic"),0-1,IF(OR($S456="Fighting",$S456="Dark",$S456="Fairy"),1,0)))</f>
        <v>-1</v>
      </c>
      <c r="AE456" s="507" t="n">
        <f aca="false">IF(OR($R456="Fairy",$S456="Fairy"),4,SUM(IF($R456="Dragon",0-1,IF($R456="Steel",1,0)),IF($S456="Dragon",0-1,IF($S456="Steel",1,0))))</f>
        <v>0</v>
      </c>
      <c r="AF456" s="507" t="n">
        <f aca="false">IF(OR($R456="Ground",$S456="Ground"),4,SUM(IF(OR($R456="Flying",$R456="Water"),0-1,IF(OR($R456="Dragon",$R456="Electric",$R456="Grass"),1,0)),IF(OR($S456="Flying",$S456="Water"),0-1,IF(OR($S456="Dragon",$S456="Electric",$S456="Grass"),1,0))))</f>
        <v>-1</v>
      </c>
      <c r="AG456" s="507" t="n">
        <f aca="false">SUM(IF(OR($R456="Dark",$R456="Dragon",$R456="Fighting"),0-1,IF(OR($R456="Steel",$R456="Poison",$R456="Fire"),1,0)),IF(OR($S456="Dark",$S456="Dragon",$S456="Fighting"),0-1,IF(OR($S456="Steel",$S456="Poison",$S456="Fire"),1,0)))</f>
        <v>0</v>
      </c>
      <c r="AH456" s="507" t="n">
        <f aca="false">IF(OR($R456="Ghost",$S456="Ghost"),4,SUM(IF(OR($R456="Dark",$R456="Ice",$R456="Normal",$R456="Rock",$R456="Steel"),0-1,IF(OR($R456="Bug",$R456="Fairy",$R456="Flying",$R456="Poison",$R456="Psychic"),1,0)),IF(OR($S456="Dark",$S456="Ice",$S456="Normal",$S456="Rock",$S456="Steel"),0-1,IF(OR($S456="Bug",$S456="Fairy",$S456="Flying",$S456="Poison",$S456="Psychic"),1,0))))</f>
        <v>2</v>
      </c>
      <c r="AI456" s="507" t="n">
        <f aca="false">SUM(IF(OR($R456="Bug",$R456="Grass",$R456="Ice",$R456="Steel"),0-1,IF(OR($R456="Dragon",$R456="Fire",$R456="Rock",$R456="Water"),1,0)),IF(OR($S456="Bug",$S456="Grass",$S456="Ice",$S456="Steel"),0-1,IF(OR($S456="Dragon",$S456="Fire",$S456="Rock",$S456="Water"),1,0)))</f>
        <v>0</v>
      </c>
      <c r="AJ456" s="507" t="n">
        <f aca="false">SUM(IF(OR($R456="Bug",$R456="Grass",$R456="Fighting"),0-1,IF(OR($R456="Electric",$R456="Rock",$R456="Steel"),1,0)),IF(OR($S456="Bug",$S456="Grass",$S456="Fighting"),0-1,IF(OR($S456="Electric",$S456="Rock",$S456="Steel"),1,0)))</f>
        <v>0</v>
      </c>
      <c r="AK456" s="507" t="n">
        <f aca="false">IF(OR($R456="Normal",$S456="Normal"),4,SUM(IF(OR($R456="Ghost",$R456="Psychic"),0-1,IF($R456="Dark",1,0)),IF(OR($S456="Ghost",$S456="Psychic"),0-1,IF($S456="Dark",1,0))))</f>
        <v>-1</v>
      </c>
      <c r="AL456" s="507" t="n">
        <f aca="false">SUM(IF(OR($R456="Ground",$R456="Rock",$R456="Water"),0-1,IF(OR($R456="Bug",$R456="Flying",$R456="Fire",$R456="Dragon",$R456="Poison",$R456="Steel",$R456="Grass"),1,0)),IF(OR($S456="Ground",$S456="Rock",$S456="Water"),0-1,IF(OR($S456="Bug",$S456="Flying",$S456="Fire",$S456="Dragon",$S456="Poison",$S456="Steel",$S456="Grass"),1,0)))</f>
        <v>1</v>
      </c>
      <c r="AM456" s="507" t="n">
        <f aca="false">IF(OR($R456="Flying",$S456="Flying"),4,SUM(IF(OR($R456="Electric",$R456="Fire",$R456="Rock",$R456="Steel",$R456="Poison"),0-1,IF(OR($R456="Bug",$R456="Grass"),1,0)),IF(OR($S456="Electric",$S456="Fire",$S456="Rock",$S456="Steel",$S456="Poison"),0-1,IF(OR($S456="Bug",$S456="Grass"),1,0))))</f>
        <v>4</v>
      </c>
      <c r="AN456" s="507" t="n">
        <f aca="false">SUM(IF(OR($R456="Flying",$R456="Dragon",$R456="Grass",$R456="Ground"),0-1,IF(OR($R456="Steel",$R456="Ice",$R456="Fire",$R456="Water"),1,0)),IF(OR($S456="Flying",$S456="Dragon",$S456="Grass",$S456="Ground"),0-1,IF(OR($S456="Steel",$S456="Ice",$S456="Fire",$S456="Water"),1,0)))</f>
        <v>-1</v>
      </c>
      <c r="AO456" s="507" t="n">
        <f aca="false">IF(OR($R456="Ghost",$S456="Ghost"),4,SUM(IF(OR($R456="Steel",$R456="Rock"),1,0),IF(OR($S456="Steel",$S456="Rock"),1,0)))</f>
        <v>0</v>
      </c>
      <c r="AP456" s="507" t="n">
        <f aca="false">IF(OR($R456="Steel",$S456="Steel"),4,SUM(IF(OR($R456="Fairy",$R456="Grass"),0-1,IF(OR($R456="Ghost",$R456="Rock",$R456="Ground",$R456="Poison"),1,0)),IF(OR($S456="Fairy",$S456="Grass"),0-1,IF(OR($S456="Ghost",$S456="Rock",$S456="Ground",$S456="Poison"),1,0))))</f>
        <v>0</v>
      </c>
      <c r="AQ456" s="507" t="n">
        <f aca="false">IF(OR($R456="Dark",$S456="Dark"),4,SUM(IF(OR($R456="Fighting",$R456="Poison"),0-1,IF(OR($R456="Psychic",$R456="Steel"),1,0)),IF(OR($S456="Fighting",$S456="Poison"),0-1,IF(OR($S456="Psychic",$S456="Steel"),1,0))))</f>
        <v>1</v>
      </c>
      <c r="AR456" s="507" t="n">
        <f aca="false">SUM(IF(OR($R456="Bug",$R456="Fire",$R456="Flying",$R456="Ice"),0-1,IF(OR($R456="Steel",$R456="Fighting",$R456="Ground"),1,0)),IF(OR($S456="Bug",$S456="Fire",$S456="Flying",$S456="Ice"),0-1,IF(OR($S456="Steel",$S456="Fighting",$S456="Ground"),1,0)))</f>
        <v>-1</v>
      </c>
      <c r="AS456" s="507" t="n">
        <f aca="false">SUM(IF(OR($R456="Fairy",$R456="Ice",$R456="Rock"),0-1,IF(OR($R456="Steel",$R456="Electric",$R456="Fire",$R456="Water"),1,0)),IF(OR($S456="Fairy",$S456="Ice",$S456="Rock"),0-1,IF(OR($S456="Steel",$S456="Electric",$S456="Fire",$S456="Water"),1,0)))</f>
        <v>0</v>
      </c>
      <c r="AT456" s="508" t="n">
        <f aca="false">SUM(IF(OR($R456="Fire",$R456="Ground",$R456="Rock"),0-1,IF(OR($R456="Dragon",$R456="Grass",$R456="Water"),1,0)),IF(OR($S456="Fire",$S456="Ground",$S456="Rock"),0-1,IF(OR($S456="Dragon",$S456="Grass",$S456="Water"),1,0)))</f>
        <v>0</v>
      </c>
      <c r="AU456" s="518"/>
    </row>
    <row r="457" customFormat="false" ht="15.75" hidden="false" customHeight="false" outlineLevel="0" collapsed="false">
      <c r="A457" s="510" t="str">
        <f aca="false" t="array" ref="A457:A457">IF(ISNA(INDEX(Source!$U$7:$U$95,MATCH(B457,Source!$V$7:$V$95,0))),"FREE",INDEX(Source!$U$7:$U$95,MATCH(B457,Source!$V$7:$V$95,0)))</f>
        <v>KKS</v>
      </c>
      <c r="B457" s="511" t="s">
        <v>124</v>
      </c>
      <c r="C457" s="511"/>
      <c r="D457" s="511"/>
      <c r="E457" s="499" t="n">
        <f aca="false">IF(SUM($W457:$X457)&gt;0,SUM($W457:$X457),IF($H457&gt;0,0,IF($H457&gt;0,0,"-")))</f>
        <v>0</v>
      </c>
      <c r="F457" s="499" t="n">
        <f aca="false">IF(SUM($Y457:$Z457)&gt;0,SUM($Y457:$Z457),IF($H457&gt;0,0,"-"))</f>
        <v>0</v>
      </c>
      <c r="G457" s="499" t="e">
        <f aca="false">IF($H457&gt;0,minus(E457,F457),"-")</f>
        <v>#NAME?</v>
      </c>
      <c r="H457" s="500" t="n">
        <f aca="false">SUM(COUNTIF(MatchSource!$A:$A,$B457),COUNTIF(MatchSource!$H:$H,$B457))</f>
        <v>4</v>
      </c>
      <c r="I457" s="501" t="n">
        <f aca="false">SUM($AA457:$AB457)</f>
        <v>0</v>
      </c>
      <c r="J457" s="501" t="s">
        <v>699</v>
      </c>
      <c r="K457" s="512" t="str">
        <f aca="false" t="array" ref="K457:K457">IF(ISNA(INDEX(DraftRosters!$AA$3:$AA$199,MATCH($B457,DraftRosters!$AB$3:$AB$199,0))),"FA",IF(INDEX(DraftRosters!$AA$3:$AA$199,MATCH($B457,DraftRosters!$AB$3:$AB$199,0))="Franchise","Franch",INDEX(DraftRosters!$AA$3:$AA$199,MATCH($B457,DraftRosters!$AB$3:$AB$199,0))))</f>
        <v>FA</v>
      </c>
      <c r="L457" s="507" t="n">
        <v>95</v>
      </c>
      <c r="M457" s="507" t="n">
        <v>65</v>
      </c>
      <c r="N457" s="507" t="n">
        <v>65</v>
      </c>
      <c r="O457" s="507" t="n">
        <v>110</v>
      </c>
      <c r="P457" s="507" t="n">
        <v>130</v>
      </c>
      <c r="Q457" s="508" t="n">
        <v>60</v>
      </c>
      <c r="R457" s="499" t="s">
        <v>798</v>
      </c>
      <c r="S457" s="501"/>
      <c r="T457" s="505" t="s">
        <v>922</v>
      </c>
      <c r="U457" s="505" t="s">
        <v>838</v>
      </c>
      <c r="V457" s="506"/>
      <c r="W457" s="500" t="str">
        <f aca="false">IFERROR(__xludf.dummyfunction("if(isna(SUM(FILTER(MatchSource!$A:$D,MatchSource!$A:$A=$B457))),0,SUM(FILTER(MatchSource!$A:$D,MatchSource!$A:$A=$B457)))"),"4")</f>
        <v>4</v>
      </c>
      <c r="X457" s="499" t="str">
        <f aca="false">IFERROR(__xludf.dummyfunction("if(isna(SUM(FILTER(MatchSource!$H:$K,MatchSource!$H:$H=$B457))),0,SUM(FILTER(MatchSource!$H:$K,MatchSource!$H:$H=$B457)))"),"0")</f>
        <v>0</v>
      </c>
      <c r="Y457" s="499" t="str">
        <f aca="false">IFERROR(__xludf.dummyfunction("if(isna(ABS(MINUS(SUM(FILTER(MatchSource!$A:$E,MatchSource!$A:$A=$B457)),SUM($W457)))),0,ABS(MINUS(SUM(FILTER(MatchSource!$A:$E,MatchSource!$A:$A=$B457)),SUM($W457))))"),"2")</f>
        <v>2</v>
      </c>
      <c r="Z457" s="499" t="str">
        <f aca="false">IFERROR(__xludf.dummyfunction("if(isna(ABS(MINUS(SUM(FILTER(MatchSource!$H:$L,MatchSource!$H:$H=$B457)),SUM($X457)))),0,ABS(MINUS(SUM(FILTER(MatchSource!$H:$L,MatchSource!$H:$H=$B457)),SUM($X457))))"),"1")</f>
        <v>1</v>
      </c>
      <c r="AA457" s="499" t="str">
        <f aca="false">IFERROR(__xludf.dummyfunction("if(isna(ABS(MINUS(SUM(FILTER(MatchSource!$A:$F,MatchSource!$A:$A=$B457)),SUM($W457,$Y457)))),0,ABS(MINUS(SUM(FILTER(MatchSource!$A:$F,MatchSource!$A:$A=$B457)),SUM($W457, $Y457,))))"),"3")</f>
        <v>3</v>
      </c>
      <c r="AB457" s="501" t="str">
        <f aca="false">IFERROR(__xludf.dummyfunction("if(isna(ABS(MINUS(SUM(FILTER(MatchSource!$H:$M,MatchSource!$H:$H=$B457)),SUM($X457,$Z457)))),0,ABS(MINUS(SUM(FILTER(MatchSource!$H:$M,MatchSource!$H:$H=$B457)),SUM($X457,$Z457))))"),"0")</f>
        <v>0</v>
      </c>
      <c r="AC457" s="507" t="n">
        <f aca="false">SUM(IF(OR($R457="Grass",$R457="Psychic",$R457="Dark"),0-1,IF(OR($R457="Fighting",$R457="Flying",$R457="Fire",$R457="Ghost",$R457="Poison",$R457="Steel",$R457="Fairy"),1,0)),IF(OR($S457="Grass",$S457="Psychic",$S457="Dark"),0-1,IF(OR($S457="Fighting",$S457="Flying",$S457="Fire",$S457="Ghost",$S457="Poison",$S457="Steel",$S457="Fairy"),1,0)))</f>
        <v>1</v>
      </c>
      <c r="AD457" s="507" t="n">
        <f aca="false">SUM(IF(OR($R457="Ghost",$R457="Psychic"),0-1,IF(OR($R457="Fighting",$R457="Dark",$R457="Fairy"),1,0)),IF(OR($S457="Ghost",$S457="Psychic"),0-1,IF(OR($S457="Fighting",$S457="Dark",$S457="Fairy"),1,0)))</f>
        <v>1</v>
      </c>
      <c r="AE457" s="507" t="n">
        <f aca="false">IF(OR($R457="Fairy",$S457="Fairy"),4,SUM(IF($R457="Dragon",0-1,IF($R457="Steel",1,0)),IF($S457="Dragon",0-1,IF($S457="Steel",1,0))))</f>
        <v>4</v>
      </c>
      <c r="AF457" s="507" t="n">
        <f aca="false">IF(OR($R457="Ground",$S457="Ground"),4,SUM(IF(OR($R457="Flying",$R457="Water"),0-1,IF(OR($R457="Dragon",$R457="Electric",$R457="Grass"),1,0)),IF(OR($S457="Flying",$S457="Water"),0-1,IF(OR($S457="Dragon",$S457="Electric",$S457="Grass"),1,0))))</f>
        <v>0</v>
      </c>
      <c r="AG457" s="507" t="n">
        <f aca="false">SUM(IF(OR($R457="Dark",$R457="Dragon",$R457="Fighting"),0-1,IF(OR($R457="Steel",$R457="Poison",$R457="Fire"),1,0)),IF(OR($S457="Dark",$S457="Dragon",$S457="Fighting"),0-1,IF(OR($S457="Steel",$S457="Poison",$S457="Fire"),1,0)))</f>
        <v>0</v>
      </c>
      <c r="AH457" s="507" t="n">
        <f aca="false">IF(OR($R457="Ghost",$S457="Ghost"),4,SUM(IF(OR($R457="Dark",$R457="Ice",$R457="Normal",$R457="Rock",$R457="Steel"),0-1,IF(OR($R457="Bug",$R457="Fairy",$R457="Flying",$R457="Poison",$R457="Psychic"),1,0)),IF(OR($S457="Dark",$S457="Ice",$S457="Normal",$S457="Rock",$S457="Steel"),0-1,IF(OR($S457="Bug",$S457="Fairy",$S457="Flying",$S457="Poison",$S457="Psychic"),1,0))))</f>
        <v>1</v>
      </c>
      <c r="AI457" s="507" t="n">
        <f aca="false">SUM(IF(OR($R457="Bug",$R457="Grass",$R457="Ice",$R457="Steel"),0-1,IF(OR($R457="Dragon",$R457="Fire",$R457="Rock",$R457="Water"),1,0)),IF(OR($S457="Bug",$S457="Grass",$S457="Ice",$S457="Steel"),0-1,IF(OR($S457="Dragon",$S457="Fire",$S457="Rock",$S457="Water"),1,0)))</f>
        <v>0</v>
      </c>
      <c r="AJ457" s="507" t="n">
        <f aca="false">SUM(IF(OR($R457="Bug",$R457="Grass",$R457="Fighting"),0-1,IF(OR($R457="Electric",$R457="Rock",$R457="Steel"),1,0)),IF(OR($S457="Bug",$S457="Grass",$S457="Fighting"),0-1,IF(OR($S457="Electric",$S457="Rock",$S457="Steel"),1,0)))</f>
        <v>0</v>
      </c>
      <c r="AK457" s="507" t="n">
        <f aca="false">IF(OR($R457="Normal",$S457="Normal"),4,SUM(IF(OR($R457="Ghost",$R457="Psychic"),0-1,IF($R457="Dark",1,0)),IF(OR($S457="Ghost",$S457="Psychic"),0-1,IF($S457="Dark",1,0))))</f>
        <v>0</v>
      </c>
      <c r="AL457" s="507" t="n">
        <f aca="false">SUM(IF(OR($R457="Ground",$R457="Rock",$R457="Water"),0-1,IF(OR($R457="Bug",$R457="Flying",$R457="Fire",$R457="Dragon",$R457="Poison",$R457="Steel",$R457="Grass"),1,0)),IF(OR($S457="Ground",$S457="Rock",$S457="Water"),0-1,IF(OR($S457="Bug",$S457="Flying",$S457="Fire",$S457="Dragon",$S457="Poison",$S457="Steel",$S457="Grass"),1,0)))</f>
        <v>0</v>
      </c>
      <c r="AM457" s="507" t="n">
        <f aca="false">IF(OR($R457="Flying",$S457="Flying"),4,SUM(IF(OR($R457="Electric",$R457="Fire",$R457="Rock",$R457="Steel",$R457="Poison"),0-1,IF(OR($R457="Bug",$R457="Grass"),1,0)),IF(OR($S457="Electric",$S457="Fire",$S457="Rock",$S457="Steel",$S457="Poison"),0-1,IF(OR($S457="Bug",$S457="Grass"),1,0))))</f>
        <v>0</v>
      </c>
      <c r="AN457" s="507" t="n">
        <f aca="false">SUM(IF(OR($R457="Flying",$R457="Dragon",$R457="Grass",$R457="Ground"),0-1,IF(OR($R457="Steel",$R457="Ice",$R457="Fire",$R457="Water"),1,0)),IF(OR($S457="Flying",$S457="Dragon",$S457="Grass",$S457="Ground"),0-1,IF(OR($S457="Steel",$S457="Ice",$S457="Fire",$S457="Water"),1,0)))</f>
        <v>0</v>
      </c>
      <c r="AO457" s="507" t="n">
        <f aca="false">IF(OR($R457="Ghost",$S457="Ghost"),4,SUM(IF(OR($R457="Steel",$R457="Rock"),1,0),IF(OR($S457="Steel",$S457="Rock"),1,0)))</f>
        <v>0</v>
      </c>
      <c r="AP457" s="507" t="n">
        <f aca="false">IF(OR($R457="Steel",$S457="Steel"),4,SUM(IF(OR($R457="Fairy",$R457="Grass"),0-1,IF(OR($R457="Ghost",$R457="Rock",$R457="Ground",$R457="Poison"),1,0)),IF(OR($S457="Fairy",$S457="Grass"),0-1,IF(OR($S457="Ghost",$S457="Rock",$S457="Ground",$S457="Poison"),1,0))))</f>
        <v>-1</v>
      </c>
      <c r="AQ457" s="507" t="n">
        <f aca="false">IF(OR($R457="Dark",$S457="Dark"),4,SUM(IF(OR($R457="Fighting",$R457="Poison"),0-1,IF(OR($R457="Psychic",$R457="Steel"),1,0)),IF(OR($S457="Fighting",$S457="Poison"),0-1,IF(OR($S457="Psychic",$S457="Steel"),1,0))))</f>
        <v>0</v>
      </c>
      <c r="AR457" s="507" t="n">
        <f aca="false">SUM(IF(OR($R457="Bug",$R457="Fire",$R457="Flying",$R457="Ice"),0-1,IF(OR($R457="Steel",$R457="Fighting",$R457="Ground"),1,0)),IF(OR($S457="Bug",$S457="Fire",$S457="Flying",$S457="Ice"),0-1,IF(OR($S457="Steel",$S457="Fighting",$S457="Ground"),1,0)))</f>
        <v>0</v>
      </c>
      <c r="AS457" s="507" t="n">
        <f aca="false">SUM(IF(OR($R457="Fairy",$R457="Ice",$R457="Rock"),0-1,IF(OR($R457="Steel",$R457="Electric",$R457="Fire",$R457="Water"),1,0)),IF(OR($S457="Fairy",$S457="Ice",$S457="Rock"),0-1,IF(OR($S457="Steel",$S457="Electric",$S457="Fire",$S457="Water"),1,0)))</f>
        <v>-1</v>
      </c>
      <c r="AT457" s="508" t="n">
        <f aca="false">SUM(IF(OR($R457="Fire",$R457="Ground",$R457="Rock"),0-1,IF(OR($R457="Dragon",$R457="Grass",$R457="Water"),1,0)),IF(OR($S457="Fire",$S457="Ground",$S457="Rock"),0-1,IF(OR($S457="Dragon",$S457="Grass",$S457="Water"),1,0)))</f>
        <v>0</v>
      </c>
      <c r="AU457" s="518"/>
    </row>
    <row r="458" customFormat="false" ht="15.75" hidden="false" customHeight="false" outlineLevel="0" collapsed="false">
      <c r="A458" s="515" t="str">
        <f aca="false" t="array" ref="A458:A458">IF(ISNA(INDEX(Source!$U$7:$U$95,MATCH(B458,Source!$V$7:$V$95,0))),"FREE",INDEX(Source!$U$7:$U$95,MATCH(B458,Source!$V$7:$V$95,0)))</f>
        <v>FREE</v>
      </c>
      <c r="B458" s="511" t="s">
        <v>582</v>
      </c>
      <c r="C458" s="511"/>
      <c r="D458" s="511"/>
      <c r="E458" s="499" t="str">
        <f aca="false">IF(SUM($W458:$X458)&gt;0,SUM($W458:$X458),IF($H458&gt;0,0,IF($H458&gt;0,0,"-")))</f>
        <v>-</v>
      </c>
      <c r="F458" s="499" t="str">
        <f aca="false">IF(SUM($Y458:$Z458)&gt;0,SUM($Y458:$Z458),IF($H458&gt;0,0,"-"))</f>
        <v>-</v>
      </c>
      <c r="G458" s="499" t="str">
        <f aca="false">IF($H458&gt;0,minus(E458,F458),"-")</f>
        <v>-</v>
      </c>
      <c r="H458" s="500" t="n">
        <f aca="false">SUM(COUNTIF(MatchSource!$A:$A,$B458),COUNTIF(MatchSource!$H:$H,$B458))</f>
        <v>0</v>
      </c>
      <c r="I458" s="501" t="n">
        <f aca="false">SUM($AA458:$AB458)</f>
        <v>0</v>
      </c>
      <c r="J458" s="501" t="s">
        <v>700</v>
      </c>
      <c r="K458" s="512" t="str">
        <f aca="false" t="array" ref="K458:K458">IF(ISNA(INDEX(DraftRosters!$AA$3:$AA$199,MATCH($B458,DraftRosters!$AB$3:$AB$199,0))),"FA",IF(INDEX(DraftRosters!$AA$3:$AA$199,MATCH($B458,DraftRosters!$AB$3:$AB$199,0))="Franchise","Franch",INDEX(DraftRosters!$AA$3:$AA$199,MATCH($B458,DraftRosters!$AB$3:$AB$199,0))))</f>
        <v>FA</v>
      </c>
      <c r="L458" s="499" t="n">
        <v>78</v>
      </c>
      <c r="M458" s="499" t="n">
        <v>81</v>
      </c>
      <c r="N458" s="499" t="n">
        <v>71</v>
      </c>
      <c r="O458" s="499" t="n">
        <v>74</v>
      </c>
      <c r="P458" s="499" t="n">
        <v>69</v>
      </c>
      <c r="Q458" s="501" t="n">
        <v>126</v>
      </c>
      <c r="R458" s="499" t="s">
        <v>800</v>
      </c>
      <c r="S458" s="501" t="s">
        <v>801</v>
      </c>
      <c r="T458" s="505" t="s">
        <v>913</v>
      </c>
      <c r="U458" s="505" t="s">
        <v>972</v>
      </c>
      <c r="V458" s="506"/>
      <c r="W458" s="500" t="str">
        <f aca="false">IFERROR(__xludf.dummyfunction("if(isna(SUM(FILTER(MatchSource!$A:$D,MatchSource!$A:$A=$B458))),0,SUM(FILTER(MatchSource!$A:$D,MatchSource!$A:$A=$B458)))"),"0")</f>
        <v>0</v>
      </c>
      <c r="X458" s="499" t="str">
        <f aca="false">IFERROR(__xludf.dummyfunction("if(isna(SUM(FILTER(MatchSource!$H:$K,MatchSource!$H:$H=$B458))),0,SUM(FILTER(MatchSource!$H:$K,MatchSource!$H:$H=$B458)))"),"0")</f>
        <v>0</v>
      </c>
      <c r="Y458" s="499" t="str">
        <f aca="false">IFERROR(__xludf.dummyfunction("if(isna(ABS(MINUS(SUM(FILTER(MatchSource!$A:$E,MatchSource!$A:$A=$B458)),SUM($W458)))),0,ABS(MINUS(SUM(FILTER(MatchSource!$A:$E,MatchSource!$A:$A=$B458)),SUM($W458))))"),"0")</f>
        <v>0</v>
      </c>
      <c r="Z458" s="499" t="str">
        <f aca="false">IFERROR(__xludf.dummyfunction("if(isna(ABS(MINUS(SUM(FILTER(MatchSource!$H:$L,MatchSource!$H:$H=$B458)),SUM($X458)))),0,ABS(MINUS(SUM(FILTER(MatchSource!$H:$L,MatchSource!$H:$H=$B458)),SUM($X458))))"),"0")</f>
        <v>0</v>
      </c>
      <c r="AA458" s="499" t="str">
        <f aca="false">IFERROR(__xludf.dummyfunction("if(isna(ABS(MINUS(SUM(FILTER(MatchSource!$A:$F,MatchSource!$A:$A=$B458)),SUM($W458,$Y458)))),0,ABS(MINUS(SUM(FILTER(MatchSource!$A:$F,MatchSource!$A:$A=$B458)),SUM($W458, $Y458,))))"),"0")</f>
        <v>0</v>
      </c>
      <c r="AB458" s="501" t="str">
        <f aca="false">IFERROR(__xludf.dummyfunction("if(isna(ABS(MINUS(SUM(FILTER(MatchSource!$H:$M,MatchSource!$H:$H=$B458)),SUM($X458,$Z458)))),0,ABS(MINUS(SUM(FILTER(MatchSource!$H:$M,MatchSource!$H:$H=$B458)),SUM($X458,$Z458))))"),"0")</f>
        <v>0</v>
      </c>
      <c r="AC458" s="507" t="n">
        <f aca="false">SUM(IF(OR($R458="Grass",$R458="Psychic",$R458="Dark"),0-1,IF(OR($R458="Fighting",$R458="Flying",$R458="Fire",$R458="Ghost",$R458="Poison",$R458="Steel",$R458="Fairy"),1,0)),IF(OR($S458="Grass",$S458="Psychic",$S458="Dark"),0-1,IF(OR($S458="Fighting",$S458="Flying",$S458="Fire",$S458="Ghost",$S458="Poison",$S458="Steel",$S458="Fairy"),1,0)))</f>
        <v>2</v>
      </c>
      <c r="AD458" s="507" t="n">
        <f aca="false">SUM(IF(OR($R458="Ghost",$R458="Psychic"),0-1,IF(OR($R458="Fighting",$R458="Dark",$R458="Fairy"),1,0)),IF(OR($S458="Ghost",$S458="Psychic"),0-1,IF(OR($S458="Fighting",$S458="Dark",$S458="Fairy"),1,0)))</f>
        <v>0</v>
      </c>
      <c r="AE458" s="507" t="n">
        <f aca="false">IF(OR($R458="Fairy",$S458="Fairy"),4,SUM(IF($R458="Dragon",0-1,IF($R458="Steel",1,0)),IF($S458="Dragon",0-1,IF($S458="Steel",1,0))))</f>
        <v>0</v>
      </c>
      <c r="AF458" s="507" t="n">
        <f aca="false">IF(OR($R458="Ground",$S458="Ground"),4,SUM(IF(OR($R458="Flying",$R458="Water"),0-1,IF(OR($R458="Dragon",$R458="Electric",$R458="Grass"),1,0)),IF(OR($S458="Flying",$S458="Water"),0-1,IF(OR($S458="Dragon",$S458="Electric",$S458="Grass"),1,0))))</f>
        <v>-1</v>
      </c>
      <c r="AG458" s="507" t="n">
        <f aca="false">SUM(IF(OR($R458="Dark",$R458="Dragon",$R458="Fighting"),0-1,IF(OR($R458="Steel",$R458="Poison",$R458="Fire"),1,0)),IF(OR($S458="Dark",$S458="Dragon",$S458="Fighting"),0-1,IF(OR($S458="Steel",$S458="Poison",$S458="Fire"),1,0)))</f>
        <v>1</v>
      </c>
      <c r="AH458" s="507" t="n">
        <f aca="false">IF(OR($R458="Ghost",$S458="Ghost"),4,SUM(IF(OR($R458="Dark",$R458="Ice",$R458="Normal",$R458="Rock",$R458="Steel"),0-1,IF(OR($R458="Bug",$R458="Fairy",$R458="Flying",$R458="Poison",$R458="Psychic"),1,0)),IF(OR($S458="Dark",$S458="Ice",$S458="Normal",$S458="Rock",$S458="Steel"),0-1,IF(OR($S458="Bug",$S458="Fairy",$S458="Flying",$S458="Poison",$S458="Psychic"),1,0))))</f>
        <v>1</v>
      </c>
      <c r="AI458" s="507" t="n">
        <f aca="false">SUM(IF(OR($R458="Bug",$R458="Grass",$R458="Ice",$R458="Steel"),0-1,IF(OR($R458="Dragon",$R458="Fire",$R458="Rock",$R458="Water"),1,0)),IF(OR($S458="Bug",$S458="Grass",$S458="Ice",$S458="Steel"),0-1,IF(OR($S458="Dragon",$S458="Fire",$S458="Rock",$S458="Water"),1,0)))</f>
        <v>1</v>
      </c>
      <c r="AJ458" s="507" t="n">
        <f aca="false">SUM(IF(OR($R458="Bug",$R458="Grass",$R458="Fighting"),0-1,IF(OR($R458="Electric",$R458="Rock",$R458="Steel"),1,0)),IF(OR($S458="Bug",$S458="Grass",$S458="Fighting"),0-1,IF(OR($S458="Electric",$S458="Rock",$S458="Steel"),1,0)))</f>
        <v>0</v>
      </c>
      <c r="AK458" s="507" t="n">
        <f aca="false">IF(OR($R458="Normal",$S458="Normal"),4,SUM(IF(OR($R458="Ghost",$R458="Psychic"),0-1,IF($R458="Dark",1,0)),IF(OR($S458="Ghost",$S458="Psychic"),0-1,IF($S458="Dark",1,0))))</f>
        <v>0</v>
      </c>
      <c r="AL458" s="507" t="n">
        <f aca="false">SUM(IF(OR($R458="Ground",$R458="Rock",$R458="Water"),0-1,IF(OR($R458="Bug",$R458="Flying",$R458="Fire",$R458="Dragon",$R458="Poison",$R458="Steel",$R458="Grass"),1,0)),IF(OR($S458="Ground",$S458="Rock",$S458="Water"),0-1,IF(OR($S458="Bug",$S458="Flying",$S458="Fire",$S458="Dragon",$S458="Poison",$S458="Steel",$S458="Grass"),1,0)))</f>
        <v>2</v>
      </c>
      <c r="AM458" s="507" t="n">
        <f aca="false">IF(OR($R458="Flying",$S458="Flying"),4,SUM(IF(OR($R458="Electric",$R458="Fire",$R458="Rock",$R458="Steel",$R458="Poison"),0-1,IF(OR($R458="Bug",$R458="Grass"),1,0)),IF(OR($S458="Electric",$S458="Fire",$S458="Rock",$S458="Steel",$S458="Poison"),0-1,IF(OR($S458="Bug",$S458="Grass"),1,0))))</f>
        <v>4</v>
      </c>
      <c r="AN458" s="507" t="n">
        <f aca="false">SUM(IF(OR($R458="Flying",$R458="Dragon",$R458="Grass",$R458="Ground"),0-1,IF(OR($R458="Steel",$R458="Ice",$R458="Fire",$R458="Water"),1,0)),IF(OR($S458="Flying",$S458="Dragon",$S458="Grass",$S458="Ground"),0-1,IF(OR($S458="Steel",$S458="Ice",$S458="Fire",$S458="Water"),1,0)))</f>
        <v>0</v>
      </c>
      <c r="AO458" s="507" t="n">
        <f aca="false">IF(OR($R458="Ghost",$S458="Ghost"),4,SUM(IF(OR($R458="Steel",$R458="Rock"),1,0),IF(OR($S458="Steel",$S458="Rock"),1,0)))</f>
        <v>0</v>
      </c>
      <c r="AP458" s="507" t="n">
        <f aca="false">IF(OR($R458="Steel",$S458="Steel"),4,SUM(IF(OR($R458="Fairy",$R458="Grass"),0-1,IF(OR($R458="Ghost",$R458="Rock",$R458="Ground",$R458="Poison"),1,0)),IF(OR($S458="Fairy",$S458="Grass"),0-1,IF(OR($S458="Ghost",$S458="Rock",$S458="Ground",$S458="Poison"),1,0))))</f>
        <v>0</v>
      </c>
      <c r="AQ458" s="507" t="n">
        <f aca="false">IF(OR($R458="Dark",$S458="Dark"),4,SUM(IF(OR($R458="Fighting",$R458="Poison"),0-1,IF(OR($R458="Psychic",$R458="Steel"),1,0)),IF(OR($S458="Fighting",$S458="Poison"),0-1,IF(OR($S458="Psychic",$S458="Steel"),1,0))))</f>
        <v>0</v>
      </c>
      <c r="AR458" s="507" t="n">
        <f aca="false">SUM(IF(OR($R458="Bug",$R458="Fire",$R458="Flying",$R458="Ice"),0-1,IF(OR($R458="Steel",$R458="Fighting",$R458="Ground"),1,0)),IF(OR($S458="Bug",$S458="Fire",$S458="Flying",$S458="Ice"),0-1,IF(OR($S458="Steel",$S458="Fighting",$S458="Ground"),1,0)))</f>
        <v>-2</v>
      </c>
      <c r="AS458" s="507" t="n">
        <f aca="false">SUM(IF(OR($R458="Fairy",$R458="Ice",$R458="Rock"),0-1,IF(OR($R458="Steel",$R458="Electric",$R458="Fire",$R458="Water"),1,0)),IF(OR($S458="Fairy",$S458="Ice",$S458="Rock"),0-1,IF(OR($S458="Steel",$S458="Electric",$S458="Fire",$S458="Water"),1,0)))</f>
        <v>1</v>
      </c>
      <c r="AT458" s="508" t="n">
        <f aca="false">SUM(IF(OR($R458="Fire",$R458="Ground",$R458="Rock"),0-1,IF(OR($R458="Dragon",$R458="Grass",$R458="Water"),1,0)),IF(OR($S458="Fire",$S458="Ground",$S458="Rock"),0-1,IF(OR($S458="Dragon",$S458="Grass",$S458="Water"),1,0)))</f>
        <v>-1</v>
      </c>
      <c r="AU458" s="518"/>
    </row>
    <row r="459" customFormat="false" ht="15.75" hidden="false" customHeight="false" outlineLevel="0" collapsed="false">
      <c r="A459" s="515" t="str">
        <f aca="false" t="array" ref="A459:A459">IF(ISNA(INDEX(Source!$U$7:$U$95,MATCH(B459,Source!$V$7:$V$95,0))),"FREE",INDEX(Source!$U$7:$U$95,MATCH(B459,Source!$V$7:$V$95,0)))</f>
        <v>FREE</v>
      </c>
      <c r="B459" s="511" t="s">
        <v>631</v>
      </c>
      <c r="C459" s="511"/>
      <c r="D459" s="511"/>
      <c r="E459" s="499" t="str">
        <f aca="false">IF(SUM($W459:$X459)&gt;0,SUM($W459:$X459),IF($H459&gt;0,0,IF($H459&gt;0,0,"-")))</f>
        <v>-</v>
      </c>
      <c r="F459" s="499" t="str">
        <f aca="false">IF(SUM($Y459:$Z459)&gt;0,SUM($Y459:$Z459),IF($H459&gt;0,0,"-"))</f>
        <v>-</v>
      </c>
      <c r="G459" s="499" t="str">
        <f aca="false">IF($H459&gt;0,minus(E459,F459),"-")</f>
        <v>-</v>
      </c>
      <c r="H459" s="500" t="n">
        <f aca="false">SUM(COUNTIF(MatchSource!$A:$A,$B459),COUNTIF(MatchSource!$H:$H,$B459))</f>
        <v>0</v>
      </c>
      <c r="I459" s="501" t="n">
        <f aca="false">SUM($AA459:$AB459)</f>
        <v>0</v>
      </c>
      <c r="J459" s="501" t="s">
        <v>702</v>
      </c>
      <c r="K459" s="512" t="str">
        <f aca="false" t="array" ref="K459:K459">IF(ISNA(INDEX(DraftRosters!$AA$3:$AA$199,MATCH($B459,DraftRosters!$AB$3:$AB$199,0))),"FA",IF(INDEX(DraftRosters!$AA$3:$AA$199,MATCH($B459,DraftRosters!$AB$3:$AB$199,0))="Franchise","Franch",INDEX(DraftRosters!$AA$3:$AA$199,MATCH($B459,DraftRosters!$AB$3:$AB$199,0))))</f>
        <v>FA</v>
      </c>
      <c r="L459" s="499" t="n">
        <v>65</v>
      </c>
      <c r="M459" s="499" t="n">
        <v>55</v>
      </c>
      <c r="N459" s="499" t="n">
        <v>115</v>
      </c>
      <c r="O459" s="499" t="n">
        <v>100</v>
      </c>
      <c r="P459" s="499" t="n">
        <v>40</v>
      </c>
      <c r="Q459" s="501" t="n">
        <v>60</v>
      </c>
      <c r="R459" s="499" t="s">
        <v>803</v>
      </c>
      <c r="S459" s="501"/>
      <c r="T459" s="505" t="s">
        <v>880</v>
      </c>
      <c r="U459" s="505" t="s">
        <v>834</v>
      </c>
      <c r="V459" s="506" t="s">
        <v>1004</v>
      </c>
      <c r="W459" s="500" t="str">
        <f aca="false">IFERROR(__xludf.dummyfunction("if(isna(SUM(FILTER(MatchSource!$A:$D,MatchSource!$A:$A=$B459))),0,SUM(FILTER(MatchSource!$A:$D,MatchSource!$A:$A=$B459)))"),"0")</f>
        <v>0</v>
      </c>
      <c r="X459" s="499" t="str">
        <f aca="false">IFERROR(__xludf.dummyfunction("if(isna(SUM(FILTER(MatchSource!$H:$K,MatchSource!$H:$H=$B459))),0,SUM(FILTER(MatchSource!$H:$K,MatchSource!$H:$H=$B459)))"),"0")</f>
        <v>0</v>
      </c>
      <c r="Y459" s="499" t="str">
        <f aca="false">IFERROR(__xludf.dummyfunction("if(isna(ABS(MINUS(SUM(FILTER(MatchSource!$A:$E,MatchSource!$A:$A=$B459)),SUM($W459)))),0,ABS(MINUS(SUM(FILTER(MatchSource!$A:$E,MatchSource!$A:$A=$B459)),SUM($W459))))"),"0")</f>
        <v>0</v>
      </c>
      <c r="Z459" s="499" t="str">
        <f aca="false">IFERROR(__xludf.dummyfunction("if(isna(ABS(MINUS(SUM(FILTER(MatchSource!$H:$L,MatchSource!$H:$H=$B459)),SUM($X459)))),0,ABS(MINUS(SUM(FILTER(MatchSource!$H:$L,MatchSource!$H:$H=$B459)),SUM($X459))))"),"0")</f>
        <v>0</v>
      </c>
      <c r="AA459" s="499" t="str">
        <f aca="false">IFERROR(__xludf.dummyfunction("if(isna(ABS(MINUS(SUM(FILTER(MatchSource!$A:$F,MatchSource!$A:$A=$B459)),SUM($W459,$Y459)))),0,ABS(MINUS(SUM(FILTER(MatchSource!$A:$F,MatchSource!$A:$A=$B459)),SUM($W459, $Y459,))))"),"0")</f>
        <v>0</v>
      </c>
      <c r="AB459" s="501" t="str">
        <f aca="false">IFERROR(__xludf.dummyfunction("if(isna(ABS(MINUS(SUM(FILTER(MatchSource!$H:$M,MatchSource!$H:$H=$B459)),SUM($X459,$Z459)))),0,ABS(MINUS(SUM(FILTER(MatchSource!$H:$M,MatchSource!$H:$H=$B459)),SUM($X459,$Z459))))"),"0")</f>
        <v>0</v>
      </c>
      <c r="AC459" s="507" t="n">
        <f aca="false">SUM(IF(OR($R459="Grass",$R459="Psychic",$R459="Dark"),0-1,IF(OR($R459="Fighting",$R459="Flying",$R459="Fire",$R459="Ghost",$R459="Poison",$R459="Steel",$R459="Fairy"),1,0)),IF(OR($S459="Grass",$S459="Psychic",$S459="Dark"),0-1,IF(OR($S459="Fighting",$S459="Flying",$S459="Fire",$S459="Ghost",$S459="Poison",$S459="Steel",$S459="Fairy"),1,0)))</f>
        <v>-1</v>
      </c>
      <c r="AD459" s="507" t="n">
        <f aca="false">SUM(IF(OR($R459="Ghost",$R459="Psychic"),0-1,IF(OR($R459="Fighting",$R459="Dark",$R459="Fairy"),1,0)),IF(OR($S459="Ghost",$S459="Psychic"),0-1,IF(OR($S459="Fighting",$S459="Dark",$S459="Fairy"),1,0)))</f>
        <v>0</v>
      </c>
      <c r="AE459" s="507" t="n">
        <f aca="false">IF(OR($R459="Fairy",$S459="Fairy"),4,SUM(IF($R459="Dragon",0-1,IF($R459="Steel",1,0)),IF($S459="Dragon",0-1,IF($S459="Steel",1,0))))</f>
        <v>0</v>
      </c>
      <c r="AF459" s="507" t="n">
        <f aca="false">IF(OR($R459="Ground",$S459="Ground"),4,SUM(IF(OR($R459="Flying",$R459="Water"),0-1,IF(OR($R459="Dragon",$R459="Electric",$R459="Grass"),1,0)),IF(OR($S459="Flying",$S459="Water"),0-1,IF(OR($S459="Dragon",$S459="Electric",$S459="Grass"),1,0))))</f>
        <v>1</v>
      </c>
      <c r="AG459" s="507" t="n">
        <f aca="false">SUM(IF(OR($R459="Dark",$R459="Dragon",$R459="Fighting"),0-1,IF(OR($R459="Steel",$R459="Poison",$R459="Fire"),1,0)),IF(OR($S459="Dark",$S459="Dragon",$S459="Fighting"),0-1,IF(OR($S459="Steel",$S459="Poison",$S459="Fire"),1,0)))</f>
        <v>0</v>
      </c>
      <c r="AH459" s="507" t="n">
        <f aca="false">IF(OR($R459="Ghost",$S459="Ghost"),4,SUM(IF(OR($R459="Dark",$R459="Ice",$R459="Normal",$R459="Rock",$R459="Steel"),0-1,IF(OR($R459="Bug",$R459="Fairy",$R459="Flying",$R459="Poison",$R459="Psychic"),1,0)),IF(OR($S459="Dark",$S459="Ice",$S459="Normal",$S459="Rock",$S459="Steel"),0-1,IF(OR($S459="Bug",$S459="Fairy",$S459="Flying",$S459="Poison",$S459="Psychic"),1,0))))</f>
        <v>0</v>
      </c>
      <c r="AI459" s="507" t="n">
        <f aca="false">SUM(IF(OR($R459="Bug",$R459="Grass",$R459="Ice",$R459="Steel"),0-1,IF(OR($R459="Dragon",$R459="Fire",$R459="Rock",$R459="Water"),1,0)),IF(OR($S459="Bug",$S459="Grass",$S459="Ice",$S459="Steel"),0-1,IF(OR($S459="Dragon",$S459="Fire",$S459="Rock",$S459="Water"),1,0)))</f>
        <v>-1</v>
      </c>
      <c r="AJ459" s="507" t="n">
        <f aca="false">SUM(IF(OR($R459="Bug",$R459="Grass",$R459="Fighting"),0-1,IF(OR($R459="Electric",$R459="Rock",$R459="Steel"),1,0)),IF(OR($S459="Bug",$S459="Grass",$S459="Fighting"),0-1,IF(OR($S459="Electric",$S459="Rock",$S459="Steel"),1,0)))</f>
        <v>-1</v>
      </c>
      <c r="AK459" s="507" t="n">
        <f aca="false">IF(OR($R459="Normal",$S459="Normal"),4,SUM(IF(OR($R459="Ghost",$R459="Psychic"),0-1,IF($R459="Dark",1,0)),IF(OR($S459="Ghost",$S459="Psychic"),0-1,IF($S459="Dark",1,0))))</f>
        <v>0</v>
      </c>
      <c r="AL459" s="507" t="n">
        <f aca="false">SUM(IF(OR($R459="Ground",$R459="Rock",$R459="Water"),0-1,IF(OR($R459="Bug",$R459="Flying",$R459="Fire",$R459="Dragon",$R459="Poison",$R459="Steel",$R459="Grass"),1,0)),IF(OR($S459="Ground",$S459="Rock",$S459="Water"),0-1,IF(OR($S459="Bug",$S459="Flying",$S459="Fire",$S459="Dragon",$S459="Poison",$S459="Steel",$S459="Grass"),1,0)))</f>
        <v>1</v>
      </c>
      <c r="AM459" s="507" t="n">
        <f aca="false">IF(OR($R459="Flying",$S459="Flying"),4,SUM(IF(OR($R459="Electric",$R459="Fire",$R459="Rock",$R459="Steel",$R459="Poison"),0-1,IF(OR($R459="Bug",$R459="Grass"),1,0)),IF(OR($S459="Electric",$S459="Fire",$S459="Rock",$S459="Steel",$S459="Poison"),0-1,IF(OR($S459="Bug",$S459="Grass"),1,0))))</f>
        <v>1</v>
      </c>
      <c r="AN459" s="507" t="n">
        <f aca="false">SUM(IF(OR($R459="Flying",$R459="Dragon",$R459="Grass",$R459="Ground"),0-1,IF(OR($R459="Steel",$R459="Ice",$R459="Fire",$R459="Water"),1,0)),IF(OR($S459="Flying",$S459="Dragon",$S459="Grass",$S459="Ground"),0-1,IF(OR($S459="Steel",$S459="Ice",$S459="Fire",$S459="Water"),1,0)))</f>
        <v>-1</v>
      </c>
      <c r="AO459" s="507" t="n">
        <f aca="false">IF(OR($R459="Ghost",$S459="Ghost"),4,SUM(IF(OR($R459="Steel",$R459="Rock"),1,0),IF(OR($S459="Steel",$S459="Rock"),1,0)))</f>
        <v>0</v>
      </c>
      <c r="AP459" s="507" t="n">
        <f aca="false">IF(OR($R459="Steel",$S459="Steel"),4,SUM(IF(OR($R459="Fairy",$R459="Grass"),0-1,IF(OR($R459="Ghost",$R459="Rock",$R459="Ground",$R459="Poison"),1,0)),IF(OR($S459="Fairy",$S459="Grass"),0-1,IF(OR($S459="Ghost",$S459="Rock",$S459="Ground",$S459="Poison"),1,0))))</f>
        <v>-1</v>
      </c>
      <c r="AQ459" s="507" t="n">
        <f aca="false">IF(OR($R459="Dark",$S459="Dark"),4,SUM(IF(OR($R459="Fighting",$R459="Poison"),0-1,IF(OR($R459="Psychic",$R459="Steel"),1,0)),IF(OR($S459="Fighting",$S459="Poison"),0-1,IF(OR($S459="Psychic",$S459="Steel"),1,0))))</f>
        <v>0</v>
      </c>
      <c r="AR459" s="507" t="n">
        <f aca="false">SUM(IF(OR($R459="Bug",$R459="Fire",$R459="Flying",$R459="Ice"),0-1,IF(OR($R459="Steel",$R459="Fighting",$R459="Ground"),1,0)),IF(OR($S459="Bug",$S459="Fire",$S459="Flying",$S459="Ice"),0-1,IF(OR($S459="Steel",$S459="Fighting",$S459="Ground"),1,0)))</f>
        <v>0</v>
      </c>
      <c r="AS459" s="507" t="n">
        <f aca="false">SUM(IF(OR($R459="Fairy",$R459="Ice",$R459="Rock"),0-1,IF(OR($R459="Steel",$R459="Electric",$R459="Fire",$R459="Water"),1,0)),IF(OR($S459="Fairy",$S459="Ice",$S459="Rock"),0-1,IF(OR($S459="Steel",$S459="Electric",$S459="Fire",$S459="Water"),1,0)))</f>
        <v>0</v>
      </c>
      <c r="AT459" s="508" t="n">
        <f aca="false">SUM(IF(OR($R459="Fire",$R459="Ground",$R459="Rock"),0-1,IF(OR($R459="Dragon",$R459="Grass",$R459="Water"),1,0)),IF(OR($S459="Fire",$S459="Ground",$S459="Rock"),0-1,IF(OR($S459="Dragon",$S459="Grass",$S459="Water"),1,0)))</f>
        <v>1</v>
      </c>
      <c r="AU459" s="518"/>
    </row>
    <row r="460" customFormat="false" ht="15.75" hidden="false" customHeight="false" outlineLevel="0" collapsed="false">
      <c r="A460" s="515" t="str">
        <f aca="false" t="array" ref="A460:A460">IF(ISNA(INDEX(Source!$U$7:$U$95,MATCH(B460,Source!$V$7:$V$95,0))),"FREE",INDEX(Source!$U$7:$U$95,MATCH(B460,Source!$V$7:$V$95,0)))</f>
        <v>FREE</v>
      </c>
      <c r="B460" s="511" t="s">
        <v>586</v>
      </c>
      <c r="C460" s="511"/>
      <c r="D460" s="511"/>
      <c r="E460" s="499" t="str">
        <f aca="false">IF(SUM($W460:$X460)&gt;0,SUM($W460:$X460),IF($H460&gt;0,0,IF($H460&gt;0,0,"-")))</f>
        <v>-</v>
      </c>
      <c r="F460" s="499" t="str">
        <f aca="false">IF(SUM($Y460:$Z460)&gt;0,SUM($Y460:$Z460),IF($H460&gt;0,0,"-"))</f>
        <v>-</v>
      </c>
      <c r="G460" s="499" t="str">
        <f aca="false">IF($H460&gt;0,minus(E460,F460),"-")</f>
        <v>-</v>
      </c>
      <c r="H460" s="500" t="n">
        <f aca="false">SUM(COUNTIF(MatchSource!$A:$A,$B460),COUNTIF(MatchSource!$H:$H,$B460))</f>
        <v>0</v>
      </c>
      <c r="I460" s="501" t="n">
        <f aca="false">SUM($AA460:$AB460)</f>
        <v>0</v>
      </c>
      <c r="J460" s="501" t="s">
        <v>700</v>
      </c>
      <c r="K460" s="512" t="str">
        <f aca="false" t="array" ref="K460:K460">IF(ISNA(INDEX(DraftRosters!$AA$3:$AA$199,MATCH($B460,DraftRosters!$AB$3:$AB$199,0))),"FA",IF(INDEX(DraftRosters!$AA$3:$AA$199,MATCH($B460,DraftRosters!$AB$3:$AB$199,0))="Franchise","Franch",INDEX(DraftRosters!$AA$3:$AA$199,MATCH($B460,DraftRosters!$AB$3:$AB$199,0))))</f>
        <v>FA</v>
      </c>
      <c r="L460" s="499" t="n">
        <v>100</v>
      </c>
      <c r="M460" s="499" t="n">
        <v>100</v>
      </c>
      <c r="N460" s="499" t="n">
        <v>125</v>
      </c>
      <c r="O460" s="499" t="n">
        <v>110</v>
      </c>
      <c r="P460" s="499" t="n">
        <v>50</v>
      </c>
      <c r="Q460" s="501" t="n">
        <v>50</v>
      </c>
      <c r="R460" s="499" t="s">
        <v>803</v>
      </c>
      <c r="S460" s="501"/>
      <c r="T460" s="504" t="s">
        <v>880</v>
      </c>
      <c r="U460" s="505" t="s">
        <v>1004</v>
      </c>
      <c r="V460" s="506" t="s">
        <v>834</v>
      </c>
      <c r="W460" s="500" t="str">
        <f aca="false">IFERROR(__xludf.dummyfunction("if(isna(SUM(FILTER(MatchSource!$A:$D,MatchSource!$A:$A=$B460))),0,SUM(FILTER(MatchSource!$A:$D,MatchSource!$A:$A=$B460)))"),"0")</f>
        <v>0</v>
      </c>
      <c r="X460" s="499" t="str">
        <f aca="false">IFERROR(__xludf.dummyfunction("if(isna(SUM(FILTER(MatchSource!$H:$K,MatchSource!$H:$H=$B460))),0,SUM(FILTER(MatchSource!$H:$K,MatchSource!$H:$H=$B460)))"),"0")</f>
        <v>0</v>
      </c>
      <c r="Y460" s="499" t="str">
        <f aca="false">IFERROR(__xludf.dummyfunction("if(isna(ABS(MINUS(SUM(FILTER(MatchSource!$A:$E,MatchSource!$A:$A=$B460)),SUM($W460)))),0,ABS(MINUS(SUM(FILTER(MatchSource!$A:$E,MatchSource!$A:$A=$B460)),SUM($W460))))"),"0")</f>
        <v>0</v>
      </c>
      <c r="Z460" s="499" t="str">
        <f aca="false">IFERROR(__xludf.dummyfunction("if(isna(ABS(MINUS(SUM(FILTER(MatchSource!$H:$L,MatchSource!$H:$H=$B460)),SUM($X460)))),0,ABS(MINUS(SUM(FILTER(MatchSource!$H:$L,MatchSource!$H:$H=$B460)),SUM($X460))))"),"0")</f>
        <v>0</v>
      </c>
      <c r="AA460" s="499" t="str">
        <f aca="false">IFERROR(__xludf.dummyfunction("if(isna(ABS(MINUS(SUM(FILTER(MatchSource!$A:$F,MatchSource!$A:$A=$B460)),SUM($W460,$Y460)))),0,ABS(MINUS(SUM(FILTER(MatchSource!$A:$F,MatchSource!$A:$A=$B460)),SUM($W460, $Y460,))))"),"0")</f>
        <v>0</v>
      </c>
      <c r="AB460" s="501" t="str">
        <f aca="false">IFERROR(__xludf.dummyfunction("if(isna(ABS(MINUS(SUM(FILTER(MatchSource!$H:$M,MatchSource!$H:$H=$B460)),SUM($X460,$Z460)))),0,ABS(MINUS(SUM(FILTER(MatchSource!$H:$M,MatchSource!$H:$H=$B460)),SUM($X460,$Z460))))"),"0")</f>
        <v>0</v>
      </c>
      <c r="AC460" s="507" t="n">
        <f aca="false">SUM(IF(OR($R460="Grass",$R460="Psychic",$R460="Dark"),0-1,IF(OR($R460="Fighting",$R460="Flying",$R460="Fire",$R460="Ghost",$R460="Poison",$R460="Steel",$R460="Fairy"),1,0)),IF(OR($S460="Grass",$S460="Psychic",$S460="Dark"),0-1,IF(OR($S460="Fighting",$S460="Flying",$S460="Fire",$S460="Ghost",$S460="Poison",$S460="Steel",$S460="Fairy"),1,0)))</f>
        <v>-1</v>
      </c>
      <c r="AD460" s="507" t="n">
        <f aca="false">SUM(IF(OR($R460="Ghost",$R460="Psychic"),0-1,IF(OR($R460="Fighting",$R460="Dark",$R460="Fairy"),1,0)),IF(OR($S460="Ghost",$S460="Psychic"),0-1,IF(OR($S460="Fighting",$S460="Dark",$S460="Fairy"),1,0)))</f>
        <v>0</v>
      </c>
      <c r="AE460" s="507" t="n">
        <f aca="false">IF(OR($R460="Fairy",$S460="Fairy"),4,SUM(IF($R460="Dragon",0-1,IF($R460="Steel",1,0)),IF($S460="Dragon",0-1,IF($S460="Steel",1,0))))</f>
        <v>0</v>
      </c>
      <c r="AF460" s="507" t="n">
        <f aca="false">IF(OR($R460="Ground",$S460="Ground"),4,SUM(IF(OR($R460="Flying",$R460="Water"),0-1,IF(OR($R460="Dragon",$R460="Electric",$R460="Grass"),1,0)),IF(OR($S460="Flying",$S460="Water"),0-1,IF(OR($S460="Dragon",$S460="Electric",$S460="Grass"),1,0))))</f>
        <v>1</v>
      </c>
      <c r="AG460" s="507" t="n">
        <f aca="false">SUM(IF(OR($R460="Dark",$R460="Dragon",$R460="Fighting"),0-1,IF(OR($R460="Steel",$R460="Poison",$R460="Fire"),1,0)),IF(OR($S460="Dark",$S460="Dragon",$S460="Fighting"),0-1,IF(OR($S460="Steel",$S460="Poison",$S460="Fire"),1,0)))</f>
        <v>0</v>
      </c>
      <c r="AH460" s="507" t="n">
        <f aca="false">IF(OR($R460="Ghost",$S460="Ghost"),4,SUM(IF(OR($R460="Dark",$R460="Ice",$R460="Normal",$R460="Rock",$R460="Steel"),0-1,IF(OR($R460="Bug",$R460="Fairy",$R460="Flying",$R460="Poison",$R460="Psychic"),1,0)),IF(OR($S460="Dark",$S460="Ice",$S460="Normal",$S460="Rock",$S460="Steel"),0-1,IF(OR($S460="Bug",$S460="Fairy",$S460="Flying",$S460="Poison",$S460="Psychic"),1,0))))</f>
        <v>0</v>
      </c>
      <c r="AI460" s="507" t="n">
        <f aca="false">SUM(IF(OR($R460="Bug",$R460="Grass",$R460="Ice",$R460="Steel"),0-1,IF(OR($R460="Dragon",$R460="Fire",$R460="Rock",$R460="Water"),1,0)),IF(OR($S460="Bug",$S460="Grass",$S460="Ice",$S460="Steel"),0-1,IF(OR($S460="Dragon",$S460="Fire",$S460="Rock",$S460="Water"),1,0)))</f>
        <v>-1</v>
      </c>
      <c r="AJ460" s="507" t="n">
        <f aca="false">SUM(IF(OR($R460="Bug",$R460="Grass",$R460="Fighting"),0-1,IF(OR($R460="Electric",$R460="Rock",$R460="Steel"),1,0)),IF(OR($S460="Bug",$S460="Grass",$S460="Fighting"),0-1,IF(OR($S460="Electric",$S460="Rock",$S460="Steel"),1,0)))</f>
        <v>-1</v>
      </c>
      <c r="AK460" s="507" t="n">
        <f aca="false">IF(OR($R460="Normal",$S460="Normal"),4,SUM(IF(OR($R460="Ghost",$R460="Psychic"),0-1,IF($R460="Dark",1,0)),IF(OR($S460="Ghost",$S460="Psychic"),0-1,IF($S460="Dark",1,0))))</f>
        <v>0</v>
      </c>
      <c r="AL460" s="507" t="n">
        <f aca="false">SUM(IF(OR($R460="Ground",$R460="Rock",$R460="Water"),0-1,IF(OR($R460="Bug",$R460="Flying",$R460="Fire",$R460="Dragon",$R460="Poison",$R460="Steel",$R460="Grass"),1,0)),IF(OR($S460="Ground",$S460="Rock",$S460="Water"),0-1,IF(OR($S460="Bug",$S460="Flying",$S460="Fire",$S460="Dragon",$S460="Poison",$S460="Steel",$S460="Grass"),1,0)))</f>
        <v>1</v>
      </c>
      <c r="AM460" s="507" t="n">
        <f aca="false">IF(OR($R460="Flying",$S460="Flying"),4,SUM(IF(OR($R460="Electric",$R460="Fire",$R460="Rock",$R460="Steel",$R460="Poison"),0-1,IF(OR($R460="Bug",$R460="Grass"),1,0)),IF(OR($S460="Electric",$S460="Fire",$S460="Rock",$S460="Steel",$S460="Poison"),0-1,IF(OR($S460="Bug",$S460="Grass"),1,0))))</f>
        <v>1</v>
      </c>
      <c r="AN460" s="507" t="n">
        <f aca="false">SUM(IF(OR($R460="Flying",$R460="Dragon",$R460="Grass",$R460="Ground"),0-1,IF(OR($R460="Steel",$R460="Ice",$R460="Fire",$R460="Water"),1,0)),IF(OR($S460="Flying",$S460="Dragon",$S460="Grass",$S460="Ground"),0-1,IF(OR($S460="Steel",$S460="Ice",$S460="Fire",$S460="Water"),1,0)))</f>
        <v>-1</v>
      </c>
      <c r="AO460" s="507" t="n">
        <f aca="false">IF(OR($R460="Ghost",$S460="Ghost"),4,SUM(IF(OR($R460="Steel",$R460="Rock"),1,0),IF(OR($S460="Steel",$S460="Rock"),1,0)))</f>
        <v>0</v>
      </c>
      <c r="AP460" s="507" t="n">
        <f aca="false">IF(OR($R460="Steel",$S460="Steel"),4,SUM(IF(OR($R460="Fairy",$R460="Grass"),0-1,IF(OR($R460="Ghost",$R460="Rock",$R460="Ground",$R460="Poison"),1,0)),IF(OR($S460="Fairy",$S460="Grass"),0-1,IF(OR($S460="Ghost",$S460="Rock",$S460="Ground",$S460="Poison"),1,0))))</f>
        <v>-1</v>
      </c>
      <c r="AQ460" s="507" t="n">
        <f aca="false">IF(OR($R460="Dark",$S460="Dark"),4,SUM(IF(OR($R460="Fighting",$R460="Poison"),0-1,IF(OR($R460="Psychic",$R460="Steel"),1,0)),IF(OR($S460="Fighting",$S460="Poison"),0-1,IF(OR($S460="Psychic",$S460="Steel"),1,0))))</f>
        <v>0</v>
      </c>
      <c r="AR460" s="507" t="n">
        <f aca="false">SUM(IF(OR($R460="Bug",$R460="Fire",$R460="Flying",$R460="Ice"),0-1,IF(OR($R460="Steel",$R460="Fighting",$R460="Ground"),1,0)),IF(OR($S460="Bug",$S460="Fire",$S460="Flying",$S460="Ice"),0-1,IF(OR($S460="Steel",$S460="Fighting",$S460="Ground"),1,0)))</f>
        <v>0</v>
      </c>
      <c r="AS460" s="507" t="n">
        <f aca="false">SUM(IF(OR($R460="Fairy",$R460="Ice",$R460="Rock"),0-1,IF(OR($R460="Steel",$R460="Electric",$R460="Fire",$R460="Water"),1,0)),IF(OR($S460="Fairy",$S460="Ice",$S460="Rock"),0-1,IF(OR($S460="Steel",$S460="Electric",$S460="Fire",$S460="Water"),1,0)))</f>
        <v>0</v>
      </c>
      <c r="AT460" s="508" t="n">
        <f aca="false">SUM(IF(OR($R460="Fire",$R460="Ground",$R460="Rock"),0-1,IF(OR($R460="Dragon",$R460="Grass",$R460="Water"),1,0)),IF(OR($S460="Fire",$S460="Ground",$S460="Rock"),0-1,IF(OR($S460="Dragon",$S460="Grass",$S460="Water"),1,0)))</f>
        <v>1</v>
      </c>
      <c r="AU460" s="518"/>
    </row>
    <row r="461" customFormat="false" ht="15.75" hidden="false" customHeight="false" outlineLevel="0" collapsed="false">
      <c r="A461" s="515" t="str">
        <f aca="false" t="array" ref="A461:A461">IF(ISNA(INDEX(Source!$U$7:$U$95,MATCH(B461,Source!$V$7:$V$95,0))),"FREE",INDEX(Source!$U$7:$U$95,MATCH(B461,Source!$V$7:$V$95,0)))</f>
        <v>BBG</v>
      </c>
      <c r="B461" s="511" t="s">
        <v>53</v>
      </c>
      <c r="C461" s="511"/>
      <c r="D461" s="511"/>
      <c r="E461" s="499" t="n">
        <f aca="false">IF(SUM($W461:$X461)&gt;0,SUM($W461:$X461),IF($H461&gt;0,0,IF($H461&gt;0,0,"-")))</f>
        <v>0</v>
      </c>
      <c r="F461" s="499" t="n">
        <f aca="false">IF(SUM($Y461:$Z461)&gt;0,SUM($Y461:$Z461),IF($H461&gt;0,0,"-"))</f>
        <v>0</v>
      </c>
      <c r="G461" s="499" t="e">
        <f aca="false">IF($H461&gt;0,minus(E461,F461),"-")</f>
        <v>#NAME?</v>
      </c>
      <c r="H461" s="500" t="n">
        <f aca="false">SUM(COUNTIF(MatchSource!$A:$A,$B461),COUNTIF(MatchSource!$H:$H,$B461))</f>
        <v>5</v>
      </c>
      <c r="I461" s="501" t="n">
        <f aca="false">SUM($AA461:$AB461)</f>
        <v>0</v>
      </c>
      <c r="J461" s="501" t="s">
        <v>698</v>
      </c>
      <c r="K461" s="512" t="n">
        <f aca="false" t="array" ref="K461:K461">IF(ISNA(INDEX(DraftRosters!$AA$3:$AA$199,MATCH($B461,DraftRosters!$AB$3:$AB$199,0))),"FA",IF(INDEX(DraftRosters!$AA$3:$AA$199,MATCH($B461,DraftRosters!$AB$3:$AB$199,0))="Franchise","Franch",INDEX(DraftRosters!$AA$3:$AA$199,MATCH($B461,DraftRosters!$AB$3:$AB$199,0))))</f>
        <v>3</v>
      </c>
      <c r="L461" s="499" t="n">
        <v>70</v>
      </c>
      <c r="M461" s="499" t="n">
        <v>130</v>
      </c>
      <c r="N461" s="499" t="n">
        <v>115</v>
      </c>
      <c r="O461" s="499" t="n">
        <v>85</v>
      </c>
      <c r="P461" s="499" t="n">
        <v>95</v>
      </c>
      <c r="Q461" s="501" t="n">
        <v>75</v>
      </c>
      <c r="R461" s="499" t="s">
        <v>798</v>
      </c>
      <c r="S461" s="501" t="s">
        <v>803</v>
      </c>
      <c r="T461" s="513" t="s">
        <v>1071</v>
      </c>
      <c r="U461" s="513" t="s">
        <v>879</v>
      </c>
      <c r="V461" s="514"/>
      <c r="W461" s="500" t="str">
        <f aca="false">IFERROR(__xludf.dummyfunction("if(isna(SUM(FILTER(MatchSource!$A:$D,MatchSource!$A:$A=$B461))),0,SUM(FILTER(MatchSource!$A:$D,MatchSource!$A:$A=$B461)))"),"1")</f>
        <v>1</v>
      </c>
      <c r="X461" s="499" t="str">
        <f aca="false">IFERROR(__xludf.dummyfunction("if(isna(SUM(FILTER(MatchSource!$H:$K,MatchSource!$H:$H=$B461))),0,SUM(FILTER(MatchSource!$H:$K,MatchSource!$H:$H=$B461)))"),"1")</f>
        <v>1</v>
      </c>
      <c r="Y461" s="499" t="str">
        <f aca="false">IFERROR(__xludf.dummyfunction("if(isna(ABS(MINUS(SUM(FILTER(MatchSource!$A:$E,MatchSource!$A:$A=$B461)),SUM($W461)))),0,ABS(MINUS(SUM(FILTER(MatchSource!$A:$E,MatchSource!$A:$A=$B461)),SUM($W461))))"),"1")</f>
        <v>1</v>
      </c>
      <c r="Z461" s="499" t="str">
        <f aca="false">IFERROR(__xludf.dummyfunction("if(isna(ABS(MINUS(SUM(FILTER(MatchSource!$H:$L,MatchSource!$H:$H=$B461)),SUM($X461)))),0,ABS(MINUS(SUM(FILTER(MatchSource!$H:$L,MatchSource!$H:$H=$B461)),SUM($X461))))"),"3")</f>
        <v>3</v>
      </c>
      <c r="AA461" s="499" t="str">
        <f aca="false">IFERROR(__xludf.dummyfunction("if(isna(ABS(MINUS(SUM(FILTER(MatchSource!$A:$F,MatchSource!$A:$A=$B461)),SUM($W461,$Y461)))),0,ABS(MINUS(SUM(FILTER(MatchSource!$A:$F,MatchSource!$A:$A=$B461)),SUM($W461, $Y461,))))"),"1")</f>
        <v>1</v>
      </c>
      <c r="AB461" s="501" t="str">
        <f aca="false">IFERROR(__xludf.dummyfunction("if(isna(ABS(MINUS(SUM(FILTER(MatchSource!$H:$M,MatchSource!$H:$H=$B461)),SUM($X461,$Z461)))),0,ABS(MINUS(SUM(FILTER(MatchSource!$H:$M,MatchSource!$H:$H=$B461)),SUM($X461,$Z461))))"),"1")</f>
        <v>1</v>
      </c>
      <c r="AC461" s="507" t="n">
        <f aca="false">SUM(IF(OR($R461="Grass",$R461="Psychic",$R461="Dark"),0-1,IF(OR($R461="Fighting",$R461="Flying",$R461="Fire",$R461="Ghost",$R461="Poison",$R461="Steel",$R461="Fairy"),1,0)),IF(OR($S461="Grass",$S461="Psychic",$S461="Dark"),0-1,IF(OR($S461="Fighting",$S461="Flying",$S461="Fire",$S461="Ghost",$S461="Poison",$S461="Steel",$S461="Fairy"),1,0)))</f>
        <v>0</v>
      </c>
      <c r="AD461" s="507" t="n">
        <f aca="false">SUM(IF(OR($R461="Ghost",$R461="Psychic"),0-1,IF(OR($R461="Fighting",$R461="Dark",$R461="Fairy"),1,0)),IF(OR($S461="Ghost",$S461="Psychic"),0-1,IF(OR($S461="Fighting",$S461="Dark",$S461="Fairy"),1,0)))</f>
        <v>1</v>
      </c>
      <c r="AE461" s="507" t="n">
        <f aca="false">IF(OR($R461="Fairy",$S461="Fairy"),4,SUM(IF($R461="Dragon",0-1,IF($R461="Steel",1,0)),IF($S461="Dragon",0-1,IF($S461="Steel",1,0))))</f>
        <v>4</v>
      </c>
      <c r="AF461" s="507" t="n">
        <f aca="false">IF(OR($R461="Ground",$S461="Ground"),4,SUM(IF(OR($R461="Flying",$R461="Water"),0-1,IF(OR($R461="Dragon",$R461="Electric",$R461="Grass"),1,0)),IF(OR($S461="Flying",$S461="Water"),0-1,IF(OR($S461="Dragon",$S461="Electric",$S461="Grass"),1,0))))</f>
        <v>1</v>
      </c>
      <c r="AG461" s="507" t="n">
        <f aca="false">SUM(IF(OR($R461="Dark",$R461="Dragon",$R461="Fighting"),0-1,IF(OR($R461="Steel",$R461="Poison",$R461="Fire"),1,0)),IF(OR($S461="Dark",$S461="Dragon",$S461="Fighting"),0-1,IF(OR($S461="Steel",$S461="Poison",$S461="Fire"),1,0)))</f>
        <v>0</v>
      </c>
      <c r="AH461" s="507" t="n">
        <f aca="false">IF(OR($R461="Ghost",$S461="Ghost"),4,SUM(IF(OR($R461="Dark",$R461="Ice",$R461="Normal",$R461="Rock",$R461="Steel"),0-1,IF(OR($R461="Bug",$R461="Fairy",$R461="Flying",$R461="Poison",$R461="Psychic"),1,0)),IF(OR($S461="Dark",$S461="Ice",$S461="Normal",$S461="Rock",$S461="Steel"),0-1,IF(OR($S461="Bug",$S461="Fairy",$S461="Flying",$S461="Poison",$S461="Psychic"),1,0))))</f>
        <v>1</v>
      </c>
      <c r="AI461" s="507" t="n">
        <f aca="false">SUM(IF(OR($R461="Bug",$R461="Grass",$R461="Ice",$R461="Steel"),0-1,IF(OR($R461="Dragon",$R461="Fire",$R461="Rock",$R461="Water"),1,0)),IF(OR($S461="Bug",$S461="Grass",$S461="Ice",$S461="Steel"),0-1,IF(OR($S461="Dragon",$S461="Fire",$S461="Rock",$S461="Water"),1,0)))</f>
        <v>-1</v>
      </c>
      <c r="AJ461" s="507" t="n">
        <f aca="false">SUM(IF(OR($R461="Bug",$R461="Grass",$R461="Fighting"),0-1,IF(OR($R461="Electric",$R461="Rock",$R461="Steel"),1,0)),IF(OR($S461="Bug",$S461="Grass",$S461="Fighting"),0-1,IF(OR($S461="Electric",$S461="Rock",$S461="Steel"),1,0)))</f>
        <v>-1</v>
      </c>
      <c r="AK461" s="507" t="n">
        <f aca="false">IF(OR($R461="Normal",$S461="Normal"),4,SUM(IF(OR($R461="Ghost",$R461="Psychic"),0-1,IF($R461="Dark",1,0)),IF(OR($S461="Ghost",$S461="Psychic"),0-1,IF($S461="Dark",1,0))))</f>
        <v>0</v>
      </c>
      <c r="AL461" s="507" t="n">
        <f aca="false">SUM(IF(OR($R461="Ground",$R461="Rock",$R461="Water"),0-1,IF(OR($R461="Bug",$R461="Flying",$R461="Fire",$R461="Dragon",$R461="Poison",$R461="Steel",$R461="Grass"),1,0)),IF(OR($S461="Ground",$S461="Rock",$S461="Water"),0-1,IF(OR($S461="Bug",$S461="Flying",$S461="Fire",$S461="Dragon",$S461="Poison",$S461="Steel",$S461="Grass"),1,0)))</f>
        <v>1</v>
      </c>
      <c r="AM461" s="507" t="n">
        <f aca="false">IF(OR($R461="Flying",$S461="Flying"),4,SUM(IF(OR($R461="Electric",$R461="Fire",$R461="Rock",$R461="Steel",$R461="Poison"),0-1,IF(OR($R461="Bug",$R461="Grass"),1,0)),IF(OR($S461="Electric",$S461="Fire",$S461="Rock",$S461="Steel",$S461="Poison"),0-1,IF(OR($S461="Bug",$S461="Grass"),1,0))))</f>
        <v>1</v>
      </c>
      <c r="AN461" s="507" t="n">
        <f aca="false">SUM(IF(OR($R461="Flying",$R461="Dragon",$R461="Grass",$R461="Ground"),0-1,IF(OR($R461="Steel",$R461="Ice",$R461="Fire",$R461="Water"),1,0)),IF(OR($S461="Flying",$S461="Dragon",$S461="Grass",$S461="Ground"),0-1,IF(OR($S461="Steel",$S461="Ice",$S461="Fire",$S461="Water"),1,0)))</f>
        <v>-1</v>
      </c>
      <c r="AO461" s="507" t="n">
        <f aca="false">IF(OR($R461="Ghost",$S461="Ghost"),4,SUM(IF(OR($R461="Steel",$R461="Rock"),1,0),IF(OR($S461="Steel",$S461="Rock"),1,0)))</f>
        <v>0</v>
      </c>
      <c r="AP461" s="507" t="n">
        <f aca="false">IF(OR($R461="Steel",$S461="Steel"),4,SUM(IF(OR($R461="Fairy",$R461="Grass"),0-1,IF(OR($R461="Ghost",$R461="Rock",$R461="Ground",$R461="Poison"),1,0)),IF(OR($S461="Fairy",$S461="Grass"),0-1,IF(OR($S461="Ghost",$S461="Rock",$S461="Ground",$S461="Poison"),1,0))))</f>
        <v>-2</v>
      </c>
      <c r="AQ461" s="507" t="n">
        <f aca="false">IF(OR($R461="Dark",$S461="Dark"),4,SUM(IF(OR($R461="Fighting",$R461="Poison"),0-1,IF(OR($R461="Psychic",$R461="Steel"),1,0)),IF(OR($S461="Fighting",$S461="Poison"),0-1,IF(OR($S461="Psychic",$S461="Steel"),1,0))))</f>
        <v>0</v>
      </c>
      <c r="AR461" s="507" t="n">
        <f aca="false">SUM(IF(OR($R461="Bug",$R461="Fire",$R461="Flying",$R461="Ice"),0-1,IF(OR($R461="Steel",$R461="Fighting",$R461="Ground"),1,0)),IF(OR($S461="Bug",$S461="Fire",$S461="Flying",$S461="Ice"),0-1,IF(OR($S461="Steel",$S461="Fighting",$S461="Ground"),1,0)))</f>
        <v>0</v>
      </c>
      <c r="AS461" s="507" t="n">
        <f aca="false">SUM(IF(OR($R461="Fairy",$R461="Ice",$R461="Rock"),0-1,IF(OR($R461="Steel",$R461="Electric",$R461="Fire",$R461="Water"),1,0)),IF(OR($S461="Fairy",$S461="Ice",$S461="Rock"),0-1,IF(OR($S461="Steel",$S461="Electric",$S461="Fire",$S461="Water"),1,0)))</f>
        <v>-1</v>
      </c>
      <c r="AT461" s="508" t="n">
        <f aca="false">SUM(IF(OR($R461="Fire",$R461="Ground",$R461="Rock"),0-1,IF(OR($R461="Dragon",$R461="Grass",$R461="Water"),1,0)),IF(OR($S461="Fire",$S461="Ground",$S461="Rock"),0-1,IF(OR($S461="Dragon",$S461="Grass",$S461="Water"),1,0)))</f>
        <v>1</v>
      </c>
      <c r="AU461" s="518"/>
    </row>
    <row r="462" customFormat="false" ht="15.75" hidden="false" customHeight="false" outlineLevel="0" collapsed="false">
      <c r="A462" s="515" t="str">
        <f aca="false" t="array" ref="A462:A462">IF(ISNA(INDEX(Source!$U$7:$U$95,MATCH(B462,Source!$V$7:$V$95,0))),"FREE",INDEX(Source!$U$7:$U$95,MATCH(B462,Source!$V$7:$V$95,0)))</f>
        <v>FREE</v>
      </c>
      <c r="B462" s="511" t="s">
        <v>27</v>
      </c>
      <c r="C462" s="511"/>
      <c r="D462" s="511"/>
      <c r="E462" s="499" t="n">
        <f aca="false">IF(SUM($W462:$X462)&gt;0,SUM($W462:$X462),IF($H462&gt;0,0,IF($H462&gt;0,0,"-")))</f>
        <v>0</v>
      </c>
      <c r="F462" s="499" t="n">
        <f aca="false">IF(SUM($Y462:$Z462)&gt;0,SUM($Y462:$Z462),IF($H462&gt;0,0,"-"))</f>
        <v>0</v>
      </c>
      <c r="G462" s="499" t="e">
        <f aca="false">IF($H462&gt;0,minus(E462,F462),"-")</f>
        <v>#NAME?</v>
      </c>
      <c r="H462" s="500" t="n">
        <f aca="false">SUM(COUNTIF(MatchSource!$A:$A,$B462),COUNTIF(MatchSource!$H:$H,$B462))</f>
        <v>1</v>
      </c>
      <c r="I462" s="501" t="n">
        <f aca="false">SUM($AA462:$AB462)</f>
        <v>0</v>
      </c>
      <c r="J462" s="501" t="s">
        <v>698</v>
      </c>
      <c r="K462" s="512" t="n">
        <f aca="false" t="array" ref="K462:K462">IF(ISNA(INDEX(DraftRosters!$AA$3:$AA$199,MATCH($B462,DraftRosters!$AB$3:$AB$199,0))),"FA",IF(INDEX(DraftRosters!$AA$3:$AA$199,MATCH($B462,DraftRosters!$AB$3:$AB$199,0))="Franchise","Franch",INDEX(DraftRosters!$AA$3:$AA$199,MATCH($B462,DraftRosters!$AB$3:$AB$199,0))))</f>
        <v>6</v>
      </c>
      <c r="L462" s="499" t="n">
        <v>70</v>
      </c>
      <c r="M462" s="499" t="n">
        <v>75</v>
      </c>
      <c r="N462" s="499" t="n">
        <v>115</v>
      </c>
      <c r="O462" s="499" t="n">
        <v>95</v>
      </c>
      <c r="P462" s="499" t="n">
        <v>130</v>
      </c>
      <c r="Q462" s="501" t="n">
        <v>85</v>
      </c>
      <c r="R462" s="499" t="s">
        <v>798</v>
      </c>
      <c r="S462" s="501" t="s">
        <v>811</v>
      </c>
      <c r="T462" s="513" t="s">
        <v>1072</v>
      </c>
      <c r="U462" s="513" t="s">
        <v>879</v>
      </c>
      <c r="V462" s="514"/>
      <c r="W462" s="500" t="str">
        <f aca="false">IFERROR(__xludf.dummyfunction("if(isna(SUM(FILTER(MatchSource!$A:$D,MatchSource!$A:$A=$B462))),0,SUM(FILTER(MatchSource!$A:$D,MatchSource!$A:$A=$B462)))"),"0")</f>
        <v>0</v>
      </c>
      <c r="X462" s="499" t="str">
        <f aca="false">IFERROR(__xludf.dummyfunction("if(isna(SUM(FILTER(MatchSource!$H:$K,MatchSource!$H:$H=$B462))),0,SUM(FILTER(MatchSource!$H:$K,MatchSource!$H:$H=$B462)))"),"0")</f>
        <v>0</v>
      </c>
      <c r="Y462" s="499" t="str">
        <f aca="false">IFERROR(__xludf.dummyfunction("if(isna(ABS(MINUS(SUM(FILTER(MatchSource!$A:$E,MatchSource!$A:$A=$B462)),SUM($W462)))),0,ABS(MINUS(SUM(FILTER(MatchSource!$A:$E,MatchSource!$A:$A=$B462)),SUM($W462))))"),"1")</f>
        <v>1</v>
      </c>
      <c r="Z462" s="499" t="str">
        <f aca="false">IFERROR(__xludf.dummyfunction("if(isna(ABS(MINUS(SUM(FILTER(MatchSource!$H:$L,MatchSource!$H:$H=$B462)),SUM($X462)))),0,ABS(MINUS(SUM(FILTER(MatchSource!$H:$L,MatchSource!$H:$H=$B462)),SUM($X462))))"),"0")</f>
        <v>0</v>
      </c>
      <c r="AA462" s="499" t="str">
        <f aca="false">IFERROR(__xludf.dummyfunction("if(isna(ABS(MINUS(SUM(FILTER(MatchSource!$A:$F,MatchSource!$A:$A=$B462)),SUM($W462,$Y462)))),0,ABS(MINUS(SUM(FILTER(MatchSource!$A:$F,MatchSource!$A:$A=$B462)),SUM($W462, $Y462,))))"),"0")</f>
        <v>0</v>
      </c>
      <c r="AB462" s="501" t="str">
        <f aca="false">IFERROR(__xludf.dummyfunction("if(isna(ABS(MINUS(SUM(FILTER(MatchSource!$H:$M,MatchSource!$H:$H=$B462)),SUM($X462,$Z462)))),0,ABS(MINUS(SUM(FILTER(MatchSource!$H:$M,MatchSource!$H:$H=$B462)),SUM($X462,$Z462))))"),"0")</f>
        <v>0</v>
      </c>
      <c r="AC462" s="507" t="n">
        <f aca="false">SUM(IF(OR($R462="Grass",$R462="Psychic",$R462="Dark"),0-1,IF(OR($R462="Fighting",$R462="Flying",$R462="Fire",$R462="Ghost",$R462="Poison",$R462="Steel",$R462="Fairy"),1,0)),IF(OR($S462="Grass",$S462="Psychic",$S462="Dark"),0-1,IF(OR($S462="Fighting",$S462="Flying",$S462="Fire",$S462="Ghost",$S462="Poison",$S462="Steel",$S462="Fairy"),1,0)))</f>
        <v>1</v>
      </c>
      <c r="AD462" s="507" t="n">
        <f aca="false">SUM(IF(OR($R462="Ghost",$R462="Psychic"),0-1,IF(OR($R462="Fighting",$R462="Dark",$R462="Fairy"),1,0)),IF(OR($S462="Ghost",$S462="Psychic"),0-1,IF(OR($S462="Fighting",$S462="Dark",$S462="Fairy"),1,0)))</f>
        <v>1</v>
      </c>
      <c r="AE462" s="507" t="n">
        <f aca="false">IF(OR($R462="Fairy",$S462="Fairy"),4,SUM(IF($R462="Dragon",0-1,IF($R462="Steel",1,0)),IF($S462="Dragon",0-1,IF($S462="Steel",1,0))))</f>
        <v>4</v>
      </c>
      <c r="AF462" s="507" t="n">
        <f aca="false">IF(OR($R462="Ground",$S462="Ground"),4,SUM(IF(OR($R462="Flying",$R462="Water"),0-1,IF(OR($R462="Dragon",$R462="Electric",$R462="Grass"),1,0)),IF(OR($S462="Flying",$S462="Water"),0-1,IF(OR($S462="Dragon",$S462="Electric",$S462="Grass"),1,0))))</f>
        <v>-1</v>
      </c>
      <c r="AG462" s="507" t="n">
        <f aca="false">SUM(IF(OR($R462="Dark",$R462="Dragon",$R462="Fighting"),0-1,IF(OR($R462="Steel",$R462="Poison",$R462="Fire"),1,0)),IF(OR($S462="Dark",$S462="Dragon",$S462="Fighting"),0-1,IF(OR($S462="Steel",$S462="Poison",$S462="Fire"),1,0)))</f>
        <v>0</v>
      </c>
      <c r="AH462" s="507" t="n">
        <f aca="false">IF(OR($R462="Ghost",$S462="Ghost"),4,SUM(IF(OR($R462="Dark",$R462="Ice",$R462="Normal",$R462="Rock",$R462="Steel"),0-1,IF(OR($R462="Bug",$R462="Fairy",$R462="Flying",$R462="Poison",$R462="Psychic"),1,0)),IF(OR($S462="Dark",$S462="Ice",$S462="Normal",$S462="Rock",$S462="Steel"),0-1,IF(OR($S462="Bug",$S462="Fairy",$S462="Flying",$S462="Poison",$S462="Psychic"),1,0))))</f>
        <v>1</v>
      </c>
      <c r="AI462" s="507" t="n">
        <f aca="false">SUM(IF(OR($R462="Bug",$R462="Grass",$R462="Ice",$R462="Steel"),0-1,IF(OR($R462="Dragon",$R462="Fire",$R462="Rock",$R462="Water"),1,0)),IF(OR($S462="Bug",$S462="Grass",$S462="Ice",$S462="Steel"),0-1,IF(OR($S462="Dragon",$S462="Fire",$S462="Rock",$S462="Water"),1,0)))</f>
        <v>1</v>
      </c>
      <c r="AJ462" s="507" t="n">
        <f aca="false">SUM(IF(OR($R462="Bug",$R462="Grass",$R462="Fighting"),0-1,IF(OR($R462="Electric",$R462="Rock",$R462="Steel"),1,0)),IF(OR($S462="Bug",$S462="Grass",$S462="Fighting"),0-1,IF(OR($S462="Electric",$S462="Rock",$S462="Steel"),1,0)))</f>
        <v>0</v>
      </c>
      <c r="AK462" s="507" t="n">
        <f aca="false">IF(OR($R462="Normal",$S462="Normal"),4,SUM(IF(OR($R462="Ghost",$R462="Psychic"),0-1,IF($R462="Dark",1,0)),IF(OR($S462="Ghost",$S462="Psychic"),0-1,IF($S462="Dark",1,0))))</f>
        <v>0</v>
      </c>
      <c r="AL462" s="507" t="n">
        <f aca="false">SUM(IF(OR($R462="Ground",$R462="Rock",$R462="Water"),0-1,IF(OR($R462="Bug",$R462="Flying",$R462="Fire",$R462="Dragon",$R462="Poison",$R462="Steel",$R462="Grass"),1,0)),IF(OR($S462="Ground",$S462="Rock",$S462="Water"),0-1,IF(OR($S462="Bug",$S462="Flying",$S462="Fire",$S462="Dragon",$S462="Poison",$S462="Steel",$S462="Grass"),1,0)))</f>
        <v>-1</v>
      </c>
      <c r="AM462" s="507" t="n">
        <f aca="false">IF(OR($R462="Flying",$S462="Flying"),4,SUM(IF(OR($R462="Electric",$R462="Fire",$R462="Rock",$R462="Steel",$R462="Poison"),0-1,IF(OR($R462="Bug",$R462="Grass"),1,0)),IF(OR($S462="Electric",$S462="Fire",$S462="Rock",$S462="Steel",$S462="Poison"),0-1,IF(OR($S462="Bug",$S462="Grass"),1,0))))</f>
        <v>0</v>
      </c>
      <c r="AN462" s="507" t="n">
        <f aca="false">SUM(IF(OR($R462="Flying",$R462="Dragon",$R462="Grass",$R462="Ground"),0-1,IF(OR($R462="Steel",$R462="Ice",$R462="Fire",$R462="Water"),1,0)),IF(OR($S462="Flying",$S462="Dragon",$S462="Grass",$S462="Ground"),0-1,IF(OR($S462="Steel",$S462="Ice",$S462="Fire",$S462="Water"),1,0)))</f>
        <v>1</v>
      </c>
      <c r="AO462" s="507" t="n">
        <f aca="false">IF(OR($R462="Ghost",$S462="Ghost"),4,SUM(IF(OR($R462="Steel",$R462="Rock"),1,0),IF(OR($S462="Steel",$S462="Rock"),1,0)))</f>
        <v>0</v>
      </c>
      <c r="AP462" s="507" t="n">
        <f aca="false">IF(OR($R462="Steel",$S462="Steel"),4,SUM(IF(OR($R462="Fairy",$R462="Grass"),0-1,IF(OR($R462="Ghost",$R462="Rock",$R462="Ground",$R462="Poison"),1,0)),IF(OR($S462="Fairy",$S462="Grass"),0-1,IF(OR($S462="Ghost",$S462="Rock",$S462="Ground",$S462="Poison"),1,0))))</f>
        <v>-1</v>
      </c>
      <c r="AQ462" s="507" t="n">
        <f aca="false">IF(OR($R462="Dark",$S462="Dark"),4,SUM(IF(OR($R462="Fighting",$R462="Poison"),0-1,IF(OR($R462="Psychic",$R462="Steel"),1,0)),IF(OR($S462="Fighting",$S462="Poison"),0-1,IF(OR($S462="Psychic",$S462="Steel"),1,0))))</f>
        <v>0</v>
      </c>
      <c r="AR462" s="507" t="n">
        <f aca="false">SUM(IF(OR($R462="Bug",$R462="Fire",$R462="Flying",$R462="Ice"),0-1,IF(OR($R462="Steel",$R462="Fighting",$R462="Ground"),1,0)),IF(OR($S462="Bug",$S462="Fire",$S462="Flying",$S462="Ice"),0-1,IF(OR($S462="Steel",$S462="Fighting",$S462="Ground"),1,0)))</f>
        <v>0</v>
      </c>
      <c r="AS462" s="507" t="n">
        <f aca="false">SUM(IF(OR($R462="Fairy",$R462="Ice",$R462="Rock"),0-1,IF(OR($R462="Steel",$R462="Electric",$R462="Fire",$R462="Water"),1,0)),IF(OR($S462="Fairy",$S462="Ice",$S462="Rock"),0-1,IF(OR($S462="Steel",$S462="Electric",$S462="Fire",$S462="Water"),1,0)))</f>
        <v>0</v>
      </c>
      <c r="AT462" s="508" t="n">
        <f aca="false">SUM(IF(OR($R462="Fire",$R462="Ground",$R462="Rock"),0-1,IF(OR($R462="Dragon",$R462="Grass",$R462="Water"),1,0)),IF(OR($S462="Fire",$S462="Ground",$S462="Rock"),0-1,IF(OR($S462="Dragon",$S462="Grass",$S462="Water"),1,0)))</f>
        <v>1</v>
      </c>
      <c r="AU462" s="518"/>
    </row>
    <row r="463" customFormat="false" ht="15.75" hidden="false" customHeight="false" outlineLevel="0" collapsed="false">
      <c r="A463" s="545" t="str">
        <f aca="false" t="array" ref="A463:A463">IF(ISNA(INDEX(Source!$U$7:$U$95,MATCH(B463,Source!$V$7:$V$95,0))),"FREE",INDEX(Source!$U$7:$U$95,MATCH(B463,Source!$V$7:$V$95,0)))</f>
        <v>LVC</v>
      </c>
      <c r="B463" s="546" t="s">
        <v>60</v>
      </c>
      <c r="C463" s="546"/>
      <c r="D463" s="546"/>
      <c r="E463" s="499" t="n">
        <f aca="false">IF(SUM($W463:$X463)&gt;0,SUM($W463:$X463),IF($H463&gt;0,0,IF($H463&gt;0,0,"-")))</f>
        <v>0</v>
      </c>
      <c r="F463" s="499" t="n">
        <f aca="false">IF(SUM($Y463:$Z463)&gt;0,SUM($Y463:$Z463),IF($H463&gt;0,0,"-"))</f>
        <v>0</v>
      </c>
      <c r="G463" s="499" t="e">
        <f aca="false">IF($H463&gt;0,minus(E463,F463),"-")</f>
        <v>#NAME?</v>
      </c>
      <c r="H463" s="500" t="n">
        <f aca="false">SUM(COUNTIF(MatchSource!$A:$A,$B463),COUNTIF(MatchSource!$H:$H,$B463))</f>
        <v>4</v>
      </c>
      <c r="I463" s="501" t="n">
        <f aca="false">SUM($AA463:$AB463)</f>
        <v>0</v>
      </c>
      <c r="J463" s="547" t="s">
        <v>698</v>
      </c>
      <c r="K463" s="548" t="n">
        <f aca="false" t="array" ref="K463:K463">IF(ISNA(INDEX(DraftRosters!$AA$3:$AA$199,MATCH($B463,DraftRosters!$AB$3:$AB$199,0))),"FA",IF(INDEX(DraftRosters!$AA$3:$AA$199,MATCH($B463,DraftRosters!$AB$3:$AB$199,0))="Franchise","Franch",INDEX(DraftRosters!$AA$3:$AA$199,MATCH($B463,DraftRosters!$AB$3:$AB$199,0))))</f>
        <v>14</v>
      </c>
      <c r="L463" s="549" t="n">
        <v>70</v>
      </c>
      <c r="M463" s="549" t="n">
        <v>115</v>
      </c>
      <c r="N463" s="549" t="n">
        <v>85</v>
      </c>
      <c r="O463" s="549" t="n">
        <v>95</v>
      </c>
      <c r="P463" s="549" t="n">
        <v>75</v>
      </c>
      <c r="Q463" s="547" t="n">
        <v>130</v>
      </c>
      <c r="R463" s="549" t="s">
        <v>845</v>
      </c>
      <c r="S463" s="547" t="s">
        <v>798</v>
      </c>
      <c r="T463" s="550" t="s">
        <v>1073</v>
      </c>
      <c r="U463" s="550" t="s">
        <v>879</v>
      </c>
      <c r="V463" s="514"/>
      <c r="W463" s="500" t="str">
        <f aca="false">IFERROR(__xludf.dummyfunction("if(isna(SUM(FILTER(MatchSource!$A:$D,MatchSource!$A:$A=$B463))),0,SUM(FILTER(MatchSource!$A:$D,MatchSource!$A:$A=$B463)))"),"2")</f>
        <v>2</v>
      </c>
      <c r="X463" s="499" t="str">
        <f aca="false">IFERROR(__xludf.dummyfunction("if(isna(SUM(FILTER(MatchSource!$H:$K,MatchSource!$H:$H=$B463))),0,SUM(FILTER(MatchSource!$H:$K,MatchSource!$H:$H=$B463)))"),"3")</f>
        <v>3</v>
      </c>
      <c r="Y463" s="499" t="str">
        <f aca="false">IFERROR(__xludf.dummyfunction("if(isna(ABS(MINUS(SUM(FILTER(MatchSource!$A:$E,MatchSource!$A:$A=$B463)),SUM($W463)))),0,ABS(MINUS(SUM(FILTER(MatchSource!$A:$E,MatchSource!$A:$A=$B463)),SUM($W463))))"),"1")</f>
        <v>1</v>
      </c>
      <c r="Z463" s="499" t="str">
        <f aca="false">IFERROR(__xludf.dummyfunction("if(isna(ABS(MINUS(SUM(FILTER(MatchSource!$H:$L,MatchSource!$H:$H=$B463)),SUM($X463)))),0,ABS(MINUS(SUM(FILTER(MatchSource!$H:$L,MatchSource!$H:$H=$B463)),SUM($X463))))"),"1")</f>
        <v>1</v>
      </c>
      <c r="AA463" s="499" t="str">
        <f aca="false">IFERROR(__xludf.dummyfunction("if(isna(ABS(MINUS(SUM(FILTER(MatchSource!$A:$F,MatchSource!$A:$A=$B463)),SUM($W463,$Y463)))),0,ABS(MINUS(SUM(FILTER(MatchSource!$A:$F,MatchSource!$A:$A=$B463)),SUM($W463, $Y463,))))"),"1")</f>
        <v>1</v>
      </c>
      <c r="AB463" s="501" t="str">
        <f aca="false">IFERROR(__xludf.dummyfunction("if(isna(ABS(MINUS(SUM(FILTER(MatchSource!$H:$M,MatchSource!$H:$H=$B463)),SUM($X463,$Z463)))),0,ABS(MINUS(SUM(FILTER(MatchSource!$H:$M,MatchSource!$H:$H=$B463)),SUM($X463,$Z463))))"),"1")</f>
        <v>1</v>
      </c>
      <c r="AC463" s="507" t="n">
        <f aca="false">SUM(IF(OR($R463="Grass",$R463="Psychic",$R463="Dark"),0-1,IF(OR($R463="Fighting",$R463="Flying",$R463="Fire",$R463="Ghost",$R463="Poison",$R463="Steel",$R463="Fairy"),1,0)),IF(OR($S463="Grass",$S463="Psychic",$S463="Dark"),0-1,IF(OR($S463="Fighting",$S463="Flying",$S463="Fire",$S463="Ghost",$S463="Poison",$S463="Steel",$S463="Fairy"),1,0)))</f>
        <v>1</v>
      </c>
      <c r="AD463" s="507" t="n">
        <f aca="false">SUM(IF(OR($R463="Ghost",$R463="Psychic"),0-1,IF(OR($R463="Fighting",$R463="Dark",$R463="Fairy"),1,0)),IF(OR($S463="Ghost",$S463="Psychic"),0-1,IF(OR($S463="Fighting",$S463="Dark",$S463="Fairy"),1,0)))</f>
        <v>1</v>
      </c>
      <c r="AE463" s="507" t="n">
        <f aca="false">IF(OR($R463="Fairy",$S463="Fairy"),4,SUM(IF($R463="Dragon",0-1,IF($R463="Steel",1,0)),IF($S463="Dragon",0-1,IF($S463="Steel",1,0))))</f>
        <v>4</v>
      </c>
      <c r="AF463" s="507" t="n">
        <f aca="false">IF(OR($R463="Ground",$S463="Ground"),4,SUM(IF(OR($R463="Flying",$R463="Water"),0-1,IF(OR($R463="Dragon",$R463="Electric",$R463="Grass"),1,0)),IF(OR($S463="Flying",$S463="Water"),0-1,IF(OR($S463="Dragon",$S463="Electric",$S463="Grass"),1,0))))</f>
        <v>1</v>
      </c>
      <c r="AG463" s="507" t="n">
        <f aca="false">SUM(IF(OR($R463="Dark",$R463="Dragon",$R463="Fighting"),0-1,IF(OR($R463="Steel",$R463="Poison",$R463="Fire"),1,0)),IF(OR($S463="Dark",$S463="Dragon",$S463="Fighting"),0-1,IF(OR($S463="Steel",$S463="Poison",$S463="Fire"),1,0)))</f>
        <v>0</v>
      </c>
      <c r="AH463" s="507" t="n">
        <f aca="false">IF(OR($R463="Ghost",$S463="Ghost"),4,SUM(IF(OR($R463="Dark",$R463="Ice",$R463="Normal",$R463="Rock",$R463="Steel"),0-1,IF(OR($R463="Bug",$R463="Fairy",$R463="Flying",$R463="Poison",$R463="Psychic"),1,0)),IF(OR($S463="Dark",$S463="Ice",$S463="Normal",$S463="Rock",$S463="Steel"),0-1,IF(OR($S463="Bug",$S463="Fairy",$S463="Flying",$S463="Poison",$S463="Psychic"),1,0))))</f>
        <v>1</v>
      </c>
      <c r="AI463" s="507" t="n">
        <f aca="false">SUM(IF(OR($R463="Bug",$R463="Grass",$R463="Ice",$R463="Steel"),0-1,IF(OR($R463="Dragon",$R463="Fire",$R463="Rock",$R463="Water"),1,0)),IF(OR($S463="Bug",$S463="Grass",$S463="Ice",$S463="Steel"),0-1,IF(OR($S463="Dragon",$S463="Fire",$S463="Rock",$S463="Water"),1,0)))</f>
        <v>0</v>
      </c>
      <c r="AJ463" s="507" t="n">
        <f aca="false">SUM(IF(OR($R463="Bug",$R463="Grass",$R463="Fighting"),0-1,IF(OR($R463="Electric",$R463="Rock",$R463="Steel"),1,0)),IF(OR($S463="Bug",$S463="Grass",$S463="Fighting"),0-1,IF(OR($S463="Electric",$S463="Rock",$S463="Steel"),1,0)))</f>
        <v>1</v>
      </c>
      <c r="AK463" s="507" t="n">
        <f aca="false">IF(OR($R463="Normal",$S463="Normal"),4,SUM(IF(OR($R463="Ghost",$R463="Psychic"),0-1,IF($R463="Dark",1,0)),IF(OR($S463="Ghost",$S463="Psychic"),0-1,IF($S463="Dark",1,0))))</f>
        <v>0</v>
      </c>
      <c r="AL463" s="507" t="n">
        <f aca="false">SUM(IF(OR($R463="Ground",$R463="Rock",$R463="Water"),0-1,IF(OR($R463="Bug",$R463="Flying",$R463="Fire",$R463="Dragon",$R463="Poison",$R463="Steel",$R463="Grass"),1,0)),IF(OR($S463="Ground",$S463="Rock",$S463="Water"),0-1,IF(OR($S463="Bug",$S463="Flying",$S463="Fire",$S463="Dragon",$S463="Poison",$S463="Steel",$S463="Grass"),1,0)))</f>
        <v>0</v>
      </c>
      <c r="AM463" s="507" t="n">
        <f aca="false">IF(OR($R463="Flying",$S463="Flying"),4,SUM(IF(OR($R463="Electric",$R463="Fire",$R463="Rock",$R463="Steel",$R463="Poison"),0-1,IF(OR($R463="Bug",$R463="Grass"),1,0)),IF(OR($S463="Electric",$S463="Fire",$S463="Rock",$S463="Steel",$S463="Poison"),0-1,IF(OR($S463="Bug",$S463="Grass"),1,0))))</f>
        <v>-1</v>
      </c>
      <c r="AN463" s="507" t="n">
        <f aca="false">SUM(IF(OR($R463="Flying",$R463="Dragon",$R463="Grass",$R463="Ground"),0-1,IF(OR($R463="Steel",$R463="Ice",$R463="Fire",$R463="Water"),1,0)),IF(OR($S463="Flying",$S463="Dragon",$S463="Grass",$S463="Ground"),0-1,IF(OR($S463="Steel",$S463="Ice",$S463="Fire",$S463="Water"),1,0)))</f>
        <v>0</v>
      </c>
      <c r="AO463" s="507" t="n">
        <f aca="false">IF(OR($R463="Ghost",$S463="Ghost"),4,SUM(IF(OR($R463="Steel",$R463="Rock"),1,0),IF(OR($S463="Steel",$S463="Rock"),1,0)))</f>
        <v>0</v>
      </c>
      <c r="AP463" s="507" t="n">
        <f aca="false">IF(OR($R463="Steel",$S463="Steel"),4,SUM(IF(OR($R463="Fairy",$R463="Grass"),0-1,IF(OR($R463="Ghost",$R463="Rock",$R463="Ground",$R463="Poison"),1,0)),IF(OR($S463="Fairy",$S463="Grass"),0-1,IF(OR($S463="Ghost",$S463="Rock",$S463="Ground",$S463="Poison"),1,0))))</f>
        <v>-1</v>
      </c>
      <c r="AQ463" s="507" t="n">
        <f aca="false">IF(OR($R463="Dark",$S463="Dark"),4,SUM(IF(OR($R463="Fighting",$R463="Poison"),0-1,IF(OR($R463="Psychic",$R463="Steel"),1,0)),IF(OR($S463="Fighting",$S463="Poison"),0-1,IF(OR($S463="Psychic",$S463="Steel"),1,0))))</f>
        <v>0</v>
      </c>
      <c r="AR463" s="507" t="n">
        <f aca="false">SUM(IF(OR($R463="Bug",$R463="Fire",$R463="Flying",$R463="Ice"),0-1,IF(OR($R463="Steel",$R463="Fighting",$R463="Ground"),1,0)),IF(OR($S463="Bug",$S463="Fire",$S463="Flying",$S463="Ice"),0-1,IF(OR($S463="Steel",$S463="Fighting",$S463="Ground"),1,0)))</f>
        <v>0</v>
      </c>
      <c r="AS463" s="507" t="n">
        <f aca="false">SUM(IF(OR($R463="Fairy",$R463="Ice",$R463="Rock"),0-1,IF(OR($R463="Steel",$R463="Electric",$R463="Fire",$R463="Water"),1,0)),IF(OR($S463="Fairy",$S463="Ice",$S463="Rock"),0-1,IF(OR($S463="Steel",$S463="Electric",$S463="Fire",$S463="Water"),1,0)))</f>
        <v>0</v>
      </c>
      <c r="AT463" s="508" t="n">
        <f aca="false">SUM(IF(OR($R463="Fire",$R463="Ground",$R463="Rock"),0-1,IF(OR($R463="Dragon",$R463="Grass",$R463="Water"),1,0)),IF(OR($S463="Fire",$S463="Ground",$S463="Rock"),0-1,IF(OR($S463="Dragon",$S463="Grass",$S463="Water"),1,0)))</f>
        <v>0</v>
      </c>
      <c r="AU463" s="518"/>
    </row>
    <row r="464" customFormat="false" ht="15.75" hidden="false" customHeight="false" outlineLevel="0" collapsed="false">
      <c r="A464" s="515" t="str">
        <f aca="false" t="array" ref="A464:A464">IF(ISNA(INDEX(Source!$U$7:$U$95,MATCH(B464,Source!$V$7:$V$95,0))),"FREE",INDEX(Source!$U$7:$U$95,MATCH(B464,Source!$V$7:$V$95,0)))</f>
        <v>FREE</v>
      </c>
      <c r="B464" s="511" t="s">
        <v>1074</v>
      </c>
      <c r="C464" s="511"/>
      <c r="D464" s="511"/>
      <c r="E464" s="499" t="str">
        <f aca="false">IF(SUM($W464:$X464)&gt;0,SUM($W464:$X464),IF($H464&gt;0,0,IF($H464&gt;0,0,"-")))</f>
        <v>-</v>
      </c>
      <c r="F464" s="499" t="str">
        <f aca="false">IF(SUM($Y464:$Z464)&gt;0,SUM($Y464:$Z464),IF($H464&gt;0,0,"-"))</f>
        <v>-</v>
      </c>
      <c r="G464" s="499" t="str">
        <f aca="false">IF($H464&gt;0,minus(E464,F464),"-")</f>
        <v>-</v>
      </c>
      <c r="H464" s="500" t="n">
        <f aca="false">SUM(COUNTIF(MatchSource!$A:$A,$B464),COUNTIF(MatchSource!$H:$H,$B464))</f>
        <v>0</v>
      </c>
      <c r="I464" s="501" t="n">
        <f aca="false">SUM($AA464:$AB464)</f>
        <v>0</v>
      </c>
      <c r="J464" s="501" t="s">
        <v>888</v>
      </c>
      <c r="K464" s="512" t="str">
        <f aca="false" t="array" ref="K464:K464">IF(ISNA(INDEX(DraftRosters!$AA$3:$AA$199,MATCH($B464,DraftRosters!$AB$3:$AB$199,0))),"FA",IF(INDEX(DraftRosters!$AA$3:$AA$199,MATCH($B464,DraftRosters!$AB$3:$AB$199,0))="Franchise","Franch",INDEX(DraftRosters!$AA$3:$AA$199,MATCH($B464,DraftRosters!$AB$3:$AB$199,0))))</f>
        <v>FA</v>
      </c>
      <c r="L464" s="499" t="n">
        <v>70</v>
      </c>
      <c r="M464" s="499" t="n">
        <v>85</v>
      </c>
      <c r="N464" s="499" t="n">
        <v>75</v>
      </c>
      <c r="O464" s="499" t="n">
        <v>130</v>
      </c>
      <c r="P464" s="499" t="n">
        <v>115</v>
      </c>
      <c r="Q464" s="501" t="n">
        <v>95</v>
      </c>
      <c r="R464" s="499" t="s">
        <v>798</v>
      </c>
      <c r="S464" s="501" t="s">
        <v>828</v>
      </c>
      <c r="T464" s="520" t="s">
        <v>1075</v>
      </c>
      <c r="U464" s="513" t="s">
        <v>879</v>
      </c>
      <c r="V464" s="514"/>
      <c r="W464" s="500" t="str">
        <f aca="false">IFERROR(__xludf.dummyfunction("if(isna(SUM(FILTER(MatchSource!$A:$D,MatchSource!$A:$A=$B464))),0,SUM(FILTER(MatchSource!$A:$D,MatchSource!$A:$A=$B464)))"),"0")</f>
        <v>0</v>
      </c>
      <c r="X464" s="499" t="str">
        <f aca="false">IFERROR(__xludf.dummyfunction("if(isna(SUM(FILTER(MatchSource!$H:$K,MatchSource!$H:$H=$B464))),0,SUM(FILTER(MatchSource!$H:$K,MatchSource!$H:$H=$B464)))"),"0")</f>
        <v>0</v>
      </c>
      <c r="Y464" s="499" t="str">
        <f aca="false">IFERROR(__xludf.dummyfunction("if(isna(ABS(MINUS(SUM(FILTER(MatchSource!$A:$E,MatchSource!$A:$A=$B464)),SUM($W464)))),0,ABS(MINUS(SUM(FILTER(MatchSource!$A:$E,MatchSource!$A:$A=$B464)),SUM($W464))))"),"0")</f>
        <v>0</v>
      </c>
      <c r="Z464" s="499" t="str">
        <f aca="false">IFERROR(__xludf.dummyfunction("if(isna(ABS(MINUS(SUM(FILTER(MatchSource!$H:$L,MatchSource!$H:$H=$B464)),SUM($X464)))),0,ABS(MINUS(SUM(FILTER(MatchSource!$H:$L,MatchSource!$H:$H=$B464)),SUM($X464))))"),"0")</f>
        <v>0</v>
      </c>
      <c r="AA464" s="499" t="str">
        <f aca="false">IFERROR(__xludf.dummyfunction("if(isna(ABS(MINUS(SUM(FILTER(MatchSource!$A:$F,MatchSource!$A:$A=$B464)),SUM($W464,$Y464)))),0,ABS(MINUS(SUM(FILTER(MatchSource!$A:$F,MatchSource!$A:$A=$B464)),SUM($W464, $Y464,))))"),"0")</f>
        <v>0</v>
      </c>
      <c r="AB464" s="501" t="str">
        <f aca="false">IFERROR(__xludf.dummyfunction("if(isna(ABS(MINUS(SUM(FILTER(MatchSource!$H:$M,MatchSource!$H:$H=$B464)),SUM($X464,$Z464)))),0,ABS(MINUS(SUM(FILTER(MatchSource!$H:$M,MatchSource!$H:$H=$B464)),SUM($X464,$Z464))))"),"0")</f>
        <v>0</v>
      </c>
      <c r="AC464" s="507" t="n">
        <f aca="false">SUM(IF(OR($R464="Grass",$R464="Psychic",$R464="Dark"),0-1,IF(OR($R464="Fighting",$R464="Flying",$R464="Fire",$R464="Ghost",$R464="Poison",$R464="Steel",$R464="Fairy"),1,0)),IF(OR($S464="Grass",$S464="Psychic",$S464="Dark"),0-1,IF(OR($S464="Fighting",$S464="Flying",$S464="Fire",$S464="Ghost",$S464="Poison",$S464="Steel",$S464="Fairy"),1,0)))</f>
        <v>0</v>
      </c>
      <c r="AD464" s="507" t="n">
        <f aca="false">SUM(IF(OR($R464="Ghost",$R464="Psychic"),0-1,IF(OR($R464="Fighting",$R464="Dark",$R464="Fairy"),1,0)),IF(OR($S464="Ghost",$S464="Psychic"),0-1,IF(OR($S464="Fighting",$S464="Dark",$S464="Fairy"),1,0)))</f>
        <v>0</v>
      </c>
      <c r="AE464" s="507" t="n">
        <f aca="false">IF(OR($R464="Fairy",$S464="Fairy"),4,SUM(IF($R464="Dragon",0-1,IF($R464="Steel",1,0)),IF($S464="Dragon",0-1,IF($S464="Steel",1,0))))</f>
        <v>4</v>
      </c>
      <c r="AF464" s="507" t="n">
        <f aca="false">IF(OR($R464="Ground",$S464="Ground"),4,SUM(IF(OR($R464="Flying",$R464="Water"),0-1,IF(OR($R464="Dragon",$R464="Electric",$R464="Grass"),1,0)),IF(OR($S464="Flying",$S464="Water"),0-1,IF(OR($S464="Dragon",$S464="Electric",$S464="Grass"),1,0))))</f>
        <v>0</v>
      </c>
      <c r="AG464" s="507" t="n">
        <f aca="false">SUM(IF(OR($R464="Dark",$R464="Dragon",$R464="Fighting"),0-1,IF(OR($R464="Steel",$R464="Poison",$R464="Fire"),1,0)),IF(OR($S464="Dark",$S464="Dragon",$S464="Fighting"),0-1,IF(OR($S464="Steel",$S464="Poison",$S464="Fire"),1,0)))</f>
        <v>0</v>
      </c>
      <c r="AH464" s="507" t="n">
        <f aca="false">IF(OR($R464="Ghost",$S464="Ghost"),4,SUM(IF(OR($R464="Dark",$R464="Ice",$R464="Normal",$R464="Rock",$R464="Steel"),0-1,IF(OR($R464="Bug",$R464="Fairy",$R464="Flying",$R464="Poison",$R464="Psychic"),1,0)),IF(OR($S464="Dark",$S464="Ice",$S464="Normal",$S464="Rock",$S464="Steel"),0-1,IF(OR($S464="Bug",$S464="Fairy",$S464="Flying",$S464="Poison",$S464="Psychic"),1,0))))</f>
        <v>2</v>
      </c>
      <c r="AI464" s="507" t="n">
        <f aca="false">SUM(IF(OR($R464="Bug",$R464="Grass",$R464="Ice",$R464="Steel"),0-1,IF(OR($R464="Dragon",$R464="Fire",$R464="Rock",$R464="Water"),1,0)),IF(OR($S464="Bug",$S464="Grass",$S464="Ice",$S464="Steel"),0-1,IF(OR($S464="Dragon",$S464="Fire",$S464="Rock",$S464="Water"),1,0)))</f>
        <v>0</v>
      </c>
      <c r="AJ464" s="507" t="n">
        <f aca="false">SUM(IF(OR($R464="Bug",$R464="Grass",$R464="Fighting"),0-1,IF(OR($R464="Electric",$R464="Rock",$R464="Steel"),1,0)),IF(OR($S464="Bug",$S464="Grass",$S464="Fighting"),0-1,IF(OR($S464="Electric",$S464="Rock",$S464="Steel"),1,0)))</f>
        <v>0</v>
      </c>
      <c r="AK464" s="507" t="n">
        <f aca="false">IF(OR($R464="Normal",$S464="Normal"),4,SUM(IF(OR($R464="Ghost",$R464="Psychic"),0-1,IF($R464="Dark",1,0)),IF(OR($S464="Ghost",$S464="Psychic"),0-1,IF($S464="Dark",1,0))))</f>
        <v>-1</v>
      </c>
      <c r="AL464" s="507" t="n">
        <f aca="false">SUM(IF(OR($R464="Ground",$R464="Rock",$R464="Water"),0-1,IF(OR($R464="Bug",$R464="Flying",$R464="Fire",$R464="Dragon",$R464="Poison",$R464="Steel",$R464="Grass"),1,0)),IF(OR($S464="Ground",$S464="Rock",$S464="Water"),0-1,IF(OR($S464="Bug",$S464="Flying",$S464="Fire",$S464="Dragon",$S464="Poison",$S464="Steel",$S464="Grass"),1,0)))</f>
        <v>0</v>
      </c>
      <c r="AM464" s="507" t="n">
        <f aca="false">IF(OR($R464="Flying",$S464="Flying"),4,SUM(IF(OR($R464="Electric",$R464="Fire",$R464="Rock",$R464="Steel",$R464="Poison"),0-1,IF(OR($R464="Bug",$R464="Grass"),1,0)),IF(OR($S464="Electric",$S464="Fire",$S464="Rock",$S464="Steel",$S464="Poison"),0-1,IF(OR($S464="Bug",$S464="Grass"),1,0))))</f>
        <v>0</v>
      </c>
      <c r="AN464" s="507" t="n">
        <f aca="false">SUM(IF(OR($R464="Flying",$R464="Dragon",$R464="Grass",$R464="Ground"),0-1,IF(OR($R464="Steel",$R464="Ice",$R464="Fire",$R464="Water"),1,0)),IF(OR($S464="Flying",$S464="Dragon",$S464="Grass",$S464="Ground"),0-1,IF(OR($S464="Steel",$S464="Ice",$S464="Fire",$S464="Water"),1,0)))</f>
        <v>0</v>
      </c>
      <c r="AO464" s="507" t="n">
        <f aca="false">IF(OR($R464="Ghost",$S464="Ghost"),4,SUM(IF(OR($R464="Steel",$R464="Rock"),1,0),IF(OR($S464="Steel",$S464="Rock"),1,0)))</f>
        <v>0</v>
      </c>
      <c r="AP464" s="507" t="n">
        <f aca="false">IF(OR($R464="Steel",$S464="Steel"),4,SUM(IF(OR($R464="Fairy",$R464="Grass"),0-1,IF(OR($R464="Ghost",$R464="Rock",$R464="Ground",$R464="Poison"),1,0)),IF(OR($S464="Fairy",$S464="Grass"),0-1,IF(OR($S464="Ghost",$S464="Rock",$S464="Ground",$S464="Poison"),1,0))))</f>
        <v>-1</v>
      </c>
      <c r="AQ464" s="507" t="n">
        <f aca="false">IF(OR($R464="Dark",$S464="Dark"),4,SUM(IF(OR($R464="Fighting",$R464="Poison"),0-1,IF(OR($R464="Psychic",$R464="Steel"),1,0)),IF(OR($S464="Fighting",$S464="Poison"),0-1,IF(OR($S464="Psychic",$S464="Steel"),1,0))))</f>
        <v>1</v>
      </c>
      <c r="AR464" s="507" t="n">
        <f aca="false">SUM(IF(OR($R464="Bug",$R464="Fire",$R464="Flying",$R464="Ice"),0-1,IF(OR($R464="Steel",$R464="Fighting",$R464="Ground"),1,0)),IF(OR($S464="Bug",$S464="Fire",$S464="Flying",$S464="Ice"),0-1,IF(OR($S464="Steel",$S464="Fighting",$S464="Ground"),1,0)))</f>
        <v>0</v>
      </c>
      <c r="AS464" s="507" t="n">
        <f aca="false">SUM(IF(OR($R464="Fairy",$R464="Ice",$R464="Rock"),0-1,IF(OR($R464="Steel",$R464="Electric",$R464="Fire",$R464="Water"),1,0)),IF(OR($S464="Fairy",$S464="Ice",$S464="Rock"),0-1,IF(OR($S464="Steel",$S464="Electric",$S464="Fire",$S464="Water"),1,0)))</f>
        <v>-1</v>
      </c>
      <c r="AT464" s="508" t="n">
        <f aca="false">SUM(IF(OR($R464="Fire",$R464="Ground",$R464="Rock"),0-1,IF(OR($R464="Dragon",$R464="Grass",$R464="Water"),1,0)),IF(OR($S464="Fire",$S464="Ground",$S464="Rock"),0-1,IF(OR($S464="Dragon",$S464="Grass",$S464="Water"),1,0)))</f>
        <v>0</v>
      </c>
      <c r="AU464" s="518"/>
    </row>
    <row r="465" customFormat="false" ht="15.75" hidden="false" customHeight="false" outlineLevel="0" collapsed="false">
      <c r="A465" s="510" t="str">
        <f aca="false" t="array" ref="A465:A465">IF(ISNA(INDEX(Source!$U$7:$U$95,MATCH(B465,Source!$V$7:$V$95,0))),"FREE",INDEX(Source!$U$7:$U$95,MATCH(B465,Source!$V$7:$V$95,0)))</f>
        <v>FREE</v>
      </c>
      <c r="B465" s="511" t="s">
        <v>634</v>
      </c>
      <c r="C465" s="511"/>
      <c r="D465" s="511"/>
      <c r="E465" s="499" t="str">
        <f aca="false">IF(SUM($W465:$X465)&gt;0,SUM($W465:$X465),IF($H465&gt;0,0,IF($H465&gt;0,0,"-")))</f>
        <v>-</v>
      </c>
      <c r="F465" s="499" t="str">
        <f aca="false">IF(SUM($Y465:$Z465)&gt;0,SUM($Y465:$Z465),IF($H465&gt;0,0,"-"))</f>
        <v>-</v>
      </c>
      <c r="G465" s="499" t="str">
        <f aca="false">IF($H465&gt;0,minus(E465,F465),"-")</f>
        <v>-</v>
      </c>
      <c r="H465" s="500" t="n">
        <f aca="false">SUM(COUNTIF(MatchSource!$A:$A,$B465),COUNTIF(MatchSource!$H:$H,$B465))</f>
        <v>0</v>
      </c>
      <c r="I465" s="501" t="n">
        <f aca="false">SUM($AA465:$AB465)</f>
        <v>0</v>
      </c>
      <c r="J465" s="501" t="s">
        <v>702</v>
      </c>
      <c r="K465" s="512" t="str">
        <f aca="false" t="array" ref="K465:K465">IF(ISNA(INDEX(DraftRosters!$AA$3:$AA$199,MATCH($B465,DraftRosters!$AB$3:$AB$199,0))),"FA",IF(INDEX(DraftRosters!$AA$3:$AA$199,MATCH($B465,DraftRosters!$AB$3:$AB$199,0))="Franchise","Franch",INDEX(DraftRosters!$AA$3:$AA$199,MATCH($B465,DraftRosters!$AB$3:$AB$199,0))))</f>
        <v>FA</v>
      </c>
      <c r="L465" s="499" t="n">
        <v>75</v>
      </c>
      <c r="M465" s="499" t="n">
        <v>100</v>
      </c>
      <c r="N465" s="499" t="n">
        <v>95</v>
      </c>
      <c r="O465" s="499" t="n">
        <v>40</v>
      </c>
      <c r="P465" s="499" t="n">
        <v>70</v>
      </c>
      <c r="Q465" s="501" t="n">
        <v>110</v>
      </c>
      <c r="R465" s="499" t="s">
        <v>839</v>
      </c>
      <c r="S465" s="501"/>
      <c r="T465" s="504" t="s">
        <v>908</v>
      </c>
      <c r="U465" s="505" t="s">
        <v>898</v>
      </c>
      <c r="V465" s="506" t="s">
        <v>851</v>
      </c>
      <c r="W465" s="500" t="str">
        <f aca="false">IFERROR(__xludf.dummyfunction("if(isna(SUM(FILTER(MatchSource!$A:$D,MatchSource!$A:$A=$B465))),0,SUM(FILTER(MatchSource!$A:$D,MatchSource!$A:$A=$B465)))"),"0")</f>
        <v>0</v>
      </c>
      <c r="X465" s="499" t="str">
        <f aca="false">IFERROR(__xludf.dummyfunction("if(isna(SUM(FILTER(MatchSource!$H:$K,MatchSource!$H:$H=$B465))),0,SUM(FILTER(MatchSource!$H:$K,MatchSource!$H:$H=$B465)))"),"0")</f>
        <v>0</v>
      </c>
      <c r="Y465" s="499" t="str">
        <f aca="false">IFERROR(__xludf.dummyfunction("if(isna(ABS(MINUS(SUM(FILTER(MatchSource!$A:$E,MatchSource!$A:$A=$B465)),SUM($W465)))),0,ABS(MINUS(SUM(FILTER(MatchSource!$A:$E,MatchSource!$A:$A=$B465)),SUM($W465))))"),"0")</f>
        <v>0</v>
      </c>
      <c r="Z465" s="499" t="str">
        <f aca="false">IFERROR(__xludf.dummyfunction("if(isna(ABS(MINUS(SUM(FILTER(MatchSource!$H:$L,MatchSource!$H:$H=$B465)),SUM($X465)))),0,ABS(MINUS(SUM(FILTER(MatchSource!$H:$L,MatchSource!$H:$H=$B465)),SUM($X465))))"),"0")</f>
        <v>0</v>
      </c>
      <c r="AA465" s="499" t="str">
        <f aca="false">IFERROR(__xludf.dummyfunction("if(isna(ABS(MINUS(SUM(FILTER(MatchSource!$A:$F,MatchSource!$A:$A=$B465)),SUM($W465,$Y465)))),0,ABS(MINUS(SUM(FILTER(MatchSource!$A:$F,MatchSource!$A:$A=$B465)),SUM($W465, $Y465,))))"),"0")</f>
        <v>0</v>
      </c>
      <c r="AB465" s="501" t="str">
        <f aca="false">IFERROR(__xludf.dummyfunction("if(isna(ABS(MINUS(SUM(FILTER(MatchSource!$H:$M,MatchSource!$H:$H=$B465)),SUM($X465,$Z465)))),0,ABS(MINUS(SUM(FILTER(MatchSource!$H:$M,MatchSource!$H:$H=$B465)),SUM($X465,$Z465))))"),"0")</f>
        <v>0</v>
      </c>
      <c r="AC465" s="507" t="n">
        <f aca="false">SUM(IF(OR($R465="Grass",$R465="Psychic",$R465="Dark"),0-1,IF(OR($R465="Fighting",$R465="Flying",$R465="Fire",$R465="Ghost",$R465="Poison",$R465="Steel",$R465="Fairy"),1,0)),IF(OR($S465="Grass",$S465="Psychic",$S465="Dark"),0-1,IF(OR($S465="Fighting",$S465="Flying",$S465="Fire",$S465="Ghost",$S465="Poison",$S465="Steel",$S465="Fairy"),1,0)))</f>
        <v>0</v>
      </c>
      <c r="AD465" s="507" t="n">
        <f aca="false">SUM(IF(OR($R465="Ghost",$R465="Psychic"),0-1,IF(OR($R465="Fighting",$R465="Dark",$R465="Fairy"),1,0)),IF(OR($S465="Ghost",$S465="Psychic"),0-1,IF(OR($S465="Fighting",$S465="Dark",$S465="Fairy"),1,0)))</f>
        <v>0</v>
      </c>
      <c r="AE465" s="507" t="n">
        <f aca="false">IF(OR($R465="Fairy",$S465="Fairy"),4,SUM(IF($R465="Dragon",0-1,IF($R465="Steel",1,0)),IF($S465="Dragon",0-1,IF($S465="Steel",1,0))))</f>
        <v>0</v>
      </c>
      <c r="AF465" s="507" t="n">
        <f aca="false">IF(OR($R465="Ground",$S465="Ground"),4,SUM(IF(OR($R465="Flying",$R465="Water"),0-1,IF(OR($R465="Dragon",$R465="Electric",$R465="Grass"),1,0)),IF(OR($S465="Flying",$S465="Water"),0-1,IF(OR($S465="Dragon",$S465="Electric",$S465="Grass"),1,0))))</f>
        <v>0</v>
      </c>
      <c r="AG465" s="507" t="n">
        <f aca="false">SUM(IF(OR($R465="Dark",$R465="Dragon",$R465="Fighting"),0-1,IF(OR($R465="Steel",$R465="Poison",$R465="Fire"),1,0)),IF(OR($S465="Dark",$S465="Dragon",$S465="Fighting"),0-1,IF(OR($S465="Steel",$S465="Poison",$S465="Fire"),1,0)))</f>
        <v>0</v>
      </c>
      <c r="AH465" s="507" t="n">
        <f aca="false">IF(OR($R465="Ghost",$S465="Ghost"),4,SUM(IF(OR($R465="Dark",$R465="Ice",$R465="Normal",$R465="Rock",$R465="Steel"),0-1,IF(OR($R465="Bug",$R465="Fairy",$R465="Flying",$R465="Poison",$R465="Psychic"),1,0)),IF(OR($S465="Dark",$S465="Ice",$S465="Normal",$S465="Rock",$S465="Steel"),0-1,IF(OR($S465="Bug",$S465="Fairy",$S465="Flying",$S465="Poison",$S465="Psychic"),1,0))))</f>
        <v>-1</v>
      </c>
      <c r="AI465" s="507" t="n">
        <f aca="false">SUM(IF(OR($R465="Bug",$R465="Grass",$R465="Ice",$R465="Steel"),0-1,IF(OR($R465="Dragon",$R465="Fire",$R465="Rock",$R465="Water"),1,0)),IF(OR($S465="Bug",$S465="Grass",$S465="Ice",$S465="Steel"),0-1,IF(OR($S465="Dragon",$S465="Fire",$S465="Rock",$S465="Water"),1,0)))</f>
        <v>0</v>
      </c>
      <c r="AJ465" s="507" t="n">
        <f aca="false">SUM(IF(OR($R465="Bug",$R465="Grass",$R465="Fighting"),0-1,IF(OR($R465="Electric",$R465="Rock",$R465="Steel"),1,0)),IF(OR($S465="Bug",$S465="Grass",$S465="Fighting"),0-1,IF(OR($S465="Electric",$S465="Rock",$S465="Steel"),1,0)))</f>
        <v>0</v>
      </c>
      <c r="AK465" s="507" t="n">
        <f aca="false">IF(OR($R465="Normal",$S465="Normal"),4,SUM(IF(OR($R465="Ghost",$R465="Psychic"),0-1,IF($R465="Dark",1,0)),IF(OR($S465="Ghost",$S465="Psychic"),0-1,IF($S465="Dark",1,0))))</f>
        <v>4</v>
      </c>
      <c r="AL465" s="507" t="n">
        <f aca="false">SUM(IF(OR($R465="Ground",$R465="Rock",$R465="Water"),0-1,IF(OR($R465="Bug",$R465="Flying",$R465="Fire",$R465="Dragon",$R465="Poison",$R465="Steel",$R465="Grass"),1,0)),IF(OR($S465="Ground",$S465="Rock",$S465="Water"),0-1,IF(OR($S465="Bug",$S465="Flying",$S465="Fire",$S465="Dragon",$S465="Poison",$S465="Steel",$S465="Grass"),1,0)))</f>
        <v>0</v>
      </c>
      <c r="AM465" s="507" t="n">
        <f aca="false">IF(OR($R465="Flying",$S465="Flying"),4,SUM(IF(OR($R465="Electric",$R465="Fire",$R465="Rock",$R465="Steel",$R465="Poison"),0-1,IF(OR($R465="Bug",$R465="Grass"),1,0)),IF(OR($S465="Electric",$S465="Fire",$S465="Rock",$S465="Steel",$S465="Poison"),0-1,IF(OR($S465="Bug",$S465="Grass"),1,0))))</f>
        <v>0</v>
      </c>
      <c r="AN465" s="507" t="n">
        <f aca="false">SUM(IF(OR($R465="Flying",$R465="Dragon",$R465="Grass",$R465="Ground"),0-1,IF(OR($R465="Steel",$R465="Ice",$R465="Fire",$R465="Water"),1,0)),IF(OR($S465="Flying",$S465="Dragon",$S465="Grass",$S465="Ground"),0-1,IF(OR($S465="Steel",$S465="Ice",$S465="Fire",$S465="Water"),1,0)))</f>
        <v>0</v>
      </c>
      <c r="AO465" s="507" t="n">
        <f aca="false">IF(OR($R465="Ghost",$S465="Ghost"),4,SUM(IF(OR($R465="Steel",$R465="Rock"),1,0),IF(OR($S465="Steel",$S465="Rock"),1,0)))</f>
        <v>0</v>
      </c>
      <c r="AP465" s="507" t="n">
        <f aca="false">IF(OR($R465="Steel",$S465="Steel"),4,SUM(IF(OR($R465="Fairy",$R465="Grass"),0-1,IF(OR($R465="Ghost",$R465="Rock",$R465="Ground",$R465="Poison"),1,0)),IF(OR($S465="Fairy",$S465="Grass"),0-1,IF(OR($S465="Ghost",$S465="Rock",$S465="Ground",$S465="Poison"),1,0))))</f>
        <v>0</v>
      </c>
      <c r="AQ465" s="507" t="n">
        <f aca="false">IF(OR($R465="Dark",$S465="Dark"),4,SUM(IF(OR($R465="Fighting",$R465="Poison"),0-1,IF(OR($R465="Psychic",$R465="Steel"),1,0)),IF(OR($S465="Fighting",$S465="Poison"),0-1,IF(OR($S465="Psychic",$S465="Steel"),1,0))))</f>
        <v>0</v>
      </c>
      <c r="AR465" s="507" t="n">
        <f aca="false">SUM(IF(OR($R465="Bug",$R465="Fire",$R465="Flying",$R465="Ice"),0-1,IF(OR($R465="Steel",$R465="Fighting",$R465="Ground"),1,0)),IF(OR($S465="Bug",$S465="Fire",$S465="Flying",$S465="Ice"),0-1,IF(OR($S465="Steel",$S465="Fighting",$S465="Ground"),1,0)))</f>
        <v>0</v>
      </c>
      <c r="AS465" s="507" t="n">
        <f aca="false">SUM(IF(OR($R465="Fairy",$R465="Ice",$R465="Rock"),0-1,IF(OR($R465="Steel",$R465="Electric",$R465="Fire",$R465="Water"),1,0)),IF(OR($S465="Fairy",$S465="Ice",$S465="Rock"),0-1,IF(OR($S465="Steel",$S465="Electric",$S465="Fire",$S465="Water"),1,0)))</f>
        <v>0</v>
      </c>
      <c r="AT465" s="508" t="n">
        <f aca="false">SUM(IF(OR($R465="Fire",$R465="Ground",$R465="Rock"),0-1,IF(OR($R465="Dragon",$R465="Grass",$R465="Water"),1,0)),IF(OR($S465="Fire",$S465="Ground",$S465="Rock"),0-1,IF(OR($S465="Dragon",$S465="Grass",$S465="Water"),1,0)))</f>
        <v>0</v>
      </c>
      <c r="AU465" s="518"/>
    </row>
    <row r="466" customFormat="false" ht="15.75" hidden="false" customHeight="false" outlineLevel="0" collapsed="false">
      <c r="A466" s="510" t="str">
        <f aca="false" t="array" ref="A466:A466">IF(ISNA(INDEX(Source!$U$7:$U$95,MATCH(B466,Source!$V$7:$V$95,0))),"FREE",INDEX(Source!$U$7:$U$95,MATCH(B466,Source!$V$7:$V$95,0)))</f>
        <v>BBG</v>
      </c>
      <c r="B466" s="511" t="s">
        <v>47</v>
      </c>
      <c r="C466" s="511"/>
      <c r="D466" s="511"/>
      <c r="E466" s="499" t="n">
        <f aca="false">IF(SUM($W466:$X466)&gt;0,SUM($W466:$X466),IF($H466&gt;0,0,IF($H466&gt;0,0,"-")))</f>
        <v>0</v>
      </c>
      <c r="F466" s="499" t="n">
        <f aca="false">IF(SUM($Y466:$Z466)&gt;0,SUM($Y466:$Z466),IF($H466&gt;0,0,"-"))</f>
        <v>0</v>
      </c>
      <c r="G466" s="499" t="e">
        <f aca="false">IF($H466&gt;0,minus(E466,F466),"-")</f>
        <v>#NAME?</v>
      </c>
      <c r="H466" s="500" t="n">
        <f aca="false">SUM(COUNTIF(MatchSource!$A:$A,$B466),COUNTIF(MatchSource!$H:$H,$B466))</f>
        <v>4</v>
      </c>
      <c r="I466" s="501" t="n">
        <f aca="false">SUM($AA466:$AB466)</f>
        <v>0</v>
      </c>
      <c r="J466" s="501" t="s">
        <v>700</v>
      </c>
      <c r="K466" s="512" t="n">
        <f aca="false" t="array" ref="K466:K466">IF(ISNA(INDEX(DraftRosters!$AA$3:$AA$199,MATCH($B466,DraftRosters!$AB$3:$AB$199,0))),"FA",IF(INDEX(DraftRosters!$AA$3:$AA$199,MATCH($B466,DraftRosters!$AB$3:$AB$199,0))="Franchise","Franch",INDEX(DraftRosters!$AA$3:$AA$199,MATCH($B466,DraftRosters!$AB$3:$AB$199,0))))</f>
        <v>26</v>
      </c>
      <c r="L466" s="499" t="n">
        <v>80</v>
      </c>
      <c r="M466" s="499" t="n">
        <v>70</v>
      </c>
      <c r="N466" s="499" t="n">
        <v>65</v>
      </c>
      <c r="O466" s="499" t="n">
        <v>80</v>
      </c>
      <c r="P466" s="499" t="n">
        <v>120</v>
      </c>
      <c r="Q466" s="501" t="n">
        <v>100</v>
      </c>
      <c r="R466" s="499" t="s">
        <v>843</v>
      </c>
      <c r="S466" s="501" t="s">
        <v>811</v>
      </c>
      <c r="T466" s="504" t="s">
        <v>911</v>
      </c>
      <c r="U466" s="505" t="s">
        <v>891</v>
      </c>
      <c r="V466" s="506" t="s">
        <v>1070</v>
      </c>
      <c r="W466" s="500" t="str">
        <f aca="false">IFERROR(__xludf.dummyfunction("if(isna(SUM(FILTER(MatchSource!$A:$D,MatchSource!$A:$A=$B466))),0,SUM(FILTER(MatchSource!$A:$D,MatchSource!$A:$A=$B466)))"),"2")</f>
        <v>2</v>
      </c>
      <c r="X466" s="499" t="str">
        <f aca="false">IFERROR(__xludf.dummyfunction("if(isna(SUM(FILTER(MatchSource!$H:$K,MatchSource!$H:$H=$B466))),0,SUM(FILTER(MatchSource!$H:$K,MatchSource!$H:$H=$B466)))"),"1")</f>
        <v>1</v>
      </c>
      <c r="Y466" s="499" t="str">
        <f aca="false">IFERROR(__xludf.dummyfunction("if(isna(ABS(MINUS(SUM(FILTER(MatchSource!$A:$E,MatchSource!$A:$A=$B466)),SUM($W466)))),0,ABS(MINUS(SUM(FILTER(MatchSource!$A:$E,MatchSource!$A:$A=$B466)),SUM($W466))))"),"1")</f>
        <v>1</v>
      </c>
      <c r="Z466" s="499" t="str">
        <f aca="false">IFERROR(__xludf.dummyfunction("if(isna(ABS(MINUS(SUM(FILTER(MatchSource!$H:$L,MatchSource!$H:$H=$B466)),SUM($X466)))),0,ABS(MINUS(SUM(FILTER(MatchSource!$H:$L,MatchSource!$H:$H=$B466)),SUM($X466))))"),"2")</f>
        <v>2</v>
      </c>
      <c r="AA466" s="499" t="str">
        <f aca="false">IFERROR(__xludf.dummyfunction("if(isna(ABS(MINUS(SUM(FILTER(MatchSource!$A:$F,MatchSource!$A:$A=$B466)),SUM($W466,$Y466)))),0,ABS(MINUS(SUM(FILTER(MatchSource!$A:$F,MatchSource!$A:$A=$B466)),SUM($W466, $Y466,))))"),"1")</f>
        <v>1</v>
      </c>
      <c r="AB466" s="501" t="str">
        <f aca="false">IFERROR(__xludf.dummyfunction("if(isna(ABS(MINUS(SUM(FILTER(MatchSource!$H:$M,MatchSource!$H:$H=$B466)),SUM($X466,$Z466)))),0,ABS(MINUS(SUM(FILTER(MatchSource!$H:$M,MatchSource!$H:$H=$B466)),SUM($X466,$Z466))))"),"1")</f>
        <v>1</v>
      </c>
      <c r="AC466" s="507" t="n">
        <f aca="false">SUM(IF(OR($R466="Grass",$R466="Psychic",$R466="Dark"),0-1,IF(OR($R466="Fighting",$R466="Flying",$R466="Fire",$R466="Ghost",$R466="Poison",$R466="Steel",$R466="Fairy"),1,0)),IF(OR($S466="Grass",$S466="Psychic",$S466="Dark"),0-1,IF(OR($S466="Fighting",$S466="Flying",$S466="Fire",$S466="Ghost",$S466="Poison",$S466="Steel",$S466="Fairy"),1,0)))</f>
        <v>1</v>
      </c>
      <c r="AD466" s="507" t="n">
        <f aca="false">SUM(IF(OR($R466="Ghost",$R466="Psychic"),0-1,IF(OR($R466="Fighting",$R466="Dark",$R466="Fairy"),1,0)),IF(OR($S466="Ghost",$S466="Psychic"),0-1,IF(OR($S466="Fighting",$S466="Dark",$S466="Fairy"),1,0)))</f>
        <v>0</v>
      </c>
      <c r="AE466" s="507" t="n">
        <f aca="false">IF(OR($R466="Fairy",$S466="Fairy"),4,SUM(IF($R466="Dragon",0-1,IF($R466="Steel",1,0)),IF($S466="Dragon",0-1,IF($S466="Steel",1,0))))</f>
        <v>0</v>
      </c>
      <c r="AF466" s="507" t="n">
        <f aca="false">IF(OR($R466="Ground",$S466="Ground"),4,SUM(IF(OR($R466="Flying",$R466="Water"),0-1,IF(OR($R466="Dragon",$R466="Electric",$R466="Grass"),1,0)),IF(OR($S466="Flying",$S466="Water"),0-1,IF(OR($S466="Dragon",$S466="Electric",$S466="Grass"),1,0))))</f>
        <v>-1</v>
      </c>
      <c r="AG466" s="507" t="n">
        <f aca="false">SUM(IF(OR($R466="Dark",$R466="Dragon",$R466="Fighting"),0-1,IF(OR($R466="Steel",$R466="Poison",$R466="Fire"),1,0)),IF(OR($S466="Dark",$S466="Dragon",$S466="Fighting"),0-1,IF(OR($S466="Steel",$S466="Poison",$S466="Fire"),1,0)))</f>
        <v>1</v>
      </c>
      <c r="AH466" s="507" t="n">
        <f aca="false">IF(OR($R466="Ghost",$S466="Ghost"),4,SUM(IF(OR($R466="Dark",$R466="Ice",$R466="Normal",$R466="Rock",$R466="Steel"),0-1,IF(OR($R466="Bug",$R466="Fairy",$R466="Flying",$R466="Poison",$R466="Psychic"),1,0)),IF(OR($S466="Dark",$S466="Ice",$S466="Normal",$S466="Rock",$S466="Steel"),0-1,IF(OR($S466="Bug",$S466="Fairy",$S466="Flying",$S466="Poison",$S466="Psychic"),1,0))))</f>
        <v>1</v>
      </c>
      <c r="AI466" s="507" t="n">
        <f aca="false">SUM(IF(OR($R466="Bug",$R466="Grass",$R466="Ice",$R466="Steel"),0-1,IF(OR($R466="Dragon",$R466="Fire",$R466="Rock",$R466="Water"),1,0)),IF(OR($S466="Bug",$S466="Grass",$S466="Ice",$S466="Steel"),0-1,IF(OR($S466="Dragon",$S466="Fire",$S466="Rock",$S466="Water"),1,0)))</f>
        <v>1</v>
      </c>
      <c r="AJ466" s="507" t="n">
        <f aca="false">SUM(IF(OR($R466="Bug",$R466="Grass",$R466="Fighting"),0-1,IF(OR($R466="Electric",$R466="Rock",$R466="Steel"),1,0)),IF(OR($S466="Bug",$S466="Grass",$S466="Fighting"),0-1,IF(OR($S466="Electric",$S466="Rock",$S466="Steel"),1,0)))</f>
        <v>0</v>
      </c>
      <c r="AK466" s="507" t="n">
        <f aca="false">IF(OR($R466="Normal",$S466="Normal"),4,SUM(IF(OR($R466="Ghost",$R466="Psychic"),0-1,IF($R466="Dark",1,0)),IF(OR($S466="Ghost",$S466="Psychic"),0-1,IF($S466="Dark",1,0))))</f>
        <v>0</v>
      </c>
      <c r="AL466" s="507" t="n">
        <f aca="false">SUM(IF(OR($R466="Ground",$R466="Rock",$R466="Water"),0-1,IF(OR($R466="Bug",$R466="Flying",$R466="Fire",$R466="Dragon",$R466="Poison",$R466="Steel",$R466="Grass"),1,0)),IF(OR($S466="Ground",$S466="Rock",$S466="Water"),0-1,IF(OR($S466="Bug",$S466="Flying",$S466="Fire",$S466="Dragon",$S466="Poison",$S466="Steel",$S466="Grass"),1,0)))</f>
        <v>0</v>
      </c>
      <c r="AM466" s="507" t="n">
        <f aca="false">IF(OR($R466="Flying",$S466="Flying"),4,SUM(IF(OR($R466="Electric",$R466="Fire",$R466="Rock",$R466="Steel",$R466="Poison"),0-1,IF(OR($R466="Bug",$R466="Grass"),1,0)),IF(OR($S466="Electric",$S466="Fire",$S466="Rock",$S466="Steel",$S466="Poison"),0-1,IF(OR($S466="Bug",$S466="Grass"),1,0))))</f>
        <v>-1</v>
      </c>
      <c r="AN466" s="507" t="n">
        <f aca="false">SUM(IF(OR($R466="Flying",$R466="Dragon",$R466="Grass",$R466="Ground"),0-1,IF(OR($R466="Steel",$R466="Ice",$R466="Fire",$R466="Water"),1,0)),IF(OR($S466="Flying",$S466="Dragon",$S466="Grass",$S466="Ground"),0-1,IF(OR($S466="Steel",$S466="Ice",$S466="Fire",$S466="Water"),1,0)))</f>
        <v>1</v>
      </c>
      <c r="AO466" s="507" t="n">
        <f aca="false">IF(OR($R466="Ghost",$S466="Ghost"),4,SUM(IF(OR($R466="Steel",$R466="Rock"),1,0),IF(OR($S466="Steel",$S466="Rock"),1,0)))</f>
        <v>0</v>
      </c>
      <c r="AP466" s="507" t="n">
        <f aca="false">IF(OR($R466="Steel",$S466="Steel"),4,SUM(IF(OR($R466="Fairy",$R466="Grass"),0-1,IF(OR($R466="Ghost",$R466="Rock",$R466="Ground",$R466="Poison"),1,0)),IF(OR($S466="Fairy",$S466="Grass"),0-1,IF(OR($S466="Ghost",$S466="Rock",$S466="Ground",$S466="Poison"),1,0))))</f>
        <v>1</v>
      </c>
      <c r="AQ466" s="507" t="n">
        <f aca="false">IF(OR($R466="Dark",$S466="Dark"),4,SUM(IF(OR($R466="Fighting",$R466="Poison"),0-1,IF(OR($R466="Psychic",$R466="Steel"),1,0)),IF(OR($S466="Fighting",$S466="Poison"),0-1,IF(OR($S466="Psychic",$S466="Steel"),1,0))))</f>
        <v>-1</v>
      </c>
      <c r="AR466" s="507" t="n">
        <f aca="false">SUM(IF(OR($R466="Bug",$R466="Fire",$R466="Flying",$R466="Ice"),0-1,IF(OR($R466="Steel",$R466="Fighting",$R466="Ground"),1,0)),IF(OR($S466="Bug",$S466="Fire",$S466="Flying",$S466="Ice"),0-1,IF(OR($S466="Steel",$S466="Fighting",$S466="Ground"),1,0)))</f>
        <v>0</v>
      </c>
      <c r="AS466" s="507" t="n">
        <f aca="false">SUM(IF(OR($R466="Fairy",$R466="Ice",$R466="Rock"),0-1,IF(OR($R466="Steel",$R466="Electric",$R466="Fire",$R466="Water"),1,0)),IF(OR($S466="Fairy",$S466="Ice",$S466="Rock"),0-1,IF(OR($S466="Steel",$S466="Electric",$S466="Fire",$S466="Water"),1,0)))</f>
        <v>1</v>
      </c>
      <c r="AT466" s="508" t="n">
        <f aca="false">SUM(IF(OR($R466="Fire",$R466="Ground",$R466="Rock"),0-1,IF(OR($R466="Dragon",$R466="Grass",$R466="Water"),1,0)),IF(OR($S466="Fire",$S466="Ground",$S466="Rock"),0-1,IF(OR($S466="Dragon",$S466="Grass",$S466="Water"),1,0)))</f>
        <v>1</v>
      </c>
      <c r="AU466" s="518"/>
    </row>
    <row r="467" customFormat="false" ht="15.75" hidden="false" customHeight="false" outlineLevel="0" collapsed="false">
      <c r="A467" s="510" t="str">
        <f aca="false" t="array" ref="A467:A467">IF(ISNA(INDEX(Source!$U$7:$U$95,MATCH(B467,Source!$V$7:$V$95,0))),"FREE",INDEX(Source!$U$7:$U$95,MATCH(B467,Source!$V$7:$V$95,0)))</f>
        <v>FREE</v>
      </c>
      <c r="B467" s="511" t="s">
        <v>431</v>
      </c>
      <c r="C467" s="511"/>
      <c r="D467" s="511"/>
      <c r="E467" s="499" t="str">
        <f aca="false">IF(SUM($W467:$X467)&gt;0,SUM($W467:$X467),IF($H467&gt;0,0,IF($H467&gt;0,0,"-")))</f>
        <v>-</v>
      </c>
      <c r="F467" s="499" t="str">
        <f aca="false">IF(SUM($Y467:$Z467)&gt;0,SUM($Y467:$Z467),IF($H467&gt;0,0,"-"))</f>
        <v>-</v>
      </c>
      <c r="G467" s="499" t="str">
        <f aca="false">IF($H467&gt;0,minus(E467,F467),"-")</f>
        <v>-</v>
      </c>
      <c r="H467" s="500" t="n">
        <f aca="false">SUM(COUNTIF(MatchSource!$A:$A,$B467),COUNTIF(MatchSource!$H:$H,$B467))</f>
        <v>0</v>
      </c>
      <c r="I467" s="501" t="n">
        <f aca="false">SUM($AA467:$AB467)</f>
        <v>0</v>
      </c>
      <c r="J467" s="501" t="s">
        <v>698</v>
      </c>
      <c r="K467" s="512" t="str">
        <f aca="false" t="array" ref="K467:K467">IF(ISNA(INDEX(DraftRosters!$AA$3:$AA$199,MATCH($B467,DraftRosters!$AB$3:$AB$199,0))),"FA",IF(INDEX(DraftRosters!$AA$3:$AA$199,MATCH($B467,DraftRosters!$AB$3:$AB$199,0))="Franchise","Franch",INDEX(DraftRosters!$AA$3:$AA$199,MATCH($B467,DraftRosters!$AB$3:$AB$199,0))))</f>
        <v>FA</v>
      </c>
      <c r="L467" s="499" t="n">
        <v>91</v>
      </c>
      <c r="M467" s="499" t="n">
        <v>129</v>
      </c>
      <c r="N467" s="499" t="n">
        <v>90</v>
      </c>
      <c r="O467" s="499" t="n">
        <v>72</v>
      </c>
      <c r="P467" s="499" t="n">
        <v>90</v>
      </c>
      <c r="Q467" s="501" t="n">
        <v>108</v>
      </c>
      <c r="R467" s="499" t="s">
        <v>881</v>
      </c>
      <c r="S467" s="501" t="s">
        <v>809</v>
      </c>
      <c r="T467" s="504" t="s">
        <v>815</v>
      </c>
      <c r="U467" s="505"/>
      <c r="V467" s="506"/>
      <c r="W467" s="500" t="str">
        <f aca="false">IFERROR(__xludf.dummyfunction("if(isna(SUM(FILTER(MatchSource!$A:$D,MatchSource!$A:$A=$B467))),0,SUM(FILTER(MatchSource!$A:$D,MatchSource!$A:$A=$B467)))"),"0")</f>
        <v>0</v>
      </c>
      <c r="X467" s="499" t="str">
        <f aca="false">IFERROR(__xludf.dummyfunction("if(isna(SUM(FILTER(MatchSource!$H:$K,MatchSource!$H:$H=$B467))),0,SUM(FILTER(MatchSource!$H:$K,MatchSource!$H:$H=$B467)))"),"0")</f>
        <v>0</v>
      </c>
      <c r="Y467" s="499" t="str">
        <f aca="false">IFERROR(__xludf.dummyfunction("if(isna(ABS(MINUS(SUM(FILTER(MatchSource!$A:$E,MatchSource!$A:$A=$B467)),SUM($W467)))),0,ABS(MINUS(SUM(FILTER(MatchSource!$A:$E,MatchSource!$A:$A=$B467)),SUM($W467))))"),"0")</f>
        <v>0</v>
      </c>
      <c r="Z467" s="499" t="str">
        <f aca="false">IFERROR(__xludf.dummyfunction("if(isna(ABS(MINUS(SUM(FILTER(MatchSource!$H:$L,MatchSource!$H:$H=$B467)),SUM($X467)))),0,ABS(MINUS(SUM(FILTER(MatchSource!$H:$L,MatchSource!$H:$H=$B467)),SUM($X467))))"),"0")</f>
        <v>0</v>
      </c>
      <c r="AA467" s="499" t="str">
        <f aca="false">IFERROR(__xludf.dummyfunction("if(isna(ABS(MINUS(SUM(FILTER(MatchSource!$A:$F,MatchSource!$A:$A=$B467)),SUM($W467,$Y467)))),0,ABS(MINUS(SUM(FILTER(MatchSource!$A:$F,MatchSource!$A:$A=$B467)),SUM($W467, $Y467,))))"),"0")</f>
        <v>0</v>
      </c>
      <c r="AB467" s="501" t="str">
        <f aca="false">IFERROR(__xludf.dummyfunction("if(isna(ABS(MINUS(SUM(FILTER(MatchSource!$H:$M,MatchSource!$H:$H=$B467)),SUM($X467,$Z467)))),0,ABS(MINUS(SUM(FILTER(MatchSource!$H:$M,MatchSource!$H:$H=$B467)),SUM($X467,$Z467))))"),"0")</f>
        <v>0</v>
      </c>
      <c r="AC467" s="507" t="n">
        <f aca="false">SUM(IF(OR($R467="Grass",$R467="Psychic",$R467="Dark"),0-1,IF(OR($R467="Fighting",$R467="Flying",$R467="Fire",$R467="Ghost",$R467="Poison",$R467="Steel",$R467="Fairy"),1,0)),IF(OR($S467="Grass",$S467="Psychic",$S467="Dark"),0-1,IF(OR($S467="Fighting",$S467="Flying",$S467="Fire",$S467="Ghost",$S467="Poison",$S467="Steel",$S467="Fairy"),1,0)))</f>
        <v>1</v>
      </c>
      <c r="AD467" s="507" t="n">
        <f aca="false">SUM(IF(OR($R467="Ghost",$R467="Psychic"),0-1,IF(OR($R467="Fighting",$R467="Dark",$R467="Fairy"),1,0)),IF(OR($S467="Ghost",$S467="Psychic"),0-1,IF(OR($S467="Fighting",$S467="Dark",$S467="Fairy"),1,0)))</f>
        <v>1</v>
      </c>
      <c r="AE467" s="507" t="n">
        <f aca="false">IF(OR($R467="Fairy",$S467="Fairy"),4,SUM(IF($R467="Dragon",0-1,IF($R467="Steel",1,0)),IF($S467="Dragon",0-1,IF($S467="Steel",1,0))))</f>
        <v>0</v>
      </c>
      <c r="AF467" s="507" t="n">
        <f aca="false">IF(OR($R467="Ground",$S467="Ground"),4,SUM(IF(OR($R467="Flying",$R467="Water"),0-1,IF(OR($R467="Dragon",$R467="Electric",$R467="Grass"),1,0)),IF(OR($S467="Flying",$S467="Water"),0-1,IF(OR($S467="Dragon",$S467="Electric",$S467="Grass"),1,0))))</f>
        <v>0</v>
      </c>
      <c r="AG467" s="507" t="n">
        <f aca="false">SUM(IF(OR($R467="Dark",$R467="Dragon",$R467="Fighting"),0-1,IF(OR($R467="Steel",$R467="Poison",$R467="Fire"),1,0)),IF(OR($S467="Dark",$S467="Dragon",$S467="Fighting"),0-1,IF(OR($S467="Steel",$S467="Poison",$S467="Fire"),1,0)))</f>
        <v>-1</v>
      </c>
      <c r="AH467" s="507" t="n">
        <f aca="false">IF(OR($R467="Ghost",$S467="Ghost"),4,SUM(IF(OR($R467="Dark",$R467="Ice",$R467="Normal",$R467="Rock",$R467="Steel"),0-1,IF(OR($R467="Bug",$R467="Fairy",$R467="Flying",$R467="Poison",$R467="Psychic"),1,0)),IF(OR($S467="Dark",$S467="Ice",$S467="Normal",$S467="Rock",$S467="Steel"),0-1,IF(OR($S467="Bug",$S467="Fairy",$S467="Flying",$S467="Poison",$S467="Psychic"),1,0))))</f>
        <v>-1</v>
      </c>
      <c r="AI467" s="507" t="n">
        <f aca="false">SUM(IF(OR($R467="Bug",$R467="Grass",$R467="Ice",$R467="Steel"),0-1,IF(OR($R467="Dragon",$R467="Fire",$R467="Rock",$R467="Water"),1,0)),IF(OR($S467="Bug",$S467="Grass",$S467="Ice",$S467="Steel"),0-1,IF(OR($S467="Dragon",$S467="Fire",$S467="Rock",$S467="Water"),1,0)))</f>
        <v>1</v>
      </c>
      <c r="AJ467" s="507" t="n">
        <f aca="false">SUM(IF(OR($R467="Bug",$R467="Grass",$R467="Fighting"),0-1,IF(OR($R467="Electric",$R467="Rock",$R467="Steel"),1,0)),IF(OR($S467="Bug",$S467="Grass",$S467="Fighting"),0-1,IF(OR($S467="Electric",$S467="Rock",$S467="Steel"),1,0)))</f>
        <v>0</v>
      </c>
      <c r="AK467" s="507" t="n">
        <f aca="false">IF(OR($R467="Normal",$S467="Normal"),4,SUM(IF(OR($R467="Ghost",$R467="Psychic"),0-1,IF($R467="Dark",1,0)),IF(OR($S467="Ghost",$S467="Psychic"),0-1,IF($S467="Dark",1,0))))</f>
        <v>0</v>
      </c>
      <c r="AL467" s="507" t="n">
        <f aca="false">SUM(IF(OR($R467="Ground",$R467="Rock",$R467="Water"),0-1,IF(OR($R467="Bug",$R467="Flying",$R467="Fire",$R467="Dragon",$R467="Poison",$R467="Steel",$R467="Grass"),1,0)),IF(OR($S467="Ground",$S467="Rock",$S467="Water"),0-1,IF(OR($S467="Bug",$S467="Flying",$S467="Fire",$S467="Dragon",$S467="Poison",$S467="Steel",$S467="Grass"),1,0)))</f>
        <v>-1</v>
      </c>
      <c r="AM467" s="507" t="n">
        <f aca="false">IF(OR($R467="Flying",$S467="Flying"),4,SUM(IF(OR($R467="Electric",$R467="Fire",$R467="Rock",$R467="Steel",$R467="Poison"),0-1,IF(OR($R467="Bug",$R467="Grass"),1,0)),IF(OR($S467="Electric",$S467="Fire",$S467="Rock",$S467="Steel",$S467="Poison"),0-1,IF(OR($S467="Bug",$S467="Grass"),1,0))))</f>
        <v>-1</v>
      </c>
      <c r="AN467" s="507" t="n">
        <f aca="false">SUM(IF(OR($R467="Flying",$R467="Dragon",$R467="Grass",$R467="Ground"),0-1,IF(OR($R467="Steel",$R467="Ice",$R467="Fire",$R467="Water"),1,0)),IF(OR($S467="Flying",$S467="Dragon",$S467="Grass",$S467="Ground"),0-1,IF(OR($S467="Steel",$S467="Ice",$S467="Fire",$S467="Water"),1,0)))</f>
        <v>0</v>
      </c>
      <c r="AO467" s="507" t="n">
        <f aca="false">IF(OR($R467="Ghost",$S467="Ghost"),4,SUM(IF(OR($R467="Steel",$R467="Rock"),1,0),IF(OR($S467="Steel",$S467="Rock"),1,0)))</f>
        <v>1</v>
      </c>
      <c r="AP467" s="507" t="n">
        <f aca="false">IF(OR($R467="Steel",$S467="Steel"),4,SUM(IF(OR($R467="Fairy",$R467="Grass"),0-1,IF(OR($R467="Ghost",$R467="Rock",$R467="Ground",$R467="Poison"),1,0)),IF(OR($S467="Fairy",$S467="Grass"),0-1,IF(OR($S467="Ghost",$S467="Rock",$S467="Ground",$S467="Poison"),1,0))))</f>
        <v>1</v>
      </c>
      <c r="AQ467" s="507" t="n">
        <f aca="false">IF(OR($R467="Dark",$S467="Dark"),4,SUM(IF(OR($R467="Fighting",$R467="Poison"),0-1,IF(OR($R467="Psychic",$R467="Steel"),1,0)),IF(OR($S467="Fighting",$S467="Poison"),0-1,IF(OR($S467="Psychic",$S467="Steel"),1,0))))</f>
        <v>-1</v>
      </c>
      <c r="AR467" s="507" t="n">
        <f aca="false">SUM(IF(OR($R467="Bug",$R467="Fire",$R467="Flying",$R467="Ice"),0-1,IF(OR($R467="Steel",$R467="Fighting",$R467="Ground"),1,0)),IF(OR($S467="Bug",$S467="Fire",$S467="Flying",$S467="Ice"),0-1,IF(OR($S467="Steel",$S467="Fighting",$S467="Ground"),1,0)))</f>
        <v>1</v>
      </c>
      <c r="AS467" s="507" t="n">
        <f aca="false">SUM(IF(OR($R467="Fairy",$R467="Ice",$R467="Rock"),0-1,IF(OR($R467="Steel",$R467="Electric",$R467="Fire",$R467="Water"),1,0)),IF(OR($S467="Fairy",$S467="Ice",$S467="Rock"),0-1,IF(OR($S467="Steel",$S467="Electric",$S467="Fire",$S467="Water"),1,0)))</f>
        <v>-1</v>
      </c>
      <c r="AT467" s="508" t="n">
        <f aca="false">SUM(IF(OR($R467="Fire",$R467="Ground",$R467="Rock"),0-1,IF(OR($R467="Dragon",$R467="Grass",$R467="Water"),1,0)),IF(OR($S467="Fire",$S467="Ground",$S467="Rock"),0-1,IF(OR($S467="Dragon",$S467="Grass",$S467="Water"),1,0)))</f>
        <v>-1</v>
      </c>
      <c r="AU467" s="518"/>
    </row>
    <row r="468" customFormat="false" ht="15.75" hidden="false" customHeight="false" outlineLevel="0" collapsed="false">
      <c r="A468" s="510" t="str">
        <f aca="false" t="array" ref="A468:A468">IF(ISNA(INDEX(Source!$U$7:$U$95,MATCH(B468,Source!$V$7:$V$95,0))),"FREE",INDEX(Source!$U$7:$U$95,MATCH(B468,Source!$V$7:$V$95,0)))</f>
        <v>FREE</v>
      </c>
      <c r="B468" s="511" t="s">
        <v>637</v>
      </c>
      <c r="C468" s="511"/>
      <c r="D468" s="511"/>
      <c r="E468" s="499" t="str">
        <f aca="false">IF(SUM($W468:$X468)&gt;0,SUM($W468:$X468),IF($H468&gt;0,0,IF($H468&gt;0,0,"-")))</f>
        <v>-</v>
      </c>
      <c r="F468" s="499" t="str">
        <f aca="false">IF(SUM($Y468:$Z468)&gt;0,SUM($Y468:$Z468),IF($H468&gt;0,0,"-"))</f>
        <v>-</v>
      </c>
      <c r="G468" s="499" t="str">
        <f aca="false">IF($H468&gt;0,minus(E468,F468),"-")</f>
        <v>-</v>
      </c>
      <c r="H468" s="500" t="n">
        <f aca="false">SUM(COUNTIF(MatchSource!$A:$A,$B468),COUNTIF(MatchSource!$H:$H,$B468))</f>
        <v>0</v>
      </c>
      <c r="I468" s="501" t="n">
        <f aca="false">SUM($AA468:$AB468)</f>
        <v>0</v>
      </c>
      <c r="J468" s="501" t="s">
        <v>702</v>
      </c>
      <c r="K468" s="512" t="str">
        <f aca="false" t="array" ref="K468:K468">IF(ISNA(INDEX(DraftRosters!$AA$3:$AA$199,MATCH($B468,DraftRosters!$AB$3:$AB$199,0))),"FA",IF(INDEX(DraftRosters!$AA$3:$AA$199,MATCH($B468,DraftRosters!$AB$3:$AB$199,0))="Franchise","Franch",INDEX(DraftRosters!$AA$3:$AA$199,MATCH($B468,DraftRosters!$AB$3:$AB$199,0))))</f>
        <v>FA</v>
      </c>
      <c r="L468" s="499" t="n">
        <v>120</v>
      </c>
      <c r="M468" s="499" t="n">
        <v>100</v>
      </c>
      <c r="N468" s="499" t="n">
        <v>85</v>
      </c>
      <c r="O468" s="499" t="n">
        <v>30</v>
      </c>
      <c r="P468" s="499" t="n">
        <v>85</v>
      </c>
      <c r="Q468" s="501" t="n">
        <v>40</v>
      </c>
      <c r="R468" s="499" t="s">
        <v>881</v>
      </c>
      <c r="S468" s="501"/>
      <c r="T468" s="504" t="s">
        <v>930</v>
      </c>
      <c r="U468" s="505" t="s">
        <v>848</v>
      </c>
      <c r="V468" s="506" t="s">
        <v>829</v>
      </c>
      <c r="W468" s="500" t="str">
        <f aca="false">IFERROR(__xludf.dummyfunction("if(isna(SUM(FILTER(MatchSource!$A:$D,MatchSource!$A:$A=$B468))),0,SUM(FILTER(MatchSource!$A:$D,MatchSource!$A:$A=$B468)))"),"0")</f>
        <v>0</v>
      </c>
      <c r="X468" s="499" t="str">
        <f aca="false">IFERROR(__xludf.dummyfunction("if(isna(SUM(FILTER(MatchSource!$H:$K,MatchSource!$H:$H=$B468))),0,SUM(FILTER(MatchSource!$H:$K,MatchSource!$H:$H=$B468)))"),"0")</f>
        <v>0</v>
      </c>
      <c r="Y468" s="499" t="str">
        <f aca="false">IFERROR(__xludf.dummyfunction("if(isna(ABS(MINUS(SUM(FILTER(MatchSource!$A:$E,MatchSource!$A:$A=$B468)),SUM($W468)))),0,ABS(MINUS(SUM(FILTER(MatchSource!$A:$E,MatchSource!$A:$A=$B468)),SUM($W468))))"),"0")</f>
        <v>0</v>
      </c>
      <c r="Z468" s="499" t="str">
        <f aca="false">IFERROR(__xludf.dummyfunction("if(isna(ABS(MINUS(SUM(FILTER(MatchSource!$H:$L,MatchSource!$H:$H=$B468)),SUM($X468)))),0,ABS(MINUS(SUM(FILTER(MatchSource!$H:$L,MatchSource!$H:$H=$B468)),SUM($X468))))"),"0")</f>
        <v>0</v>
      </c>
      <c r="AA468" s="499" t="str">
        <f aca="false">IFERROR(__xludf.dummyfunction("if(isna(ABS(MINUS(SUM(FILTER(MatchSource!$A:$F,MatchSource!$A:$A=$B468)),SUM($W468,$Y468)))),0,ABS(MINUS(SUM(FILTER(MatchSource!$A:$F,MatchSource!$A:$A=$B468)),SUM($W468, $Y468,))))"),"0")</f>
        <v>0</v>
      </c>
      <c r="AB468" s="501" t="str">
        <f aca="false">IFERROR(__xludf.dummyfunction("if(isna(ABS(MINUS(SUM(FILTER(MatchSource!$H:$M,MatchSource!$H:$H=$B468)),SUM($X468,$Z468)))),0,ABS(MINUS(SUM(FILTER(MatchSource!$H:$M,MatchSource!$H:$H=$B468)),SUM($X468,$Z468))))"),"0")</f>
        <v>0</v>
      </c>
      <c r="AC468" s="507" t="n">
        <f aca="false">SUM(IF(OR($R468="Grass",$R468="Psychic",$R468="Dark"),0-1,IF(OR($R468="Fighting",$R468="Flying",$R468="Fire",$R468="Ghost",$R468="Poison",$R468="Steel",$R468="Fairy"),1,0)),IF(OR($S468="Grass",$S468="Psychic",$S468="Dark"),0-1,IF(OR($S468="Fighting",$S468="Flying",$S468="Fire",$S468="Ghost",$S468="Poison",$S468="Steel",$S468="Fairy"),1,0)))</f>
        <v>1</v>
      </c>
      <c r="AD468" s="507" t="n">
        <f aca="false">SUM(IF(OR($R468="Ghost",$R468="Psychic"),0-1,IF(OR($R468="Fighting",$R468="Dark",$R468="Fairy"),1,0)),IF(OR($S468="Ghost",$S468="Psychic"),0-1,IF(OR($S468="Fighting",$S468="Dark",$S468="Fairy"),1,0)))</f>
        <v>1</v>
      </c>
      <c r="AE468" s="507" t="n">
        <f aca="false">IF(OR($R468="Fairy",$S468="Fairy"),4,SUM(IF($R468="Dragon",0-1,IF($R468="Steel",1,0)),IF($S468="Dragon",0-1,IF($S468="Steel",1,0))))</f>
        <v>0</v>
      </c>
      <c r="AF468" s="507" t="n">
        <f aca="false">IF(OR($R468="Ground",$S468="Ground"),4,SUM(IF(OR($R468="Flying",$R468="Water"),0-1,IF(OR($R468="Dragon",$R468="Electric",$R468="Grass"),1,0)),IF(OR($S468="Flying",$S468="Water"),0-1,IF(OR($S468="Dragon",$S468="Electric",$S468="Grass"),1,0))))</f>
        <v>0</v>
      </c>
      <c r="AG468" s="507" t="n">
        <f aca="false">SUM(IF(OR($R468="Dark",$R468="Dragon",$R468="Fighting"),0-1,IF(OR($R468="Steel",$R468="Poison",$R468="Fire"),1,0)),IF(OR($S468="Dark",$S468="Dragon",$S468="Fighting"),0-1,IF(OR($S468="Steel",$S468="Poison",$S468="Fire"),1,0)))</f>
        <v>-1</v>
      </c>
      <c r="AH468" s="507" t="n">
        <f aca="false">IF(OR($R468="Ghost",$S468="Ghost"),4,SUM(IF(OR($R468="Dark",$R468="Ice",$R468="Normal",$R468="Rock",$R468="Steel"),0-1,IF(OR($R468="Bug",$R468="Fairy",$R468="Flying",$R468="Poison",$R468="Psychic"),1,0)),IF(OR($S468="Dark",$S468="Ice",$S468="Normal",$S468="Rock",$S468="Steel"),0-1,IF(OR($S468="Bug",$S468="Fairy",$S468="Flying",$S468="Poison",$S468="Psychic"),1,0))))</f>
        <v>0</v>
      </c>
      <c r="AI468" s="507" t="n">
        <f aca="false">SUM(IF(OR($R468="Bug",$R468="Grass",$R468="Ice",$R468="Steel"),0-1,IF(OR($R468="Dragon",$R468="Fire",$R468="Rock",$R468="Water"),1,0)),IF(OR($S468="Bug",$S468="Grass",$S468="Ice",$S468="Steel"),0-1,IF(OR($S468="Dragon",$S468="Fire",$S468="Rock",$S468="Water"),1,0)))</f>
        <v>0</v>
      </c>
      <c r="AJ468" s="507" t="n">
        <f aca="false">SUM(IF(OR($R468="Bug",$R468="Grass",$R468="Fighting"),0-1,IF(OR($R468="Electric",$R468="Rock",$R468="Steel"),1,0)),IF(OR($S468="Bug",$S468="Grass",$S468="Fighting"),0-1,IF(OR($S468="Electric",$S468="Rock",$S468="Steel"),1,0)))</f>
        <v>-1</v>
      </c>
      <c r="AK468" s="507" t="n">
        <f aca="false">IF(OR($R468="Normal",$S468="Normal"),4,SUM(IF(OR($R468="Ghost",$R468="Psychic"),0-1,IF($R468="Dark",1,0)),IF(OR($S468="Ghost",$S468="Psychic"),0-1,IF($S468="Dark",1,0))))</f>
        <v>0</v>
      </c>
      <c r="AL468" s="507" t="n">
        <f aca="false">SUM(IF(OR($R468="Ground",$R468="Rock",$R468="Water"),0-1,IF(OR($R468="Bug",$R468="Flying",$R468="Fire",$R468="Dragon",$R468="Poison",$R468="Steel",$R468="Grass"),1,0)),IF(OR($S468="Ground",$S468="Rock",$S468="Water"),0-1,IF(OR($S468="Bug",$S468="Flying",$S468="Fire",$S468="Dragon",$S468="Poison",$S468="Steel",$S468="Grass"),1,0)))</f>
        <v>0</v>
      </c>
      <c r="AM468" s="507" t="n">
        <f aca="false">IF(OR($R468="Flying",$S468="Flying"),4,SUM(IF(OR($R468="Electric",$R468="Fire",$R468="Rock",$R468="Steel",$R468="Poison"),0-1,IF(OR($R468="Bug",$R468="Grass"),1,0)),IF(OR($S468="Electric",$S468="Fire",$S468="Rock",$S468="Steel",$S468="Poison"),0-1,IF(OR($S468="Bug",$S468="Grass"),1,0))))</f>
        <v>0</v>
      </c>
      <c r="AN468" s="507" t="n">
        <f aca="false">SUM(IF(OR($R468="Flying",$R468="Dragon",$R468="Grass",$R468="Ground"),0-1,IF(OR($R468="Steel",$R468="Ice",$R468="Fire",$R468="Water"),1,0)),IF(OR($S468="Flying",$S468="Dragon",$S468="Grass",$S468="Ground"),0-1,IF(OR($S468="Steel",$S468="Ice",$S468="Fire",$S468="Water"),1,0)))</f>
        <v>0</v>
      </c>
      <c r="AO468" s="507" t="n">
        <f aca="false">IF(OR($R468="Ghost",$S468="Ghost"),4,SUM(IF(OR($R468="Steel",$R468="Rock"),1,0),IF(OR($S468="Steel",$S468="Rock"),1,0)))</f>
        <v>0</v>
      </c>
      <c r="AP468" s="507" t="n">
        <f aca="false">IF(OR($R468="Steel",$S468="Steel"),4,SUM(IF(OR($R468="Fairy",$R468="Grass"),0-1,IF(OR($R468="Ghost",$R468="Rock",$R468="Ground",$R468="Poison"),1,0)),IF(OR($S468="Fairy",$S468="Grass"),0-1,IF(OR($S468="Ghost",$S468="Rock",$S468="Ground",$S468="Poison"),1,0))))</f>
        <v>0</v>
      </c>
      <c r="AQ468" s="507" t="n">
        <f aca="false">IF(OR($R468="Dark",$S468="Dark"),4,SUM(IF(OR($R468="Fighting",$R468="Poison"),0-1,IF(OR($R468="Psychic",$R468="Steel"),1,0)),IF(OR($S468="Fighting",$S468="Poison"),0-1,IF(OR($S468="Psychic",$S468="Steel"),1,0))))</f>
        <v>-1</v>
      </c>
      <c r="AR468" s="507" t="n">
        <f aca="false">SUM(IF(OR($R468="Bug",$R468="Fire",$R468="Flying",$R468="Ice"),0-1,IF(OR($R468="Steel",$R468="Fighting",$R468="Ground"),1,0)),IF(OR($S468="Bug",$S468="Fire",$S468="Flying",$S468="Ice"),0-1,IF(OR($S468="Steel",$S468="Fighting",$S468="Ground"),1,0)))</f>
        <v>1</v>
      </c>
      <c r="AS468" s="507" t="n">
        <f aca="false">SUM(IF(OR($R468="Fairy",$R468="Ice",$R468="Rock"),0-1,IF(OR($R468="Steel",$R468="Electric",$R468="Fire",$R468="Water"),1,0)),IF(OR($S468="Fairy",$S468="Ice",$S468="Rock"),0-1,IF(OR($S468="Steel",$S468="Electric",$S468="Fire",$S468="Water"),1,0)))</f>
        <v>0</v>
      </c>
      <c r="AT468" s="508" t="n">
        <f aca="false">SUM(IF(OR($R468="Fire",$R468="Ground",$R468="Rock"),0-1,IF(OR($R468="Dragon",$R468="Grass",$R468="Water"),1,0)),IF(OR($S468="Fire",$S468="Ground",$S468="Rock"),0-1,IF(OR($S468="Dragon",$S468="Grass",$S468="Water"),1,0)))</f>
        <v>0</v>
      </c>
      <c r="AU468" s="518"/>
    </row>
    <row r="469" customFormat="false" ht="15.75" hidden="false" customHeight="false" outlineLevel="0" collapsed="false">
      <c r="A469" s="510" t="str">
        <f aca="false" t="array" ref="A469:A469">IF(ISNA(INDEX(Source!$U$7:$U$95,MATCH(B469,Source!$V$7:$V$95,0))),"FREE",INDEX(Source!$U$7:$U$95,MATCH(B469,Source!$V$7:$V$95,0)))</f>
        <v>FREE</v>
      </c>
      <c r="B469" s="511" t="s">
        <v>437</v>
      </c>
      <c r="C469" s="511"/>
      <c r="D469" s="511"/>
      <c r="E469" s="499" t="str">
        <f aca="false">IF(SUM($W469:$X469)&gt;0,SUM($W469:$X469),IF($H469&gt;0,0,IF($H469&gt;0,0,"-")))</f>
        <v>-</v>
      </c>
      <c r="F469" s="499" t="str">
        <f aca="false">IF(SUM($Y469:$Z469)&gt;0,SUM($Y469:$Z469),IF($H469&gt;0,0,"-"))</f>
        <v>-</v>
      </c>
      <c r="G469" s="499" t="str">
        <f aca="false">IF($H469&gt;0,minus(E469,F469),"-")</f>
        <v>-</v>
      </c>
      <c r="H469" s="500" t="n">
        <f aca="false">SUM(COUNTIF(MatchSource!$A:$A,$B469),COUNTIF(MatchSource!$H:$H,$B469))</f>
        <v>0</v>
      </c>
      <c r="I469" s="501" t="n">
        <f aca="false">SUM($AA469:$AB469)</f>
        <v>0</v>
      </c>
      <c r="J469" s="501" t="s">
        <v>698</v>
      </c>
      <c r="K469" s="512" t="str">
        <f aca="false" t="array" ref="K469:K469">IF(ISNA(INDEX(DraftRosters!$AA$3:$AA$199,MATCH($B469,DraftRosters!$AB$3:$AB$199,0))),"FA",IF(INDEX(DraftRosters!$AA$3:$AA$199,MATCH($B469,DraftRosters!$AB$3:$AB$199,0))="Franchise","Franch",INDEX(DraftRosters!$AA$3:$AA$199,MATCH($B469,DraftRosters!$AB$3:$AB$199,0))))</f>
        <v>FA</v>
      </c>
      <c r="L469" s="507" t="n">
        <v>79</v>
      </c>
      <c r="M469" s="507" t="n">
        <v>115</v>
      </c>
      <c r="N469" s="507" t="n">
        <v>70</v>
      </c>
      <c r="O469" s="507" t="n">
        <v>125</v>
      </c>
      <c r="P469" s="507" t="n">
        <v>80</v>
      </c>
      <c r="Q469" s="508" t="n">
        <v>111</v>
      </c>
      <c r="R469" s="499" t="s">
        <v>845</v>
      </c>
      <c r="S469" s="501" t="s">
        <v>801</v>
      </c>
      <c r="T469" s="504" t="s">
        <v>886</v>
      </c>
      <c r="U469" s="505" t="s">
        <v>872</v>
      </c>
      <c r="V469" s="506"/>
      <c r="W469" s="500" t="str">
        <f aca="false">IFERROR(__xludf.dummyfunction("if(isna(SUM(FILTER(MatchSource!$A:$D,MatchSource!$A:$A=$B469))),0,SUM(FILTER(MatchSource!$A:$D,MatchSource!$A:$A=$B469)))"),"0")</f>
        <v>0</v>
      </c>
      <c r="X469" s="499" t="str">
        <f aca="false">IFERROR(__xludf.dummyfunction("if(isna(SUM(FILTER(MatchSource!$H:$K,MatchSource!$H:$H=$B469))),0,SUM(FILTER(MatchSource!$H:$K,MatchSource!$H:$H=$B469)))"),"0")</f>
        <v>0</v>
      </c>
      <c r="Y469" s="499" t="str">
        <f aca="false">IFERROR(__xludf.dummyfunction("if(isna(ABS(MINUS(SUM(FILTER(MatchSource!$A:$E,MatchSource!$A:$A=$B469)),SUM($W469)))),0,ABS(MINUS(SUM(FILTER(MatchSource!$A:$E,MatchSource!$A:$A=$B469)),SUM($W469))))"),"0")</f>
        <v>0</v>
      </c>
      <c r="Z469" s="499" t="str">
        <f aca="false">IFERROR(__xludf.dummyfunction("if(isna(ABS(MINUS(SUM(FILTER(MatchSource!$H:$L,MatchSource!$H:$H=$B469)),SUM($X469)))),0,ABS(MINUS(SUM(FILTER(MatchSource!$H:$L,MatchSource!$H:$H=$B469)),SUM($X469))))"),"0")</f>
        <v>0</v>
      </c>
      <c r="AA469" s="499" t="str">
        <f aca="false">IFERROR(__xludf.dummyfunction("if(isna(ABS(MINUS(SUM(FILTER(MatchSource!$A:$F,MatchSource!$A:$A=$B469)),SUM($W469,$Y469)))),0,ABS(MINUS(SUM(FILTER(MatchSource!$A:$F,MatchSource!$A:$A=$B469)),SUM($W469, $Y469,))))"),"0")</f>
        <v>0</v>
      </c>
      <c r="AB469" s="501" t="str">
        <f aca="false">IFERROR(__xludf.dummyfunction("if(isna(ABS(MINUS(SUM(FILTER(MatchSource!$H:$M,MatchSource!$H:$H=$B469)),SUM($X469,$Z469)))),0,ABS(MINUS(SUM(FILTER(MatchSource!$H:$M,MatchSource!$H:$H=$B469)),SUM($X469,$Z469))))"),"0")</f>
        <v>0</v>
      </c>
      <c r="AC469" s="507" t="n">
        <f aca="false">SUM(IF(OR($R469="Grass",$R469="Psychic",$R469="Dark"),0-1,IF(OR($R469="Fighting",$R469="Flying",$R469="Fire",$R469="Ghost",$R469="Poison",$R469="Steel",$R469="Fairy"),1,0)),IF(OR($S469="Grass",$S469="Psychic",$S469="Dark"),0-1,IF(OR($S469="Fighting",$S469="Flying",$S469="Fire",$S469="Ghost",$S469="Poison",$S469="Steel",$S469="Fairy"),1,0)))</f>
        <v>1</v>
      </c>
      <c r="AD469" s="507" t="n">
        <f aca="false">SUM(IF(OR($R469="Ghost",$R469="Psychic"),0-1,IF(OR($R469="Fighting",$R469="Dark",$R469="Fairy"),1,0)),IF(OR($S469="Ghost",$S469="Psychic"),0-1,IF(OR($S469="Fighting",$S469="Dark",$S469="Fairy"),1,0)))</f>
        <v>0</v>
      </c>
      <c r="AE469" s="507" t="n">
        <f aca="false">IF(OR($R469="Fairy",$S469="Fairy"),4,SUM(IF($R469="Dragon",0-1,IF($R469="Steel",1,0)),IF($S469="Dragon",0-1,IF($S469="Steel",1,0))))</f>
        <v>0</v>
      </c>
      <c r="AF469" s="507" t="n">
        <f aca="false">IF(OR($R469="Ground",$S469="Ground"),4,SUM(IF(OR($R469="Flying",$R469="Water"),0-1,IF(OR($R469="Dragon",$R469="Electric",$R469="Grass"),1,0)),IF(OR($S469="Flying",$S469="Water"),0-1,IF(OR($S469="Dragon",$S469="Electric",$S469="Grass"),1,0))))</f>
        <v>0</v>
      </c>
      <c r="AG469" s="507" t="n">
        <f aca="false">SUM(IF(OR($R469="Dark",$R469="Dragon",$R469="Fighting"),0-1,IF(OR($R469="Steel",$R469="Poison",$R469="Fire"),1,0)),IF(OR($S469="Dark",$S469="Dragon",$S469="Fighting"),0-1,IF(OR($S469="Steel",$S469="Poison",$S469="Fire"),1,0)))</f>
        <v>0</v>
      </c>
      <c r="AH469" s="507" t="n">
        <f aca="false">IF(OR($R469="Ghost",$S469="Ghost"),4,SUM(IF(OR($R469="Dark",$R469="Ice",$R469="Normal",$R469="Rock",$R469="Steel"),0-1,IF(OR($R469="Bug",$R469="Fairy",$R469="Flying",$R469="Poison",$R469="Psychic"),1,0)),IF(OR($S469="Dark",$S469="Ice",$S469="Normal",$S469="Rock",$S469="Steel"),0-1,IF(OR($S469="Bug",$S469="Fairy",$S469="Flying",$S469="Poison",$S469="Psychic"),1,0))))</f>
        <v>1</v>
      </c>
      <c r="AI469" s="507" t="n">
        <f aca="false">SUM(IF(OR($R469="Bug",$R469="Grass",$R469="Ice",$R469="Steel"),0-1,IF(OR($R469="Dragon",$R469="Fire",$R469="Rock",$R469="Water"),1,0)),IF(OR($S469="Bug",$S469="Grass",$S469="Ice",$S469="Steel"),0-1,IF(OR($S469="Dragon",$S469="Fire",$S469="Rock",$S469="Water"),1,0)))</f>
        <v>0</v>
      </c>
      <c r="AJ469" s="507" t="n">
        <f aca="false">SUM(IF(OR($R469="Bug",$R469="Grass",$R469="Fighting"),0-1,IF(OR($R469="Electric",$R469="Rock",$R469="Steel"),1,0)),IF(OR($S469="Bug",$S469="Grass",$S469="Fighting"),0-1,IF(OR($S469="Electric",$S469="Rock",$S469="Steel"),1,0)))</f>
        <v>1</v>
      </c>
      <c r="AK469" s="507" t="n">
        <f aca="false">IF(OR($R469="Normal",$S469="Normal"),4,SUM(IF(OR($R469="Ghost",$R469="Psychic"),0-1,IF($R469="Dark",1,0)),IF(OR($S469="Ghost",$S469="Psychic"),0-1,IF($S469="Dark",1,0))))</f>
        <v>0</v>
      </c>
      <c r="AL469" s="507" t="n">
        <f aca="false">SUM(IF(OR($R469="Ground",$R469="Rock",$R469="Water"),0-1,IF(OR($R469="Bug",$R469="Flying",$R469="Fire",$R469="Dragon",$R469="Poison",$R469="Steel",$R469="Grass"),1,0)),IF(OR($S469="Ground",$S469="Rock",$S469="Water"),0-1,IF(OR($S469="Bug",$S469="Flying",$S469="Fire",$S469="Dragon",$S469="Poison",$S469="Steel",$S469="Grass"),1,0)))</f>
        <v>1</v>
      </c>
      <c r="AM469" s="507" t="n">
        <f aca="false">IF(OR($R469="Flying",$S469="Flying"),4,SUM(IF(OR($R469="Electric",$R469="Fire",$R469="Rock",$R469="Steel",$R469="Poison"),0-1,IF(OR($R469="Bug",$R469="Grass"),1,0)),IF(OR($S469="Electric",$S469="Fire",$S469="Rock",$S469="Steel",$S469="Poison"),0-1,IF(OR($S469="Bug",$S469="Grass"),1,0))))</f>
        <v>4</v>
      </c>
      <c r="AN469" s="507" t="n">
        <f aca="false">SUM(IF(OR($R469="Flying",$R469="Dragon",$R469="Grass",$R469="Ground"),0-1,IF(OR($R469="Steel",$R469="Ice",$R469="Fire",$R469="Water"),1,0)),IF(OR($S469="Flying",$S469="Dragon",$S469="Grass",$S469="Ground"),0-1,IF(OR($S469="Steel",$S469="Ice",$S469="Fire",$S469="Water"),1,0)))</f>
        <v>-1</v>
      </c>
      <c r="AO469" s="507" t="n">
        <f aca="false">IF(OR($R469="Ghost",$S469="Ghost"),4,SUM(IF(OR($R469="Steel",$R469="Rock"),1,0),IF(OR($S469="Steel",$S469="Rock"),1,0)))</f>
        <v>0</v>
      </c>
      <c r="AP469" s="507" t="n">
        <f aca="false">IF(OR($R469="Steel",$S469="Steel"),4,SUM(IF(OR($R469="Fairy",$R469="Grass"),0-1,IF(OR($R469="Ghost",$R469="Rock",$R469="Ground",$R469="Poison"),1,0)),IF(OR($S469="Fairy",$S469="Grass"),0-1,IF(OR($S469="Ghost",$S469="Rock",$S469="Ground",$S469="Poison"),1,0))))</f>
        <v>0</v>
      </c>
      <c r="AQ469" s="507" t="n">
        <f aca="false">IF(OR($R469="Dark",$S469="Dark"),4,SUM(IF(OR($R469="Fighting",$R469="Poison"),0-1,IF(OR($R469="Psychic",$R469="Steel"),1,0)),IF(OR($S469="Fighting",$S469="Poison"),0-1,IF(OR($S469="Psychic",$S469="Steel"),1,0))))</f>
        <v>0</v>
      </c>
      <c r="AR469" s="507" t="n">
        <f aca="false">SUM(IF(OR($R469="Bug",$R469="Fire",$R469="Flying",$R469="Ice"),0-1,IF(OR($R469="Steel",$R469="Fighting",$R469="Ground"),1,0)),IF(OR($S469="Bug",$S469="Fire",$S469="Flying",$S469="Ice"),0-1,IF(OR($S469="Steel",$S469="Fighting",$S469="Ground"),1,0)))</f>
        <v>-1</v>
      </c>
      <c r="AS469" s="507" t="n">
        <f aca="false">SUM(IF(OR($R469="Fairy",$R469="Ice",$R469="Rock"),0-1,IF(OR($R469="Steel",$R469="Electric",$R469="Fire",$R469="Water"),1,0)),IF(OR($S469="Fairy",$S469="Ice",$S469="Rock"),0-1,IF(OR($S469="Steel",$S469="Electric",$S469="Fire",$S469="Water"),1,0)))</f>
        <v>1</v>
      </c>
      <c r="AT469" s="508" t="n">
        <f aca="false">SUM(IF(OR($R469="Fire",$R469="Ground",$R469="Rock"),0-1,IF(OR($R469="Dragon",$R469="Grass",$R469="Water"),1,0)),IF(OR($S469="Fire",$S469="Ground",$S469="Rock"),0-1,IF(OR($S469="Dragon",$S469="Grass",$S469="Water"),1,0)))</f>
        <v>0</v>
      </c>
      <c r="AU469" s="518"/>
    </row>
    <row r="470" customFormat="false" ht="15.75" hidden="false" customHeight="false" outlineLevel="0" collapsed="false">
      <c r="A470" s="510" t="str">
        <f aca="false" t="array" ref="A470:A470">IF(ISNA(INDEX(Source!$U$7:$U$95,MATCH(B470,Source!$V$7:$V$95,0))),"FREE",INDEX(Source!$U$7:$U$95,MATCH(B470,Source!$V$7:$V$95,0)))</f>
        <v>FREE</v>
      </c>
      <c r="B470" s="511" t="s">
        <v>442</v>
      </c>
      <c r="C470" s="511"/>
      <c r="D470" s="511"/>
      <c r="E470" s="499" t="str">
        <f aca="false">IF(SUM($W470:$X470)&gt;0,SUM($W470:$X470),IF($H470&gt;0,0,IF($H470&gt;0,0,"-")))</f>
        <v>-</v>
      </c>
      <c r="F470" s="499" t="str">
        <f aca="false">IF(SUM($Y470:$Z470)&gt;0,SUM($Y470:$Z470),IF($H470&gt;0,0,"-"))</f>
        <v>-</v>
      </c>
      <c r="G470" s="499" t="str">
        <f aca="false">IF($H470&gt;0,minus(E470,F470),"-")</f>
        <v>-</v>
      </c>
      <c r="H470" s="500" t="n">
        <f aca="false">SUM(COUNTIF(MatchSource!$A:$A,$B470),COUNTIF(MatchSource!$H:$H,$B470))</f>
        <v>0</v>
      </c>
      <c r="I470" s="501" t="n">
        <f aca="false">SUM($AA470:$AB470)</f>
        <v>0</v>
      </c>
      <c r="J470" s="501" t="s">
        <v>698</v>
      </c>
      <c r="K470" s="512" t="str">
        <f aca="false" t="array" ref="K470:K470">IF(ISNA(INDEX(DraftRosters!$AA$3:$AA$199,MATCH($B470,DraftRosters!$AB$3:$AB$199,0))),"FA",IF(INDEX(DraftRosters!$AA$3:$AA$199,MATCH($B470,DraftRosters!$AB$3:$AB$199,0))="Franchise","Franch",INDEX(DraftRosters!$AA$3:$AA$199,MATCH($B470,DraftRosters!$AB$3:$AB$199,0))))</f>
        <v>FA</v>
      </c>
      <c r="L470" s="507" t="n">
        <v>79</v>
      </c>
      <c r="M470" s="507" t="n">
        <v>105</v>
      </c>
      <c r="N470" s="507" t="n">
        <v>70</v>
      </c>
      <c r="O470" s="507" t="n">
        <v>145</v>
      </c>
      <c r="P470" s="507" t="n">
        <v>80</v>
      </c>
      <c r="Q470" s="508" t="n">
        <v>101</v>
      </c>
      <c r="R470" s="499" t="s">
        <v>845</v>
      </c>
      <c r="S470" s="501" t="s">
        <v>801</v>
      </c>
      <c r="T470" s="504" t="s">
        <v>1003</v>
      </c>
      <c r="U470" s="505"/>
      <c r="V470" s="506"/>
      <c r="W470" s="500" t="str">
        <f aca="false">IFERROR(__xludf.dummyfunction("if(isna(SUM(FILTER(MatchSource!$A:$D,MatchSource!$A:$A=$B470))),0,SUM(FILTER(MatchSource!$A:$D,MatchSource!$A:$A=$B470)))"),"0")</f>
        <v>0</v>
      </c>
      <c r="X470" s="499" t="str">
        <f aca="false">IFERROR(__xludf.dummyfunction("if(isna(SUM(FILTER(MatchSource!$H:$K,MatchSource!$H:$H=$B470))),0,SUM(FILTER(MatchSource!$H:$K,MatchSource!$H:$H=$B470)))"),"0")</f>
        <v>0</v>
      </c>
      <c r="Y470" s="499" t="str">
        <f aca="false">IFERROR(__xludf.dummyfunction("if(isna(ABS(MINUS(SUM(FILTER(MatchSource!$A:$E,MatchSource!$A:$A=$B470)),SUM($W470)))),0,ABS(MINUS(SUM(FILTER(MatchSource!$A:$E,MatchSource!$A:$A=$B470)),SUM($W470))))"),"0")</f>
        <v>0</v>
      </c>
      <c r="Z470" s="499" t="str">
        <f aca="false">IFERROR(__xludf.dummyfunction("if(isna(ABS(MINUS(SUM(FILTER(MatchSource!$H:$L,MatchSource!$H:$H=$B470)),SUM($X470)))),0,ABS(MINUS(SUM(FILTER(MatchSource!$H:$L,MatchSource!$H:$H=$B470)),SUM($X470))))"),"0")</f>
        <v>0</v>
      </c>
      <c r="AA470" s="499" t="str">
        <f aca="false">IFERROR(__xludf.dummyfunction("if(isna(ABS(MINUS(SUM(FILTER(MatchSource!$A:$F,MatchSource!$A:$A=$B470)),SUM($W470,$Y470)))),0,ABS(MINUS(SUM(FILTER(MatchSource!$A:$F,MatchSource!$A:$A=$B470)),SUM($W470, $Y470,))))"),"0")</f>
        <v>0</v>
      </c>
      <c r="AB470" s="501" t="str">
        <f aca="false">IFERROR(__xludf.dummyfunction("if(isna(ABS(MINUS(SUM(FILTER(MatchSource!$H:$M,MatchSource!$H:$H=$B470)),SUM($X470,$Z470)))),0,ABS(MINUS(SUM(FILTER(MatchSource!$H:$M,MatchSource!$H:$H=$B470)),SUM($X470,$Z470))))"),"0")</f>
        <v>0</v>
      </c>
      <c r="AC470" s="507" t="n">
        <f aca="false">SUM(IF(OR($R470="Grass",$R470="Psychic",$R470="Dark"),0-1,IF(OR($R470="Fighting",$R470="Flying",$R470="Fire",$R470="Ghost",$R470="Poison",$R470="Steel",$R470="Fairy"),1,0)),IF(OR($S470="Grass",$S470="Psychic",$S470="Dark"),0-1,IF(OR($S470="Fighting",$S470="Flying",$S470="Fire",$S470="Ghost",$S470="Poison",$S470="Steel",$S470="Fairy"),1,0)))</f>
        <v>1</v>
      </c>
      <c r="AD470" s="507" t="n">
        <f aca="false">SUM(IF(OR($R470="Ghost",$R470="Psychic"),0-1,IF(OR($R470="Fighting",$R470="Dark",$R470="Fairy"),1,0)),IF(OR($S470="Ghost",$S470="Psychic"),0-1,IF(OR($S470="Fighting",$S470="Dark",$S470="Fairy"),1,0)))</f>
        <v>0</v>
      </c>
      <c r="AE470" s="507" t="n">
        <f aca="false">IF(OR($R470="Fairy",$S470="Fairy"),4,SUM(IF($R470="Dragon",0-1,IF($R470="Steel",1,0)),IF($S470="Dragon",0-1,IF($S470="Steel",1,0))))</f>
        <v>0</v>
      </c>
      <c r="AF470" s="507" t="n">
        <f aca="false">IF(OR($R470="Ground",$S470="Ground"),4,SUM(IF(OR($R470="Flying",$R470="Water"),0-1,IF(OR($R470="Dragon",$R470="Electric",$R470="Grass"),1,0)),IF(OR($S470="Flying",$S470="Water"),0-1,IF(OR($S470="Dragon",$S470="Electric",$S470="Grass"),1,0))))</f>
        <v>0</v>
      </c>
      <c r="AG470" s="507" t="n">
        <f aca="false">SUM(IF(OR($R470="Dark",$R470="Dragon",$R470="Fighting"),0-1,IF(OR($R470="Steel",$R470="Poison",$R470="Fire"),1,0)),IF(OR($S470="Dark",$S470="Dragon",$S470="Fighting"),0-1,IF(OR($S470="Steel",$S470="Poison",$S470="Fire"),1,0)))</f>
        <v>0</v>
      </c>
      <c r="AH470" s="507" t="n">
        <f aca="false">IF(OR($R470="Ghost",$S470="Ghost"),4,SUM(IF(OR($R470="Dark",$R470="Ice",$R470="Normal",$R470="Rock",$R470="Steel"),0-1,IF(OR($R470="Bug",$R470="Fairy",$R470="Flying",$R470="Poison",$R470="Psychic"),1,0)),IF(OR($S470="Dark",$S470="Ice",$S470="Normal",$S470="Rock",$S470="Steel"),0-1,IF(OR($S470="Bug",$S470="Fairy",$S470="Flying",$S470="Poison",$S470="Psychic"),1,0))))</f>
        <v>1</v>
      </c>
      <c r="AI470" s="507" t="n">
        <f aca="false">SUM(IF(OR($R470="Bug",$R470="Grass",$R470="Ice",$R470="Steel"),0-1,IF(OR($R470="Dragon",$R470="Fire",$R470="Rock",$R470="Water"),1,0)),IF(OR($S470="Bug",$S470="Grass",$S470="Ice",$S470="Steel"),0-1,IF(OR($S470="Dragon",$S470="Fire",$S470="Rock",$S470="Water"),1,0)))</f>
        <v>0</v>
      </c>
      <c r="AJ470" s="507" t="n">
        <f aca="false">SUM(IF(OR($R470="Bug",$R470="Grass",$R470="Fighting"),0-1,IF(OR($R470="Electric",$R470="Rock",$R470="Steel"),1,0)),IF(OR($S470="Bug",$S470="Grass",$S470="Fighting"),0-1,IF(OR($S470="Electric",$S470="Rock",$S470="Steel"),1,0)))</f>
        <v>1</v>
      </c>
      <c r="AK470" s="507" t="n">
        <f aca="false">IF(OR($R470="Normal",$S470="Normal"),4,SUM(IF(OR($R470="Ghost",$R470="Psychic"),0-1,IF($R470="Dark",1,0)),IF(OR($S470="Ghost",$S470="Psychic"),0-1,IF($S470="Dark",1,0))))</f>
        <v>0</v>
      </c>
      <c r="AL470" s="507" t="n">
        <f aca="false">SUM(IF(OR($R470="Ground",$R470="Rock",$R470="Water"),0-1,IF(OR($R470="Bug",$R470="Flying",$R470="Fire",$R470="Dragon",$R470="Poison",$R470="Steel",$R470="Grass"),1,0)),IF(OR($S470="Ground",$S470="Rock",$S470="Water"),0-1,IF(OR($S470="Bug",$S470="Flying",$S470="Fire",$S470="Dragon",$S470="Poison",$S470="Steel",$S470="Grass"),1,0)))</f>
        <v>1</v>
      </c>
      <c r="AM470" s="507" t="n">
        <f aca="false">IF(OR($R470="Flying",$S470="Flying"),4,SUM(IF(OR($R470="Electric",$R470="Fire",$R470="Rock",$R470="Steel",$R470="Poison"),0-1,IF(OR($R470="Bug",$R470="Grass"),1,0)),IF(OR($S470="Electric",$S470="Fire",$S470="Rock",$S470="Steel",$S470="Poison"),0-1,IF(OR($S470="Bug",$S470="Grass"),1,0))))</f>
        <v>4</v>
      </c>
      <c r="AN470" s="507" t="n">
        <f aca="false">SUM(IF(OR($R470="Flying",$R470="Dragon",$R470="Grass",$R470="Ground"),0-1,IF(OR($R470="Steel",$R470="Ice",$R470="Fire",$R470="Water"),1,0)),IF(OR($S470="Flying",$S470="Dragon",$S470="Grass",$S470="Ground"),0-1,IF(OR($S470="Steel",$S470="Ice",$S470="Fire",$S470="Water"),1,0)))</f>
        <v>-1</v>
      </c>
      <c r="AO470" s="507" t="n">
        <f aca="false">IF(OR($R470="Ghost",$S470="Ghost"),4,SUM(IF(OR($R470="Steel",$R470="Rock"),1,0),IF(OR($S470="Steel",$S470="Rock"),1,0)))</f>
        <v>0</v>
      </c>
      <c r="AP470" s="507" t="n">
        <f aca="false">IF(OR($R470="Steel",$S470="Steel"),4,SUM(IF(OR($R470="Fairy",$R470="Grass"),0-1,IF(OR($R470="Ghost",$R470="Rock",$R470="Ground",$R470="Poison"),1,0)),IF(OR($S470="Fairy",$S470="Grass"),0-1,IF(OR($S470="Ghost",$S470="Rock",$S470="Ground",$S470="Poison"),1,0))))</f>
        <v>0</v>
      </c>
      <c r="AQ470" s="507" t="n">
        <f aca="false">IF(OR($R470="Dark",$S470="Dark"),4,SUM(IF(OR($R470="Fighting",$R470="Poison"),0-1,IF(OR($R470="Psychic",$R470="Steel"),1,0)),IF(OR($S470="Fighting",$S470="Poison"),0-1,IF(OR($S470="Psychic",$S470="Steel"),1,0))))</f>
        <v>0</v>
      </c>
      <c r="AR470" s="507" t="n">
        <f aca="false">SUM(IF(OR($R470="Bug",$R470="Fire",$R470="Flying",$R470="Ice"),0-1,IF(OR($R470="Steel",$R470="Fighting",$R470="Ground"),1,0)),IF(OR($S470="Bug",$S470="Fire",$S470="Flying",$S470="Ice"),0-1,IF(OR($S470="Steel",$S470="Fighting",$S470="Ground"),1,0)))</f>
        <v>-1</v>
      </c>
      <c r="AS470" s="507" t="n">
        <f aca="false">SUM(IF(OR($R470="Fairy",$R470="Ice",$R470="Rock"),0-1,IF(OR($R470="Steel",$R470="Electric",$R470="Fire",$R470="Water"),1,0)),IF(OR($S470="Fairy",$S470="Ice",$S470="Rock"),0-1,IF(OR($S470="Steel",$S470="Electric",$S470="Fire",$S470="Water"),1,0)))</f>
        <v>1</v>
      </c>
      <c r="AT470" s="508" t="n">
        <f aca="false">SUM(IF(OR($R470="Fire",$R470="Ground",$R470="Rock"),0-1,IF(OR($R470="Dragon",$R470="Grass",$R470="Water"),1,0)),IF(OR($S470="Fire",$S470="Ground",$S470="Rock"),0-1,IF(OR($S470="Dragon",$S470="Grass",$S470="Water"),1,0)))</f>
        <v>0</v>
      </c>
      <c r="AU470" s="518"/>
    </row>
    <row r="471" customFormat="false" ht="15.75" hidden="false" customHeight="false" outlineLevel="0" collapsed="false">
      <c r="A471" s="515" t="str">
        <f aca="false" t="array" ref="A471:A471">IF(ISNA(INDEX(Source!$U$7:$U$95,MATCH(B471,Source!$V$7:$V$95,0))),"FREE",INDEX(Source!$U$7:$U$95,MATCH(B471,Source!$V$7:$V$95,0)))</f>
        <v>SGP</v>
      </c>
      <c r="B471" s="511" t="s">
        <v>114</v>
      </c>
      <c r="C471" s="511"/>
      <c r="D471" s="511"/>
      <c r="E471" s="499" t="n">
        <f aca="false">IF(SUM($W471:$X471)&gt;0,SUM($W471:$X471),IF($H471&gt;0,0,IF($H471&gt;0,0,"-")))</f>
        <v>0</v>
      </c>
      <c r="F471" s="499" t="n">
        <f aca="false">IF(SUM($Y471:$Z471)&gt;0,SUM($Y471:$Z471),IF($H471&gt;0,0,"-"))</f>
        <v>0</v>
      </c>
      <c r="G471" s="499" t="e">
        <f aca="false">IF($H471&gt;0,minus(E471,F471),"-")</f>
        <v>#NAME?</v>
      </c>
      <c r="H471" s="500" t="n">
        <f aca="false">SUM(COUNTIF(MatchSource!$A:$A,$B471),COUNTIF(MatchSource!$H:$H,$B471))</f>
        <v>3</v>
      </c>
      <c r="I471" s="501" t="n">
        <f aca="false">SUM($AA471:$AB471)</f>
        <v>0</v>
      </c>
      <c r="J471" s="501" t="s">
        <v>702</v>
      </c>
      <c r="K471" s="512" t="n">
        <f aca="false" t="array" ref="K471:K471">IF(ISNA(INDEX(DraftRosters!$AA$3:$AA$199,MATCH($B471,DraftRosters!$AB$3:$AB$199,0))),"FA",IF(INDEX(DraftRosters!$AA$3:$AA$199,MATCH($B471,DraftRosters!$AB$3:$AB$199,0))="Franchise","Franch",INDEX(DraftRosters!$AA$3:$AA$199,MATCH($B471,DraftRosters!$AB$3:$AB$199,0))))</f>
        <v>52</v>
      </c>
      <c r="L471" s="507" t="n">
        <v>65</v>
      </c>
      <c r="M471" s="507" t="n">
        <v>98</v>
      </c>
      <c r="N471" s="507" t="n">
        <v>63</v>
      </c>
      <c r="O471" s="507" t="n">
        <v>40</v>
      </c>
      <c r="P471" s="507" t="n">
        <v>73</v>
      </c>
      <c r="Q471" s="508" t="n">
        <v>96</v>
      </c>
      <c r="R471" s="499" t="s">
        <v>845</v>
      </c>
      <c r="S471" s="501" t="s">
        <v>810</v>
      </c>
      <c r="T471" s="520" t="s">
        <v>970</v>
      </c>
      <c r="U471" s="513" t="s">
        <v>1024</v>
      </c>
      <c r="V471" s="514" t="s">
        <v>826</v>
      </c>
      <c r="W471" s="500" t="str">
        <f aca="false">IFERROR(__xludf.dummyfunction("if(isna(SUM(FILTER(MatchSource!$A:$D,MatchSource!$A:$A=$B471))),0,SUM(FILTER(MatchSource!$A:$D,MatchSource!$A:$A=$B471)))"),"1")</f>
        <v>1</v>
      </c>
      <c r="X471" s="499" t="str">
        <f aca="false">IFERROR(__xludf.dummyfunction("if(isna(SUM(FILTER(MatchSource!$H:$K,MatchSource!$H:$H=$B471))),0,SUM(FILTER(MatchSource!$H:$K,MatchSource!$H:$H=$B471)))"),"2")</f>
        <v>2</v>
      </c>
      <c r="Y471" s="499" t="str">
        <f aca="false">IFERROR(__xludf.dummyfunction("if(isna(ABS(MINUS(SUM(FILTER(MatchSource!$A:$E,MatchSource!$A:$A=$B471)),SUM($W471)))),0,ABS(MINUS(SUM(FILTER(MatchSource!$A:$E,MatchSource!$A:$A=$B471)),SUM($W471))))"),"1")</f>
        <v>1</v>
      </c>
      <c r="Z471" s="499" t="str">
        <f aca="false">IFERROR(__xludf.dummyfunction("if(isna(ABS(MINUS(SUM(FILTER(MatchSource!$H:$L,MatchSource!$H:$H=$B471)),SUM($X471)))),0,ABS(MINUS(SUM(FILTER(MatchSource!$H:$L,MatchSource!$H:$H=$B471)),SUM($X471))))"),"2")</f>
        <v>2</v>
      </c>
      <c r="AA471" s="499" t="str">
        <f aca="false">IFERROR(__xludf.dummyfunction("if(isna(ABS(MINUS(SUM(FILTER(MatchSource!$A:$F,MatchSource!$A:$A=$B471)),SUM($W471,$Y471)))),0,ABS(MINUS(SUM(FILTER(MatchSource!$A:$F,MatchSource!$A:$A=$B471)),SUM($W471, $Y471,))))"),"0")</f>
        <v>0</v>
      </c>
      <c r="AB471" s="501" t="str">
        <f aca="false">IFERROR(__xludf.dummyfunction("if(isna(ABS(MINUS(SUM(FILTER(MatchSource!$H:$M,MatchSource!$H:$H=$B471)),SUM($X471,$Z471)))),0,ABS(MINUS(SUM(FILTER(MatchSource!$H:$M,MatchSource!$H:$H=$B471)),SUM($X471,$Z471))))"),"0")</f>
        <v>0</v>
      </c>
      <c r="AC471" s="507" t="n">
        <f aca="false">SUM(IF(OR($R471="Grass",$R471="Psychic",$R471="Dark"),0-1,IF(OR($R471="Fighting",$R471="Flying",$R471="Fire",$R471="Ghost",$R471="Poison",$R471="Steel",$R471="Fairy"),1,0)),IF(OR($S471="Grass",$S471="Psychic",$S471="Dark"),0-1,IF(OR($S471="Fighting",$S471="Flying",$S471="Fire",$S471="Ghost",$S471="Poison",$S471="Steel",$S471="Fairy"),1,0)))</f>
        <v>1</v>
      </c>
      <c r="AD471" s="507" t="n">
        <f aca="false">SUM(IF(OR($R471="Ghost",$R471="Psychic"),0-1,IF(OR($R471="Fighting",$R471="Dark",$R471="Fairy"),1,0)),IF(OR($S471="Ghost",$S471="Psychic"),0-1,IF(OR($S471="Fighting",$S471="Dark",$S471="Fairy"),1,0)))</f>
        <v>0</v>
      </c>
      <c r="AE471" s="507" t="n">
        <f aca="false">IF(OR($R471="Fairy",$S471="Fairy"),4,SUM(IF($R471="Dragon",0-1,IF($R471="Steel",1,0)),IF($S471="Dragon",0-1,IF($S471="Steel",1,0))))</f>
        <v>1</v>
      </c>
      <c r="AF471" s="507" t="n">
        <f aca="false">IF(OR($R471="Ground",$S471="Ground"),4,SUM(IF(OR($R471="Flying",$R471="Water"),0-1,IF(OR($R471="Dragon",$R471="Electric",$R471="Grass"),1,0)),IF(OR($S471="Flying",$S471="Water"),0-1,IF(OR($S471="Dragon",$S471="Electric",$S471="Grass"),1,0))))</f>
        <v>1</v>
      </c>
      <c r="AG471" s="507" t="n">
        <f aca="false">SUM(IF(OR($R471="Dark",$R471="Dragon",$R471="Fighting"),0-1,IF(OR($R471="Steel",$R471="Poison",$R471="Fire"),1,0)),IF(OR($S471="Dark",$S471="Dragon",$S471="Fighting"),0-1,IF(OR($S471="Steel",$S471="Poison",$S471="Fire"),1,0)))</f>
        <v>1</v>
      </c>
      <c r="AH471" s="507" t="n">
        <f aca="false">IF(OR($R471="Ghost",$S471="Ghost"),4,SUM(IF(OR($R471="Dark",$R471="Ice",$R471="Normal",$R471="Rock",$R471="Steel"),0-1,IF(OR($R471="Bug",$R471="Fairy",$R471="Flying",$R471="Poison",$R471="Psychic"),1,0)),IF(OR($S471="Dark",$S471="Ice",$S471="Normal",$S471="Rock",$S471="Steel"),0-1,IF(OR($S471="Bug",$S471="Fairy",$S471="Flying",$S471="Poison",$S471="Psychic"),1,0))))</f>
        <v>-1</v>
      </c>
      <c r="AI471" s="507" t="n">
        <f aca="false">SUM(IF(OR($R471="Bug",$R471="Grass",$R471="Ice",$R471="Steel"),0-1,IF(OR($R471="Dragon",$R471="Fire",$R471="Rock",$R471="Water"),1,0)),IF(OR($S471="Bug",$S471="Grass",$S471="Ice",$S471="Steel"),0-1,IF(OR($S471="Dragon",$S471="Fire",$S471="Rock",$S471="Water"),1,0)))</f>
        <v>-1</v>
      </c>
      <c r="AJ471" s="507" t="n">
        <f aca="false">SUM(IF(OR($R471="Bug",$R471="Grass",$R471="Fighting"),0-1,IF(OR($R471="Electric",$R471="Rock",$R471="Steel"),1,0)),IF(OR($S471="Bug",$S471="Grass",$S471="Fighting"),0-1,IF(OR($S471="Electric",$S471="Rock",$S471="Steel"),1,0)))</f>
        <v>2</v>
      </c>
      <c r="AK471" s="507" t="n">
        <f aca="false">IF(OR($R471="Normal",$S471="Normal"),4,SUM(IF(OR($R471="Ghost",$R471="Psychic"),0-1,IF($R471="Dark",1,0)),IF(OR($S471="Ghost",$S471="Psychic"),0-1,IF($S471="Dark",1,0))))</f>
        <v>0</v>
      </c>
      <c r="AL471" s="507" t="n">
        <f aca="false">SUM(IF(OR($R471="Ground",$R471="Rock",$R471="Water"),0-1,IF(OR($R471="Bug",$R471="Flying",$R471="Fire",$R471="Dragon",$R471="Poison",$R471="Steel",$R471="Grass"),1,0)),IF(OR($S471="Ground",$S471="Rock",$S471="Water"),0-1,IF(OR($S471="Bug",$S471="Flying",$S471="Fire",$S471="Dragon",$S471="Poison",$S471="Steel",$S471="Grass"),1,0)))</f>
        <v>1</v>
      </c>
      <c r="AM471" s="507" t="n">
        <f aca="false">IF(OR($R471="Flying",$S471="Flying"),4,SUM(IF(OR($R471="Electric",$R471="Fire",$R471="Rock",$R471="Steel",$R471="Poison"),0-1,IF(OR($R471="Bug",$R471="Grass"),1,0)),IF(OR($S471="Electric",$S471="Fire",$S471="Rock",$S471="Steel",$S471="Poison"),0-1,IF(OR($S471="Bug",$S471="Grass"),1,0))))</f>
        <v>-2</v>
      </c>
      <c r="AN471" s="507" t="n">
        <f aca="false">SUM(IF(OR($R471="Flying",$R471="Dragon",$R471="Grass",$R471="Ground"),0-1,IF(OR($R471="Steel",$R471="Ice",$R471="Fire",$R471="Water"),1,0)),IF(OR($S471="Flying",$S471="Dragon",$S471="Grass",$S471="Ground"),0-1,IF(OR($S471="Steel",$S471="Ice",$S471="Fire",$S471="Water"),1,0)))</f>
        <v>1</v>
      </c>
      <c r="AO471" s="507" t="n">
        <f aca="false">IF(OR($R471="Ghost",$S471="Ghost"),4,SUM(IF(OR($R471="Steel",$R471="Rock"),1,0),IF(OR($S471="Steel",$S471="Rock"),1,0)))</f>
        <v>1</v>
      </c>
      <c r="AP471" s="507" t="n">
        <f aca="false">IF(OR($R471="Steel",$S471="Steel"),4,SUM(IF(OR($R471="Fairy",$R471="Grass"),0-1,IF(OR($R471="Ghost",$R471="Rock",$R471="Ground",$R471="Poison"),1,0)),IF(OR($S471="Fairy",$S471="Grass"),0-1,IF(OR($S471="Ghost",$S471="Rock",$S471="Ground",$S471="Poison"),1,0))))</f>
        <v>4</v>
      </c>
      <c r="AQ471" s="507" t="n">
        <f aca="false">IF(OR($R471="Dark",$S471="Dark"),4,SUM(IF(OR($R471="Fighting",$R471="Poison"),0-1,IF(OR($R471="Psychic",$R471="Steel"),1,0)),IF(OR($S471="Fighting",$S471="Poison"),0-1,IF(OR($S471="Psychic",$S471="Steel"),1,0))))</f>
        <v>1</v>
      </c>
      <c r="AR471" s="507" t="n">
        <f aca="false">SUM(IF(OR($R471="Bug",$R471="Fire",$R471="Flying",$R471="Ice"),0-1,IF(OR($R471="Steel",$R471="Fighting",$R471="Ground"),1,0)),IF(OR($S471="Bug",$S471="Fire",$S471="Flying",$S471="Ice"),0-1,IF(OR($S471="Steel",$S471="Fighting",$S471="Ground"),1,0)))</f>
        <v>1</v>
      </c>
      <c r="AS471" s="507" t="n">
        <f aca="false">SUM(IF(OR($R471="Fairy",$R471="Ice",$R471="Rock"),0-1,IF(OR($R471="Steel",$R471="Electric",$R471="Fire",$R471="Water"),1,0)),IF(OR($S471="Fairy",$S471="Ice",$S471="Rock"),0-1,IF(OR($S471="Steel",$S471="Electric",$S471="Fire",$S471="Water"),1,0)))</f>
        <v>2</v>
      </c>
      <c r="AT471" s="508" t="n">
        <f aca="false">SUM(IF(OR($R471="Fire",$R471="Ground",$R471="Rock"),0-1,IF(OR($R471="Dragon",$R471="Grass",$R471="Water"),1,0)),IF(OR($S471="Fire",$S471="Ground",$S471="Rock"),0-1,IF(OR($S471="Dragon",$S471="Grass",$S471="Water"),1,0)))</f>
        <v>0</v>
      </c>
      <c r="AU471" s="518"/>
    </row>
    <row r="472" customFormat="false" ht="15.75" hidden="false" customHeight="false" outlineLevel="0" collapsed="false">
      <c r="A472" s="515" t="str">
        <f aca="false" t="array" ref="A472:A472">IF(ISNA(INDEX(Source!$U$7:$U$95,MATCH(B472,Source!$V$7:$V$95,0))),"FREE",INDEX(Source!$U$7:$U$95,MATCH(B472,Source!$V$7:$V$95,0)))</f>
        <v>FREE</v>
      </c>
      <c r="B472" s="511" t="s">
        <v>77</v>
      </c>
      <c r="C472" s="511"/>
      <c r="D472" s="511"/>
      <c r="E472" s="499" t="n">
        <f aca="false">IF(SUM($W472:$X472)&gt;0,SUM($W472:$X472),IF($H472&gt;0,0,IF($H472&gt;0,0,"-")))</f>
        <v>0</v>
      </c>
      <c r="F472" s="499" t="n">
        <f aca="false">IF(SUM($Y472:$Z472)&gt;0,SUM($Y472:$Z472),IF($H472&gt;0,0,"-"))</f>
        <v>0</v>
      </c>
      <c r="G472" s="499" t="e">
        <f aca="false">IF($H472&gt;0,minus(E472,F472),"-")</f>
        <v>#NAME?</v>
      </c>
      <c r="H472" s="500" t="n">
        <f aca="false">SUM(COUNTIF(MatchSource!$A:$A,$B472),COUNTIF(MatchSource!$H:$H,$B472))</f>
        <v>4</v>
      </c>
      <c r="I472" s="501" t="n">
        <f aca="false">SUM($AA472:$AB472)</f>
        <v>0</v>
      </c>
      <c r="J472" s="501" t="s">
        <v>699</v>
      </c>
      <c r="K472" s="512" t="n">
        <f aca="false" t="array" ref="K472:K472">IF(ISNA(INDEX(DraftRosters!$AA$3:$AA$199,MATCH($B472,DraftRosters!$AB$3:$AB$199,0))),"FA",IF(INDEX(DraftRosters!$AA$3:$AA$199,MATCH($B472,DraftRosters!$AB$3:$AB$199,0))="Franchise","Franch",INDEX(DraftRosters!$AA$3:$AA$199,MATCH($B472,DraftRosters!$AB$3:$AB$199,0))))</f>
        <v>61</v>
      </c>
      <c r="L472" s="507" t="n">
        <v>85</v>
      </c>
      <c r="M472" s="507" t="n">
        <v>50</v>
      </c>
      <c r="N472" s="507" t="n">
        <v>95</v>
      </c>
      <c r="O472" s="507" t="n">
        <v>120</v>
      </c>
      <c r="P472" s="507" t="n">
        <v>115</v>
      </c>
      <c r="Q472" s="508" t="n">
        <v>80</v>
      </c>
      <c r="R472" s="499" t="s">
        <v>798</v>
      </c>
      <c r="S472" s="501" t="s">
        <v>801</v>
      </c>
      <c r="T472" s="504" t="s">
        <v>932</v>
      </c>
      <c r="U472" s="505" t="s">
        <v>817</v>
      </c>
      <c r="V472" s="506" t="s">
        <v>895</v>
      </c>
      <c r="W472" s="500" t="str">
        <f aca="false">IFERROR(__xludf.dummyfunction("if(isna(SUM(FILTER(MatchSource!$A:$D,MatchSource!$A:$A=$B472))),0,SUM(FILTER(MatchSource!$A:$D,MatchSource!$A:$A=$B472)))"),"0")</f>
        <v>0</v>
      </c>
      <c r="X472" s="499" t="str">
        <f aca="false">IFERROR(__xludf.dummyfunction("if(isna(SUM(FILTER(MatchSource!$H:$K,MatchSource!$H:$H=$B472))),0,SUM(FILTER(MatchSource!$H:$K,MatchSource!$H:$H=$B472)))"),"1")</f>
        <v>1</v>
      </c>
      <c r="Y472" s="499" t="str">
        <f aca="false">IFERROR(__xludf.dummyfunction("if(isna(ABS(MINUS(SUM(FILTER(MatchSource!$A:$E,MatchSource!$A:$A=$B472)),SUM($W472)))),0,ABS(MINUS(SUM(FILTER(MatchSource!$A:$E,MatchSource!$A:$A=$B472)),SUM($W472))))"),"3")</f>
        <v>3</v>
      </c>
      <c r="Z472" s="499" t="str">
        <f aca="false">IFERROR(__xludf.dummyfunction("if(isna(ABS(MINUS(SUM(FILTER(MatchSource!$H:$L,MatchSource!$H:$H=$B472)),SUM($X472)))),0,ABS(MINUS(SUM(FILTER(MatchSource!$H:$L,MatchSource!$H:$H=$B472)),SUM($X472))))"),"1")</f>
        <v>1</v>
      </c>
      <c r="AA472" s="499" t="str">
        <f aca="false">IFERROR(__xludf.dummyfunction("if(isna(ABS(MINUS(SUM(FILTER(MatchSource!$A:$F,MatchSource!$A:$A=$B472)),SUM($W472,$Y472)))),0,ABS(MINUS(SUM(FILTER(MatchSource!$A:$F,MatchSource!$A:$A=$B472)),SUM($W472, $Y472,))))"),"0")</f>
        <v>0</v>
      </c>
      <c r="AB472" s="501" t="str">
        <f aca="false">IFERROR(__xludf.dummyfunction("if(isna(ABS(MINUS(SUM(FILTER(MatchSource!$H:$M,MatchSource!$H:$H=$B472)),SUM($X472,$Z472)))),0,ABS(MINUS(SUM(FILTER(MatchSource!$H:$M,MatchSource!$H:$H=$B472)),SUM($X472,$Z472))))"),"0")</f>
        <v>0</v>
      </c>
      <c r="AC472" s="507" t="n">
        <f aca="false">SUM(IF(OR($R472="Grass",$R472="Psychic",$R472="Dark"),0-1,IF(OR($R472="Fighting",$R472="Flying",$R472="Fire",$R472="Ghost",$R472="Poison",$R472="Steel",$R472="Fairy"),1,0)),IF(OR($S472="Grass",$S472="Psychic",$S472="Dark"),0-1,IF(OR($S472="Fighting",$S472="Flying",$S472="Fire",$S472="Ghost",$S472="Poison",$S472="Steel",$S472="Fairy"),1,0)))</f>
        <v>2</v>
      </c>
      <c r="AD472" s="507" t="n">
        <f aca="false">SUM(IF(OR($R472="Ghost",$R472="Psychic"),0-1,IF(OR($R472="Fighting",$R472="Dark",$R472="Fairy"),1,0)),IF(OR($S472="Ghost",$S472="Psychic"),0-1,IF(OR($S472="Fighting",$S472="Dark",$S472="Fairy"),1,0)))</f>
        <v>1</v>
      </c>
      <c r="AE472" s="507" t="n">
        <f aca="false">IF(OR($R472="Fairy",$S472="Fairy"),4,SUM(IF($R472="Dragon",0-1,IF($R472="Steel",1,0)),IF($S472="Dragon",0-1,IF($S472="Steel",1,0))))</f>
        <v>4</v>
      </c>
      <c r="AF472" s="507" t="n">
        <f aca="false">IF(OR($R472="Ground",$S472="Ground"),4,SUM(IF(OR($R472="Flying",$R472="Water"),0-1,IF(OR($R472="Dragon",$R472="Electric",$R472="Grass"),1,0)),IF(OR($S472="Flying",$S472="Water"),0-1,IF(OR($S472="Dragon",$S472="Electric",$S472="Grass"),1,0))))</f>
        <v>-1</v>
      </c>
      <c r="AG472" s="507" t="n">
        <f aca="false">SUM(IF(OR($R472="Dark",$R472="Dragon",$R472="Fighting"),0-1,IF(OR($R472="Steel",$R472="Poison",$R472="Fire"),1,0)),IF(OR($S472="Dark",$S472="Dragon",$S472="Fighting"),0-1,IF(OR($S472="Steel",$S472="Poison",$S472="Fire"),1,0)))</f>
        <v>0</v>
      </c>
      <c r="AH472" s="507" t="n">
        <f aca="false">IF(OR($R472="Ghost",$S472="Ghost"),4,SUM(IF(OR($R472="Dark",$R472="Ice",$R472="Normal",$R472="Rock",$R472="Steel"),0-1,IF(OR($R472="Bug",$R472="Fairy",$R472="Flying",$R472="Poison",$R472="Psychic"),1,0)),IF(OR($S472="Dark",$S472="Ice",$S472="Normal",$S472="Rock",$S472="Steel"),0-1,IF(OR($S472="Bug",$S472="Fairy",$S472="Flying",$S472="Poison",$S472="Psychic"),1,0))))</f>
        <v>2</v>
      </c>
      <c r="AI472" s="507" t="n">
        <f aca="false">SUM(IF(OR($R472="Bug",$R472="Grass",$R472="Ice",$R472="Steel"),0-1,IF(OR($R472="Dragon",$R472="Fire",$R472="Rock",$R472="Water"),1,0)),IF(OR($S472="Bug",$S472="Grass",$S472="Ice",$S472="Steel"),0-1,IF(OR($S472="Dragon",$S472="Fire",$S472="Rock",$S472="Water"),1,0)))</f>
        <v>0</v>
      </c>
      <c r="AJ472" s="507" t="n">
        <f aca="false">SUM(IF(OR($R472="Bug",$R472="Grass",$R472="Fighting"),0-1,IF(OR($R472="Electric",$R472="Rock",$R472="Steel"),1,0)),IF(OR($S472="Bug",$S472="Grass",$S472="Fighting"),0-1,IF(OR($S472="Electric",$S472="Rock",$S472="Steel"),1,0)))</f>
        <v>0</v>
      </c>
      <c r="AK472" s="507" t="n">
        <f aca="false">IF(OR($R472="Normal",$S472="Normal"),4,SUM(IF(OR($R472="Ghost",$R472="Psychic"),0-1,IF($R472="Dark",1,0)),IF(OR($S472="Ghost",$S472="Psychic"),0-1,IF($S472="Dark",1,0))))</f>
        <v>0</v>
      </c>
      <c r="AL472" s="507" t="n">
        <f aca="false">SUM(IF(OR($R472="Ground",$R472="Rock",$R472="Water"),0-1,IF(OR($R472="Bug",$R472="Flying",$R472="Fire",$R472="Dragon",$R472="Poison",$R472="Steel",$R472="Grass"),1,0)),IF(OR($S472="Ground",$S472="Rock",$S472="Water"),0-1,IF(OR($S472="Bug",$S472="Flying",$S472="Fire",$S472="Dragon",$S472="Poison",$S472="Steel",$S472="Grass"),1,0)))</f>
        <v>1</v>
      </c>
      <c r="AM472" s="507" t="n">
        <f aca="false">IF(OR($R472="Flying",$S472="Flying"),4,SUM(IF(OR($R472="Electric",$R472="Fire",$R472="Rock",$R472="Steel",$R472="Poison"),0-1,IF(OR($R472="Bug",$R472="Grass"),1,0)),IF(OR($S472="Electric",$S472="Fire",$S472="Rock",$S472="Steel",$S472="Poison"),0-1,IF(OR($S472="Bug",$S472="Grass"),1,0))))</f>
        <v>4</v>
      </c>
      <c r="AN472" s="507" t="n">
        <f aca="false">SUM(IF(OR($R472="Flying",$R472="Dragon",$R472="Grass",$R472="Ground"),0-1,IF(OR($R472="Steel",$R472="Ice",$R472="Fire",$R472="Water"),1,0)),IF(OR($S472="Flying",$S472="Dragon",$S472="Grass",$S472="Ground"),0-1,IF(OR($S472="Steel",$S472="Ice",$S472="Fire",$S472="Water"),1,0)))</f>
        <v>-1</v>
      </c>
      <c r="AO472" s="507" t="n">
        <f aca="false">IF(OR($R472="Ghost",$S472="Ghost"),4,SUM(IF(OR($R472="Steel",$R472="Rock"),1,0),IF(OR($S472="Steel",$S472="Rock"),1,0)))</f>
        <v>0</v>
      </c>
      <c r="AP472" s="507" t="n">
        <f aca="false">IF(OR($R472="Steel",$S472="Steel"),4,SUM(IF(OR($R472="Fairy",$R472="Grass"),0-1,IF(OR($R472="Ghost",$R472="Rock",$R472="Ground",$R472="Poison"),1,0)),IF(OR($S472="Fairy",$S472="Grass"),0-1,IF(OR($S472="Ghost",$S472="Rock",$S472="Ground",$S472="Poison"),1,0))))</f>
        <v>-1</v>
      </c>
      <c r="AQ472" s="507" t="n">
        <f aca="false">IF(OR($R472="Dark",$S472="Dark"),4,SUM(IF(OR($R472="Fighting",$R472="Poison"),0-1,IF(OR($R472="Psychic",$R472="Steel"),1,0)),IF(OR($S472="Fighting",$S472="Poison"),0-1,IF(OR($S472="Psychic",$S472="Steel"),1,0))))</f>
        <v>0</v>
      </c>
      <c r="AR472" s="507" t="n">
        <f aca="false">SUM(IF(OR($R472="Bug",$R472="Fire",$R472="Flying",$R472="Ice"),0-1,IF(OR($R472="Steel",$R472="Fighting",$R472="Ground"),1,0)),IF(OR($S472="Bug",$S472="Fire",$S472="Flying",$S472="Ice"),0-1,IF(OR($S472="Steel",$S472="Fighting",$S472="Ground"),1,0)))</f>
        <v>-1</v>
      </c>
      <c r="AS472" s="507" t="n">
        <f aca="false">SUM(IF(OR($R472="Fairy",$R472="Ice",$R472="Rock"),0-1,IF(OR($R472="Steel",$R472="Electric",$R472="Fire",$R472="Water"),1,0)),IF(OR($S472="Fairy",$S472="Ice",$S472="Rock"),0-1,IF(OR($S472="Steel",$S472="Electric",$S472="Fire",$S472="Water"),1,0)))</f>
        <v>-1</v>
      </c>
      <c r="AT472" s="508" t="n">
        <f aca="false">SUM(IF(OR($R472="Fire",$R472="Ground",$R472="Rock"),0-1,IF(OR($R472="Dragon",$R472="Grass",$R472="Water"),1,0)),IF(OR($S472="Fire",$S472="Ground",$S472="Rock"),0-1,IF(OR($S472="Dragon",$S472="Grass",$S472="Water"),1,0)))</f>
        <v>0</v>
      </c>
      <c r="AU472" s="518"/>
    </row>
    <row r="473" customFormat="false" ht="15.75" hidden="false" customHeight="false" outlineLevel="0" collapsed="false">
      <c r="A473" s="497" t="str">
        <f aca="false" t="array" ref="A473:A473">IF(ISNA(INDEX(Source!$U$7:$U$95,MATCH(B473,Source!$V$7:$V$95,0))),"FREE",INDEX(Source!$U$7:$U$95,MATCH(B473,Source!$V$7:$V$95,0)))</f>
        <v>FREE</v>
      </c>
      <c r="B473" s="511" t="s">
        <v>659</v>
      </c>
      <c r="C473" s="511"/>
      <c r="D473" s="511"/>
      <c r="E473" s="499" t="str">
        <f aca="false">IF(SUM($W473:$X473)&gt;0,SUM($W473:$X473),IF($H473&gt;0,0,IF($H473&gt;0,0,"-")))</f>
        <v>-</v>
      </c>
      <c r="F473" s="499" t="str">
        <f aca="false">IF(SUM($Y473:$Z473)&gt;0,SUM($Y473:$Z473),IF($H473&gt;0,0,"-"))</f>
        <v>-</v>
      </c>
      <c r="G473" s="499" t="str">
        <f aca="false">IF($H473&gt;0,minus(E473,F473),"-")</f>
        <v>-</v>
      </c>
      <c r="H473" s="500" t="n">
        <f aca="false">SUM(COUNTIF(MatchSource!$A:$A,$B473),COUNTIF(MatchSource!$H:$H,$B473))</f>
        <v>0</v>
      </c>
      <c r="I473" s="501" t="n">
        <f aca="false">SUM($AA473:$AB473)</f>
        <v>0</v>
      </c>
      <c r="J473" s="501" t="s">
        <v>701</v>
      </c>
      <c r="K473" s="512" t="str">
        <f aca="false" t="array" ref="K473:K473">IF(ISNA(INDEX(DraftRosters!$AA$3:$AA$199,MATCH($B473,DraftRosters!$AB$3:$AB$199,0))),"FA",IF(INDEX(DraftRosters!$AA$3:$AA$199,MATCH($B473,DraftRosters!$AB$3:$AB$199,0))="Franchise","Franch",INDEX(DraftRosters!$AA$3:$AA$199,MATCH($B473,DraftRosters!$AB$3:$AB$199,0))))</f>
        <v>FA</v>
      </c>
      <c r="L473" s="499" t="n">
        <v>55</v>
      </c>
      <c r="M473" s="499" t="n">
        <v>40</v>
      </c>
      <c r="N473" s="499" t="n">
        <v>85</v>
      </c>
      <c r="O473" s="499" t="n">
        <v>80</v>
      </c>
      <c r="P473" s="499" t="n">
        <v>105</v>
      </c>
      <c r="Q473" s="501" t="n">
        <v>40</v>
      </c>
      <c r="R473" s="499" t="s">
        <v>798</v>
      </c>
      <c r="S473" s="501" t="s">
        <v>801</v>
      </c>
      <c r="T473" s="504" t="s">
        <v>932</v>
      </c>
      <c r="U473" s="505" t="s">
        <v>817</v>
      </c>
      <c r="V473" s="506" t="s">
        <v>895</v>
      </c>
      <c r="W473" s="500" t="str">
        <f aca="false">IFERROR(__xludf.dummyfunction("if(isna(SUM(FILTER(MatchSource!$A:$D,MatchSource!$A:$A=$B473))),0,SUM(FILTER(MatchSource!$A:$D,MatchSource!$A:$A=$B473)))"),"0")</f>
        <v>0</v>
      </c>
      <c r="X473" s="499" t="str">
        <f aca="false">IFERROR(__xludf.dummyfunction("if(isna(SUM(FILTER(MatchSource!$H:$K,MatchSource!$H:$H=$B473))),0,SUM(FILTER(MatchSource!$H:$K,MatchSource!$H:$H=$B473)))"),"0")</f>
        <v>0</v>
      </c>
      <c r="Y473" s="499" t="str">
        <f aca="false">IFERROR(__xludf.dummyfunction("if(isna(ABS(MINUS(SUM(FILTER(MatchSource!$A:$E,MatchSource!$A:$A=$B473)),SUM($W473)))),0,ABS(MINUS(SUM(FILTER(MatchSource!$A:$E,MatchSource!$A:$A=$B473)),SUM($W473))))"),"0")</f>
        <v>0</v>
      </c>
      <c r="Z473" s="499" t="str">
        <f aca="false">IFERROR(__xludf.dummyfunction("if(isna(ABS(MINUS(SUM(FILTER(MatchSource!$H:$L,MatchSource!$H:$H=$B473)),SUM($X473)))),0,ABS(MINUS(SUM(FILTER(MatchSource!$H:$L,MatchSource!$H:$H=$B473)),SUM($X473))))"),"0")</f>
        <v>0</v>
      </c>
      <c r="AA473" s="499" t="str">
        <f aca="false">IFERROR(__xludf.dummyfunction("if(isna(ABS(MINUS(SUM(FILTER(MatchSource!$A:$F,MatchSource!$A:$A=$B473)),SUM($W473,$Y473)))),0,ABS(MINUS(SUM(FILTER(MatchSource!$A:$F,MatchSource!$A:$A=$B473)),SUM($W473, $Y473,))))"),"0")</f>
        <v>0</v>
      </c>
      <c r="AB473" s="501" t="str">
        <f aca="false">IFERROR(__xludf.dummyfunction("if(isna(ABS(MINUS(SUM(FILTER(MatchSource!$H:$M,MatchSource!$H:$H=$B473)),SUM($X473,$Z473)))),0,ABS(MINUS(SUM(FILTER(MatchSource!$H:$M,MatchSource!$H:$H=$B473)),SUM($X473,$Z473))))"),"0")</f>
        <v>0</v>
      </c>
      <c r="AC473" s="507" t="n">
        <f aca="false">SUM(IF(OR($R473="Grass",$R473="Psychic",$R473="Dark"),0-1,IF(OR($R473="Fighting",$R473="Flying",$R473="Fire",$R473="Ghost",$R473="Poison",$R473="Steel",$R473="Fairy"),1,0)),IF(OR($S473="Grass",$S473="Psychic",$S473="Dark"),0-1,IF(OR($S473="Fighting",$S473="Flying",$S473="Fire",$S473="Ghost",$S473="Poison",$S473="Steel",$S473="Fairy"),1,0)))</f>
        <v>2</v>
      </c>
      <c r="AD473" s="507" t="n">
        <f aca="false">SUM(IF(OR($R473="Ghost",$R473="Psychic"),0-1,IF(OR($R473="Fighting",$R473="Dark",$R473="Fairy"),1,0)),IF(OR($S473="Ghost",$S473="Psychic"),0-1,IF(OR($S473="Fighting",$S473="Dark",$S473="Fairy"),1,0)))</f>
        <v>1</v>
      </c>
      <c r="AE473" s="507" t="n">
        <f aca="false">IF(OR($R473="Fairy",$S473="Fairy"),4,SUM(IF($R473="Dragon",0-1,IF($R473="Steel",1,0)),IF($S473="Dragon",0-1,IF($S473="Steel",1,0))))</f>
        <v>4</v>
      </c>
      <c r="AF473" s="507" t="n">
        <f aca="false">IF(OR($R473="Ground",$S473="Ground"),4,SUM(IF(OR($R473="Flying",$R473="Water"),0-1,IF(OR($R473="Dragon",$R473="Electric",$R473="Grass"),1,0)),IF(OR($S473="Flying",$S473="Water"),0-1,IF(OR($S473="Dragon",$S473="Electric",$S473="Grass"),1,0))))</f>
        <v>-1</v>
      </c>
      <c r="AG473" s="507" t="n">
        <f aca="false">SUM(IF(OR($R473="Dark",$R473="Dragon",$R473="Fighting"),0-1,IF(OR($R473="Steel",$R473="Poison",$R473="Fire"),1,0)),IF(OR($S473="Dark",$S473="Dragon",$S473="Fighting"),0-1,IF(OR($S473="Steel",$S473="Poison",$S473="Fire"),1,0)))</f>
        <v>0</v>
      </c>
      <c r="AH473" s="507" t="n">
        <f aca="false">IF(OR($R473="Ghost",$S473="Ghost"),4,SUM(IF(OR($R473="Dark",$R473="Ice",$R473="Normal",$R473="Rock",$R473="Steel"),0-1,IF(OR($R473="Bug",$R473="Fairy",$R473="Flying",$R473="Poison",$R473="Psychic"),1,0)),IF(OR($S473="Dark",$S473="Ice",$S473="Normal",$S473="Rock",$S473="Steel"),0-1,IF(OR($S473="Bug",$S473="Fairy",$S473="Flying",$S473="Poison",$S473="Psychic"),1,0))))</f>
        <v>2</v>
      </c>
      <c r="AI473" s="507" t="n">
        <f aca="false">SUM(IF(OR($R473="Bug",$R473="Grass",$R473="Ice",$R473="Steel"),0-1,IF(OR($R473="Dragon",$R473="Fire",$R473="Rock",$R473="Water"),1,0)),IF(OR($S473="Bug",$S473="Grass",$S473="Ice",$S473="Steel"),0-1,IF(OR($S473="Dragon",$S473="Fire",$S473="Rock",$S473="Water"),1,0)))</f>
        <v>0</v>
      </c>
      <c r="AJ473" s="507" t="n">
        <f aca="false">SUM(IF(OR($R473="Bug",$R473="Grass",$R473="Fighting"),0-1,IF(OR($R473="Electric",$R473="Rock",$R473="Steel"),1,0)),IF(OR($S473="Bug",$S473="Grass",$S473="Fighting"),0-1,IF(OR($S473="Electric",$S473="Rock",$S473="Steel"),1,0)))</f>
        <v>0</v>
      </c>
      <c r="AK473" s="507" t="n">
        <f aca="false">IF(OR($R473="Normal",$S473="Normal"),4,SUM(IF(OR($R473="Ghost",$R473="Psychic"),0-1,IF($R473="Dark",1,0)),IF(OR($S473="Ghost",$S473="Psychic"),0-1,IF($S473="Dark",1,0))))</f>
        <v>0</v>
      </c>
      <c r="AL473" s="507" t="n">
        <f aca="false">SUM(IF(OR($R473="Ground",$R473="Rock",$R473="Water"),0-1,IF(OR($R473="Bug",$R473="Flying",$R473="Fire",$R473="Dragon",$R473="Poison",$R473="Steel",$R473="Grass"),1,0)),IF(OR($S473="Ground",$S473="Rock",$S473="Water"),0-1,IF(OR($S473="Bug",$S473="Flying",$S473="Fire",$S473="Dragon",$S473="Poison",$S473="Steel",$S473="Grass"),1,0)))</f>
        <v>1</v>
      </c>
      <c r="AM473" s="507" t="n">
        <f aca="false">IF(OR($R473="Flying",$S473="Flying"),4,SUM(IF(OR($R473="Electric",$R473="Fire",$R473="Rock",$R473="Steel",$R473="Poison"),0-1,IF(OR($R473="Bug",$R473="Grass"),1,0)),IF(OR($S473="Electric",$S473="Fire",$S473="Rock",$S473="Steel",$S473="Poison"),0-1,IF(OR($S473="Bug",$S473="Grass"),1,0))))</f>
        <v>4</v>
      </c>
      <c r="AN473" s="507" t="n">
        <f aca="false">SUM(IF(OR($R473="Flying",$R473="Dragon",$R473="Grass",$R473="Ground"),0-1,IF(OR($R473="Steel",$R473="Ice",$R473="Fire",$R473="Water"),1,0)),IF(OR($S473="Flying",$S473="Dragon",$S473="Grass",$S473="Ground"),0-1,IF(OR($S473="Steel",$S473="Ice",$S473="Fire",$S473="Water"),1,0)))</f>
        <v>-1</v>
      </c>
      <c r="AO473" s="507" t="n">
        <f aca="false">IF(OR($R473="Ghost",$S473="Ghost"),4,SUM(IF(OR($R473="Steel",$R473="Rock"),1,0),IF(OR($S473="Steel",$S473="Rock"),1,0)))</f>
        <v>0</v>
      </c>
      <c r="AP473" s="507" t="n">
        <f aca="false">IF(OR($R473="Steel",$S473="Steel"),4,SUM(IF(OR($R473="Fairy",$R473="Grass"),0-1,IF(OR($R473="Ghost",$R473="Rock",$R473="Ground",$R473="Poison"),1,0)),IF(OR($S473="Fairy",$S473="Grass"),0-1,IF(OR($S473="Ghost",$S473="Rock",$S473="Ground",$S473="Poison"),1,0))))</f>
        <v>-1</v>
      </c>
      <c r="AQ473" s="507" t="n">
        <f aca="false">IF(OR($R473="Dark",$S473="Dark"),4,SUM(IF(OR($R473="Fighting",$R473="Poison"),0-1,IF(OR($R473="Psychic",$R473="Steel"),1,0)),IF(OR($S473="Fighting",$S473="Poison"),0-1,IF(OR($S473="Psychic",$S473="Steel"),1,0))))</f>
        <v>0</v>
      </c>
      <c r="AR473" s="507" t="n">
        <f aca="false">SUM(IF(OR($R473="Bug",$R473="Fire",$R473="Flying",$R473="Ice"),0-1,IF(OR($R473="Steel",$R473="Fighting",$R473="Ground"),1,0)),IF(OR($S473="Bug",$S473="Fire",$S473="Flying",$S473="Ice"),0-1,IF(OR($S473="Steel",$S473="Fighting",$S473="Ground"),1,0)))</f>
        <v>-1</v>
      </c>
      <c r="AS473" s="507" t="n">
        <f aca="false">SUM(IF(OR($R473="Fairy",$R473="Ice",$R473="Rock"),0-1,IF(OR($R473="Steel",$R473="Electric",$R473="Fire",$R473="Water"),1,0)),IF(OR($S473="Fairy",$S473="Ice",$S473="Rock"),0-1,IF(OR($S473="Steel",$S473="Electric",$S473="Fire",$S473="Water"),1,0)))</f>
        <v>-1</v>
      </c>
      <c r="AT473" s="508" t="n">
        <f aca="false">SUM(IF(OR($R473="Fire",$R473="Ground",$R473="Rock"),0-1,IF(OR($R473="Dragon",$R473="Grass",$R473="Water"),1,0)),IF(OR($S473="Fire",$S473="Ground",$S473="Rock"),0-1,IF(OR($S473="Dragon",$S473="Grass",$S473="Water"),1,0)))</f>
        <v>0</v>
      </c>
      <c r="AU473" s="518"/>
    </row>
    <row r="474" customFormat="false" ht="15.75" hidden="false" customHeight="false" outlineLevel="0" collapsed="false">
      <c r="A474" s="515" t="str">
        <f aca="false" t="array" ref="A474:A474">IF(ISNA(INDEX(Source!$U$7:$U$95,MATCH(B474,Source!$V$7:$V$95,0))),"FREE",INDEX(Source!$U$7:$U$95,MATCH(B474,Source!$V$7:$V$95,0)))</f>
        <v>SEA</v>
      </c>
      <c r="B474" s="511" t="s">
        <v>43</v>
      </c>
      <c r="C474" s="511"/>
      <c r="D474" s="511"/>
      <c r="E474" s="499" t="n">
        <f aca="false">IF(SUM($W474:$X474)&gt;0,SUM($W474:$X474),IF($H474&gt;0,0,IF($H474&gt;0,0,"-")))</f>
        <v>0</v>
      </c>
      <c r="F474" s="499" t="n">
        <f aca="false">IF(SUM($Y474:$Z474)&gt;0,SUM($Y474:$Z474),IF($H474&gt;0,0,"-"))</f>
        <v>0</v>
      </c>
      <c r="G474" s="499" t="e">
        <f aca="false">IF($H474&gt;0,minus(E474,F474),"-")</f>
        <v>#NAME?</v>
      </c>
      <c r="H474" s="500" t="n">
        <f aca="false">SUM(COUNTIF(MatchSource!$A:$A,$B474),COUNTIF(MatchSource!$H:$H,$B474))</f>
        <v>6</v>
      </c>
      <c r="I474" s="501" t="n">
        <f aca="false">SUM($AA474:$AB474)</f>
        <v>0</v>
      </c>
      <c r="J474" s="501" t="s">
        <v>701</v>
      </c>
      <c r="K474" s="512" t="n">
        <f aca="false" t="array" ref="K474:K474">IF(ISNA(INDEX(DraftRosters!$AA$3:$AA$199,MATCH($B474,DraftRosters!$AB$3:$AB$199,0))),"FA",IF(INDEX(DraftRosters!$AA$3:$AA$199,MATCH($B474,DraftRosters!$AB$3:$AB$199,0))="Franchise","Franch",INDEX(DraftRosters!$AA$3:$AA$199,MATCH($B474,DraftRosters!$AB$3:$AB$199,0))))</f>
        <v>21</v>
      </c>
      <c r="L474" s="507" t="n">
        <v>70</v>
      </c>
      <c r="M474" s="507" t="n">
        <v>85</v>
      </c>
      <c r="N474" s="507" t="n">
        <v>140</v>
      </c>
      <c r="O474" s="507" t="n">
        <v>85</v>
      </c>
      <c r="P474" s="507" t="n">
        <v>70</v>
      </c>
      <c r="Q474" s="508" t="n">
        <v>20</v>
      </c>
      <c r="R474" s="499" t="s">
        <v>800</v>
      </c>
      <c r="S474" s="501"/>
      <c r="T474" s="504" t="s">
        <v>925</v>
      </c>
      <c r="U474" s="505" t="s">
        <v>998</v>
      </c>
      <c r="V474" s="506" t="s">
        <v>916</v>
      </c>
      <c r="W474" s="500" t="str">
        <f aca="false">IFERROR(__xludf.dummyfunction("if(isna(SUM(FILTER(MatchSource!$A:$D,MatchSource!$A:$A=$B474))),0,SUM(FILTER(MatchSource!$A:$D,MatchSource!$A:$A=$B474)))"),"0")</f>
        <v>0</v>
      </c>
      <c r="X474" s="499" t="str">
        <f aca="false">IFERROR(__xludf.dummyfunction("if(isna(SUM(FILTER(MatchSource!$H:$K,MatchSource!$H:$H=$B474))),0,SUM(FILTER(MatchSource!$H:$K,MatchSource!$H:$H=$B474)))"),"2")</f>
        <v>2</v>
      </c>
      <c r="Y474" s="499" t="str">
        <f aca="false">IFERROR(__xludf.dummyfunction("if(isna(ABS(MINUS(SUM(FILTER(MatchSource!$A:$E,MatchSource!$A:$A=$B474)),SUM($W474)))),0,ABS(MINUS(SUM(FILTER(MatchSource!$A:$E,MatchSource!$A:$A=$B474)),SUM($W474))))"),"3")</f>
        <v>3</v>
      </c>
      <c r="Z474" s="499" t="str">
        <f aca="false">IFERROR(__xludf.dummyfunction("if(isna(ABS(MINUS(SUM(FILTER(MatchSource!$H:$L,MatchSource!$H:$H=$B474)),SUM($X474)))),0,ABS(MINUS(SUM(FILTER(MatchSource!$H:$L,MatchSource!$H:$H=$B474)),SUM($X474))))"),"2")</f>
        <v>2</v>
      </c>
      <c r="AA474" s="499" t="str">
        <f aca="false">IFERROR(__xludf.dummyfunction("if(isna(ABS(MINUS(SUM(FILTER(MatchSource!$A:$F,MatchSource!$A:$A=$B474)),SUM($W474,$Y474)))),0,ABS(MINUS(SUM(FILTER(MatchSource!$A:$F,MatchSource!$A:$A=$B474)),SUM($W474, $Y474,))))"),"2")</f>
        <v>2</v>
      </c>
      <c r="AB474" s="501" t="str">
        <f aca="false">IFERROR(__xludf.dummyfunction("if(isna(ABS(MINUS(SUM(FILTER(MatchSource!$H:$M,MatchSource!$H:$H=$B474)),SUM($X474,$Z474)))),0,ABS(MINUS(SUM(FILTER(MatchSource!$H:$M,MatchSource!$H:$H=$B474)),SUM($X474,$Z474))))"),"2")</f>
        <v>2</v>
      </c>
      <c r="AC474" s="507" t="n">
        <f aca="false">SUM(IF(OR($R474="Grass",$R474="Psychic",$R474="Dark"),0-1,IF(OR($R474="Fighting",$R474="Flying",$R474="Fire",$R474="Ghost",$R474="Poison",$R474="Steel",$R474="Fairy"),1,0)),IF(OR($S474="Grass",$S474="Psychic",$S474="Dark"),0-1,IF(OR($S474="Fighting",$S474="Flying",$S474="Fire",$S474="Ghost",$S474="Poison",$S474="Steel",$S474="Fairy"),1,0)))</f>
        <v>1</v>
      </c>
      <c r="AD474" s="507" t="n">
        <f aca="false">SUM(IF(OR($R474="Ghost",$R474="Psychic"),0-1,IF(OR($R474="Fighting",$R474="Dark",$R474="Fairy"),1,0)),IF(OR($S474="Ghost",$S474="Psychic"),0-1,IF(OR($S474="Fighting",$S474="Dark",$S474="Fairy"),1,0)))</f>
        <v>0</v>
      </c>
      <c r="AE474" s="507" t="n">
        <f aca="false">IF(OR($R474="Fairy",$S474="Fairy"),4,SUM(IF($R474="Dragon",0-1,IF($R474="Steel",1,0)),IF($S474="Dragon",0-1,IF($S474="Steel",1,0))))</f>
        <v>0</v>
      </c>
      <c r="AF474" s="507" t="n">
        <f aca="false">IF(OR($R474="Ground",$S474="Ground"),4,SUM(IF(OR($R474="Flying",$R474="Water"),0-1,IF(OR($R474="Dragon",$R474="Electric",$R474="Grass"),1,0)),IF(OR($S474="Flying",$S474="Water"),0-1,IF(OR($S474="Dragon",$S474="Electric",$S474="Grass"),1,0))))</f>
        <v>0</v>
      </c>
      <c r="AG474" s="507" t="n">
        <f aca="false">SUM(IF(OR($R474="Dark",$R474="Dragon",$R474="Fighting"),0-1,IF(OR($R474="Steel",$R474="Poison",$R474="Fire"),1,0)),IF(OR($S474="Dark",$S474="Dragon",$S474="Fighting"),0-1,IF(OR($S474="Steel",$S474="Poison",$S474="Fire"),1,0)))</f>
        <v>1</v>
      </c>
      <c r="AH474" s="507" t="n">
        <f aca="false">IF(OR($R474="Ghost",$S474="Ghost"),4,SUM(IF(OR($R474="Dark",$R474="Ice",$R474="Normal",$R474="Rock",$R474="Steel"),0-1,IF(OR($R474="Bug",$R474="Fairy",$R474="Flying",$R474="Poison",$R474="Psychic"),1,0)),IF(OR($S474="Dark",$S474="Ice",$S474="Normal",$S474="Rock",$S474="Steel"),0-1,IF(OR($S474="Bug",$S474="Fairy",$S474="Flying",$S474="Poison",$S474="Psychic"),1,0))))</f>
        <v>0</v>
      </c>
      <c r="AI474" s="507" t="n">
        <f aca="false">SUM(IF(OR($R474="Bug",$R474="Grass",$R474="Ice",$R474="Steel"),0-1,IF(OR($R474="Dragon",$R474="Fire",$R474="Rock",$R474="Water"),1,0)),IF(OR($S474="Bug",$S474="Grass",$S474="Ice",$S474="Steel"),0-1,IF(OR($S474="Dragon",$S474="Fire",$S474="Rock",$S474="Water"),1,0)))</f>
        <v>1</v>
      </c>
      <c r="AJ474" s="507" t="n">
        <f aca="false">SUM(IF(OR($R474="Bug",$R474="Grass",$R474="Fighting"),0-1,IF(OR($R474="Electric",$R474="Rock",$R474="Steel"),1,0)),IF(OR($S474="Bug",$S474="Grass",$S474="Fighting"),0-1,IF(OR($S474="Electric",$S474="Rock",$S474="Steel"),1,0)))</f>
        <v>0</v>
      </c>
      <c r="AK474" s="507" t="n">
        <f aca="false">IF(OR($R474="Normal",$S474="Normal"),4,SUM(IF(OR($R474="Ghost",$R474="Psychic"),0-1,IF($R474="Dark",1,0)),IF(OR($S474="Ghost",$S474="Psychic"),0-1,IF($S474="Dark",1,0))))</f>
        <v>0</v>
      </c>
      <c r="AL474" s="507" t="n">
        <f aca="false">SUM(IF(OR($R474="Ground",$R474="Rock",$R474="Water"),0-1,IF(OR($R474="Bug",$R474="Flying",$R474="Fire",$R474="Dragon",$R474="Poison",$R474="Steel",$R474="Grass"),1,0)),IF(OR($S474="Ground",$S474="Rock",$S474="Water"),0-1,IF(OR($S474="Bug",$S474="Flying",$S474="Fire",$S474="Dragon",$S474="Poison",$S474="Steel",$S474="Grass"),1,0)))</f>
        <v>1</v>
      </c>
      <c r="AM474" s="507" t="n">
        <f aca="false">IF(OR($R474="Flying",$S474="Flying"),4,SUM(IF(OR($R474="Electric",$R474="Fire",$R474="Rock",$R474="Steel",$R474="Poison"),0-1,IF(OR($R474="Bug",$R474="Grass"),1,0)),IF(OR($S474="Electric",$S474="Fire",$S474="Rock",$S474="Steel",$S474="Poison"),0-1,IF(OR($S474="Bug",$S474="Grass"),1,0))))</f>
        <v>-1</v>
      </c>
      <c r="AN474" s="507" t="n">
        <f aca="false">SUM(IF(OR($R474="Flying",$R474="Dragon",$R474="Grass",$R474="Ground"),0-1,IF(OR($R474="Steel",$R474="Ice",$R474="Fire",$R474="Water"),1,0)),IF(OR($S474="Flying",$S474="Dragon",$S474="Grass",$S474="Ground"),0-1,IF(OR($S474="Steel",$S474="Ice",$S474="Fire",$S474="Water"),1,0)))</f>
        <v>1</v>
      </c>
      <c r="AO474" s="507" t="n">
        <f aca="false">IF(OR($R474="Ghost",$S474="Ghost"),4,SUM(IF(OR($R474="Steel",$R474="Rock"),1,0),IF(OR($S474="Steel",$S474="Rock"),1,0)))</f>
        <v>0</v>
      </c>
      <c r="AP474" s="507" t="n">
        <f aca="false">IF(OR($R474="Steel",$S474="Steel"),4,SUM(IF(OR($R474="Fairy",$R474="Grass"),0-1,IF(OR($R474="Ghost",$R474="Rock",$R474="Ground",$R474="Poison"),1,0)),IF(OR($S474="Fairy",$S474="Grass"),0-1,IF(OR($S474="Ghost",$S474="Rock",$S474="Ground",$S474="Poison"),1,0))))</f>
        <v>0</v>
      </c>
      <c r="AQ474" s="507" t="n">
        <f aca="false">IF(OR($R474="Dark",$S474="Dark"),4,SUM(IF(OR($R474="Fighting",$R474="Poison"),0-1,IF(OR($R474="Psychic",$R474="Steel"),1,0)),IF(OR($S474="Fighting",$S474="Poison"),0-1,IF(OR($S474="Psychic",$S474="Steel"),1,0))))</f>
        <v>0</v>
      </c>
      <c r="AR474" s="507" t="n">
        <f aca="false">SUM(IF(OR($R474="Bug",$R474="Fire",$R474="Flying",$R474="Ice"),0-1,IF(OR($R474="Steel",$R474="Fighting",$R474="Ground"),1,0)),IF(OR($S474="Bug",$S474="Fire",$S474="Flying",$S474="Ice"),0-1,IF(OR($S474="Steel",$S474="Fighting",$S474="Ground"),1,0)))</f>
        <v>-1</v>
      </c>
      <c r="AS474" s="507" t="n">
        <f aca="false">SUM(IF(OR($R474="Fairy",$R474="Ice",$R474="Rock"),0-1,IF(OR($R474="Steel",$R474="Electric",$R474="Fire",$R474="Water"),1,0)),IF(OR($S474="Fairy",$S474="Ice",$S474="Rock"),0-1,IF(OR($S474="Steel",$S474="Electric",$S474="Fire",$S474="Water"),1,0)))</f>
        <v>1</v>
      </c>
      <c r="AT474" s="508" t="n">
        <f aca="false">SUM(IF(OR($R474="Fire",$R474="Ground",$R474="Rock"),0-1,IF(OR($R474="Dragon",$R474="Grass",$R474="Water"),1,0)),IF(OR($S474="Fire",$S474="Ground",$S474="Rock"),0-1,IF(OR($S474="Dragon",$S474="Grass",$S474="Water"),1,0)))</f>
        <v>-1</v>
      </c>
      <c r="AU474" s="518"/>
    </row>
    <row r="475" customFormat="false" ht="15.75" hidden="false" customHeight="false" outlineLevel="0" collapsed="false">
      <c r="A475" s="510" t="str">
        <f aca="false" t="array" ref="A475:A475">IF(ISNA(INDEX(Source!$U$7:$U$95,MATCH(B475,Source!$V$7:$V$95,0))),"FREE",INDEX(Source!$U$7:$U$95,MATCH(B475,Source!$V$7:$V$95,0)))</f>
        <v>FREE</v>
      </c>
      <c r="B475" s="511" t="s">
        <v>593</v>
      </c>
      <c r="C475" s="511"/>
      <c r="D475" s="511"/>
      <c r="E475" s="499" t="str">
        <f aca="false">IF(SUM($W475:$X475)&gt;0,SUM($W475:$X475),IF($H475&gt;0,0,IF($H475&gt;0,0,"-")))</f>
        <v>-</v>
      </c>
      <c r="F475" s="499" t="str">
        <f aca="false">IF(SUM($Y475:$Z475)&gt;0,SUM($Y475:$Z475),IF($H475&gt;0,0,"-"))</f>
        <v>-</v>
      </c>
      <c r="G475" s="499" t="str">
        <f aca="false">IF($H475&gt;0,minus(E475,F475),"-")</f>
        <v>-</v>
      </c>
      <c r="H475" s="500" t="n">
        <f aca="false">SUM(COUNTIF(MatchSource!$A:$A,$B475),COUNTIF(MatchSource!$H:$H,$B475))</f>
        <v>0</v>
      </c>
      <c r="I475" s="501" t="n">
        <f aca="false">SUM($AA475:$AB475)</f>
        <v>0</v>
      </c>
      <c r="J475" s="501" t="s">
        <v>700</v>
      </c>
      <c r="K475" s="512" t="str">
        <f aca="false" t="array" ref="K475:K475">IF(ISNA(INDEX(DraftRosters!$AA$3:$AA$199,MATCH($B475,DraftRosters!$AB$3:$AB$199,0))),"FA",IF(INDEX(DraftRosters!$AA$3:$AA$199,MATCH($B475,DraftRosters!$AB$3:$AB$199,0))="Franchise","Franch",INDEX(DraftRosters!$AA$3:$AA$199,MATCH($B475,DraftRosters!$AB$3:$AB$199,0))))</f>
        <v>FA</v>
      </c>
      <c r="L475" s="499" t="n">
        <v>79</v>
      </c>
      <c r="M475" s="499" t="n">
        <v>115</v>
      </c>
      <c r="N475" s="499" t="n">
        <v>70</v>
      </c>
      <c r="O475" s="499" t="n">
        <v>125</v>
      </c>
      <c r="P475" s="499" t="n">
        <v>80</v>
      </c>
      <c r="Q475" s="501" t="n">
        <v>111</v>
      </c>
      <c r="R475" s="499" t="s">
        <v>801</v>
      </c>
      <c r="S475" s="501"/>
      <c r="T475" s="504" t="s">
        <v>886</v>
      </c>
      <c r="U475" s="505" t="s">
        <v>872</v>
      </c>
      <c r="V475" s="506"/>
      <c r="W475" s="500" t="str">
        <f aca="false">IFERROR(__xludf.dummyfunction("if(isna(SUM(FILTER(MatchSource!$A:$D,MatchSource!$A:$A=$B475))),0,SUM(FILTER(MatchSource!$A:$D,MatchSource!$A:$A=$B475)))"),"0")</f>
        <v>0</v>
      </c>
      <c r="X475" s="499" t="str">
        <f aca="false">IFERROR(__xludf.dummyfunction("if(isna(SUM(FILTER(MatchSource!$H:$K,MatchSource!$H:$H=$B475))),0,SUM(FILTER(MatchSource!$H:$K,MatchSource!$H:$H=$B475)))"),"0")</f>
        <v>0</v>
      </c>
      <c r="Y475" s="499" t="str">
        <f aca="false">IFERROR(__xludf.dummyfunction("if(isna(ABS(MINUS(SUM(FILTER(MatchSource!$A:$E,MatchSource!$A:$A=$B475)),SUM($W475)))),0,ABS(MINUS(SUM(FILTER(MatchSource!$A:$E,MatchSource!$A:$A=$B475)),SUM($W475))))"),"0")</f>
        <v>0</v>
      </c>
      <c r="Z475" s="499" t="str">
        <f aca="false">IFERROR(__xludf.dummyfunction("if(isna(ABS(MINUS(SUM(FILTER(MatchSource!$H:$L,MatchSource!$H:$H=$B475)),SUM($X475)))),0,ABS(MINUS(SUM(FILTER(MatchSource!$H:$L,MatchSource!$H:$H=$B475)),SUM($X475))))"),"0")</f>
        <v>0</v>
      </c>
      <c r="AA475" s="499" t="str">
        <f aca="false">IFERROR(__xludf.dummyfunction("if(isna(ABS(MINUS(SUM(FILTER(MatchSource!$A:$F,MatchSource!$A:$A=$B475)),SUM($W475,$Y475)))),0,ABS(MINUS(SUM(FILTER(MatchSource!$A:$F,MatchSource!$A:$A=$B475)),SUM($W475, $Y475,))))"),"0")</f>
        <v>0</v>
      </c>
      <c r="AB475" s="501" t="str">
        <f aca="false">IFERROR(__xludf.dummyfunction("if(isna(ABS(MINUS(SUM(FILTER(MatchSource!$H:$M,MatchSource!$H:$H=$B475)),SUM($X475,$Z475)))),0,ABS(MINUS(SUM(FILTER(MatchSource!$H:$M,MatchSource!$H:$H=$B475)),SUM($X475,$Z475))))"),"0")</f>
        <v>0</v>
      </c>
      <c r="AC475" s="507" t="n">
        <f aca="false">SUM(IF(OR($R475="Grass",$R475="Psychic",$R475="Dark"),0-1,IF(OR($R475="Fighting",$R475="Flying",$R475="Fire",$R475="Ghost",$R475="Poison",$R475="Steel",$R475="Fairy"),1,0)),IF(OR($S475="Grass",$S475="Psychic",$S475="Dark"),0-1,IF(OR($S475="Fighting",$S475="Flying",$S475="Fire",$S475="Ghost",$S475="Poison",$S475="Steel",$S475="Fairy"),1,0)))</f>
        <v>1</v>
      </c>
      <c r="AD475" s="507" t="n">
        <f aca="false">SUM(IF(OR($R475="Ghost",$R475="Psychic"),0-1,IF(OR($R475="Fighting",$R475="Dark",$R475="Fairy"),1,0)),IF(OR($S475="Ghost",$S475="Psychic"),0-1,IF(OR($S475="Fighting",$S475="Dark",$S475="Fairy"),1,0)))</f>
        <v>0</v>
      </c>
      <c r="AE475" s="507" t="n">
        <f aca="false">IF(OR($R475="Fairy",$S475="Fairy"),4,SUM(IF($R475="Dragon",0-1,IF($R475="Steel",1,0)),IF($S475="Dragon",0-1,IF($S475="Steel",1,0))))</f>
        <v>0</v>
      </c>
      <c r="AF475" s="507" t="n">
        <f aca="false">IF(OR($R475="Ground",$S475="Ground"),4,SUM(IF(OR($R475="Flying",$R475="Water"),0-1,IF(OR($R475="Dragon",$R475="Electric",$R475="Grass"),1,0)),IF(OR($S475="Flying",$S475="Water"),0-1,IF(OR($S475="Dragon",$S475="Electric",$S475="Grass"),1,0))))</f>
        <v>-1</v>
      </c>
      <c r="AG475" s="507" t="n">
        <f aca="false">SUM(IF(OR($R475="Dark",$R475="Dragon",$R475="Fighting"),0-1,IF(OR($R475="Steel",$R475="Poison",$R475="Fire"),1,0)),IF(OR($S475="Dark",$S475="Dragon",$S475="Fighting"),0-1,IF(OR($S475="Steel",$S475="Poison",$S475="Fire"),1,0)))</f>
        <v>0</v>
      </c>
      <c r="AH475" s="507" t="n">
        <f aca="false">IF(OR($R475="Ghost",$S475="Ghost"),4,SUM(IF(OR($R475="Dark",$R475="Ice",$R475="Normal",$R475="Rock",$R475="Steel"),0-1,IF(OR($R475="Bug",$R475="Fairy",$R475="Flying",$R475="Poison",$R475="Psychic"),1,0)),IF(OR($S475="Dark",$S475="Ice",$S475="Normal",$S475="Rock",$S475="Steel"),0-1,IF(OR($S475="Bug",$S475="Fairy",$S475="Flying",$S475="Poison",$S475="Psychic"),1,0))))</f>
        <v>1</v>
      </c>
      <c r="AI475" s="507" t="n">
        <f aca="false">SUM(IF(OR($R475="Bug",$R475="Grass",$R475="Ice",$R475="Steel"),0-1,IF(OR($R475="Dragon",$R475="Fire",$R475="Rock",$R475="Water"),1,0)),IF(OR($S475="Bug",$S475="Grass",$S475="Ice",$S475="Steel"),0-1,IF(OR($S475="Dragon",$S475="Fire",$S475="Rock",$S475="Water"),1,0)))</f>
        <v>0</v>
      </c>
      <c r="AJ475" s="507" t="n">
        <f aca="false">SUM(IF(OR($R475="Bug",$R475="Grass",$R475="Fighting"),0-1,IF(OR($R475="Electric",$R475="Rock",$R475="Steel"),1,0)),IF(OR($S475="Bug",$S475="Grass",$S475="Fighting"),0-1,IF(OR($S475="Electric",$S475="Rock",$S475="Steel"),1,0)))</f>
        <v>0</v>
      </c>
      <c r="AK475" s="507" t="n">
        <f aca="false">IF(OR($R475="Normal",$S475="Normal"),4,SUM(IF(OR($R475="Ghost",$R475="Psychic"),0-1,IF($R475="Dark",1,0)),IF(OR($S475="Ghost",$S475="Psychic"),0-1,IF($S475="Dark",1,0))))</f>
        <v>0</v>
      </c>
      <c r="AL475" s="507" t="n">
        <f aca="false">SUM(IF(OR($R475="Ground",$R475="Rock",$R475="Water"),0-1,IF(OR($R475="Bug",$R475="Flying",$R475="Fire",$R475="Dragon",$R475="Poison",$R475="Steel",$R475="Grass"),1,0)),IF(OR($S475="Ground",$S475="Rock",$S475="Water"),0-1,IF(OR($S475="Bug",$S475="Flying",$S475="Fire",$S475="Dragon",$S475="Poison",$S475="Steel",$S475="Grass"),1,0)))</f>
        <v>1</v>
      </c>
      <c r="AM475" s="507" t="n">
        <f aca="false">IF(OR($R475="Flying",$S475="Flying"),4,SUM(IF(OR($R475="Electric",$R475="Fire",$R475="Rock",$R475="Steel",$R475="Poison"),0-1,IF(OR($R475="Bug",$R475="Grass"),1,0)),IF(OR($S475="Electric",$S475="Fire",$S475="Rock",$S475="Steel",$S475="Poison"),0-1,IF(OR($S475="Bug",$S475="Grass"),1,0))))</f>
        <v>4</v>
      </c>
      <c r="AN475" s="507" t="n">
        <f aca="false">SUM(IF(OR($R475="Flying",$R475="Dragon",$R475="Grass",$R475="Ground"),0-1,IF(OR($R475="Steel",$R475="Ice",$R475="Fire",$R475="Water"),1,0)),IF(OR($S475="Flying",$S475="Dragon",$S475="Grass",$S475="Ground"),0-1,IF(OR($S475="Steel",$S475="Ice",$S475="Fire",$S475="Water"),1,0)))</f>
        <v>-1</v>
      </c>
      <c r="AO475" s="507" t="n">
        <f aca="false">IF(OR($R475="Ghost",$S475="Ghost"),4,SUM(IF(OR($R475="Steel",$R475="Rock"),1,0),IF(OR($S475="Steel",$S475="Rock"),1,0)))</f>
        <v>0</v>
      </c>
      <c r="AP475" s="507" t="n">
        <f aca="false">IF(OR($R475="Steel",$S475="Steel"),4,SUM(IF(OR($R475="Fairy",$R475="Grass"),0-1,IF(OR($R475="Ghost",$R475="Rock",$R475="Ground",$R475="Poison"),1,0)),IF(OR($S475="Fairy",$S475="Grass"),0-1,IF(OR($S475="Ghost",$S475="Rock",$S475="Ground",$S475="Poison"),1,0))))</f>
        <v>0</v>
      </c>
      <c r="AQ475" s="507" t="n">
        <f aca="false">IF(OR($R475="Dark",$S475="Dark"),4,SUM(IF(OR($R475="Fighting",$R475="Poison"),0-1,IF(OR($R475="Psychic",$R475="Steel"),1,0)),IF(OR($S475="Fighting",$S475="Poison"),0-1,IF(OR($S475="Psychic",$S475="Steel"),1,0))))</f>
        <v>0</v>
      </c>
      <c r="AR475" s="507" t="n">
        <f aca="false">SUM(IF(OR($R475="Bug",$R475="Fire",$R475="Flying",$R475="Ice"),0-1,IF(OR($R475="Steel",$R475="Fighting",$R475="Ground"),1,0)),IF(OR($S475="Bug",$S475="Fire",$S475="Flying",$S475="Ice"),0-1,IF(OR($S475="Steel",$S475="Fighting",$S475="Ground"),1,0)))</f>
        <v>-1</v>
      </c>
      <c r="AS475" s="507" t="n">
        <f aca="false">SUM(IF(OR($R475="Fairy",$R475="Ice",$R475="Rock"),0-1,IF(OR($R475="Steel",$R475="Electric",$R475="Fire",$R475="Water"),1,0)),IF(OR($S475="Fairy",$S475="Ice",$S475="Rock"),0-1,IF(OR($S475="Steel",$S475="Electric",$S475="Fire",$S475="Water"),1,0)))</f>
        <v>0</v>
      </c>
      <c r="AT475" s="508" t="n">
        <f aca="false">SUM(IF(OR($R475="Fire",$R475="Ground",$R475="Rock"),0-1,IF(OR($R475="Dragon",$R475="Grass",$R475="Water"),1,0)),IF(OR($S475="Fire",$S475="Ground",$S475="Rock"),0-1,IF(OR($S475="Dragon",$S475="Grass",$S475="Water"),1,0)))</f>
        <v>0</v>
      </c>
      <c r="AU475" s="518"/>
    </row>
    <row r="476" customFormat="false" ht="15.75" hidden="false" customHeight="false" outlineLevel="0" collapsed="false">
      <c r="A476" s="510" t="str">
        <f aca="false" t="array" ref="A476:A476">IF(ISNA(INDEX(Source!$U$7:$U$95,MATCH(B476,Source!$V$7:$V$95,0))),"FREE",INDEX(Source!$U$7:$U$95,MATCH(B476,Source!$V$7:$V$95,0)))</f>
        <v>FREE</v>
      </c>
      <c r="B476" s="511" t="s">
        <v>446</v>
      </c>
      <c r="C476" s="511"/>
      <c r="D476" s="511"/>
      <c r="E476" s="499" t="str">
        <f aca="false">IF(SUM($W476:$X476)&gt;0,SUM($W476:$X476),IF($H476&gt;0,0,IF($H476&gt;0,0,"-")))</f>
        <v>-</v>
      </c>
      <c r="F476" s="499" t="str">
        <f aca="false">IF(SUM($Y476:$Z476)&gt;0,SUM($Y476:$Z476),IF($H476&gt;0,0,"-"))</f>
        <v>-</v>
      </c>
      <c r="G476" s="499" t="str">
        <f aca="false">IF($H476&gt;0,minus(E476,F476),"-")</f>
        <v>-</v>
      </c>
      <c r="H476" s="500" t="n">
        <f aca="false">SUM(COUNTIF(MatchSource!$A:$A,$B476),COUNTIF(MatchSource!$H:$H,$B476))</f>
        <v>0</v>
      </c>
      <c r="I476" s="501" t="n">
        <f aca="false">SUM($AA476:$AB476)</f>
        <v>0</v>
      </c>
      <c r="J476" s="501" t="s">
        <v>698</v>
      </c>
      <c r="K476" s="512" t="str">
        <f aca="false" t="array" ref="K476:K476">IF(ISNA(INDEX(DraftRosters!$AA$3:$AA$199,MATCH($B476,DraftRosters!$AB$3:$AB$199,0))),"FA",IF(INDEX(DraftRosters!$AA$3:$AA$199,MATCH($B476,DraftRosters!$AB$3:$AB$199,0))="Franchise","Franch",INDEX(DraftRosters!$AA$3:$AA$199,MATCH($B476,DraftRosters!$AB$3:$AB$199,0))))</f>
        <v>FA</v>
      </c>
      <c r="L476" s="507" t="n">
        <v>79</v>
      </c>
      <c r="M476" s="507" t="n">
        <v>100</v>
      </c>
      <c r="N476" s="507" t="n">
        <v>80</v>
      </c>
      <c r="O476" s="507" t="n">
        <v>110</v>
      </c>
      <c r="P476" s="507" t="n">
        <v>90</v>
      </c>
      <c r="Q476" s="508" t="n">
        <v>121</v>
      </c>
      <c r="R476" s="499" t="s">
        <v>801</v>
      </c>
      <c r="S476" s="501"/>
      <c r="T476" s="504" t="s">
        <v>834</v>
      </c>
      <c r="U476" s="505"/>
      <c r="V476" s="506"/>
      <c r="W476" s="500" t="str">
        <f aca="false">IFERROR(__xludf.dummyfunction("if(isna(SUM(FILTER(MatchSource!$A:$D,MatchSource!$A:$A=$B476))),0,SUM(FILTER(MatchSource!$A:$D,MatchSource!$A:$A=$B476)))"),"0")</f>
        <v>0</v>
      </c>
      <c r="X476" s="499" t="str">
        <f aca="false">IFERROR(__xludf.dummyfunction("if(isna(SUM(FILTER(MatchSource!$H:$K,MatchSource!$H:$H=$B476))),0,SUM(FILTER(MatchSource!$H:$K,MatchSource!$H:$H=$B476)))"),"0")</f>
        <v>0</v>
      </c>
      <c r="Y476" s="499" t="str">
        <f aca="false">IFERROR(__xludf.dummyfunction("if(isna(ABS(MINUS(SUM(FILTER(MatchSource!$A:$E,MatchSource!$A:$A=$B476)),SUM($W476)))),0,ABS(MINUS(SUM(FILTER(MatchSource!$A:$E,MatchSource!$A:$A=$B476)),SUM($W476))))"),"0")</f>
        <v>0</v>
      </c>
      <c r="Z476" s="499" t="str">
        <f aca="false">IFERROR(__xludf.dummyfunction("if(isna(ABS(MINUS(SUM(FILTER(MatchSource!$H:$L,MatchSource!$H:$H=$B476)),SUM($X476)))),0,ABS(MINUS(SUM(FILTER(MatchSource!$H:$L,MatchSource!$H:$H=$B476)),SUM($X476))))"),"0")</f>
        <v>0</v>
      </c>
      <c r="AA476" s="499" t="str">
        <f aca="false">IFERROR(__xludf.dummyfunction("if(isna(ABS(MINUS(SUM(FILTER(MatchSource!$A:$F,MatchSource!$A:$A=$B476)),SUM($W476,$Y476)))),0,ABS(MINUS(SUM(FILTER(MatchSource!$A:$F,MatchSource!$A:$A=$B476)),SUM($W476, $Y476,))))"),"0")</f>
        <v>0</v>
      </c>
      <c r="AB476" s="501" t="str">
        <f aca="false">IFERROR(__xludf.dummyfunction("if(isna(ABS(MINUS(SUM(FILTER(MatchSource!$H:$M,MatchSource!$H:$H=$B476)),SUM($X476,$Z476)))),0,ABS(MINUS(SUM(FILTER(MatchSource!$H:$M,MatchSource!$H:$H=$B476)),SUM($X476,$Z476))))"),"0")</f>
        <v>0</v>
      </c>
      <c r="AC476" s="507" t="n">
        <f aca="false">SUM(IF(OR($R476="Grass",$R476="Psychic",$R476="Dark"),0-1,IF(OR($R476="Fighting",$R476="Flying",$R476="Fire",$R476="Ghost",$R476="Poison",$R476="Steel",$R476="Fairy"),1,0)),IF(OR($S476="Grass",$S476="Psychic",$S476="Dark"),0-1,IF(OR($S476="Fighting",$S476="Flying",$S476="Fire",$S476="Ghost",$S476="Poison",$S476="Steel",$S476="Fairy"),1,0)))</f>
        <v>1</v>
      </c>
      <c r="AD476" s="507" t="n">
        <f aca="false">SUM(IF(OR($R476="Ghost",$R476="Psychic"),0-1,IF(OR($R476="Fighting",$R476="Dark",$R476="Fairy"),1,0)),IF(OR($S476="Ghost",$S476="Psychic"),0-1,IF(OR($S476="Fighting",$S476="Dark",$S476="Fairy"),1,0)))</f>
        <v>0</v>
      </c>
      <c r="AE476" s="507" t="n">
        <f aca="false">IF(OR($R476="Fairy",$S476="Fairy"),4,SUM(IF($R476="Dragon",0-1,IF($R476="Steel",1,0)),IF($S476="Dragon",0-1,IF($S476="Steel",1,0))))</f>
        <v>0</v>
      </c>
      <c r="AF476" s="507" t="n">
        <f aca="false">IF(OR($R476="Ground",$S476="Ground"),4,SUM(IF(OR($R476="Flying",$R476="Water"),0-1,IF(OR($R476="Dragon",$R476="Electric",$R476="Grass"),1,0)),IF(OR($S476="Flying",$S476="Water"),0-1,IF(OR($S476="Dragon",$S476="Electric",$S476="Grass"),1,0))))</f>
        <v>-1</v>
      </c>
      <c r="AG476" s="507" t="n">
        <f aca="false">SUM(IF(OR($R476="Dark",$R476="Dragon",$R476="Fighting"),0-1,IF(OR($R476="Steel",$R476="Poison",$R476="Fire"),1,0)),IF(OR($S476="Dark",$S476="Dragon",$S476="Fighting"),0-1,IF(OR($S476="Steel",$S476="Poison",$S476="Fire"),1,0)))</f>
        <v>0</v>
      </c>
      <c r="AH476" s="507" t="n">
        <f aca="false">IF(OR($R476="Ghost",$S476="Ghost"),4,SUM(IF(OR($R476="Dark",$R476="Ice",$R476="Normal",$R476="Rock",$R476="Steel"),0-1,IF(OR($R476="Bug",$R476="Fairy",$R476="Flying",$R476="Poison",$R476="Psychic"),1,0)),IF(OR($S476="Dark",$S476="Ice",$S476="Normal",$S476="Rock",$S476="Steel"),0-1,IF(OR($S476="Bug",$S476="Fairy",$S476="Flying",$S476="Poison",$S476="Psychic"),1,0))))</f>
        <v>1</v>
      </c>
      <c r="AI476" s="507" t="n">
        <f aca="false">SUM(IF(OR($R476="Bug",$R476="Grass",$R476="Ice",$R476="Steel"),0-1,IF(OR($R476="Dragon",$R476="Fire",$R476="Rock",$R476="Water"),1,0)),IF(OR($S476="Bug",$S476="Grass",$S476="Ice",$S476="Steel"),0-1,IF(OR($S476="Dragon",$S476="Fire",$S476="Rock",$S476="Water"),1,0)))</f>
        <v>0</v>
      </c>
      <c r="AJ476" s="507" t="n">
        <f aca="false">SUM(IF(OR($R476="Bug",$R476="Grass",$R476="Fighting"),0-1,IF(OR($R476="Electric",$R476="Rock",$R476="Steel"),1,0)),IF(OR($S476="Bug",$S476="Grass",$S476="Fighting"),0-1,IF(OR($S476="Electric",$S476="Rock",$S476="Steel"),1,0)))</f>
        <v>0</v>
      </c>
      <c r="AK476" s="507" t="n">
        <f aca="false">IF(OR($R476="Normal",$S476="Normal"),4,SUM(IF(OR($R476="Ghost",$R476="Psychic"),0-1,IF($R476="Dark",1,0)),IF(OR($S476="Ghost",$S476="Psychic"),0-1,IF($S476="Dark",1,0))))</f>
        <v>0</v>
      </c>
      <c r="AL476" s="507" t="n">
        <f aca="false">SUM(IF(OR($R476="Ground",$R476="Rock",$R476="Water"),0-1,IF(OR($R476="Bug",$R476="Flying",$R476="Fire",$R476="Dragon",$R476="Poison",$R476="Steel",$R476="Grass"),1,0)),IF(OR($S476="Ground",$S476="Rock",$S476="Water"),0-1,IF(OR($S476="Bug",$S476="Flying",$S476="Fire",$S476="Dragon",$S476="Poison",$S476="Steel",$S476="Grass"),1,0)))</f>
        <v>1</v>
      </c>
      <c r="AM476" s="507" t="n">
        <f aca="false">IF(OR($R476="Flying",$S476="Flying"),4,SUM(IF(OR($R476="Electric",$R476="Fire",$R476="Rock",$R476="Steel",$R476="Poison"),0-1,IF(OR($R476="Bug",$R476="Grass"),1,0)),IF(OR($S476="Electric",$S476="Fire",$S476="Rock",$S476="Steel",$S476="Poison"),0-1,IF(OR($S476="Bug",$S476="Grass"),1,0))))</f>
        <v>4</v>
      </c>
      <c r="AN476" s="507" t="n">
        <f aca="false">SUM(IF(OR($R476="Flying",$R476="Dragon",$R476="Grass",$R476="Ground"),0-1,IF(OR($R476="Steel",$R476="Ice",$R476="Fire",$R476="Water"),1,0)),IF(OR($S476="Flying",$S476="Dragon",$S476="Grass",$S476="Ground"),0-1,IF(OR($S476="Steel",$S476="Ice",$S476="Fire",$S476="Water"),1,0)))</f>
        <v>-1</v>
      </c>
      <c r="AO476" s="507" t="n">
        <f aca="false">IF(OR($R476="Ghost",$S476="Ghost"),4,SUM(IF(OR($R476="Steel",$R476="Rock"),1,0),IF(OR($S476="Steel",$S476="Rock"),1,0)))</f>
        <v>0</v>
      </c>
      <c r="AP476" s="507" t="n">
        <f aca="false">IF(OR($R476="Steel",$S476="Steel"),4,SUM(IF(OR($R476="Fairy",$R476="Grass"),0-1,IF(OR($R476="Ghost",$R476="Rock",$R476="Ground",$R476="Poison"),1,0)),IF(OR($S476="Fairy",$S476="Grass"),0-1,IF(OR($S476="Ghost",$S476="Rock",$S476="Ground",$S476="Poison"),1,0))))</f>
        <v>0</v>
      </c>
      <c r="AQ476" s="507" t="n">
        <f aca="false">IF(OR($R476="Dark",$S476="Dark"),4,SUM(IF(OR($R476="Fighting",$R476="Poison"),0-1,IF(OR($R476="Psychic",$R476="Steel"),1,0)),IF(OR($S476="Fighting",$S476="Poison"),0-1,IF(OR($S476="Psychic",$S476="Steel"),1,0))))</f>
        <v>0</v>
      </c>
      <c r="AR476" s="507" t="n">
        <f aca="false">SUM(IF(OR($R476="Bug",$R476="Fire",$R476="Flying",$R476="Ice"),0-1,IF(OR($R476="Steel",$R476="Fighting",$R476="Ground"),1,0)),IF(OR($S476="Bug",$S476="Fire",$S476="Flying",$S476="Ice"),0-1,IF(OR($S476="Steel",$S476="Fighting",$S476="Ground"),1,0)))</f>
        <v>-1</v>
      </c>
      <c r="AS476" s="507" t="n">
        <f aca="false">SUM(IF(OR($R476="Fairy",$R476="Ice",$R476="Rock"),0-1,IF(OR($R476="Steel",$R476="Electric",$R476="Fire",$R476="Water"),1,0)),IF(OR($S476="Fairy",$S476="Ice",$S476="Rock"),0-1,IF(OR($S476="Steel",$S476="Electric",$S476="Fire",$S476="Water"),1,0)))</f>
        <v>0</v>
      </c>
      <c r="AT476" s="508" t="n">
        <f aca="false">SUM(IF(OR($R476="Fire",$R476="Ground",$R476="Rock"),0-1,IF(OR($R476="Dragon",$R476="Grass",$R476="Water"),1,0)),IF(OR($S476="Fire",$S476="Ground",$S476="Rock"),0-1,IF(OR($S476="Dragon",$S476="Grass",$S476="Water"),1,0)))</f>
        <v>0</v>
      </c>
      <c r="AU476" s="518"/>
    </row>
    <row r="477" customFormat="false" ht="15.75" hidden="false" customHeight="false" outlineLevel="0" collapsed="false">
      <c r="A477" s="510" t="str">
        <f aca="false" t="array" ref="A477:A477">IF(ISNA(INDEX(Source!$U$7:$U$95,MATCH(B477,Source!$V$7:$V$95,0))),"FREE",INDEX(Source!$U$7:$U$95,MATCH(B477,Source!$V$7:$V$95,0)))</f>
        <v>FREE</v>
      </c>
      <c r="B477" s="511" t="s">
        <v>641</v>
      </c>
      <c r="C477" s="511"/>
      <c r="D477" s="511"/>
      <c r="E477" s="499" t="str">
        <f aca="false">IF(SUM($W477:$X477)&gt;0,SUM($W477:$X477),IF($H477&gt;0,0,IF($H477&gt;0,0,"-")))</f>
        <v>-</v>
      </c>
      <c r="F477" s="499" t="str">
        <f aca="false">IF(SUM($Y477:$Z477)&gt;0,SUM($Y477:$Z477),IF($H477&gt;0,0,"-"))</f>
        <v>-</v>
      </c>
      <c r="G477" s="499" t="str">
        <f aca="false">IF($H477&gt;0,minus(E477,F477),"-")</f>
        <v>-</v>
      </c>
      <c r="H477" s="500" t="n">
        <f aca="false">SUM(COUNTIF(MatchSource!$A:$A,$B477),COUNTIF(MatchSource!$H:$H,$B477))</f>
        <v>0</v>
      </c>
      <c r="I477" s="501" t="n">
        <f aca="false">SUM($AA477:$AB477)</f>
        <v>0</v>
      </c>
      <c r="J477" s="501" t="s">
        <v>702</v>
      </c>
      <c r="K477" s="512" t="str">
        <f aca="false" t="array" ref="K477:K477">IF(ISNA(INDEX(DraftRosters!$AA$3:$AA$199,MATCH($B477,DraftRosters!$AB$3:$AB$199,0))),"FA",IF(INDEX(DraftRosters!$AA$3:$AA$199,MATCH($B477,DraftRosters!$AB$3:$AB$199,0))="Franchise","Franch",INDEX(DraftRosters!$AA$3:$AA$199,MATCH($B477,DraftRosters!$AB$3:$AB$199,0))))</f>
        <v>FA</v>
      </c>
      <c r="L477" s="499" t="n">
        <v>95</v>
      </c>
      <c r="M477" s="499" t="n">
        <v>109</v>
      </c>
      <c r="N477" s="499" t="n">
        <v>105</v>
      </c>
      <c r="O477" s="499" t="n">
        <v>75</v>
      </c>
      <c r="P477" s="499" t="n">
        <v>85</v>
      </c>
      <c r="Q477" s="501" t="n">
        <v>56</v>
      </c>
      <c r="R477" s="499" t="s">
        <v>803</v>
      </c>
      <c r="S477" s="501" t="s">
        <v>907</v>
      </c>
      <c r="T477" s="504" t="s">
        <v>921</v>
      </c>
      <c r="U477" s="505" t="s">
        <v>925</v>
      </c>
      <c r="V477" s="506"/>
      <c r="W477" s="500" t="str">
        <f aca="false">IFERROR(__xludf.dummyfunction("if(isna(SUM(FILTER(MatchSource!$A:$D,MatchSource!$A:$A=$B477))),0,SUM(FILTER(MatchSource!$A:$D,MatchSource!$A:$A=$B477)))"),"0")</f>
        <v>0</v>
      </c>
      <c r="X477" s="499" t="str">
        <f aca="false">IFERROR(__xludf.dummyfunction("if(isna(SUM(FILTER(MatchSource!$H:$K,MatchSource!$H:$H=$B477))),0,SUM(FILTER(MatchSource!$H:$K,MatchSource!$H:$H=$B477)))"),"0")</f>
        <v>0</v>
      </c>
      <c r="Y477" s="499" t="str">
        <f aca="false">IFERROR(__xludf.dummyfunction("if(isna(ABS(MINUS(SUM(FILTER(MatchSource!$A:$E,MatchSource!$A:$A=$B477)),SUM($W477)))),0,ABS(MINUS(SUM(FILTER(MatchSource!$A:$E,MatchSource!$A:$A=$B477)),SUM($W477))))"),"0")</f>
        <v>0</v>
      </c>
      <c r="Z477" s="499" t="str">
        <f aca="false">IFERROR(__xludf.dummyfunction("if(isna(ABS(MINUS(SUM(FILTER(MatchSource!$H:$L,MatchSource!$H:$H=$B477)),SUM($X477)))),0,ABS(MINUS(SUM(FILTER(MatchSource!$H:$L,MatchSource!$H:$H=$B477)),SUM($X477))))"),"0")</f>
        <v>0</v>
      </c>
      <c r="AA477" s="499" t="str">
        <f aca="false">IFERROR(__xludf.dummyfunction("if(isna(ABS(MINUS(SUM(FILTER(MatchSource!$A:$F,MatchSource!$A:$A=$B477)),SUM($W477,$Y477)))),0,ABS(MINUS(SUM(FILTER(MatchSource!$A:$F,MatchSource!$A:$A=$B477)),SUM($W477, $Y477,))))"),"0")</f>
        <v>0</v>
      </c>
      <c r="AB477" s="501" t="str">
        <f aca="false">IFERROR(__xludf.dummyfunction("if(isna(ABS(MINUS(SUM(FILTER(MatchSource!$H:$M,MatchSource!$H:$H=$B477)),SUM($X477,$Z477)))),0,ABS(MINUS(SUM(FILTER(MatchSource!$H:$M,MatchSource!$H:$H=$B477)),SUM($X477,$Z477))))"),"0")</f>
        <v>0</v>
      </c>
      <c r="AC477" s="507" t="n">
        <f aca="false">SUM(IF(OR($R477="Grass",$R477="Psychic",$R477="Dark"),0-1,IF(OR($R477="Fighting",$R477="Flying",$R477="Fire",$R477="Ghost",$R477="Poison",$R477="Steel",$R477="Fairy"),1,0)),IF(OR($S477="Grass",$S477="Psychic",$S477="Dark"),0-1,IF(OR($S477="Fighting",$S477="Flying",$S477="Fire",$S477="Ghost",$S477="Poison",$S477="Steel",$S477="Fairy"),1,0)))</f>
        <v>-1</v>
      </c>
      <c r="AD477" s="507" t="n">
        <f aca="false">SUM(IF(OR($R477="Ghost",$R477="Psychic"),0-1,IF(OR($R477="Fighting",$R477="Dark",$R477="Fairy"),1,0)),IF(OR($S477="Ghost",$S477="Psychic"),0-1,IF(OR($S477="Fighting",$S477="Dark",$S477="Fairy"),1,0)))</f>
        <v>0</v>
      </c>
      <c r="AE477" s="507" t="n">
        <f aca="false">IF(OR($R477="Fairy",$S477="Fairy"),4,SUM(IF($R477="Dragon",0-1,IF($R477="Steel",1,0)),IF($S477="Dragon",0-1,IF($S477="Steel",1,0))))</f>
        <v>0</v>
      </c>
      <c r="AF477" s="507" t="n">
        <f aca="false">IF(OR($R477="Ground",$S477="Ground"),4,SUM(IF(OR($R477="Flying",$R477="Water"),0-1,IF(OR($R477="Dragon",$R477="Electric",$R477="Grass"),1,0)),IF(OR($S477="Flying",$S477="Water"),0-1,IF(OR($S477="Dragon",$S477="Electric",$S477="Grass"),1,0))))</f>
        <v>4</v>
      </c>
      <c r="AG477" s="507" t="n">
        <f aca="false">SUM(IF(OR($R477="Dark",$R477="Dragon",$R477="Fighting"),0-1,IF(OR($R477="Steel",$R477="Poison",$R477="Fire"),1,0)),IF(OR($S477="Dark",$S477="Dragon",$S477="Fighting"),0-1,IF(OR($S477="Steel",$S477="Poison",$S477="Fire"),1,0)))</f>
        <v>0</v>
      </c>
      <c r="AH477" s="507" t="n">
        <f aca="false">IF(OR($R477="Ghost",$S477="Ghost"),4,SUM(IF(OR($R477="Dark",$R477="Ice",$R477="Normal",$R477="Rock",$R477="Steel"),0-1,IF(OR($R477="Bug",$R477="Fairy",$R477="Flying",$R477="Poison",$R477="Psychic"),1,0)),IF(OR($S477="Dark",$S477="Ice",$S477="Normal",$S477="Rock",$S477="Steel"),0-1,IF(OR($S477="Bug",$S477="Fairy",$S477="Flying",$S477="Poison",$S477="Psychic"),1,0))))</f>
        <v>0</v>
      </c>
      <c r="AI477" s="507" t="n">
        <f aca="false">SUM(IF(OR($R477="Bug",$R477="Grass",$R477="Ice",$R477="Steel"),0-1,IF(OR($R477="Dragon",$R477="Fire",$R477="Rock",$R477="Water"),1,0)),IF(OR($S477="Bug",$S477="Grass",$S477="Ice",$S477="Steel"),0-1,IF(OR($S477="Dragon",$S477="Fire",$S477="Rock",$S477="Water"),1,0)))</f>
        <v>-1</v>
      </c>
      <c r="AJ477" s="507" t="n">
        <f aca="false">SUM(IF(OR($R477="Bug",$R477="Grass",$R477="Fighting"),0-1,IF(OR($R477="Electric",$R477="Rock",$R477="Steel"),1,0)),IF(OR($S477="Bug",$S477="Grass",$S477="Fighting"),0-1,IF(OR($S477="Electric",$S477="Rock",$S477="Steel"),1,0)))</f>
        <v>-1</v>
      </c>
      <c r="AK477" s="507" t="n">
        <f aca="false">IF(OR($R477="Normal",$S477="Normal"),4,SUM(IF(OR($R477="Ghost",$R477="Psychic"),0-1,IF($R477="Dark",1,0)),IF(OR($S477="Ghost",$S477="Psychic"),0-1,IF($S477="Dark",1,0))))</f>
        <v>0</v>
      </c>
      <c r="AL477" s="507" t="n">
        <f aca="false">SUM(IF(OR($R477="Ground",$R477="Rock",$R477="Water"),0-1,IF(OR($R477="Bug",$R477="Flying",$R477="Fire",$R477="Dragon",$R477="Poison",$R477="Steel",$R477="Grass"),1,0)),IF(OR($S477="Ground",$S477="Rock",$S477="Water"),0-1,IF(OR($S477="Bug",$S477="Flying",$S477="Fire",$S477="Dragon",$S477="Poison",$S477="Steel",$S477="Grass"),1,0)))</f>
        <v>0</v>
      </c>
      <c r="AM477" s="507" t="n">
        <f aca="false">IF(OR($R477="Flying",$S477="Flying"),4,SUM(IF(OR($R477="Electric",$R477="Fire",$R477="Rock",$R477="Steel",$R477="Poison"),0-1,IF(OR($R477="Bug",$R477="Grass"),1,0)),IF(OR($S477="Electric",$S477="Fire",$S477="Rock",$S477="Steel",$S477="Poison"),0-1,IF(OR($S477="Bug",$S477="Grass"),1,0))))</f>
        <v>1</v>
      </c>
      <c r="AN477" s="507" t="n">
        <f aca="false">SUM(IF(OR($R477="Flying",$R477="Dragon",$R477="Grass",$R477="Ground"),0-1,IF(OR($R477="Steel",$R477="Ice",$R477="Fire",$R477="Water"),1,0)),IF(OR($S477="Flying",$S477="Dragon",$S477="Grass",$S477="Ground"),0-1,IF(OR($S477="Steel",$S477="Ice",$S477="Fire",$S477="Water"),1,0)))</f>
        <v>-2</v>
      </c>
      <c r="AO477" s="507" t="n">
        <f aca="false">IF(OR($R477="Ghost",$S477="Ghost"),4,SUM(IF(OR($R477="Steel",$R477="Rock"),1,0),IF(OR($S477="Steel",$S477="Rock"),1,0)))</f>
        <v>0</v>
      </c>
      <c r="AP477" s="507" t="n">
        <f aca="false">IF(OR($R477="Steel",$S477="Steel"),4,SUM(IF(OR($R477="Fairy",$R477="Grass"),0-1,IF(OR($R477="Ghost",$R477="Rock",$R477="Ground",$R477="Poison"),1,0)),IF(OR($S477="Fairy",$S477="Grass"),0-1,IF(OR($S477="Ghost",$S477="Rock",$S477="Ground",$S477="Poison"),1,0))))</f>
        <v>0</v>
      </c>
      <c r="AQ477" s="507" t="n">
        <f aca="false">IF(OR($R477="Dark",$S477="Dark"),4,SUM(IF(OR($R477="Fighting",$R477="Poison"),0-1,IF(OR($R477="Psychic",$R477="Steel"),1,0)),IF(OR($S477="Fighting",$S477="Poison"),0-1,IF(OR($S477="Psychic",$S477="Steel"),1,0))))</f>
        <v>0</v>
      </c>
      <c r="AR477" s="507" t="n">
        <f aca="false">SUM(IF(OR($R477="Bug",$R477="Fire",$R477="Flying",$R477="Ice"),0-1,IF(OR($R477="Steel",$R477="Fighting",$R477="Ground"),1,0)),IF(OR($S477="Bug",$S477="Fire",$S477="Flying",$S477="Ice"),0-1,IF(OR($S477="Steel",$S477="Fighting",$S477="Ground"),1,0)))</f>
        <v>1</v>
      </c>
      <c r="AS477" s="507" t="n">
        <f aca="false">SUM(IF(OR($R477="Fairy",$R477="Ice",$R477="Rock"),0-1,IF(OR($R477="Steel",$R477="Electric",$R477="Fire",$R477="Water"),1,0)),IF(OR($S477="Fairy",$S477="Ice",$S477="Rock"),0-1,IF(OR($S477="Steel",$S477="Electric",$S477="Fire",$S477="Water"),1,0)))</f>
        <v>0</v>
      </c>
      <c r="AT477" s="508" t="n">
        <f aca="false">SUM(IF(OR($R477="Fire",$R477="Ground",$R477="Rock"),0-1,IF(OR($R477="Dragon",$R477="Grass",$R477="Water"),1,0)),IF(OR($S477="Fire",$S477="Ground",$S477="Rock"),0-1,IF(OR($S477="Dragon",$S477="Grass",$S477="Water"),1,0)))</f>
        <v>0</v>
      </c>
      <c r="AU477" s="518"/>
    </row>
    <row r="478" customFormat="false" ht="15.75" hidden="false" customHeight="false" outlineLevel="0" collapsed="false">
      <c r="A478" s="510" t="str">
        <f aca="false" t="array" ref="A478:A478">IF(ISNA(INDEX(Source!$U$7:$U$95,MATCH(B478,Source!$V$7:$V$95,0))),"FREE",INDEX(Source!$U$7:$U$95,MATCH(B478,Source!$V$7:$V$95,0)))</f>
        <v>FREE</v>
      </c>
      <c r="B478" s="511" t="s">
        <v>643</v>
      </c>
      <c r="C478" s="511"/>
      <c r="D478" s="511"/>
      <c r="E478" s="499" t="str">
        <f aca="false">IF(SUM($W478:$X478)&gt;0,SUM($W478:$X478),IF($H478&gt;0,0,IF($H478&gt;0,0,"-")))</f>
        <v>-</v>
      </c>
      <c r="F478" s="499" t="str">
        <f aca="false">IF(SUM($Y478:$Z478)&gt;0,SUM($Y478:$Z478),IF($H478&gt;0,0,"-"))</f>
        <v>-</v>
      </c>
      <c r="G478" s="499" t="str">
        <f aca="false">IF($H478&gt;0,minus(E478,F478),"-")</f>
        <v>-</v>
      </c>
      <c r="H478" s="500" t="n">
        <f aca="false">SUM(COUNTIF(MatchSource!$A:$A,$B478),COUNTIF(MatchSource!$H:$H,$B478))</f>
        <v>0</v>
      </c>
      <c r="I478" s="501" t="n">
        <f aca="false">SUM($AA478:$AB478)</f>
        <v>0</v>
      </c>
      <c r="J478" s="501" t="s">
        <v>702</v>
      </c>
      <c r="K478" s="512" t="str">
        <f aca="false" t="array" ref="K478:K478">IF(ISNA(INDEX(DraftRosters!$AA$3:$AA$199,MATCH($B478,DraftRosters!$AB$3:$AB$199,0))),"FA",IF(INDEX(DraftRosters!$AA$3:$AA$199,MATCH($B478,DraftRosters!$AB$3:$AB$199,0))="Franchise","Franch",INDEX(DraftRosters!$AA$3:$AA$199,MATCH($B478,DraftRosters!$AB$3:$AB$199,0))))</f>
        <v>FA</v>
      </c>
      <c r="L478" s="499" t="n">
        <v>80</v>
      </c>
      <c r="M478" s="499" t="n">
        <v>120</v>
      </c>
      <c r="N478" s="499" t="n">
        <v>75</v>
      </c>
      <c r="O478" s="499" t="n">
        <v>75</v>
      </c>
      <c r="P478" s="499" t="n">
        <v>75</v>
      </c>
      <c r="Q478" s="501" t="n">
        <v>60</v>
      </c>
      <c r="R478" s="499" t="s">
        <v>801</v>
      </c>
      <c r="S478" s="501" t="s">
        <v>839</v>
      </c>
      <c r="T478" s="520" t="s">
        <v>841</v>
      </c>
      <c r="U478" s="513" t="s">
        <v>898</v>
      </c>
      <c r="V478" s="514" t="s">
        <v>897</v>
      </c>
      <c r="W478" s="500" t="str">
        <f aca="false">IFERROR(__xludf.dummyfunction("if(isna(SUM(FILTER(MatchSource!$A:$D,MatchSource!$A:$A=$B478))),0,SUM(FILTER(MatchSource!$A:$D,MatchSource!$A:$A=$B478)))"),"0")</f>
        <v>0</v>
      </c>
      <c r="X478" s="499" t="str">
        <f aca="false">IFERROR(__xludf.dummyfunction("if(isna(SUM(FILTER(MatchSource!$H:$K,MatchSource!$H:$H=$B478))),0,SUM(FILTER(MatchSource!$H:$K,MatchSource!$H:$H=$B478)))"),"0")</f>
        <v>0</v>
      </c>
      <c r="Y478" s="499" t="str">
        <f aca="false">IFERROR(__xludf.dummyfunction("if(isna(ABS(MINUS(SUM(FILTER(MatchSource!$A:$E,MatchSource!$A:$A=$B478)),SUM($W478)))),0,ABS(MINUS(SUM(FILTER(MatchSource!$A:$E,MatchSource!$A:$A=$B478)),SUM($W478))))"),"0")</f>
        <v>0</v>
      </c>
      <c r="Z478" s="499" t="str">
        <f aca="false">IFERROR(__xludf.dummyfunction("if(isna(ABS(MINUS(SUM(FILTER(MatchSource!$H:$L,MatchSource!$H:$H=$B478)),SUM($X478)))),0,ABS(MINUS(SUM(FILTER(MatchSource!$H:$L,MatchSource!$H:$H=$B478)),SUM($X478))))"),"0")</f>
        <v>0</v>
      </c>
      <c r="AA478" s="499" t="str">
        <f aca="false">IFERROR(__xludf.dummyfunction("if(isna(ABS(MINUS(SUM(FILTER(MatchSource!$A:$F,MatchSource!$A:$A=$B478)),SUM($W478,$Y478)))),0,ABS(MINUS(SUM(FILTER(MatchSource!$A:$F,MatchSource!$A:$A=$B478)),SUM($W478, $Y478,))))"),"0")</f>
        <v>0</v>
      </c>
      <c r="AB478" s="501" t="str">
        <f aca="false">IFERROR(__xludf.dummyfunction("if(isna(ABS(MINUS(SUM(FILTER(MatchSource!$H:$M,MatchSource!$H:$H=$B478)),SUM($X478,$Z478)))),0,ABS(MINUS(SUM(FILTER(MatchSource!$H:$M,MatchSource!$H:$H=$B478)),SUM($X478,$Z478))))"),"0")</f>
        <v>0</v>
      </c>
      <c r="AC478" s="507" t="n">
        <f aca="false">SUM(IF(OR($R478="Grass",$R478="Psychic",$R478="Dark"),0-1,IF(OR($R478="Fighting",$R478="Flying",$R478="Fire",$R478="Ghost",$R478="Poison",$R478="Steel",$R478="Fairy"),1,0)),IF(OR($S478="Grass",$S478="Psychic",$S478="Dark"),0-1,IF(OR($S478="Fighting",$S478="Flying",$S478="Fire",$S478="Ghost",$S478="Poison",$S478="Steel",$S478="Fairy"),1,0)))</f>
        <v>1</v>
      </c>
      <c r="AD478" s="507" t="n">
        <f aca="false">SUM(IF(OR($R478="Ghost",$R478="Psychic"),0-1,IF(OR($R478="Fighting",$R478="Dark",$R478="Fairy"),1,0)),IF(OR($S478="Ghost",$S478="Psychic"),0-1,IF(OR($S478="Fighting",$S478="Dark",$S478="Fairy"),1,0)))</f>
        <v>0</v>
      </c>
      <c r="AE478" s="507" t="n">
        <f aca="false">IF(OR($R478="Fairy",$S478="Fairy"),4,SUM(IF($R478="Dragon",0-1,IF($R478="Steel",1,0)),IF($S478="Dragon",0-1,IF($S478="Steel",1,0))))</f>
        <v>0</v>
      </c>
      <c r="AF478" s="507" t="n">
        <f aca="false">IF(OR($R478="Ground",$S478="Ground"),4,SUM(IF(OR($R478="Flying",$R478="Water"),0-1,IF(OR($R478="Dragon",$R478="Electric",$R478="Grass"),1,0)),IF(OR($S478="Flying",$S478="Water"),0-1,IF(OR($S478="Dragon",$S478="Electric",$S478="Grass"),1,0))))</f>
        <v>-1</v>
      </c>
      <c r="AG478" s="507" t="n">
        <f aca="false">SUM(IF(OR($R478="Dark",$R478="Dragon",$R478="Fighting"),0-1,IF(OR($R478="Steel",$R478="Poison",$R478="Fire"),1,0)),IF(OR($S478="Dark",$S478="Dragon",$S478="Fighting"),0-1,IF(OR($S478="Steel",$S478="Poison",$S478="Fire"),1,0)))</f>
        <v>0</v>
      </c>
      <c r="AH478" s="507" t="n">
        <f aca="false">IF(OR($R478="Ghost",$S478="Ghost"),4,SUM(IF(OR($R478="Dark",$R478="Ice",$R478="Normal",$R478="Rock",$R478="Steel"),0-1,IF(OR($R478="Bug",$R478="Fairy",$R478="Flying",$R478="Poison",$R478="Psychic"),1,0)),IF(OR($S478="Dark",$S478="Ice",$S478="Normal",$S478="Rock",$S478="Steel"),0-1,IF(OR($S478="Bug",$S478="Fairy",$S478="Flying",$S478="Poison",$S478="Psychic"),1,0))))</f>
        <v>0</v>
      </c>
      <c r="AI478" s="507" t="n">
        <f aca="false">SUM(IF(OR($R478="Bug",$R478="Grass",$R478="Ice",$R478="Steel"),0-1,IF(OR($R478="Dragon",$R478="Fire",$R478="Rock",$R478="Water"),1,0)),IF(OR($S478="Bug",$S478="Grass",$S478="Ice",$S478="Steel"),0-1,IF(OR($S478="Dragon",$S478="Fire",$S478="Rock",$S478="Water"),1,0)))</f>
        <v>0</v>
      </c>
      <c r="AJ478" s="507" t="n">
        <f aca="false">SUM(IF(OR($R478="Bug",$R478="Grass",$R478="Fighting"),0-1,IF(OR($R478="Electric",$R478="Rock",$R478="Steel"),1,0)),IF(OR($S478="Bug",$S478="Grass",$S478="Fighting"),0-1,IF(OR($S478="Electric",$S478="Rock",$S478="Steel"),1,0)))</f>
        <v>0</v>
      </c>
      <c r="AK478" s="507" t="n">
        <f aca="false">IF(OR($R478="Normal",$S478="Normal"),4,SUM(IF(OR($R478="Ghost",$R478="Psychic"),0-1,IF($R478="Dark",1,0)),IF(OR($S478="Ghost",$S478="Psychic"),0-1,IF($S478="Dark",1,0))))</f>
        <v>4</v>
      </c>
      <c r="AL478" s="507" t="n">
        <f aca="false">SUM(IF(OR($R478="Ground",$R478="Rock",$R478="Water"),0-1,IF(OR($R478="Bug",$R478="Flying",$R478="Fire",$R478="Dragon",$R478="Poison",$R478="Steel",$R478="Grass"),1,0)),IF(OR($S478="Ground",$S478="Rock",$S478="Water"),0-1,IF(OR($S478="Bug",$S478="Flying",$S478="Fire",$S478="Dragon",$S478="Poison",$S478="Steel",$S478="Grass"),1,0)))</f>
        <v>1</v>
      </c>
      <c r="AM478" s="507" t="n">
        <f aca="false">IF(OR($R478="Flying",$S478="Flying"),4,SUM(IF(OR($R478="Electric",$R478="Fire",$R478="Rock",$R478="Steel",$R478="Poison"),0-1,IF(OR($R478="Bug",$R478="Grass"),1,0)),IF(OR($S478="Electric",$S478="Fire",$S478="Rock",$S478="Steel",$S478="Poison"),0-1,IF(OR($S478="Bug",$S478="Grass"),1,0))))</f>
        <v>4</v>
      </c>
      <c r="AN478" s="507" t="n">
        <f aca="false">SUM(IF(OR($R478="Flying",$R478="Dragon",$R478="Grass",$R478="Ground"),0-1,IF(OR($R478="Steel",$R478="Ice",$R478="Fire",$R478="Water"),1,0)),IF(OR($S478="Flying",$S478="Dragon",$S478="Grass",$S478="Ground"),0-1,IF(OR($S478="Steel",$S478="Ice",$S478="Fire",$S478="Water"),1,0)))</f>
        <v>-1</v>
      </c>
      <c r="AO478" s="507" t="n">
        <f aca="false">IF(OR($R478="Ghost",$S478="Ghost"),4,SUM(IF(OR($R478="Steel",$R478="Rock"),1,0),IF(OR($S478="Steel",$S478="Rock"),1,0)))</f>
        <v>0</v>
      </c>
      <c r="AP478" s="507" t="n">
        <f aca="false">IF(OR($R478="Steel",$S478="Steel"),4,SUM(IF(OR($R478="Fairy",$R478="Grass"),0-1,IF(OR($R478="Ghost",$R478="Rock",$R478="Ground",$R478="Poison"),1,0)),IF(OR($S478="Fairy",$S478="Grass"),0-1,IF(OR($S478="Ghost",$S478="Rock",$S478="Ground",$S478="Poison"),1,0))))</f>
        <v>0</v>
      </c>
      <c r="AQ478" s="507" t="n">
        <f aca="false">IF(OR($R478="Dark",$S478="Dark"),4,SUM(IF(OR($R478="Fighting",$R478="Poison"),0-1,IF(OR($R478="Psychic",$R478="Steel"),1,0)),IF(OR($S478="Fighting",$S478="Poison"),0-1,IF(OR($S478="Psychic",$S478="Steel"),1,0))))</f>
        <v>0</v>
      </c>
      <c r="AR478" s="507" t="n">
        <f aca="false">SUM(IF(OR($R478="Bug",$R478="Fire",$R478="Flying",$R478="Ice"),0-1,IF(OR($R478="Steel",$R478="Fighting",$R478="Ground"),1,0)),IF(OR($S478="Bug",$S478="Fire",$S478="Flying",$S478="Ice"),0-1,IF(OR($S478="Steel",$S478="Fighting",$S478="Ground"),1,0)))</f>
        <v>-1</v>
      </c>
      <c r="AS478" s="507" t="n">
        <f aca="false">SUM(IF(OR($R478="Fairy",$R478="Ice",$R478="Rock"),0-1,IF(OR($R478="Steel",$R478="Electric",$R478="Fire",$R478="Water"),1,0)),IF(OR($S478="Fairy",$S478="Ice",$S478="Rock"),0-1,IF(OR($S478="Steel",$S478="Electric",$S478="Fire",$S478="Water"),1,0)))</f>
        <v>0</v>
      </c>
      <c r="AT478" s="508" t="n">
        <f aca="false">SUM(IF(OR($R478="Fire",$R478="Ground",$R478="Rock"),0-1,IF(OR($R478="Dragon",$R478="Grass",$R478="Water"),1,0)),IF(OR($S478="Fire",$S478="Ground",$S478="Rock"),0-1,IF(OR($S478="Dragon",$S478="Grass",$S478="Water"),1,0)))</f>
        <v>0</v>
      </c>
      <c r="AU478" s="518"/>
    </row>
    <row r="479" customFormat="false" ht="15.75" hidden="false" customHeight="false" outlineLevel="0" collapsed="false">
      <c r="A479" s="510" t="str">
        <f aca="false" t="array" ref="A479:A479">IF(ISNA(INDEX(Source!$U$7:$U$95,MATCH(B479,Source!$V$7:$V$95,0))),"FREE",INDEX(Source!$U$7:$U$95,MATCH(B479,Source!$V$7:$V$95,0)))</f>
        <v>FREE</v>
      </c>
      <c r="B479" s="511" t="s">
        <v>14</v>
      </c>
      <c r="C479" s="511"/>
      <c r="D479" s="511"/>
      <c r="E479" s="499" t="n">
        <f aca="false">IF(SUM($W479:$X479)&gt;0,SUM($W479:$X479),IF($H479&gt;0,0,IF($H479&gt;0,0,"-")))</f>
        <v>0</v>
      </c>
      <c r="F479" s="499" t="n">
        <f aca="false">IF(SUM($Y479:$Z479)&gt;0,SUM($Y479:$Z479),IF($H479&gt;0,0,"-"))</f>
        <v>0</v>
      </c>
      <c r="G479" s="499" t="e">
        <f aca="false">IF($H479&gt;0,minus(E479,F479),"-")</f>
        <v>#NAME?</v>
      </c>
      <c r="H479" s="500" t="n">
        <f aca="false">SUM(COUNTIF(MatchSource!$A:$A,$B479),COUNTIF(MatchSource!$H:$H,$B479))</f>
        <v>5</v>
      </c>
      <c r="I479" s="501" t="n">
        <f aca="false">SUM($AA479:$AB479)</f>
        <v>0</v>
      </c>
      <c r="J479" s="501" t="s">
        <v>699</v>
      </c>
      <c r="K479" s="512" t="n">
        <f aca="false" t="array" ref="K479:K479">IF(ISNA(INDEX(DraftRosters!$AA$3:$AA$199,MATCH($B479,DraftRosters!$AB$3:$AB$199,0))),"FA",IF(INDEX(DraftRosters!$AA$3:$AA$199,MATCH($B479,DraftRosters!$AB$3:$AB$199,0))="Franchise","Franch",INDEX(DraftRosters!$AA$3:$AA$199,MATCH($B479,DraftRosters!$AB$3:$AB$199,0))))</f>
        <v>13</v>
      </c>
      <c r="L479" s="499" t="n">
        <v>50</v>
      </c>
      <c r="M479" s="499" t="n">
        <v>63</v>
      </c>
      <c r="N479" s="499" t="n">
        <v>152</v>
      </c>
      <c r="O479" s="499" t="n">
        <v>53</v>
      </c>
      <c r="P479" s="499" t="n">
        <v>142</v>
      </c>
      <c r="Q479" s="501" t="n">
        <v>35</v>
      </c>
      <c r="R479" s="499" t="s">
        <v>843</v>
      </c>
      <c r="S479" s="501" t="s">
        <v>811</v>
      </c>
      <c r="T479" s="520" t="s">
        <v>1076</v>
      </c>
      <c r="U479" s="513" t="s">
        <v>834</v>
      </c>
      <c r="V479" s="514" t="s">
        <v>947</v>
      </c>
      <c r="W479" s="500" t="str">
        <f aca="false">IFERROR(__xludf.dummyfunction("if(isna(SUM(FILTER(MatchSource!$A:$D,MatchSource!$A:$A=$B479))),0,SUM(FILTER(MatchSource!$A:$D,MatchSource!$A:$A=$B479)))"),"1")</f>
        <v>1</v>
      </c>
      <c r="X479" s="499" t="str">
        <f aca="false">IFERROR(__xludf.dummyfunction("if(isna(SUM(FILTER(MatchSource!$H:$K,MatchSource!$H:$H=$B479))),0,SUM(FILTER(MatchSource!$H:$K,MatchSource!$H:$H=$B479)))"),"6")</f>
        <v>6</v>
      </c>
      <c r="Y479" s="499" t="str">
        <f aca="false">IFERROR(__xludf.dummyfunction("if(isna(ABS(MINUS(SUM(FILTER(MatchSource!$A:$E,MatchSource!$A:$A=$B479)),SUM($W479)))),0,ABS(MINUS(SUM(FILTER(MatchSource!$A:$E,MatchSource!$A:$A=$B479)),SUM($W479))))"),"1")</f>
        <v>1</v>
      </c>
      <c r="Z479" s="499" t="str">
        <f aca="false">IFERROR(__xludf.dummyfunction("if(isna(ABS(MINUS(SUM(FILTER(MatchSource!$H:$L,MatchSource!$H:$H=$B479)),SUM($X479)))),0,ABS(MINUS(SUM(FILTER(MatchSource!$H:$L,MatchSource!$H:$H=$B479)),SUM($X479))))"),"1")</f>
        <v>1</v>
      </c>
      <c r="AA479" s="499" t="str">
        <f aca="false">IFERROR(__xludf.dummyfunction("if(isna(ABS(MINUS(SUM(FILTER(MatchSource!$A:$F,MatchSource!$A:$A=$B479)),SUM($W479,$Y479)))),0,ABS(MINUS(SUM(FILTER(MatchSource!$A:$F,MatchSource!$A:$A=$B479)),SUM($W479, $Y479,))))"),"2")</f>
        <v>2</v>
      </c>
      <c r="AB479" s="501" t="str">
        <f aca="false">IFERROR(__xludf.dummyfunction("if(isna(ABS(MINUS(SUM(FILTER(MatchSource!$H:$M,MatchSource!$H:$H=$B479)),SUM($X479,$Z479)))),0,ABS(MINUS(SUM(FILTER(MatchSource!$H:$M,MatchSource!$H:$H=$B479)),SUM($X479,$Z479))))"),"2")</f>
        <v>2</v>
      </c>
      <c r="AC479" s="507" t="n">
        <f aca="false">SUM(IF(OR($R479="Grass",$R479="Psychic",$R479="Dark"),0-1,IF(OR($R479="Fighting",$R479="Flying",$R479="Fire",$R479="Ghost",$R479="Poison",$R479="Steel",$R479="Fairy"),1,0)),IF(OR($S479="Grass",$S479="Psychic",$S479="Dark"),0-1,IF(OR($S479="Fighting",$S479="Flying",$S479="Fire",$S479="Ghost",$S479="Poison",$S479="Steel",$S479="Fairy"),1,0)))</f>
        <v>1</v>
      </c>
      <c r="AD479" s="507" t="n">
        <f aca="false">SUM(IF(OR($R479="Ghost",$R479="Psychic"),0-1,IF(OR($R479="Fighting",$R479="Dark",$R479="Fairy"),1,0)),IF(OR($S479="Ghost",$S479="Psychic"),0-1,IF(OR($S479="Fighting",$S479="Dark",$S479="Fairy"),1,0)))</f>
        <v>0</v>
      </c>
      <c r="AE479" s="507" t="n">
        <f aca="false">IF(OR($R479="Fairy",$S479="Fairy"),4,SUM(IF($R479="Dragon",0-1,IF($R479="Steel",1,0)),IF($S479="Dragon",0-1,IF($S479="Steel",1,0))))</f>
        <v>0</v>
      </c>
      <c r="AF479" s="507" t="n">
        <f aca="false">IF(OR($R479="Ground",$S479="Ground"),4,SUM(IF(OR($R479="Flying",$R479="Water"),0-1,IF(OR($R479="Dragon",$R479="Electric",$R479="Grass"),1,0)),IF(OR($S479="Flying",$S479="Water"),0-1,IF(OR($S479="Dragon",$S479="Electric",$S479="Grass"),1,0))))</f>
        <v>-1</v>
      </c>
      <c r="AG479" s="507" t="n">
        <f aca="false">SUM(IF(OR($R479="Dark",$R479="Dragon",$R479="Fighting"),0-1,IF(OR($R479="Steel",$R479="Poison",$R479="Fire"),1,0)),IF(OR($S479="Dark",$S479="Dragon",$S479="Fighting"),0-1,IF(OR($S479="Steel",$S479="Poison",$S479="Fire"),1,0)))</f>
        <v>1</v>
      </c>
      <c r="AH479" s="507" t="n">
        <f aca="false">IF(OR($R479="Ghost",$S479="Ghost"),4,SUM(IF(OR($R479="Dark",$R479="Ice",$R479="Normal",$R479="Rock",$R479="Steel"),0-1,IF(OR($R479="Bug",$R479="Fairy",$R479="Flying",$R479="Poison",$R479="Psychic"),1,0)),IF(OR($S479="Dark",$S479="Ice",$S479="Normal",$S479="Rock",$S479="Steel"),0-1,IF(OR($S479="Bug",$S479="Fairy",$S479="Flying",$S479="Poison",$S479="Psychic"),1,0))))</f>
        <v>1</v>
      </c>
      <c r="AI479" s="507" t="n">
        <f aca="false">SUM(IF(OR($R479="Bug",$R479="Grass",$R479="Ice",$R479="Steel"),0-1,IF(OR($R479="Dragon",$R479="Fire",$R479="Rock",$R479="Water"),1,0)),IF(OR($S479="Bug",$S479="Grass",$S479="Ice",$S479="Steel"),0-1,IF(OR($S479="Dragon",$S479="Fire",$S479="Rock",$S479="Water"),1,0)))</f>
        <v>1</v>
      </c>
      <c r="AJ479" s="507" t="n">
        <f aca="false">SUM(IF(OR($R479="Bug",$R479="Grass",$R479="Fighting"),0-1,IF(OR($R479="Electric",$R479="Rock",$R479="Steel"),1,0)),IF(OR($S479="Bug",$S479="Grass",$S479="Fighting"),0-1,IF(OR($S479="Electric",$S479="Rock",$S479="Steel"),1,0)))</f>
        <v>0</v>
      </c>
      <c r="AK479" s="507" t="n">
        <f aca="false">IF(OR($R479="Normal",$S479="Normal"),4,SUM(IF(OR($R479="Ghost",$R479="Psychic"),0-1,IF($R479="Dark",1,0)),IF(OR($S479="Ghost",$S479="Psychic"),0-1,IF($S479="Dark",1,0))))</f>
        <v>0</v>
      </c>
      <c r="AL479" s="507" t="n">
        <f aca="false">SUM(IF(OR($R479="Ground",$R479="Rock",$R479="Water"),0-1,IF(OR($R479="Bug",$R479="Flying",$R479="Fire",$R479="Dragon",$R479="Poison",$R479="Steel",$R479="Grass"),1,0)),IF(OR($S479="Ground",$S479="Rock",$S479="Water"),0-1,IF(OR($S479="Bug",$S479="Flying",$S479="Fire",$S479="Dragon",$S479="Poison",$S479="Steel",$S479="Grass"),1,0)))</f>
        <v>0</v>
      </c>
      <c r="AM479" s="507" t="n">
        <f aca="false">IF(OR($R479="Flying",$S479="Flying"),4,SUM(IF(OR($R479="Electric",$R479="Fire",$R479="Rock",$R479="Steel",$R479="Poison"),0-1,IF(OR($R479="Bug",$R479="Grass"),1,0)),IF(OR($S479="Electric",$S479="Fire",$S479="Rock",$S479="Steel",$S479="Poison"),0-1,IF(OR($S479="Bug",$S479="Grass"),1,0))))</f>
        <v>-1</v>
      </c>
      <c r="AN479" s="507" t="n">
        <f aca="false">SUM(IF(OR($R479="Flying",$R479="Dragon",$R479="Grass",$R479="Ground"),0-1,IF(OR($R479="Steel",$R479="Ice",$R479="Fire",$R479="Water"),1,0)),IF(OR($S479="Flying",$S479="Dragon",$S479="Grass",$S479="Ground"),0-1,IF(OR($S479="Steel",$S479="Ice",$S479="Fire",$S479="Water"),1,0)))</f>
        <v>1</v>
      </c>
      <c r="AO479" s="507" t="n">
        <f aca="false">IF(OR($R479="Ghost",$S479="Ghost"),4,SUM(IF(OR($R479="Steel",$R479="Rock"),1,0),IF(OR($S479="Steel",$S479="Rock"),1,0)))</f>
        <v>0</v>
      </c>
      <c r="AP479" s="507" t="n">
        <f aca="false">IF(OR($R479="Steel",$S479="Steel"),4,SUM(IF(OR($R479="Fairy",$R479="Grass"),0-1,IF(OR($R479="Ghost",$R479="Rock",$R479="Ground",$R479="Poison"),1,0)),IF(OR($S479="Fairy",$S479="Grass"),0-1,IF(OR($S479="Ghost",$S479="Rock",$S479="Ground",$S479="Poison"),1,0))))</f>
        <v>1</v>
      </c>
      <c r="AQ479" s="507" t="n">
        <f aca="false">IF(OR($R479="Dark",$S479="Dark"),4,SUM(IF(OR($R479="Fighting",$R479="Poison"),0-1,IF(OR($R479="Psychic",$R479="Steel"),1,0)),IF(OR($S479="Fighting",$S479="Poison"),0-1,IF(OR($S479="Psychic",$S479="Steel"),1,0))))</f>
        <v>-1</v>
      </c>
      <c r="AR479" s="507" t="n">
        <f aca="false">SUM(IF(OR($R479="Bug",$R479="Fire",$R479="Flying",$R479="Ice"),0-1,IF(OR($R479="Steel",$R479="Fighting",$R479="Ground"),1,0)),IF(OR($S479="Bug",$S479="Fire",$S479="Flying",$S479="Ice"),0-1,IF(OR($S479="Steel",$S479="Fighting",$S479="Ground"),1,0)))</f>
        <v>0</v>
      </c>
      <c r="AS479" s="507" t="n">
        <f aca="false">SUM(IF(OR($R479="Fairy",$R479="Ice",$R479="Rock"),0-1,IF(OR($R479="Steel",$R479="Electric",$R479="Fire",$R479="Water"),1,0)),IF(OR($S479="Fairy",$S479="Ice",$S479="Rock"),0-1,IF(OR($S479="Steel",$S479="Electric",$S479="Fire",$S479="Water"),1,0)))</f>
        <v>1</v>
      </c>
      <c r="AT479" s="508" t="n">
        <f aca="false">SUM(IF(OR($R479="Fire",$R479="Ground",$R479="Rock"),0-1,IF(OR($R479="Dragon",$R479="Grass",$R479="Water"),1,0)),IF(OR($S479="Fire",$S479="Ground",$S479="Rock"),0-1,IF(OR($S479="Dragon",$S479="Grass",$S479="Water"),1,0)))</f>
        <v>1</v>
      </c>
      <c r="AU479" s="518"/>
    </row>
    <row r="480" customFormat="false" ht="15.75" hidden="false" customHeight="false" outlineLevel="0" collapsed="false">
      <c r="A480" s="510" t="str">
        <f aca="false" t="array" ref="A480:A480">IF(ISNA(INDEX(Source!$U$7:$U$95,MATCH(B480,Source!$V$7:$V$95,0))),"FREE",INDEX(Source!$U$7:$U$95,MATCH(B480,Source!$V$7:$V$95,0)))</f>
        <v>FREE</v>
      </c>
      <c r="B480" s="511" t="s">
        <v>596</v>
      </c>
      <c r="C480" s="511"/>
      <c r="D480" s="511"/>
      <c r="E480" s="499" t="str">
        <f aca="false">IF(SUM($W480:$X480)&gt;0,SUM($W480:$X480),IF($H480&gt;0,0,IF($H480&gt;0,0,"-")))</f>
        <v>-</v>
      </c>
      <c r="F480" s="499" t="str">
        <f aca="false">IF(SUM($Y480:$Z480)&gt;0,SUM($Y480:$Z480),IF($H480&gt;0,0,"-"))</f>
        <v>-</v>
      </c>
      <c r="G480" s="499" t="str">
        <f aca="false">IF($H480&gt;0,minus(E480,F480),"-")</f>
        <v>-</v>
      </c>
      <c r="H480" s="500" t="n">
        <f aca="false">SUM(COUNTIF(MatchSource!$A:$A,$B480),COUNTIF(MatchSource!$H:$H,$B480))</f>
        <v>0</v>
      </c>
      <c r="I480" s="501" t="n">
        <f aca="false">SUM($AA480:$AB480)</f>
        <v>0</v>
      </c>
      <c r="J480" s="501" t="s">
        <v>700</v>
      </c>
      <c r="K480" s="512" t="str">
        <f aca="false" t="array" ref="K480:K480">IF(ISNA(INDEX(DraftRosters!$AA$3:$AA$199,MATCH($B480,DraftRosters!$AB$3:$AB$199,0))),"FA",IF(INDEX(DraftRosters!$AA$3:$AA$199,MATCH($B480,DraftRosters!$AB$3:$AB$199,0))="Franchise","Franch",INDEX(DraftRosters!$AA$3:$AA$199,MATCH($B480,DraftRosters!$AB$3:$AB$199,0))))</f>
        <v>FA</v>
      </c>
      <c r="L480" s="499" t="n">
        <v>83</v>
      </c>
      <c r="M480" s="499" t="n">
        <v>106</v>
      </c>
      <c r="N480" s="499" t="n">
        <v>65</v>
      </c>
      <c r="O480" s="499" t="n">
        <v>86</v>
      </c>
      <c r="P480" s="499" t="n">
        <v>65</v>
      </c>
      <c r="Q480" s="501" t="n">
        <v>85</v>
      </c>
      <c r="R480" s="499" t="s">
        <v>881</v>
      </c>
      <c r="S480" s="501" t="s">
        <v>843</v>
      </c>
      <c r="T480" s="504" t="s">
        <v>971</v>
      </c>
      <c r="U480" s="505" t="s">
        <v>951</v>
      </c>
      <c r="V480" s="506" t="s">
        <v>999</v>
      </c>
      <c r="W480" s="500" t="str">
        <f aca="false">IFERROR(__xludf.dummyfunction("if(isna(SUM(FILTER(MatchSource!$A:$D,MatchSource!$A:$A=$B480))),0,SUM(FILTER(MatchSource!$A:$D,MatchSource!$A:$A=$B480)))"),"0")</f>
        <v>0</v>
      </c>
      <c r="X480" s="499" t="str">
        <f aca="false">IFERROR(__xludf.dummyfunction("if(isna(SUM(FILTER(MatchSource!$H:$K,MatchSource!$H:$H=$B480))),0,SUM(FILTER(MatchSource!$H:$K,MatchSource!$H:$H=$B480)))"),"0")</f>
        <v>0</v>
      </c>
      <c r="Y480" s="499" t="str">
        <f aca="false">IFERROR(__xludf.dummyfunction("if(isna(ABS(MINUS(SUM(FILTER(MatchSource!$A:$E,MatchSource!$A:$A=$B480)),SUM($W480)))),0,ABS(MINUS(SUM(FILTER(MatchSource!$A:$E,MatchSource!$A:$A=$B480)),SUM($W480))))"),"0")</f>
        <v>0</v>
      </c>
      <c r="Z480" s="499" t="str">
        <f aca="false">IFERROR(__xludf.dummyfunction("if(isna(ABS(MINUS(SUM(FILTER(MatchSource!$H:$L,MatchSource!$H:$H=$B480)),SUM($X480)))),0,ABS(MINUS(SUM(FILTER(MatchSource!$H:$L,MatchSource!$H:$H=$B480)),SUM($X480))))"),"0")</f>
        <v>0</v>
      </c>
      <c r="AA480" s="499" t="str">
        <f aca="false">IFERROR(__xludf.dummyfunction("if(isna(ABS(MINUS(SUM(FILTER(MatchSource!$A:$F,MatchSource!$A:$A=$B480)),SUM($W480,$Y480)))),0,ABS(MINUS(SUM(FILTER(MatchSource!$A:$F,MatchSource!$A:$A=$B480)),SUM($W480, $Y480,))))"),"0")</f>
        <v>0</v>
      </c>
      <c r="AB480" s="501" t="str">
        <f aca="false">IFERROR(__xludf.dummyfunction("if(isna(ABS(MINUS(SUM(FILTER(MatchSource!$H:$M,MatchSource!$H:$H=$B480)),SUM($X480,$Z480)))),0,ABS(MINUS(SUM(FILTER(MatchSource!$H:$M,MatchSource!$H:$H=$B480)),SUM($X480,$Z480))))"),"0")</f>
        <v>0</v>
      </c>
      <c r="AC480" s="507" t="n">
        <f aca="false">SUM(IF(OR($R480="Grass",$R480="Psychic",$R480="Dark"),0-1,IF(OR($R480="Fighting",$R480="Flying",$R480="Fire",$R480="Ghost",$R480="Poison",$R480="Steel",$R480="Fairy"),1,0)),IF(OR($S480="Grass",$S480="Psychic",$S480="Dark"),0-1,IF(OR($S480="Fighting",$S480="Flying",$S480="Fire",$S480="Ghost",$S480="Poison",$S480="Steel",$S480="Fairy"),1,0)))</f>
        <v>2</v>
      </c>
      <c r="AD480" s="507" t="n">
        <f aca="false">SUM(IF(OR($R480="Ghost",$R480="Psychic"),0-1,IF(OR($R480="Fighting",$R480="Dark",$R480="Fairy"),1,0)),IF(OR($S480="Ghost",$S480="Psychic"),0-1,IF(OR($S480="Fighting",$S480="Dark",$S480="Fairy"),1,0)))</f>
        <v>1</v>
      </c>
      <c r="AE480" s="507" t="n">
        <f aca="false">IF(OR($R480="Fairy",$S480="Fairy"),4,SUM(IF($R480="Dragon",0-1,IF($R480="Steel",1,0)),IF($S480="Dragon",0-1,IF($S480="Steel",1,0))))</f>
        <v>0</v>
      </c>
      <c r="AF480" s="507" t="n">
        <f aca="false">IF(OR($R480="Ground",$S480="Ground"),4,SUM(IF(OR($R480="Flying",$R480="Water"),0-1,IF(OR($R480="Dragon",$R480="Electric",$R480="Grass"),1,0)),IF(OR($S480="Flying",$S480="Water"),0-1,IF(OR($S480="Dragon",$S480="Electric",$S480="Grass"),1,0))))</f>
        <v>0</v>
      </c>
      <c r="AG480" s="507" t="n">
        <f aca="false">SUM(IF(OR($R480="Dark",$R480="Dragon",$R480="Fighting"),0-1,IF(OR($R480="Steel",$R480="Poison",$R480="Fire"),1,0)),IF(OR($S480="Dark",$S480="Dragon",$S480="Fighting"),0-1,IF(OR($S480="Steel",$S480="Poison",$S480="Fire"),1,0)))</f>
        <v>0</v>
      </c>
      <c r="AH480" s="507" t="n">
        <f aca="false">IF(OR($R480="Ghost",$S480="Ghost"),4,SUM(IF(OR($R480="Dark",$R480="Ice",$R480="Normal",$R480="Rock",$R480="Steel"),0-1,IF(OR($R480="Bug",$R480="Fairy",$R480="Flying",$R480="Poison",$R480="Psychic"),1,0)),IF(OR($S480="Dark",$S480="Ice",$S480="Normal",$S480="Rock",$S480="Steel"),0-1,IF(OR($S480="Bug",$S480="Fairy",$S480="Flying",$S480="Poison",$S480="Psychic"),1,0))))</f>
        <v>1</v>
      </c>
      <c r="AI480" s="507" t="n">
        <f aca="false">SUM(IF(OR($R480="Bug",$R480="Grass",$R480="Ice",$R480="Steel"),0-1,IF(OR($R480="Dragon",$R480="Fire",$R480="Rock",$R480="Water"),1,0)),IF(OR($S480="Bug",$S480="Grass",$S480="Ice",$S480="Steel"),0-1,IF(OR($S480="Dragon",$S480="Fire",$S480="Rock",$S480="Water"),1,0)))</f>
        <v>0</v>
      </c>
      <c r="AJ480" s="507" t="n">
        <f aca="false">SUM(IF(OR($R480="Bug",$R480="Grass",$R480="Fighting"),0-1,IF(OR($R480="Electric",$R480="Rock",$R480="Steel"),1,0)),IF(OR($S480="Bug",$S480="Grass",$S480="Fighting"),0-1,IF(OR($S480="Electric",$S480="Rock",$S480="Steel"),1,0)))</f>
        <v>-1</v>
      </c>
      <c r="AK480" s="507" t="n">
        <f aca="false">IF(OR($R480="Normal",$S480="Normal"),4,SUM(IF(OR($R480="Ghost",$R480="Psychic"),0-1,IF($R480="Dark",1,0)),IF(OR($S480="Ghost",$S480="Psychic"),0-1,IF($S480="Dark",1,0))))</f>
        <v>0</v>
      </c>
      <c r="AL480" s="507" t="n">
        <f aca="false">SUM(IF(OR($R480="Ground",$R480="Rock",$R480="Water"),0-1,IF(OR($R480="Bug",$R480="Flying",$R480="Fire",$R480="Dragon",$R480="Poison",$R480="Steel",$R480="Grass"),1,0)),IF(OR($S480="Ground",$S480="Rock",$S480="Water"),0-1,IF(OR($S480="Bug",$S480="Flying",$S480="Fire",$S480="Dragon",$S480="Poison",$S480="Steel",$S480="Grass"),1,0)))</f>
        <v>1</v>
      </c>
      <c r="AM480" s="507" t="n">
        <f aca="false">IF(OR($R480="Flying",$S480="Flying"),4,SUM(IF(OR($R480="Electric",$R480="Fire",$R480="Rock",$R480="Steel",$R480="Poison"),0-1,IF(OR($R480="Bug",$R480="Grass"),1,0)),IF(OR($S480="Electric",$S480="Fire",$S480="Rock",$S480="Steel",$S480="Poison"),0-1,IF(OR($S480="Bug",$S480="Grass"),1,0))))</f>
        <v>-1</v>
      </c>
      <c r="AN480" s="507" t="n">
        <f aca="false">SUM(IF(OR($R480="Flying",$R480="Dragon",$R480="Grass",$R480="Ground"),0-1,IF(OR($R480="Steel",$R480="Ice",$R480="Fire",$R480="Water"),1,0)),IF(OR($S480="Flying",$S480="Dragon",$S480="Grass",$S480="Ground"),0-1,IF(OR($S480="Steel",$S480="Ice",$S480="Fire",$S480="Water"),1,0)))</f>
        <v>0</v>
      </c>
      <c r="AO480" s="507" t="n">
        <f aca="false">IF(OR($R480="Ghost",$S480="Ghost"),4,SUM(IF(OR($R480="Steel",$R480="Rock"),1,0),IF(OR($S480="Steel",$S480="Rock"),1,0)))</f>
        <v>0</v>
      </c>
      <c r="AP480" s="507" t="n">
        <f aca="false">IF(OR($R480="Steel",$S480="Steel"),4,SUM(IF(OR($R480="Fairy",$R480="Grass"),0-1,IF(OR($R480="Ghost",$R480="Rock",$R480="Ground",$R480="Poison"),1,0)),IF(OR($S480="Fairy",$S480="Grass"),0-1,IF(OR($S480="Ghost",$S480="Rock",$S480="Ground",$S480="Poison"),1,0))))</f>
        <v>1</v>
      </c>
      <c r="AQ480" s="507" t="n">
        <f aca="false">IF(OR($R480="Dark",$S480="Dark"),4,SUM(IF(OR($R480="Fighting",$R480="Poison"),0-1,IF(OR($R480="Psychic",$R480="Steel"),1,0)),IF(OR($S480="Fighting",$S480="Poison"),0-1,IF(OR($S480="Psychic",$S480="Steel"),1,0))))</f>
        <v>-2</v>
      </c>
      <c r="AR480" s="507" t="n">
        <f aca="false">SUM(IF(OR($R480="Bug",$R480="Fire",$R480="Flying",$R480="Ice"),0-1,IF(OR($R480="Steel",$R480="Fighting",$R480="Ground"),1,0)),IF(OR($S480="Bug",$S480="Fire",$S480="Flying",$S480="Ice"),0-1,IF(OR($S480="Steel",$S480="Fighting",$S480="Ground"),1,0)))</f>
        <v>1</v>
      </c>
      <c r="AS480" s="507" t="n">
        <f aca="false">SUM(IF(OR($R480="Fairy",$R480="Ice",$R480="Rock"),0-1,IF(OR($R480="Steel",$R480="Electric",$R480="Fire",$R480="Water"),1,0)),IF(OR($S480="Fairy",$S480="Ice",$S480="Rock"),0-1,IF(OR($S480="Steel",$S480="Electric",$S480="Fire",$S480="Water"),1,0)))</f>
        <v>0</v>
      </c>
      <c r="AT480" s="508" t="n">
        <f aca="false">SUM(IF(OR($R480="Fire",$R480="Ground",$R480="Rock"),0-1,IF(OR($R480="Dragon",$R480="Grass",$R480="Water"),1,0)),IF(OR($S480="Fire",$S480="Ground",$S480="Rock"),0-1,IF(OR($S480="Dragon",$S480="Grass",$S480="Water"),1,0)))</f>
        <v>0</v>
      </c>
      <c r="AU480" s="518"/>
    </row>
    <row r="481" customFormat="false" ht="15.75" hidden="false" customHeight="false" outlineLevel="0" collapsed="false">
      <c r="A481" s="510" t="str">
        <f aca="false" t="array" ref="A481:A481">IF(ISNA(INDEX(Source!$U$7:$U$95,MATCH(B481,Source!$V$7:$V$95,0))),"FREE",INDEX(Source!$U$7:$U$95,MATCH(B481,Source!$V$7:$V$95,0)))</f>
        <v>FTT</v>
      </c>
      <c r="B481" s="511" t="s">
        <v>78</v>
      </c>
      <c r="C481" s="511"/>
      <c r="D481" s="511"/>
      <c r="E481" s="499" t="n">
        <f aca="false">IF(SUM($W481:$X481)&gt;0,SUM($W481:$X481),IF($H481&gt;0,0,IF($H481&gt;0,0,"-")))</f>
        <v>0</v>
      </c>
      <c r="F481" s="499" t="n">
        <f aca="false">IF(SUM($Y481:$Z481)&gt;0,SUM($Y481:$Z481),IF($H481&gt;0,0,"-"))</f>
        <v>0</v>
      </c>
      <c r="G481" s="499" t="e">
        <f aca="false">IF($H481&gt;0,minus(E481,F481),"-")</f>
        <v>#NAME?</v>
      </c>
      <c r="H481" s="500" t="n">
        <f aca="false">SUM(COUNTIF(MatchSource!$A:$A,$B481),COUNTIF(MatchSource!$H:$H,$B481))</f>
        <v>6</v>
      </c>
      <c r="I481" s="501" t="n">
        <f aca="false">SUM($AA481:$AB481)</f>
        <v>0</v>
      </c>
      <c r="J481" s="501" t="s">
        <v>701</v>
      </c>
      <c r="K481" s="512" t="n">
        <f aca="false" t="array" ref="K481:K481">IF(ISNA(INDEX(DraftRosters!$AA$3:$AA$199,MATCH($B481,DraftRosters!$AB$3:$AB$199,0))),"FA",IF(INDEX(DraftRosters!$AA$3:$AA$199,MATCH($B481,DraftRosters!$AB$3:$AB$199,0))="Franchise","Franch",INDEX(DraftRosters!$AA$3:$AA$199,MATCH($B481,DraftRosters!$AB$3:$AB$199,0))))</f>
        <v>85</v>
      </c>
      <c r="L481" s="499" t="n">
        <v>85</v>
      </c>
      <c r="M481" s="499" t="n">
        <v>110</v>
      </c>
      <c r="N481" s="499" t="n">
        <v>76</v>
      </c>
      <c r="O481" s="499" t="n">
        <v>65</v>
      </c>
      <c r="P481" s="499" t="n">
        <v>82</v>
      </c>
      <c r="Q481" s="501" t="n">
        <v>56</v>
      </c>
      <c r="R481" s="499" t="s">
        <v>802</v>
      </c>
      <c r="S481" s="501" t="s">
        <v>803</v>
      </c>
      <c r="T481" s="505" t="s">
        <v>871</v>
      </c>
      <c r="U481" s="505" t="s">
        <v>837</v>
      </c>
      <c r="V481" s="506" t="s">
        <v>968</v>
      </c>
      <c r="W481" s="500" t="str">
        <f aca="false">IFERROR(__xludf.dummyfunction("if(isna(SUM(FILTER(MatchSource!$A:$D,MatchSource!$A:$A=$B481))),0,SUM(FILTER(MatchSource!$A:$D,MatchSource!$A:$A=$B481)))"),"0")</f>
        <v>0</v>
      </c>
      <c r="X481" s="499" t="str">
        <f aca="false">IFERROR(__xludf.dummyfunction("if(isna(SUM(FILTER(MatchSource!$H:$K,MatchSource!$H:$H=$B481))),0,SUM(FILTER(MatchSource!$H:$K,MatchSource!$H:$H=$B481)))"),"0")</f>
        <v>0</v>
      </c>
      <c r="Y481" s="499" t="str">
        <f aca="false">IFERROR(__xludf.dummyfunction("if(isna(ABS(MINUS(SUM(FILTER(MatchSource!$A:$E,MatchSource!$A:$A=$B481)),SUM($W481)))),0,ABS(MINUS(SUM(FILTER(MatchSource!$A:$E,MatchSource!$A:$A=$B481)),SUM($W481))))"),"2")</f>
        <v>2</v>
      </c>
      <c r="Z481" s="499" t="str">
        <f aca="false">IFERROR(__xludf.dummyfunction("if(isna(ABS(MINUS(SUM(FILTER(MatchSource!$H:$L,MatchSource!$H:$H=$B481)),SUM($X481)))),0,ABS(MINUS(SUM(FILTER(MatchSource!$H:$L,MatchSource!$H:$H=$B481)),SUM($X481))))"),"3")</f>
        <v>3</v>
      </c>
      <c r="AA481" s="499" t="str">
        <f aca="false">IFERROR(__xludf.dummyfunction("if(isna(ABS(MINUS(SUM(FILTER(MatchSource!$A:$F,MatchSource!$A:$A=$B481)),SUM($W481,$Y481)))),0,ABS(MINUS(SUM(FILTER(MatchSource!$A:$F,MatchSource!$A:$A=$B481)),SUM($W481, $Y481,))))"),"0")</f>
        <v>0</v>
      </c>
      <c r="AB481" s="501" t="str">
        <f aca="false">IFERROR(__xludf.dummyfunction("if(isna(ABS(MINUS(SUM(FILTER(MatchSource!$H:$M,MatchSource!$H:$H=$B481)),SUM($X481,$Z481)))),0,ABS(MINUS(SUM(FILTER(MatchSource!$H:$M,MatchSource!$H:$H=$B481)),SUM($X481,$Z481))))"),"1")</f>
        <v>1</v>
      </c>
      <c r="AC481" s="507" t="n">
        <f aca="false">SUM(IF(OR($R481="Grass",$R481="Psychic",$R481="Dark"),0-1,IF(OR($R481="Fighting",$R481="Flying",$R481="Fire",$R481="Ghost",$R481="Poison",$R481="Steel",$R481="Fairy"),1,0)),IF(OR($S481="Grass",$S481="Psychic",$S481="Dark"),0-1,IF(OR($S481="Fighting",$S481="Flying",$S481="Fire",$S481="Ghost",$S481="Poison",$S481="Steel",$S481="Fairy"),1,0)))</f>
        <v>0</v>
      </c>
      <c r="AD481" s="507" t="n">
        <f aca="false">SUM(IF(OR($R481="Ghost",$R481="Psychic"),0-1,IF(OR($R481="Fighting",$R481="Dark",$R481="Fairy"),1,0)),IF(OR($S481="Ghost",$S481="Psychic"),0-1,IF(OR($S481="Fighting",$S481="Dark",$S481="Fairy"),1,0)))</f>
        <v>-1</v>
      </c>
      <c r="AE481" s="507" t="n">
        <f aca="false">IF(OR($R481="Fairy",$S481="Fairy"),4,SUM(IF($R481="Dragon",0-1,IF($R481="Steel",1,0)),IF($S481="Dragon",0-1,IF($S481="Steel",1,0))))</f>
        <v>0</v>
      </c>
      <c r="AF481" s="507" t="n">
        <f aca="false">IF(OR($R481="Ground",$S481="Ground"),4,SUM(IF(OR($R481="Flying",$R481="Water"),0-1,IF(OR($R481="Dragon",$R481="Electric",$R481="Grass"),1,0)),IF(OR($S481="Flying",$S481="Water"),0-1,IF(OR($S481="Dragon",$S481="Electric",$S481="Grass"),1,0))))</f>
        <v>1</v>
      </c>
      <c r="AG481" s="507" t="n">
        <f aca="false">SUM(IF(OR($R481="Dark",$R481="Dragon",$R481="Fighting"),0-1,IF(OR($R481="Steel",$R481="Poison",$R481="Fire"),1,0)),IF(OR($S481="Dark",$S481="Dragon",$S481="Fighting"),0-1,IF(OR($S481="Steel",$S481="Poison",$S481="Fire"),1,0)))</f>
        <v>0</v>
      </c>
      <c r="AH481" s="507" t="n">
        <f aca="false">IF(OR($R481="Ghost",$S481="Ghost"),4,SUM(IF(OR($R481="Dark",$R481="Ice",$R481="Normal",$R481="Rock",$R481="Steel"),0-1,IF(OR($R481="Bug",$R481="Fairy",$R481="Flying",$R481="Poison",$R481="Psychic"),1,0)),IF(OR($S481="Dark",$S481="Ice",$S481="Normal",$S481="Rock",$S481="Steel"),0-1,IF(OR($S481="Bug",$S481="Fairy",$S481="Flying",$S481="Poison",$S481="Psychic"),1,0))))</f>
        <v>4</v>
      </c>
      <c r="AI481" s="507" t="n">
        <f aca="false">SUM(IF(OR($R481="Bug",$R481="Grass",$R481="Ice",$R481="Steel"),0-1,IF(OR($R481="Dragon",$R481="Fire",$R481="Rock",$R481="Water"),1,0)),IF(OR($S481="Bug",$S481="Grass",$S481="Ice",$S481="Steel"),0-1,IF(OR($S481="Dragon",$S481="Fire",$S481="Rock",$S481="Water"),1,0)))</f>
        <v>-1</v>
      </c>
      <c r="AJ481" s="507" t="n">
        <f aca="false">SUM(IF(OR($R481="Bug",$R481="Grass",$R481="Fighting"),0-1,IF(OR($R481="Electric",$R481="Rock",$R481="Steel"),1,0)),IF(OR($S481="Bug",$S481="Grass",$S481="Fighting"),0-1,IF(OR($S481="Electric",$S481="Rock",$S481="Steel"),1,0)))</f>
        <v>-1</v>
      </c>
      <c r="AK481" s="507" t="n">
        <f aca="false">IF(OR($R481="Normal",$S481="Normal"),4,SUM(IF(OR($R481="Ghost",$R481="Psychic"),0-1,IF($R481="Dark",1,0)),IF(OR($S481="Ghost",$S481="Psychic"),0-1,IF($S481="Dark",1,0))))</f>
        <v>-1</v>
      </c>
      <c r="AL481" s="507" t="n">
        <f aca="false">SUM(IF(OR($R481="Ground",$R481="Rock",$R481="Water"),0-1,IF(OR($R481="Bug",$R481="Flying",$R481="Fire",$R481="Dragon",$R481="Poison",$R481="Steel",$R481="Grass"),1,0)),IF(OR($S481="Ground",$S481="Rock",$S481="Water"),0-1,IF(OR($S481="Bug",$S481="Flying",$S481="Fire",$S481="Dragon",$S481="Poison",$S481="Steel",$S481="Grass"),1,0)))</f>
        <v>1</v>
      </c>
      <c r="AM481" s="507" t="n">
        <f aca="false">IF(OR($R481="Flying",$S481="Flying"),4,SUM(IF(OR($R481="Electric",$R481="Fire",$R481="Rock",$R481="Steel",$R481="Poison"),0-1,IF(OR($R481="Bug",$R481="Grass"),1,0)),IF(OR($S481="Electric",$S481="Fire",$S481="Rock",$S481="Steel",$S481="Poison"),0-1,IF(OR($S481="Bug",$S481="Grass"),1,0))))</f>
        <v>1</v>
      </c>
      <c r="AN481" s="507" t="n">
        <f aca="false">SUM(IF(OR($R481="Flying",$R481="Dragon",$R481="Grass",$R481="Ground"),0-1,IF(OR($R481="Steel",$R481="Ice",$R481="Fire",$R481="Water"),1,0)),IF(OR($S481="Flying",$S481="Dragon",$S481="Grass",$S481="Ground"),0-1,IF(OR($S481="Steel",$S481="Ice",$S481="Fire",$S481="Water"),1,0)))</f>
        <v>-1</v>
      </c>
      <c r="AO481" s="507" t="n">
        <f aca="false">IF(OR($R481="Ghost",$S481="Ghost"),4,SUM(IF(OR($R481="Steel",$R481="Rock"),1,0),IF(OR($S481="Steel",$S481="Rock"),1,0)))</f>
        <v>4</v>
      </c>
      <c r="AP481" s="507" t="n">
        <f aca="false">IF(OR($R481="Steel",$S481="Steel"),4,SUM(IF(OR($R481="Fairy",$R481="Grass"),0-1,IF(OR($R481="Ghost",$R481="Rock",$R481="Ground",$R481="Poison"),1,0)),IF(OR($S481="Fairy",$S481="Grass"),0-1,IF(OR($S481="Ghost",$S481="Rock",$S481="Ground",$S481="Poison"),1,0))))</f>
        <v>0</v>
      </c>
      <c r="AQ481" s="507" t="n">
        <f aca="false">IF(OR($R481="Dark",$S481="Dark"),4,SUM(IF(OR($R481="Fighting",$R481="Poison"),0-1,IF(OR($R481="Psychic",$R481="Steel"),1,0)),IF(OR($S481="Fighting",$S481="Poison"),0-1,IF(OR($S481="Psychic",$S481="Steel"),1,0))))</f>
        <v>0</v>
      </c>
      <c r="AR481" s="507" t="n">
        <f aca="false">SUM(IF(OR($R481="Bug",$R481="Fire",$R481="Flying",$R481="Ice"),0-1,IF(OR($R481="Steel",$R481="Fighting",$R481="Ground"),1,0)),IF(OR($S481="Bug",$S481="Fire",$S481="Flying",$S481="Ice"),0-1,IF(OR($S481="Steel",$S481="Fighting",$S481="Ground"),1,0)))</f>
        <v>0</v>
      </c>
      <c r="AS481" s="507" t="n">
        <f aca="false">SUM(IF(OR($R481="Fairy",$R481="Ice",$R481="Rock"),0-1,IF(OR($R481="Steel",$R481="Electric",$R481="Fire",$R481="Water"),1,0)),IF(OR($S481="Fairy",$S481="Ice",$S481="Rock"),0-1,IF(OR($S481="Steel",$S481="Electric",$S481="Fire",$S481="Water"),1,0)))</f>
        <v>0</v>
      </c>
      <c r="AT481" s="508" t="n">
        <f aca="false">SUM(IF(OR($R481="Fire",$R481="Ground",$R481="Rock"),0-1,IF(OR($R481="Dragon",$R481="Grass",$R481="Water"),1,0)),IF(OR($S481="Fire",$S481="Ground",$S481="Rock"),0-1,IF(OR($S481="Dragon",$S481="Grass",$S481="Water"),1,0)))</f>
        <v>1</v>
      </c>
      <c r="AU481" s="518"/>
    </row>
    <row r="482" customFormat="false" ht="15.75" hidden="false" customHeight="false" outlineLevel="0" collapsed="false">
      <c r="A482" s="510" t="str">
        <f aca="false" t="array" ref="A482:A482">IF(ISNA(INDEX(Source!$U$7:$U$95,MATCH(B482,Source!$V$7:$V$95,0))),"FREE",INDEX(Source!$U$7:$U$95,MATCH(B482,Source!$V$7:$V$95,0)))</f>
        <v>FREE</v>
      </c>
      <c r="B482" s="511" t="s">
        <v>646</v>
      </c>
      <c r="C482" s="511"/>
      <c r="D482" s="511"/>
      <c r="E482" s="499" t="str">
        <f aca="false">IF(SUM($W482:$X482)&gt;0,SUM($W482:$X482),IF($H482&gt;0,0,IF($H482&gt;0,0,"-")))</f>
        <v>-</v>
      </c>
      <c r="F482" s="499" t="str">
        <f aca="false">IF(SUM($Y482:$Z482)&gt;0,SUM($Y482:$Z482),IF($H482&gt;0,0,"-"))</f>
        <v>-</v>
      </c>
      <c r="G482" s="499" t="str">
        <f aca="false">IF($H482&gt;0,minus(E482,F482),"-")</f>
        <v>-</v>
      </c>
      <c r="H482" s="500" t="n">
        <f aca="false">SUM(COUNTIF(MatchSource!$A:$A,$B482),COUNTIF(MatchSource!$H:$H,$B482))</f>
        <v>0</v>
      </c>
      <c r="I482" s="501" t="n">
        <f aca="false">SUM($AA482:$AB482)</f>
        <v>0</v>
      </c>
      <c r="J482" s="501" t="s">
        <v>702</v>
      </c>
      <c r="K482" s="512" t="str">
        <f aca="false" t="array" ref="K482:K482">IF(ISNA(INDEX(DraftRosters!$AA$3:$AA$199,MATCH($B482,DraftRosters!$AB$3:$AB$199,0))),"FA",IF(INDEX(DraftRosters!$AA$3:$AA$199,MATCH($B482,DraftRosters!$AB$3:$AB$199,0))="Franchise","Franch",INDEX(DraftRosters!$AA$3:$AA$199,MATCH($B482,DraftRosters!$AB$3:$AB$199,0))))</f>
        <v>FA</v>
      </c>
      <c r="L482" s="499" t="n">
        <v>99</v>
      </c>
      <c r="M482" s="499" t="n">
        <v>68</v>
      </c>
      <c r="N482" s="499" t="n">
        <v>83</v>
      </c>
      <c r="O482" s="499" t="n">
        <v>72</v>
      </c>
      <c r="P482" s="499" t="n">
        <v>87</v>
      </c>
      <c r="Q482" s="501" t="n">
        <v>51</v>
      </c>
      <c r="R482" s="499" t="s">
        <v>801</v>
      </c>
      <c r="S482" s="501" t="s">
        <v>803</v>
      </c>
      <c r="T482" s="520" t="s">
        <v>880</v>
      </c>
      <c r="U482" s="513" t="s">
        <v>915</v>
      </c>
      <c r="V482" s="514" t="s">
        <v>968</v>
      </c>
      <c r="W482" s="500" t="str">
        <f aca="false">IFERROR(__xludf.dummyfunction("if(isna(SUM(FILTER(MatchSource!$A:$D,MatchSource!$A:$A=$B482))),0,SUM(FILTER(MatchSource!$A:$D,MatchSource!$A:$A=$B482)))"),"0")</f>
        <v>0</v>
      </c>
      <c r="X482" s="499" t="str">
        <f aca="false">IFERROR(__xludf.dummyfunction("if(isna(SUM(FILTER(MatchSource!$H:$K,MatchSource!$H:$H=$B482))),0,SUM(FILTER(MatchSource!$H:$K,MatchSource!$H:$H=$B482)))"),"0")</f>
        <v>0</v>
      </c>
      <c r="Y482" s="499" t="str">
        <f aca="false">IFERROR(__xludf.dummyfunction("if(isna(ABS(MINUS(SUM(FILTER(MatchSource!$A:$E,MatchSource!$A:$A=$B482)),SUM($W482)))),0,ABS(MINUS(SUM(FILTER(MatchSource!$A:$E,MatchSource!$A:$A=$B482)),SUM($W482))))"),"0")</f>
        <v>0</v>
      </c>
      <c r="Z482" s="499" t="str">
        <f aca="false">IFERROR(__xludf.dummyfunction("if(isna(ABS(MINUS(SUM(FILTER(MatchSource!$H:$L,MatchSource!$H:$H=$B482)),SUM($X482)))),0,ABS(MINUS(SUM(FILTER(MatchSource!$H:$L,MatchSource!$H:$H=$B482)),SUM($X482))))"),"0")</f>
        <v>0</v>
      </c>
      <c r="AA482" s="499" t="str">
        <f aca="false">IFERROR(__xludf.dummyfunction("if(isna(ABS(MINUS(SUM(FILTER(MatchSource!$A:$F,MatchSource!$A:$A=$B482)),SUM($W482,$Y482)))),0,ABS(MINUS(SUM(FILTER(MatchSource!$A:$F,MatchSource!$A:$A=$B482)),SUM($W482, $Y482,))))"),"0")</f>
        <v>0</v>
      </c>
      <c r="AB482" s="501" t="str">
        <f aca="false">IFERROR(__xludf.dummyfunction("if(isna(ABS(MINUS(SUM(FILTER(MatchSource!$H:$M,MatchSource!$H:$H=$B482)),SUM($X482,$Z482)))),0,ABS(MINUS(SUM(FILTER(MatchSource!$H:$M,MatchSource!$H:$H=$B482)),SUM($X482,$Z482))))"),"0")</f>
        <v>0</v>
      </c>
      <c r="AC482" s="507" t="n">
        <f aca="false">SUM(IF(OR($R482="Grass",$R482="Psychic",$R482="Dark"),0-1,IF(OR($R482="Fighting",$R482="Flying",$R482="Fire",$R482="Ghost",$R482="Poison",$R482="Steel",$R482="Fairy"),1,0)),IF(OR($S482="Grass",$S482="Psychic",$S482="Dark"),0-1,IF(OR($S482="Fighting",$S482="Flying",$S482="Fire",$S482="Ghost",$S482="Poison",$S482="Steel",$S482="Fairy"),1,0)))</f>
        <v>0</v>
      </c>
      <c r="AD482" s="507" t="n">
        <f aca="false">SUM(IF(OR($R482="Ghost",$R482="Psychic"),0-1,IF(OR($R482="Fighting",$R482="Dark",$R482="Fairy"),1,0)),IF(OR($S482="Ghost",$S482="Psychic"),0-1,IF(OR($S482="Fighting",$S482="Dark",$S482="Fairy"),1,0)))</f>
        <v>0</v>
      </c>
      <c r="AE482" s="507" t="n">
        <f aca="false">IF(OR($R482="Fairy",$S482="Fairy"),4,SUM(IF($R482="Dragon",0-1,IF($R482="Steel",1,0)),IF($S482="Dragon",0-1,IF($S482="Steel",1,0))))</f>
        <v>0</v>
      </c>
      <c r="AF482" s="507" t="n">
        <f aca="false">IF(OR($R482="Ground",$S482="Ground"),4,SUM(IF(OR($R482="Flying",$R482="Water"),0-1,IF(OR($R482="Dragon",$R482="Electric",$R482="Grass"),1,0)),IF(OR($S482="Flying",$S482="Water"),0-1,IF(OR($S482="Dragon",$S482="Electric",$S482="Grass"),1,0))))</f>
        <v>0</v>
      </c>
      <c r="AG482" s="507" t="n">
        <f aca="false">SUM(IF(OR($R482="Dark",$R482="Dragon",$R482="Fighting"),0-1,IF(OR($R482="Steel",$R482="Poison",$R482="Fire"),1,0)),IF(OR($S482="Dark",$S482="Dragon",$S482="Fighting"),0-1,IF(OR($S482="Steel",$S482="Poison",$S482="Fire"),1,0)))</f>
        <v>0</v>
      </c>
      <c r="AH482" s="507" t="n">
        <f aca="false">IF(OR($R482="Ghost",$S482="Ghost"),4,SUM(IF(OR($R482="Dark",$R482="Ice",$R482="Normal",$R482="Rock",$R482="Steel"),0-1,IF(OR($R482="Bug",$R482="Fairy",$R482="Flying",$R482="Poison",$R482="Psychic"),1,0)),IF(OR($S482="Dark",$S482="Ice",$S482="Normal",$S482="Rock",$S482="Steel"),0-1,IF(OR($S482="Bug",$S482="Fairy",$S482="Flying",$S482="Poison",$S482="Psychic"),1,0))))</f>
        <v>1</v>
      </c>
      <c r="AI482" s="507" t="n">
        <f aca="false">SUM(IF(OR($R482="Bug",$R482="Grass",$R482="Ice",$R482="Steel"),0-1,IF(OR($R482="Dragon",$R482="Fire",$R482="Rock",$R482="Water"),1,0)),IF(OR($S482="Bug",$S482="Grass",$S482="Ice",$S482="Steel"),0-1,IF(OR($S482="Dragon",$S482="Fire",$S482="Rock",$S482="Water"),1,0)))</f>
        <v>-1</v>
      </c>
      <c r="AJ482" s="507" t="n">
        <f aca="false">SUM(IF(OR($R482="Bug",$R482="Grass",$R482="Fighting"),0-1,IF(OR($R482="Electric",$R482="Rock",$R482="Steel"),1,0)),IF(OR($S482="Bug",$S482="Grass",$S482="Fighting"),0-1,IF(OR($S482="Electric",$S482="Rock",$S482="Steel"),1,0)))</f>
        <v>-1</v>
      </c>
      <c r="AK482" s="507" t="n">
        <f aca="false">IF(OR($R482="Normal",$S482="Normal"),4,SUM(IF(OR($R482="Ghost",$R482="Psychic"),0-1,IF($R482="Dark",1,0)),IF(OR($S482="Ghost",$S482="Psychic"),0-1,IF($S482="Dark",1,0))))</f>
        <v>0</v>
      </c>
      <c r="AL482" s="507" t="n">
        <f aca="false">SUM(IF(OR($R482="Ground",$R482="Rock",$R482="Water"),0-1,IF(OR($R482="Bug",$R482="Flying",$R482="Fire",$R482="Dragon",$R482="Poison",$R482="Steel",$R482="Grass"),1,0)),IF(OR($S482="Ground",$S482="Rock",$S482="Water"),0-1,IF(OR($S482="Bug",$S482="Flying",$S482="Fire",$S482="Dragon",$S482="Poison",$S482="Steel",$S482="Grass"),1,0)))</f>
        <v>2</v>
      </c>
      <c r="AM482" s="507" t="n">
        <f aca="false">IF(OR($R482="Flying",$S482="Flying"),4,SUM(IF(OR($R482="Electric",$R482="Fire",$R482="Rock",$R482="Steel",$R482="Poison"),0-1,IF(OR($R482="Bug",$R482="Grass"),1,0)),IF(OR($S482="Electric",$S482="Fire",$S482="Rock",$S482="Steel",$S482="Poison"),0-1,IF(OR($S482="Bug",$S482="Grass"),1,0))))</f>
        <v>4</v>
      </c>
      <c r="AN482" s="507" t="n">
        <f aca="false">SUM(IF(OR($R482="Flying",$R482="Dragon",$R482="Grass",$R482="Ground"),0-1,IF(OR($R482="Steel",$R482="Ice",$R482="Fire",$R482="Water"),1,0)),IF(OR($S482="Flying",$S482="Dragon",$S482="Grass",$S482="Ground"),0-1,IF(OR($S482="Steel",$S482="Ice",$S482="Fire",$S482="Water"),1,0)))</f>
        <v>-2</v>
      </c>
      <c r="AO482" s="507" t="n">
        <f aca="false">IF(OR($R482="Ghost",$S482="Ghost"),4,SUM(IF(OR($R482="Steel",$R482="Rock"),1,0),IF(OR($S482="Steel",$S482="Rock"),1,0)))</f>
        <v>0</v>
      </c>
      <c r="AP482" s="507" t="n">
        <f aca="false">IF(OR($R482="Steel",$S482="Steel"),4,SUM(IF(OR($R482="Fairy",$R482="Grass"),0-1,IF(OR($R482="Ghost",$R482="Rock",$R482="Ground",$R482="Poison"),1,0)),IF(OR($S482="Fairy",$S482="Grass"),0-1,IF(OR($S482="Ghost",$S482="Rock",$S482="Ground",$S482="Poison"),1,0))))</f>
        <v>-1</v>
      </c>
      <c r="AQ482" s="507" t="n">
        <f aca="false">IF(OR($R482="Dark",$S482="Dark"),4,SUM(IF(OR($R482="Fighting",$R482="Poison"),0-1,IF(OR($R482="Psychic",$R482="Steel"),1,0)),IF(OR($S482="Fighting",$S482="Poison"),0-1,IF(OR($S482="Psychic",$S482="Steel"),1,0))))</f>
        <v>0</v>
      </c>
      <c r="AR482" s="507" t="n">
        <f aca="false">SUM(IF(OR($R482="Bug",$R482="Fire",$R482="Flying",$R482="Ice"),0-1,IF(OR($R482="Steel",$R482="Fighting",$R482="Ground"),1,0)),IF(OR($S482="Bug",$S482="Fire",$S482="Flying",$S482="Ice"),0-1,IF(OR($S482="Steel",$S482="Fighting",$S482="Ground"),1,0)))</f>
        <v>-1</v>
      </c>
      <c r="AS482" s="507" t="n">
        <f aca="false">SUM(IF(OR($R482="Fairy",$R482="Ice",$R482="Rock"),0-1,IF(OR($R482="Steel",$R482="Electric",$R482="Fire",$R482="Water"),1,0)),IF(OR($S482="Fairy",$S482="Ice",$S482="Rock"),0-1,IF(OR($S482="Steel",$S482="Electric",$S482="Fire",$S482="Water"),1,0)))</f>
        <v>0</v>
      </c>
      <c r="AT482" s="508" t="n">
        <f aca="false">SUM(IF(OR($R482="Fire",$R482="Ground",$R482="Rock"),0-1,IF(OR($R482="Dragon",$R482="Grass",$R482="Water"),1,0)),IF(OR($S482="Fire",$S482="Ground",$S482="Rock"),0-1,IF(OR($S482="Dragon",$S482="Grass",$S482="Water"),1,0)))</f>
        <v>1</v>
      </c>
      <c r="AU482" s="518"/>
    </row>
    <row r="483" customFormat="false" ht="15.75" hidden="false" customHeight="false" outlineLevel="0" collapsed="false">
      <c r="A483" s="510" t="str">
        <f aca="false" t="array" ref="A483:A483">IF(ISNA(INDEX(Source!$U$7:$U$95,MATCH(B483,Source!$V$7:$V$95,0))),"FREE",INDEX(Source!$U$7:$U$95,MATCH(B483,Source!$V$7:$V$95,0)))</f>
        <v>FTT</v>
      </c>
      <c r="B483" s="511" t="s">
        <v>108</v>
      </c>
      <c r="C483" s="511"/>
      <c r="D483" s="511"/>
      <c r="E483" s="499" t="n">
        <f aca="false">IF(SUM($W483:$X483)&gt;0,SUM($W483:$X483),IF($H483&gt;0,0,IF($H483&gt;0,0,"-")))</f>
        <v>0</v>
      </c>
      <c r="F483" s="499" t="n">
        <f aca="false">IF(SUM($Y483:$Z483)&gt;0,SUM($Y483:$Z483),IF($H483&gt;0,0,"-"))</f>
        <v>0</v>
      </c>
      <c r="G483" s="499" t="e">
        <f aca="false">IF($H483&gt;0,minus(E483,F483),"-")</f>
        <v>#NAME?</v>
      </c>
      <c r="H483" s="500" t="n">
        <f aca="false">SUM(COUNTIF(MatchSource!$A:$A,$B483),COUNTIF(MatchSource!$H:$H,$B483))</f>
        <v>3</v>
      </c>
      <c r="I483" s="501" t="n">
        <f aca="false">SUM($AA483:$AB483)</f>
        <v>0</v>
      </c>
      <c r="J483" s="501" t="s">
        <v>700</v>
      </c>
      <c r="K483" s="512" t="n">
        <f aca="false" t="array" ref="K483:K483">IF(ISNA(INDEX(DraftRosters!$AA$3:$AA$199,MATCH($B483,DraftRosters!$AB$3:$AB$199,0))),"FA",IF(INDEX(DraftRosters!$AA$3:$AA$199,MATCH($B483,DraftRosters!$AB$3:$AB$199,0))="Franchise","Franch",INDEX(DraftRosters!$AA$3:$AA$199,MATCH($B483,DraftRosters!$AB$3:$AB$199,0))))</f>
        <v>84</v>
      </c>
      <c r="L483" s="507" t="n">
        <v>72</v>
      </c>
      <c r="M483" s="507" t="n">
        <v>120</v>
      </c>
      <c r="N483" s="507" t="n">
        <v>98</v>
      </c>
      <c r="O483" s="507" t="n">
        <v>50</v>
      </c>
      <c r="P483" s="507" t="n">
        <v>98</v>
      </c>
      <c r="Q483" s="508" t="n">
        <v>72</v>
      </c>
      <c r="R483" s="499" t="s">
        <v>803</v>
      </c>
      <c r="S483" s="501"/>
      <c r="T483" s="520" t="s">
        <v>1077</v>
      </c>
      <c r="U483" s="513" t="s">
        <v>1004</v>
      </c>
      <c r="V483" s="514" t="s">
        <v>1061</v>
      </c>
      <c r="W483" s="500" t="str">
        <f aca="false">IFERROR(__xludf.dummyfunction("if(isna(SUM(FILTER(MatchSource!$A:$D,MatchSource!$A:$A=$B483))),0,SUM(FILTER(MatchSource!$A:$D,MatchSource!$A:$A=$B483)))"),"0")</f>
        <v>0</v>
      </c>
      <c r="X483" s="499" t="str">
        <f aca="false">IFERROR(__xludf.dummyfunction("if(isna(SUM(FILTER(MatchSource!$H:$K,MatchSource!$H:$H=$B483))),0,SUM(FILTER(MatchSource!$H:$K,MatchSource!$H:$H=$B483)))"),"0")</f>
        <v>0</v>
      </c>
      <c r="Y483" s="499" t="str">
        <f aca="false">IFERROR(__xludf.dummyfunction("if(isna(ABS(MINUS(SUM(FILTER(MatchSource!$A:$E,MatchSource!$A:$A=$B483)),SUM($W483)))),0,ABS(MINUS(SUM(FILTER(MatchSource!$A:$E,MatchSource!$A:$A=$B483)),SUM($W483))))"),"1")</f>
        <v>1</v>
      </c>
      <c r="Z483" s="499" t="str">
        <f aca="false">IFERROR(__xludf.dummyfunction("if(isna(ABS(MINUS(SUM(FILTER(MatchSource!$H:$L,MatchSource!$H:$H=$B483)),SUM($X483)))),0,ABS(MINUS(SUM(FILTER(MatchSource!$H:$L,MatchSource!$H:$H=$B483)),SUM($X483))))"),"2")</f>
        <v>2</v>
      </c>
      <c r="AA483" s="499" t="str">
        <f aca="false">IFERROR(__xludf.dummyfunction("if(isna(ABS(MINUS(SUM(FILTER(MatchSource!$A:$F,MatchSource!$A:$A=$B483)),SUM($W483,$Y483)))),0,ABS(MINUS(SUM(FILTER(MatchSource!$A:$F,MatchSource!$A:$A=$B483)),SUM($W483, $Y483,))))"),"0")</f>
        <v>0</v>
      </c>
      <c r="AB483" s="501" t="str">
        <f aca="false">IFERROR(__xludf.dummyfunction("if(isna(ABS(MINUS(SUM(FILTER(MatchSource!$H:$M,MatchSource!$H:$H=$B483)),SUM($X483,$Z483)))),0,ABS(MINUS(SUM(FILTER(MatchSource!$H:$M,MatchSource!$H:$H=$B483)),SUM($X483,$Z483))))"),"0")</f>
        <v>0</v>
      </c>
      <c r="AC483" s="507" t="n">
        <f aca="false">SUM(IF(OR($R483="Grass",$R483="Psychic",$R483="Dark"),0-1,IF(OR($R483="Fighting",$R483="Flying",$R483="Fire",$R483="Ghost",$R483="Poison",$R483="Steel",$R483="Fairy"),1,0)),IF(OR($S483="Grass",$S483="Psychic",$S483="Dark"),0-1,IF(OR($S483="Fighting",$S483="Flying",$S483="Fire",$S483="Ghost",$S483="Poison",$S483="Steel",$S483="Fairy"),1,0)))</f>
        <v>-1</v>
      </c>
      <c r="AD483" s="507" t="n">
        <f aca="false">SUM(IF(OR($R483="Ghost",$R483="Psychic"),0-1,IF(OR($R483="Fighting",$R483="Dark",$R483="Fairy"),1,0)),IF(OR($S483="Ghost",$S483="Psychic"),0-1,IF(OR($S483="Fighting",$S483="Dark",$S483="Fairy"),1,0)))</f>
        <v>0</v>
      </c>
      <c r="AE483" s="507" t="n">
        <f aca="false">IF(OR($R483="Fairy",$S483="Fairy"),4,SUM(IF($R483="Dragon",0-1,IF($R483="Steel",1,0)),IF($S483="Dragon",0-1,IF($S483="Steel",1,0))))</f>
        <v>0</v>
      </c>
      <c r="AF483" s="507" t="n">
        <f aca="false">IF(OR($R483="Ground",$S483="Ground"),4,SUM(IF(OR($R483="Flying",$R483="Water"),0-1,IF(OR($R483="Dragon",$R483="Electric",$R483="Grass"),1,0)),IF(OR($S483="Flying",$S483="Water"),0-1,IF(OR($S483="Dragon",$S483="Electric",$S483="Grass"),1,0))))</f>
        <v>1</v>
      </c>
      <c r="AG483" s="507" t="n">
        <f aca="false">SUM(IF(OR($R483="Dark",$R483="Dragon",$R483="Fighting"),0-1,IF(OR($R483="Steel",$R483="Poison",$R483="Fire"),1,0)),IF(OR($S483="Dark",$S483="Dragon",$S483="Fighting"),0-1,IF(OR($S483="Steel",$S483="Poison",$S483="Fire"),1,0)))</f>
        <v>0</v>
      </c>
      <c r="AH483" s="507" t="n">
        <f aca="false">IF(OR($R483="Ghost",$S483="Ghost"),4,SUM(IF(OR($R483="Dark",$R483="Ice",$R483="Normal",$R483="Rock",$R483="Steel"),0-1,IF(OR($R483="Bug",$R483="Fairy",$R483="Flying",$R483="Poison",$R483="Psychic"),1,0)),IF(OR($S483="Dark",$S483="Ice",$S483="Normal",$S483="Rock",$S483="Steel"),0-1,IF(OR($S483="Bug",$S483="Fairy",$S483="Flying",$S483="Poison",$S483="Psychic"),1,0))))</f>
        <v>0</v>
      </c>
      <c r="AI483" s="507" t="n">
        <f aca="false">SUM(IF(OR($R483="Bug",$R483="Grass",$R483="Ice",$R483="Steel"),0-1,IF(OR($R483="Dragon",$R483="Fire",$R483="Rock",$R483="Water"),1,0)),IF(OR($S483="Bug",$S483="Grass",$S483="Ice",$S483="Steel"),0-1,IF(OR($S483="Dragon",$S483="Fire",$S483="Rock",$S483="Water"),1,0)))</f>
        <v>-1</v>
      </c>
      <c r="AJ483" s="507" t="n">
        <f aca="false">SUM(IF(OR($R483="Bug",$R483="Grass",$R483="Fighting"),0-1,IF(OR($R483="Electric",$R483="Rock",$R483="Steel"),1,0)),IF(OR($S483="Bug",$S483="Grass",$S483="Fighting"),0-1,IF(OR($S483="Electric",$S483="Rock",$S483="Steel"),1,0)))</f>
        <v>-1</v>
      </c>
      <c r="AK483" s="507" t="n">
        <f aca="false">IF(OR($R483="Normal",$S483="Normal"),4,SUM(IF(OR($R483="Ghost",$R483="Psychic"),0-1,IF($R483="Dark",1,0)),IF(OR($S483="Ghost",$S483="Psychic"),0-1,IF($S483="Dark",1,0))))</f>
        <v>0</v>
      </c>
      <c r="AL483" s="507" t="n">
        <f aca="false">SUM(IF(OR($R483="Ground",$R483="Rock",$R483="Water"),0-1,IF(OR($R483="Bug",$R483="Flying",$R483="Fire",$R483="Dragon",$R483="Poison",$R483="Steel",$R483="Grass"),1,0)),IF(OR($S483="Ground",$S483="Rock",$S483="Water"),0-1,IF(OR($S483="Bug",$S483="Flying",$S483="Fire",$S483="Dragon",$S483="Poison",$S483="Steel",$S483="Grass"),1,0)))</f>
        <v>1</v>
      </c>
      <c r="AM483" s="507" t="n">
        <f aca="false">IF(OR($R483="Flying",$S483="Flying"),4,SUM(IF(OR($R483="Electric",$R483="Fire",$R483="Rock",$R483="Steel",$R483="Poison"),0-1,IF(OR($R483="Bug",$R483="Grass"),1,0)),IF(OR($S483="Electric",$S483="Fire",$S483="Rock",$S483="Steel",$S483="Poison"),0-1,IF(OR($S483="Bug",$S483="Grass"),1,0))))</f>
        <v>1</v>
      </c>
      <c r="AN483" s="507" t="n">
        <f aca="false">SUM(IF(OR($R483="Flying",$R483="Dragon",$R483="Grass",$R483="Ground"),0-1,IF(OR($R483="Steel",$R483="Ice",$R483="Fire",$R483="Water"),1,0)),IF(OR($S483="Flying",$S483="Dragon",$S483="Grass",$S483="Ground"),0-1,IF(OR($S483="Steel",$S483="Ice",$S483="Fire",$S483="Water"),1,0)))</f>
        <v>-1</v>
      </c>
      <c r="AO483" s="507" t="n">
        <f aca="false">IF(OR($R483="Ghost",$S483="Ghost"),4,SUM(IF(OR($R483="Steel",$R483="Rock"),1,0),IF(OR($S483="Steel",$S483="Rock"),1,0)))</f>
        <v>0</v>
      </c>
      <c r="AP483" s="507" t="n">
        <f aca="false">IF(OR($R483="Steel",$S483="Steel"),4,SUM(IF(OR($R483="Fairy",$R483="Grass"),0-1,IF(OR($R483="Ghost",$R483="Rock",$R483="Ground",$R483="Poison"),1,0)),IF(OR($S483="Fairy",$S483="Grass"),0-1,IF(OR($S483="Ghost",$S483="Rock",$S483="Ground",$S483="Poison"),1,0))))</f>
        <v>-1</v>
      </c>
      <c r="AQ483" s="507" t="n">
        <f aca="false">IF(OR($R483="Dark",$S483="Dark"),4,SUM(IF(OR($R483="Fighting",$R483="Poison"),0-1,IF(OR($R483="Psychic",$R483="Steel"),1,0)),IF(OR($S483="Fighting",$S483="Poison"),0-1,IF(OR($S483="Psychic",$S483="Steel"),1,0))))</f>
        <v>0</v>
      </c>
      <c r="AR483" s="507" t="n">
        <f aca="false">SUM(IF(OR($R483="Bug",$R483="Fire",$R483="Flying",$R483="Ice"),0-1,IF(OR($R483="Steel",$R483="Fighting",$R483="Ground"),1,0)),IF(OR($S483="Bug",$S483="Fire",$S483="Flying",$S483="Ice"),0-1,IF(OR($S483="Steel",$S483="Fighting",$S483="Ground"),1,0)))</f>
        <v>0</v>
      </c>
      <c r="AS483" s="507" t="n">
        <f aca="false">SUM(IF(OR($R483="Fairy",$R483="Ice",$R483="Rock"),0-1,IF(OR($R483="Steel",$R483="Electric",$R483="Fire",$R483="Water"),1,0)),IF(OR($S483="Fairy",$S483="Ice",$S483="Rock"),0-1,IF(OR($S483="Steel",$S483="Electric",$S483="Fire",$S483="Water"),1,0)))</f>
        <v>0</v>
      </c>
      <c r="AT483" s="508" t="n">
        <f aca="false">SUM(IF(OR($R483="Fire",$R483="Ground",$R483="Rock"),0-1,IF(OR($R483="Dragon",$R483="Grass",$R483="Water"),1,0)),IF(OR($S483="Fire",$S483="Ground",$S483="Rock"),0-1,IF(OR($S483="Dragon",$S483="Grass",$S483="Water"),1,0)))</f>
        <v>1</v>
      </c>
      <c r="AU483" s="518"/>
    </row>
    <row r="484" customFormat="false" ht="15.75" hidden="false" customHeight="false" outlineLevel="0" collapsed="false">
      <c r="A484" s="510" t="str">
        <f aca="false" t="array" ref="A484:A484">IF(ISNA(INDEX(Source!$U$7:$U$95,MATCH(B484,Source!$V$7:$V$95,0))),"FREE",INDEX(Source!$U$7:$U$95,MATCH(B484,Source!$V$7:$V$95,0)))</f>
        <v>BBG</v>
      </c>
      <c r="B484" s="511" t="s">
        <v>41</v>
      </c>
      <c r="C484" s="511"/>
      <c r="D484" s="511"/>
      <c r="E484" s="499" t="n">
        <f aca="false">IF(SUM($W484:$X484)&gt;0,SUM($W484:$X484),IF($H484&gt;0,0,IF($H484&gt;0,0,"-")))</f>
        <v>0</v>
      </c>
      <c r="F484" s="499" t="n">
        <f aca="false">IF(SUM($Y484:$Z484)&gt;0,SUM($Y484:$Z484),IF($H484&gt;0,0,"-"))</f>
        <v>0</v>
      </c>
      <c r="G484" s="499" t="e">
        <f aca="false">IF($H484&gt;0,minus(E484,F484),"-")</f>
        <v>#NAME?</v>
      </c>
      <c r="H484" s="500" t="n">
        <f aca="false">SUM(COUNTIF(MatchSource!$A:$A,$B484),COUNTIF(MatchSource!$H:$H,$B484))</f>
        <v>3</v>
      </c>
      <c r="I484" s="501" t="n">
        <f aca="false">SUM($AA484:$AB484)</f>
        <v>0</v>
      </c>
      <c r="J484" s="501" t="s">
        <v>702</v>
      </c>
      <c r="K484" s="512" t="n">
        <f aca="false" t="array" ref="K484:K484">IF(ISNA(INDEX(DraftRosters!$AA$3:$AA$199,MATCH($B484,DraftRosters!$AB$3:$AB$199,0))),"FA",IF(INDEX(DraftRosters!$AA$3:$AA$199,MATCH($B484,DraftRosters!$AB$3:$AB$199,0))="Franchise","Franch",INDEX(DraftRosters!$AA$3:$AA$199,MATCH($B484,DraftRosters!$AB$3:$AB$199,0))))</f>
        <v>40</v>
      </c>
      <c r="L484" s="499" t="n">
        <v>60</v>
      </c>
      <c r="M484" s="499" t="n">
        <v>78</v>
      </c>
      <c r="N484" s="499" t="n">
        <v>135</v>
      </c>
      <c r="O484" s="499" t="n">
        <v>91</v>
      </c>
      <c r="P484" s="499" t="n">
        <v>85</v>
      </c>
      <c r="Q484" s="501" t="n">
        <v>36</v>
      </c>
      <c r="R484" s="499" t="s">
        <v>835</v>
      </c>
      <c r="S484" s="501" t="s">
        <v>800</v>
      </c>
      <c r="T484" s="520" t="s">
        <v>925</v>
      </c>
      <c r="U484" s="513"/>
      <c r="V484" s="514"/>
      <c r="W484" s="500" t="str">
        <f aca="false">IFERROR(__xludf.dummyfunction("if(isna(SUM(FILTER(MatchSource!$A:$D,MatchSource!$A:$A=$B484))),0,SUM(FILTER(MatchSource!$A:$D,MatchSource!$A:$A=$B484)))"),"1")</f>
        <v>1</v>
      </c>
      <c r="X484" s="499" t="str">
        <f aca="false">IFERROR(__xludf.dummyfunction("if(isna(SUM(FILTER(MatchSource!$H:$K,MatchSource!$H:$H=$B484))),0,SUM(FILTER(MatchSource!$H:$K,MatchSource!$H:$H=$B484)))"),"1")</f>
        <v>1</v>
      </c>
      <c r="Y484" s="499" t="str">
        <f aca="false">IFERROR(__xludf.dummyfunction("if(isna(ABS(MINUS(SUM(FILTER(MatchSource!$A:$E,MatchSource!$A:$A=$B484)),SUM($W484)))),0,ABS(MINUS(SUM(FILTER(MatchSource!$A:$E,MatchSource!$A:$A=$B484)),SUM($W484))))"),"1")</f>
        <v>1</v>
      </c>
      <c r="Z484" s="499" t="str">
        <f aca="false">IFERROR(__xludf.dummyfunction("if(isna(ABS(MINUS(SUM(FILTER(MatchSource!$H:$L,MatchSource!$H:$H=$B484)),SUM($X484)))),0,ABS(MINUS(SUM(FILTER(MatchSource!$H:$L,MatchSource!$H:$H=$B484)),SUM($X484))))"),"1")</f>
        <v>1</v>
      </c>
      <c r="AA484" s="499" t="str">
        <f aca="false">IFERROR(__xludf.dummyfunction("if(isna(ABS(MINUS(SUM(FILTER(MatchSource!$A:$F,MatchSource!$A:$A=$B484)),SUM($W484,$Y484)))),0,ABS(MINUS(SUM(FILTER(MatchSource!$A:$F,MatchSource!$A:$A=$B484)),SUM($W484, $Y484,))))"),"1")</f>
        <v>1</v>
      </c>
      <c r="AB484" s="501" t="str">
        <f aca="false">IFERROR(__xludf.dummyfunction("if(isna(ABS(MINUS(SUM(FILTER(MatchSource!$H:$M,MatchSource!$H:$H=$B484)),SUM($X484,$Z484)))),0,ABS(MINUS(SUM(FILTER(MatchSource!$H:$M,MatchSource!$H:$H=$B484)),SUM($X484,$Z484))))"),"0")</f>
        <v>0</v>
      </c>
      <c r="AC484" s="507" t="n">
        <f aca="false">SUM(IF(OR($R484="Grass",$R484="Psychic",$R484="Dark"),0-1,IF(OR($R484="Fighting",$R484="Flying",$R484="Fire",$R484="Ghost",$R484="Poison",$R484="Steel",$R484="Fairy"),1,0)),IF(OR($S484="Grass",$S484="Psychic",$S484="Dark"),0-1,IF(OR($S484="Fighting",$S484="Flying",$S484="Fire",$S484="Ghost",$S484="Poison",$S484="Steel",$S484="Fairy"),1,0)))</f>
        <v>1</v>
      </c>
      <c r="AD484" s="507" t="n">
        <f aca="false">SUM(IF(OR($R484="Ghost",$R484="Psychic"),0-1,IF(OR($R484="Fighting",$R484="Dark",$R484="Fairy"),1,0)),IF(OR($S484="Ghost",$S484="Psychic"),0-1,IF(OR($S484="Fighting",$S484="Dark",$S484="Fairy"),1,0)))</f>
        <v>0</v>
      </c>
      <c r="AE484" s="507" t="n">
        <f aca="false">IF(OR($R484="Fairy",$S484="Fairy"),4,SUM(IF($R484="Dragon",0-1,IF($R484="Steel",1,0)),IF($S484="Dragon",0-1,IF($S484="Steel",1,0))))</f>
        <v>-1</v>
      </c>
      <c r="AF484" s="507" t="n">
        <f aca="false">IF(OR($R484="Ground",$S484="Ground"),4,SUM(IF(OR($R484="Flying",$R484="Water"),0-1,IF(OR($R484="Dragon",$R484="Electric",$R484="Grass"),1,0)),IF(OR($S484="Flying",$S484="Water"),0-1,IF(OR($S484="Dragon",$S484="Electric",$S484="Grass"),1,0))))</f>
        <v>1</v>
      </c>
      <c r="AG484" s="507" t="n">
        <f aca="false">SUM(IF(OR($R484="Dark",$R484="Dragon",$R484="Fighting"),0-1,IF(OR($R484="Steel",$R484="Poison",$R484="Fire"),1,0)),IF(OR($S484="Dark",$S484="Dragon",$S484="Fighting"),0-1,IF(OR($S484="Steel",$S484="Poison",$S484="Fire"),1,0)))</f>
        <v>0</v>
      </c>
      <c r="AH484" s="507" t="n">
        <f aca="false">IF(OR($R484="Ghost",$S484="Ghost"),4,SUM(IF(OR($R484="Dark",$R484="Ice",$R484="Normal",$R484="Rock",$R484="Steel"),0-1,IF(OR($R484="Bug",$R484="Fairy",$R484="Flying",$R484="Poison",$R484="Psychic"),1,0)),IF(OR($S484="Dark",$S484="Ice",$S484="Normal",$S484="Rock",$S484="Steel"),0-1,IF(OR($S484="Bug",$S484="Fairy",$S484="Flying",$S484="Poison",$S484="Psychic"),1,0))))</f>
        <v>0</v>
      </c>
      <c r="AI484" s="507" t="n">
        <f aca="false">SUM(IF(OR($R484="Bug",$R484="Grass",$R484="Ice",$R484="Steel"),0-1,IF(OR($R484="Dragon",$R484="Fire",$R484="Rock",$R484="Water"),1,0)),IF(OR($S484="Bug",$S484="Grass",$S484="Ice",$S484="Steel"),0-1,IF(OR($S484="Dragon",$S484="Fire",$S484="Rock",$S484="Water"),1,0)))</f>
        <v>2</v>
      </c>
      <c r="AJ484" s="507" t="n">
        <f aca="false">SUM(IF(OR($R484="Bug",$R484="Grass",$R484="Fighting"),0-1,IF(OR($R484="Electric",$R484="Rock",$R484="Steel"),1,0)),IF(OR($S484="Bug",$S484="Grass",$S484="Fighting"),0-1,IF(OR($S484="Electric",$S484="Rock",$S484="Steel"),1,0)))</f>
        <v>0</v>
      </c>
      <c r="AK484" s="507" t="n">
        <f aca="false">IF(OR($R484="Normal",$S484="Normal"),4,SUM(IF(OR($R484="Ghost",$R484="Psychic"),0-1,IF($R484="Dark",1,0)),IF(OR($S484="Ghost",$S484="Psychic"),0-1,IF($S484="Dark",1,0))))</f>
        <v>0</v>
      </c>
      <c r="AL484" s="507" t="n">
        <f aca="false">SUM(IF(OR($R484="Ground",$R484="Rock",$R484="Water"),0-1,IF(OR($R484="Bug",$R484="Flying",$R484="Fire",$R484="Dragon",$R484="Poison",$R484="Steel",$R484="Grass"),1,0)),IF(OR($S484="Ground",$S484="Rock",$S484="Water"),0-1,IF(OR($S484="Bug",$S484="Flying",$S484="Fire",$S484="Dragon",$S484="Poison",$S484="Steel",$S484="Grass"),1,0)))</f>
        <v>2</v>
      </c>
      <c r="AM484" s="507" t="n">
        <f aca="false">IF(OR($R484="Flying",$S484="Flying"),4,SUM(IF(OR($R484="Electric",$R484="Fire",$R484="Rock",$R484="Steel",$R484="Poison"),0-1,IF(OR($R484="Bug",$R484="Grass"),1,0)),IF(OR($S484="Electric",$S484="Fire",$S484="Rock",$S484="Steel",$S484="Poison"),0-1,IF(OR($S484="Bug",$S484="Grass"),1,0))))</f>
        <v>-1</v>
      </c>
      <c r="AN484" s="507" t="n">
        <f aca="false">SUM(IF(OR($R484="Flying",$R484="Dragon",$R484="Grass",$R484="Ground"),0-1,IF(OR($R484="Steel",$R484="Ice",$R484="Fire",$R484="Water"),1,0)),IF(OR($S484="Flying",$S484="Dragon",$S484="Grass",$S484="Ground"),0-1,IF(OR($S484="Steel",$S484="Ice",$S484="Fire",$S484="Water"),1,0)))</f>
        <v>0</v>
      </c>
      <c r="AO484" s="507" t="n">
        <f aca="false">IF(OR($R484="Ghost",$S484="Ghost"),4,SUM(IF(OR($R484="Steel",$R484="Rock"),1,0),IF(OR($S484="Steel",$S484="Rock"),1,0)))</f>
        <v>0</v>
      </c>
      <c r="AP484" s="507" t="n">
        <f aca="false">IF(OR($R484="Steel",$S484="Steel"),4,SUM(IF(OR($R484="Fairy",$R484="Grass"),0-1,IF(OR($R484="Ghost",$R484="Rock",$R484="Ground",$R484="Poison"),1,0)),IF(OR($S484="Fairy",$S484="Grass"),0-1,IF(OR($S484="Ghost",$S484="Rock",$S484="Ground",$S484="Poison"),1,0))))</f>
        <v>0</v>
      </c>
      <c r="AQ484" s="507" t="n">
        <f aca="false">IF(OR($R484="Dark",$S484="Dark"),4,SUM(IF(OR($R484="Fighting",$R484="Poison"),0-1,IF(OR($R484="Psychic",$R484="Steel"),1,0)),IF(OR($S484="Fighting",$S484="Poison"),0-1,IF(OR($S484="Psychic",$S484="Steel"),1,0))))</f>
        <v>0</v>
      </c>
      <c r="AR484" s="507" t="n">
        <f aca="false">SUM(IF(OR($R484="Bug",$R484="Fire",$R484="Flying",$R484="Ice"),0-1,IF(OR($R484="Steel",$R484="Fighting",$R484="Ground"),1,0)),IF(OR($S484="Bug",$S484="Fire",$S484="Flying",$S484="Ice"),0-1,IF(OR($S484="Steel",$S484="Fighting",$S484="Ground"),1,0)))</f>
        <v>-1</v>
      </c>
      <c r="AS484" s="507" t="n">
        <f aca="false">SUM(IF(OR($R484="Fairy",$R484="Ice",$R484="Rock"),0-1,IF(OR($R484="Steel",$R484="Electric",$R484="Fire",$R484="Water"),1,0)),IF(OR($S484="Fairy",$S484="Ice",$S484="Rock"),0-1,IF(OR($S484="Steel",$S484="Electric",$S484="Fire",$S484="Water"),1,0)))</f>
        <v>1</v>
      </c>
      <c r="AT484" s="508" t="n">
        <f aca="false">SUM(IF(OR($R484="Fire",$R484="Ground",$R484="Rock"),0-1,IF(OR($R484="Dragon",$R484="Grass",$R484="Water"),1,0)),IF(OR($S484="Fire",$S484="Ground",$S484="Rock"),0-1,IF(OR($S484="Dragon",$S484="Grass",$S484="Water"),1,0)))</f>
        <v>0</v>
      </c>
      <c r="AU484" s="518"/>
    </row>
    <row r="485" customFormat="false" ht="15.75" hidden="false" customHeight="false" outlineLevel="0" collapsed="false">
      <c r="A485" s="510" t="str">
        <f aca="false" t="array" ref="A485:A485">IF(ISNA(INDEX(Source!$U$7:$U$95,MATCH(B485,Source!$V$7:$V$95,0))),"FREE",INDEX(Source!$U$7:$U$95,MATCH(B485,Source!$V$7:$V$95,0)))</f>
        <v>FREE</v>
      </c>
      <c r="B485" s="511" t="s">
        <v>754</v>
      </c>
      <c r="C485" s="511"/>
      <c r="D485" s="511"/>
      <c r="E485" s="499" t="str">
        <f aca="false">IF(SUM($W485:$X485)&gt;0,SUM($W485:$X485),IF($H485&gt;0,0,IF($H485&gt;0,0,"-")))</f>
        <v>-</v>
      </c>
      <c r="F485" s="499" t="str">
        <f aca="false">IF(SUM($Y485:$Z485)&gt;0,SUM($Y485:$Z485),IF($H485&gt;0,0,"-"))</f>
        <v>-</v>
      </c>
      <c r="G485" s="499" t="str">
        <f aca="false">IF($H485&gt;0,minus(E485,F485),"-")</f>
        <v>-</v>
      </c>
      <c r="H485" s="500" t="n">
        <f aca="false">SUM(COUNTIF(MatchSource!$A:$A,$B485),COUNTIF(MatchSource!$H:$H,$B485))</f>
        <v>0</v>
      </c>
      <c r="I485" s="501" t="n">
        <f aca="false">SUM($AA485:$AB485)</f>
        <v>0</v>
      </c>
      <c r="J485" s="501" t="s">
        <v>701</v>
      </c>
      <c r="K485" s="512" t="str">
        <f aca="false" t="array" ref="K485:K485">IF(ISNA(INDEX(DraftRosters!$AA$3:$AA$199,MATCH($B485,DraftRosters!$AB$3:$AB$199,0))),"FA",IF(INDEX(DraftRosters!$AA$3:$AA$199,MATCH($B485,DraftRosters!$AB$3:$AB$199,0))="Franchise","Franch",INDEX(DraftRosters!$AA$3:$AA$199,MATCH($B485,DraftRosters!$AB$3:$AB$199,0))))</f>
        <v>FA</v>
      </c>
      <c r="L485" s="499" t="n">
        <v>95</v>
      </c>
      <c r="M485" s="499" t="n">
        <v>95</v>
      </c>
      <c r="N485" s="499" t="n">
        <v>95</v>
      </c>
      <c r="O485" s="499" t="n">
        <v>95</v>
      </c>
      <c r="P485" s="499" t="n">
        <v>95</v>
      </c>
      <c r="Q485" s="501" t="n">
        <v>59</v>
      </c>
      <c r="R485" s="499" t="s">
        <v>839</v>
      </c>
      <c r="S485" s="501"/>
      <c r="T485" s="520" t="s">
        <v>858</v>
      </c>
      <c r="U485" s="513"/>
      <c r="V485" s="514"/>
      <c r="W485" s="500" t="str">
        <f aca="false">IFERROR(__xludf.dummyfunction("if(isna(SUM(FILTER(MatchSource!$A:$D,MatchSource!$A:$A=$B485))),0,SUM(FILTER(MatchSource!$A:$D,MatchSource!$A:$A=$B485)))"),"0")</f>
        <v>0</v>
      </c>
      <c r="X485" s="499" t="str">
        <f aca="false">IFERROR(__xludf.dummyfunction("if(isna(SUM(FILTER(MatchSource!$H:$K,MatchSource!$H:$H=$B485))),0,SUM(FILTER(MatchSource!$H:$K,MatchSource!$H:$H=$B485)))"),"0")</f>
        <v>0</v>
      </c>
      <c r="Y485" s="499" t="str">
        <f aca="false">IFERROR(__xludf.dummyfunction("if(isna(ABS(MINUS(SUM(FILTER(MatchSource!$A:$E,MatchSource!$A:$A=$B485)),SUM($W485)))),0,ABS(MINUS(SUM(FILTER(MatchSource!$A:$E,MatchSource!$A:$A=$B485)),SUM($W485))))"),"0")</f>
        <v>0</v>
      </c>
      <c r="Z485" s="499" t="str">
        <f aca="false">IFERROR(__xludf.dummyfunction("if(isna(ABS(MINUS(SUM(FILTER(MatchSource!$H:$L,MatchSource!$H:$H=$B485)),SUM($X485)))),0,ABS(MINUS(SUM(FILTER(MatchSource!$H:$L,MatchSource!$H:$H=$B485)),SUM($X485))))"),"0")</f>
        <v>0</v>
      </c>
      <c r="AA485" s="499" t="str">
        <f aca="false">IFERROR(__xludf.dummyfunction("if(isna(ABS(MINUS(SUM(FILTER(MatchSource!$A:$F,MatchSource!$A:$A=$B485)),SUM($W485,$Y485)))),0,ABS(MINUS(SUM(FILTER(MatchSource!$A:$F,MatchSource!$A:$A=$B485)),SUM($W485, $Y485,))))"),"0")</f>
        <v>0</v>
      </c>
      <c r="AB485" s="501" t="str">
        <f aca="false">IFERROR(__xludf.dummyfunction("if(isna(ABS(MINUS(SUM(FILTER(MatchSource!$H:$M,MatchSource!$H:$H=$B485)),SUM($X485,$Z485)))),0,ABS(MINUS(SUM(FILTER(MatchSource!$H:$M,MatchSource!$H:$H=$B485)),SUM($X485,$Z485))))"),"0")</f>
        <v>0</v>
      </c>
      <c r="AC485" s="507" t="n">
        <f aca="false">SUM(IF(OR($R485="Grass",$R485="Psychic",$R485="Dark"),0-1,IF(OR($R485="Fighting",$R485="Flying",$R485="Fire",$R485="Ghost",$R485="Poison",$R485="Steel",$R485="Fairy"),1,0)),IF(OR($S485="Grass",$S485="Psychic",$S485="Dark"),0-1,IF(OR($S485="Fighting",$S485="Flying",$S485="Fire",$S485="Ghost",$S485="Poison",$S485="Steel",$S485="Fairy"),1,0)))</f>
        <v>0</v>
      </c>
      <c r="AD485" s="507" t="n">
        <f aca="false">SUM(IF(OR($R485="Ghost",$R485="Psychic"),0-1,IF(OR($R485="Fighting",$R485="Dark",$R485="Fairy"),1,0)),IF(OR($S485="Ghost",$S485="Psychic"),0-1,IF(OR($S485="Fighting",$S485="Dark",$S485="Fairy"),1,0)))</f>
        <v>0</v>
      </c>
      <c r="AE485" s="507" t="n">
        <f aca="false">IF(OR($R485="Fairy",$S485="Fairy"),4,SUM(IF($R485="Dragon",0-1,IF($R485="Steel",1,0)),IF($S485="Dragon",0-1,IF($S485="Steel",1,0))))</f>
        <v>0</v>
      </c>
      <c r="AF485" s="507" t="n">
        <f aca="false">IF(OR($R485="Ground",$S485="Ground"),4,SUM(IF(OR($R485="Flying",$R485="Water"),0-1,IF(OR($R485="Dragon",$R485="Electric",$R485="Grass"),1,0)),IF(OR($S485="Flying",$S485="Water"),0-1,IF(OR($S485="Dragon",$S485="Electric",$S485="Grass"),1,0))))</f>
        <v>0</v>
      </c>
      <c r="AG485" s="507" t="n">
        <f aca="false">SUM(IF(OR($R485="Dark",$R485="Dragon",$R485="Fighting"),0-1,IF(OR($R485="Steel",$R485="Poison",$R485="Fire"),1,0)),IF(OR($S485="Dark",$S485="Dragon",$S485="Fighting"),0-1,IF(OR($S485="Steel",$S485="Poison",$S485="Fire"),1,0)))</f>
        <v>0</v>
      </c>
      <c r="AH485" s="507" t="n">
        <f aca="false">IF(OR($R485="Ghost",$S485="Ghost"),4,SUM(IF(OR($R485="Dark",$R485="Ice",$R485="Normal",$R485="Rock",$R485="Steel"),0-1,IF(OR($R485="Bug",$R485="Fairy",$R485="Flying",$R485="Poison",$R485="Psychic"),1,0)),IF(OR($S485="Dark",$S485="Ice",$S485="Normal",$S485="Rock",$S485="Steel"),0-1,IF(OR($S485="Bug",$S485="Fairy",$S485="Flying",$S485="Poison",$S485="Psychic"),1,0))))</f>
        <v>-1</v>
      </c>
      <c r="AI485" s="507" t="n">
        <f aca="false">SUM(IF(OR($R485="Bug",$R485="Grass",$R485="Ice",$R485="Steel"),0-1,IF(OR($R485="Dragon",$R485="Fire",$R485="Rock",$R485="Water"),1,0)),IF(OR($S485="Bug",$S485="Grass",$S485="Ice",$S485="Steel"),0-1,IF(OR($S485="Dragon",$S485="Fire",$S485="Rock",$S485="Water"),1,0)))</f>
        <v>0</v>
      </c>
      <c r="AJ485" s="507" t="n">
        <f aca="false">SUM(IF(OR($R485="Bug",$R485="Grass",$R485="Fighting"),0-1,IF(OR($R485="Electric",$R485="Rock",$R485="Steel"),1,0)),IF(OR($S485="Bug",$S485="Grass",$S485="Fighting"),0-1,IF(OR($S485="Electric",$S485="Rock",$S485="Steel"),1,0)))</f>
        <v>0</v>
      </c>
      <c r="AK485" s="507" t="n">
        <f aca="false">IF(OR($R485="Normal",$S485="Normal"),4,SUM(IF(OR($R485="Ghost",$R485="Psychic"),0-1,IF($R485="Dark",1,0)),IF(OR($S485="Ghost",$S485="Psychic"),0-1,IF($S485="Dark",1,0))))</f>
        <v>4</v>
      </c>
      <c r="AL485" s="507" t="n">
        <f aca="false">SUM(IF(OR($R485="Ground",$R485="Rock",$R485="Water"),0-1,IF(OR($R485="Bug",$R485="Flying",$R485="Fire",$R485="Dragon",$R485="Poison",$R485="Steel",$R485="Grass"),1,0)),IF(OR($S485="Ground",$S485="Rock",$S485="Water"),0-1,IF(OR($S485="Bug",$S485="Flying",$S485="Fire",$S485="Dragon",$S485="Poison",$S485="Steel",$S485="Grass"),1,0)))</f>
        <v>0</v>
      </c>
      <c r="AM485" s="507" t="n">
        <f aca="false">IF(OR($R485="Flying",$S485="Flying"),4,SUM(IF(OR($R485="Electric",$R485="Fire",$R485="Rock",$R485="Steel",$R485="Poison"),0-1,IF(OR($R485="Bug",$R485="Grass"),1,0)),IF(OR($S485="Electric",$S485="Fire",$S485="Rock",$S485="Steel",$S485="Poison"),0-1,IF(OR($S485="Bug",$S485="Grass"),1,0))))</f>
        <v>0</v>
      </c>
      <c r="AN485" s="507" t="n">
        <f aca="false">SUM(IF(OR($R485="Flying",$R485="Dragon",$R485="Grass",$R485="Ground"),0-1,IF(OR($R485="Steel",$R485="Ice",$R485="Fire",$R485="Water"),1,0)),IF(OR($S485="Flying",$S485="Dragon",$S485="Grass",$S485="Ground"),0-1,IF(OR($S485="Steel",$S485="Ice",$S485="Fire",$S485="Water"),1,0)))</f>
        <v>0</v>
      </c>
      <c r="AO485" s="507" t="n">
        <f aca="false">IF(OR($R485="Ghost",$S485="Ghost"),4,SUM(IF(OR($R485="Steel",$R485="Rock"),1,0),IF(OR($S485="Steel",$S485="Rock"),1,0)))</f>
        <v>0</v>
      </c>
      <c r="AP485" s="507" t="n">
        <f aca="false">IF(OR($R485="Steel",$S485="Steel"),4,SUM(IF(OR($R485="Fairy",$R485="Grass"),0-1,IF(OR($R485="Ghost",$R485="Rock",$R485="Ground",$R485="Poison"),1,0)),IF(OR($S485="Fairy",$S485="Grass"),0-1,IF(OR($S485="Ghost",$S485="Rock",$S485="Ground",$S485="Poison"),1,0))))</f>
        <v>0</v>
      </c>
      <c r="AQ485" s="507" t="n">
        <f aca="false">IF(OR($R485="Dark",$S485="Dark"),4,SUM(IF(OR($R485="Fighting",$R485="Poison"),0-1,IF(OR($R485="Psychic",$R485="Steel"),1,0)),IF(OR($S485="Fighting",$S485="Poison"),0-1,IF(OR($S485="Psychic",$S485="Steel"),1,0))))</f>
        <v>0</v>
      </c>
      <c r="AR485" s="507" t="n">
        <f aca="false">SUM(IF(OR($R485="Bug",$R485="Fire",$R485="Flying",$R485="Ice"),0-1,IF(OR($R485="Steel",$R485="Fighting",$R485="Ground"),1,0)),IF(OR($S485="Bug",$S485="Fire",$S485="Flying",$S485="Ice"),0-1,IF(OR($S485="Steel",$S485="Fighting",$S485="Ground"),1,0)))</f>
        <v>0</v>
      </c>
      <c r="AS485" s="507" t="n">
        <f aca="false">SUM(IF(OR($R485="Fairy",$R485="Ice",$R485="Rock"),0-1,IF(OR($R485="Steel",$R485="Electric",$R485="Fire",$R485="Water"),1,0)),IF(OR($S485="Fairy",$S485="Ice",$S485="Rock"),0-1,IF(OR($S485="Steel",$S485="Electric",$S485="Fire",$S485="Water"),1,0)))</f>
        <v>0</v>
      </c>
      <c r="AT485" s="508" t="n">
        <f aca="false">SUM(IF(OR($R485="Fire",$R485="Ground",$R485="Rock"),0-1,IF(OR($R485="Dragon",$R485="Grass",$R485="Water"),1,0)),IF(OR($S485="Fire",$S485="Ground",$S485="Rock"),0-1,IF(OR($S485="Dragon",$S485="Grass",$S485="Water"),1,0)))</f>
        <v>0</v>
      </c>
      <c r="AU485" s="518"/>
    </row>
    <row r="486" customFormat="false" ht="15.75" hidden="false" customHeight="false" outlineLevel="0" collapsed="false">
      <c r="A486" s="515" t="str">
        <f aca="false" t="array" ref="A486:A486">IF(ISNA(INDEX(Source!$U$7:$U$95,MATCH(B486,Source!$V$7:$V$95,0))),"FREE",INDEX(Source!$U$7:$U$95,MATCH(B486,Source!$V$7:$V$95,0)))</f>
        <v>FREE</v>
      </c>
      <c r="B486" s="511" t="s">
        <v>667</v>
      </c>
      <c r="C486" s="511"/>
      <c r="D486" s="511"/>
      <c r="E486" s="499" t="str">
        <f aca="false">IF(SUM($W486:$X486)&gt;0,SUM($W486:$X486),IF($H486&gt;0,0,IF($H486&gt;0,0,"-")))</f>
        <v>-</v>
      </c>
      <c r="F486" s="499" t="str">
        <f aca="false">IF(SUM($Y486:$Z486)&gt;0,SUM($Y486:$Z486),IF($H486&gt;0,0,"-"))</f>
        <v>-</v>
      </c>
      <c r="G486" s="499" t="str">
        <f aca="false">IF($H486&gt;0,minus(E486,F486),"-")</f>
        <v>-</v>
      </c>
      <c r="H486" s="500" t="n">
        <f aca="false">SUM(COUNTIF(MatchSource!$A:$A,$B486),COUNTIF(MatchSource!$H:$H,$B486))</f>
        <v>0</v>
      </c>
      <c r="I486" s="501" t="n">
        <f aca="false">SUM($AA486:$AB486)</f>
        <v>0</v>
      </c>
      <c r="J486" s="501" t="s">
        <v>701</v>
      </c>
      <c r="K486" s="512" t="str">
        <f aca="false" t="array" ref="K486:K486">IF(ISNA(INDEX(DraftRosters!$AA$3:$AA$199,MATCH($B486,DraftRosters!$AB$3:$AB$199,0))),"FA",IF(INDEX(DraftRosters!$AA$3:$AA$199,MATCH($B486,DraftRosters!$AB$3:$AB$199,0))="Franchise","Franch",INDEX(DraftRosters!$AA$3:$AA$199,MATCH($B486,DraftRosters!$AB$3:$AB$199,0))))</f>
        <v>FA</v>
      </c>
      <c r="L486" s="507" t="n">
        <v>78</v>
      </c>
      <c r="M486" s="507" t="n">
        <v>84</v>
      </c>
      <c r="N486" s="507" t="n">
        <v>78</v>
      </c>
      <c r="O486" s="507" t="n">
        <v>109</v>
      </c>
      <c r="P486" s="507" t="n">
        <v>85</v>
      </c>
      <c r="Q486" s="508" t="n">
        <v>100</v>
      </c>
      <c r="R486" s="499" t="s">
        <v>800</v>
      </c>
      <c r="S486" s="501"/>
      <c r="T486" s="504" t="s">
        <v>893</v>
      </c>
      <c r="U486" s="505" t="s">
        <v>853</v>
      </c>
      <c r="V486" s="506"/>
      <c r="W486" s="500" t="str">
        <f aca="false">IFERROR(__xludf.dummyfunction("if(isna(SUM(FILTER(MatchSource!$A:$D,MatchSource!$A:$A=$B486))),0,SUM(FILTER(MatchSource!$A:$D,MatchSource!$A:$A=$B486)))"),"0")</f>
        <v>0</v>
      </c>
      <c r="X486" s="499" t="str">
        <f aca="false">IFERROR(__xludf.dummyfunction("if(isna(SUM(FILTER(MatchSource!$H:$K,MatchSource!$H:$H=$B486))),0,SUM(FILTER(MatchSource!$H:$K,MatchSource!$H:$H=$B486)))"),"0")</f>
        <v>0</v>
      </c>
      <c r="Y486" s="499" t="str">
        <f aca="false">IFERROR(__xludf.dummyfunction("if(isna(ABS(MINUS(SUM(FILTER(MatchSource!$A:$E,MatchSource!$A:$A=$B486)),SUM($W486)))),0,ABS(MINUS(SUM(FILTER(MatchSource!$A:$E,MatchSource!$A:$A=$B486)),SUM($W486))))"),"0")</f>
        <v>0</v>
      </c>
      <c r="Z486" s="499" t="str">
        <f aca="false">IFERROR(__xludf.dummyfunction("if(isna(ABS(MINUS(SUM(FILTER(MatchSource!$H:$L,MatchSource!$H:$H=$B486)),SUM($X486)))),0,ABS(MINUS(SUM(FILTER(MatchSource!$H:$L,MatchSource!$H:$H=$B486)),SUM($X486))))"),"0")</f>
        <v>0</v>
      </c>
      <c r="AA486" s="499" t="str">
        <f aca="false">IFERROR(__xludf.dummyfunction("if(isna(ABS(MINUS(SUM(FILTER(MatchSource!$A:$F,MatchSource!$A:$A=$B486)),SUM($W486,$Y486)))),0,ABS(MINUS(SUM(FILTER(MatchSource!$A:$F,MatchSource!$A:$A=$B486)),SUM($W486, $Y486,))))"),"0")</f>
        <v>0</v>
      </c>
      <c r="AB486" s="501" t="str">
        <f aca="false">IFERROR(__xludf.dummyfunction("if(isna(ABS(MINUS(SUM(FILTER(MatchSource!$H:$M,MatchSource!$H:$H=$B486)),SUM($X486,$Z486)))),0,ABS(MINUS(SUM(FILTER(MatchSource!$H:$M,MatchSource!$H:$H=$B486)),SUM($X486,$Z486))))"),"0")</f>
        <v>0</v>
      </c>
      <c r="AC486" s="507" t="n">
        <f aca="false">SUM(IF(OR($R486="Grass",$R486="Psychic",$R486="Dark"),0-1,IF(OR($R486="Fighting",$R486="Flying",$R486="Fire",$R486="Ghost",$R486="Poison",$R486="Steel",$R486="Fairy"),1,0)),IF(OR($S486="Grass",$S486="Psychic",$S486="Dark"),0-1,IF(OR($S486="Fighting",$S486="Flying",$S486="Fire",$S486="Ghost",$S486="Poison",$S486="Steel",$S486="Fairy"),1,0)))</f>
        <v>1</v>
      </c>
      <c r="AD486" s="507" t="n">
        <f aca="false">SUM(IF(OR($R486="Ghost",$R486="Psychic"),0-1,IF(OR($R486="Fighting",$R486="Dark",$R486="Fairy"),1,0)),IF(OR($S486="Ghost",$S486="Psychic"),0-1,IF(OR($S486="Fighting",$S486="Dark",$S486="Fairy"),1,0)))</f>
        <v>0</v>
      </c>
      <c r="AE486" s="507" t="n">
        <f aca="false">IF(OR($R486="Fairy",$S486="Fairy"),4,SUM(IF($R486="Dragon",0-1,IF($R486="Steel",1,0)),IF($S486="Dragon",0-1,IF($S486="Steel",1,0))))</f>
        <v>0</v>
      </c>
      <c r="AF486" s="507" t="n">
        <f aca="false">IF(OR($R486="Ground",$S486="Ground"),4,SUM(IF(OR($R486="Flying",$R486="Water"),0-1,IF(OR($R486="Dragon",$R486="Electric",$R486="Grass"),1,0)),IF(OR($S486="Flying",$S486="Water"),0-1,IF(OR($S486="Dragon",$S486="Electric",$S486="Grass"),1,0))))</f>
        <v>0</v>
      </c>
      <c r="AG486" s="507" t="n">
        <f aca="false">SUM(IF(OR($R486="Dark",$R486="Dragon",$R486="Fighting"),0-1,IF(OR($R486="Steel",$R486="Poison",$R486="Fire"),1,0)),IF(OR($S486="Dark",$S486="Dragon",$S486="Fighting"),0-1,IF(OR($S486="Steel",$S486="Poison",$S486="Fire"),1,0)))</f>
        <v>1</v>
      </c>
      <c r="AH486" s="507" t="n">
        <f aca="false">IF(OR($R486="Ghost",$S486="Ghost"),4,SUM(IF(OR($R486="Dark",$R486="Ice",$R486="Normal",$R486="Rock",$R486="Steel"),0-1,IF(OR($R486="Bug",$R486="Fairy",$R486="Flying",$R486="Poison",$R486="Psychic"),1,0)),IF(OR($S486="Dark",$S486="Ice",$S486="Normal",$S486="Rock",$S486="Steel"),0-1,IF(OR($S486="Bug",$S486="Fairy",$S486="Flying",$S486="Poison",$S486="Psychic"),1,0))))</f>
        <v>0</v>
      </c>
      <c r="AI486" s="507" t="n">
        <f aca="false">SUM(IF(OR($R486="Bug",$R486="Grass",$R486="Ice",$R486="Steel"),0-1,IF(OR($R486="Dragon",$R486="Fire",$R486="Rock",$R486="Water"),1,0)),IF(OR($S486="Bug",$S486="Grass",$S486="Ice",$S486="Steel"),0-1,IF(OR($S486="Dragon",$S486="Fire",$S486="Rock",$S486="Water"),1,0)))</f>
        <v>1</v>
      </c>
      <c r="AJ486" s="507" t="n">
        <f aca="false">SUM(IF(OR($R486="Bug",$R486="Grass",$R486="Fighting"),0-1,IF(OR($R486="Electric",$R486="Rock",$R486="Steel"),1,0)),IF(OR($S486="Bug",$S486="Grass",$S486="Fighting"),0-1,IF(OR($S486="Electric",$S486="Rock",$S486="Steel"),1,0)))</f>
        <v>0</v>
      </c>
      <c r="AK486" s="507" t="n">
        <f aca="false">IF(OR($R486="Normal",$S486="Normal"),4,SUM(IF(OR($R486="Ghost",$R486="Psychic"),0-1,IF($R486="Dark",1,0)),IF(OR($S486="Ghost",$S486="Psychic"),0-1,IF($S486="Dark",1,0))))</f>
        <v>0</v>
      </c>
      <c r="AL486" s="507" t="n">
        <f aca="false">SUM(IF(OR($R486="Ground",$R486="Rock",$R486="Water"),0-1,IF(OR($R486="Bug",$R486="Flying",$R486="Fire",$R486="Dragon",$R486="Poison",$R486="Steel",$R486="Grass"),1,0)),IF(OR($S486="Ground",$S486="Rock",$S486="Water"),0-1,IF(OR($S486="Bug",$S486="Flying",$S486="Fire",$S486="Dragon",$S486="Poison",$S486="Steel",$S486="Grass"),1,0)))</f>
        <v>1</v>
      </c>
      <c r="AM486" s="507" t="n">
        <f aca="false">IF(OR($R486="Flying",$S486="Flying"),4,SUM(IF(OR($R486="Electric",$R486="Fire",$R486="Rock",$R486="Steel",$R486="Poison"),0-1,IF(OR($R486="Bug",$R486="Grass"),1,0)),IF(OR($S486="Electric",$S486="Fire",$S486="Rock",$S486="Steel",$S486="Poison"),0-1,IF(OR($S486="Bug",$S486="Grass"),1,0))))</f>
        <v>-1</v>
      </c>
      <c r="AN486" s="507" t="n">
        <f aca="false">SUM(IF(OR($R486="Flying",$R486="Dragon",$R486="Grass",$R486="Ground"),0-1,IF(OR($R486="Steel",$R486="Ice",$R486="Fire",$R486="Water"),1,0)),IF(OR($S486="Flying",$S486="Dragon",$S486="Grass",$S486="Ground"),0-1,IF(OR($S486="Steel",$S486="Ice",$S486="Fire",$S486="Water"),1,0)))</f>
        <v>1</v>
      </c>
      <c r="AO486" s="507" t="n">
        <f aca="false">IF(OR($R486="Ghost",$S486="Ghost"),4,SUM(IF(OR($R486="Steel",$R486="Rock"),1,0),IF(OR($S486="Steel",$S486="Rock"),1,0)))</f>
        <v>0</v>
      </c>
      <c r="AP486" s="507" t="n">
        <f aca="false">IF(OR($R486="Steel",$S486="Steel"),4,SUM(IF(OR($R486="Fairy",$R486="Grass"),0-1,IF(OR($R486="Ghost",$R486="Rock",$R486="Ground",$R486="Poison"),1,0)),IF(OR($S486="Fairy",$S486="Grass"),0-1,IF(OR($S486="Ghost",$S486="Rock",$S486="Ground",$S486="Poison"),1,0))))</f>
        <v>0</v>
      </c>
      <c r="AQ486" s="507" t="n">
        <f aca="false">IF(OR($R486="Dark",$S486="Dark"),4,SUM(IF(OR($R486="Fighting",$R486="Poison"),0-1,IF(OR($R486="Psychic",$R486="Steel"),1,0)),IF(OR($S486="Fighting",$S486="Poison"),0-1,IF(OR($S486="Psychic",$S486="Steel"),1,0))))</f>
        <v>0</v>
      </c>
      <c r="AR486" s="507" t="n">
        <f aca="false">SUM(IF(OR($R486="Bug",$R486="Fire",$R486="Flying",$R486="Ice"),0-1,IF(OR($R486="Steel",$R486="Fighting",$R486="Ground"),1,0)),IF(OR($S486="Bug",$S486="Fire",$S486="Flying",$S486="Ice"),0-1,IF(OR($S486="Steel",$S486="Fighting",$S486="Ground"),1,0)))</f>
        <v>-1</v>
      </c>
      <c r="AS486" s="507" t="n">
        <f aca="false">SUM(IF(OR($R486="Fairy",$R486="Ice",$R486="Rock"),0-1,IF(OR($R486="Steel",$R486="Electric",$R486="Fire",$R486="Water"),1,0)),IF(OR($S486="Fairy",$S486="Ice",$S486="Rock"),0-1,IF(OR($S486="Steel",$S486="Electric",$S486="Fire",$S486="Water"),1,0)))</f>
        <v>1</v>
      </c>
      <c r="AT486" s="508" t="n">
        <f aca="false">SUM(IF(OR($R486="Fire",$R486="Ground",$R486="Rock"),0-1,IF(OR($R486="Dragon",$R486="Grass",$R486="Water"),1,0)),IF(OR($S486="Fire",$S486="Ground",$S486="Rock"),0-1,IF(OR($S486="Dragon",$S486="Grass",$S486="Water"),1,0)))</f>
        <v>-1</v>
      </c>
      <c r="AU486" s="518"/>
    </row>
    <row r="487" customFormat="false" ht="15.75" hidden="false" customHeight="false" outlineLevel="0" collapsed="false">
      <c r="A487" s="515" t="str">
        <f aca="false" t="array" ref="A487:A487">IF(ISNA(INDEX(Source!$U$7:$U$95,MATCH(B487,Source!$V$7:$V$95,0))),"FREE",INDEX(Source!$U$7:$U$95,MATCH(B487,Source!$V$7:$V$95,0)))</f>
        <v>BTB</v>
      </c>
      <c r="B487" s="511" t="s">
        <v>256</v>
      </c>
      <c r="C487" s="511"/>
      <c r="D487" s="511"/>
      <c r="E487" s="499" t="str">
        <f aca="false">IF(SUM($W487:$X487)&gt;0,SUM($W487:$X487),IF($H487&gt;0,0,IF($H487&gt;0,0,"-")))</f>
        <v>-</v>
      </c>
      <c r="F487" s="499" t="str">
        <f aca="false">IF(SUM($Y487:$Z487)&gt;0,SUM($Y487:$Z487),IF($H487&gt;0,0,"-"))</f>
        <v>-</v>
      </c>
      <c r="G487" s="499" t="str">
        <f aca="false">IF($H487&gt;0,minus(E487,F487),"-")</f>
        <v>-</v>
      </c>
      <c r="H487" s="500" t="n">
        <f aca="false">SUM(COUNTIF(MatchSource!$A:$A,$B487),COUNTIF(MatchSource!$H:$H,$B487))</f>
        <v>0</v>
      </c>
      <c r="I487" s="501" t="n">
        <f aca="false">SUM($AA487:$AB487)</f>
        <v>0</v>
      </c>
      <c r="J487" s="501" t="s">
        <v>698</v>
      </c>
      <c r="K487" s="512" t="n">
        <f aca="false" t="array" ref="K487:K487">IF(ISNA(INDEX(DraftRosters!$AA$3:$AA$199,MATCH($B487,DraftRosters!$AB$3:$AB$199,0))),"FA",IF(INDEX(DraftRosters!$AA$3:$AA$199,MATCH($B487,DraftRosters!$AB$3:$AB$199,0))="Franchise","Franch",INDEX(DraftRosters!$AA$3:$AA$199,MATCH($B487,DraftRosters!$AB$3:$AB$199,0))))</f>
        <v>25</v>
      </c>
      <c r="L487" s="499" t="n">
        <v>100</v>
      </c>
      <c r="M487" s="499" t="n">
        <v>134</v>
      </c>
      <c r="N487" s="499" t="n">
        <v>110</v>
      </c>
      <c r="O487" s="499" t="n">
        <v>95</v>
      </c>
      <c r="P487" s="499" t="n">
        <v>100</v>
      </c>
      <c r="Q487" s="501" t="n">
        <v>61</v>
      </c>
      <c r="R487" s="499" t="s">
        <v>795</v>
      </c>
      <c r="S487" s="501" t="s">
        <v>809</v>
      </c>
      <c r="T487" s="504" t="s">
        <v>980</v>
      </c>
      <c r="U487" s="505" t="s">
        <v>822</v>
      </c>
      <c r="V487" s="506"/>
      <c r="W487" s="500" t="str">
        <f aca="false">IFERROR(__xludf.dummyfunction("if(isna(SUM(FILTER(MatchSource!$A:$D,MatchSource!$A:$A=$B487))),0,SUM(FILTER(MatchSource!$A:$D,MatchSource!$A:$A=$B487)))"),"0")</f>
        <v>0</v>
      </c>
      <c r="X487" s="499" t="str">
        <f aca="false">IFERROR(__xludf.dummyfunction("if(isna(SUM(FILTER(MatchSource!$H:$K,MatchSource!$H:$H=$B487))),0,SUM(FILTER(MatchSource!$H:$K,MatchSource!$H:$H=$B487)))"),"0")</f>
        <v>0</v>
      </c>
      <c r="Y487" s="499" t="str">
        <f aca="false">IFERROR(__xludf.dummyfunction("if(isna(ABS(MINUS(SUM(FILTER(MatchSource!$A:$E,MatchSource!$A:$A=$B487)),SUM($W487)))),0,ABS(MINUS(SUM(FILTER(MatchSource!$A:$E,MatchSource!$A:$A=$B487)),SUM($W487))))"),"0")</f>
        <v>0</v>
      </c>
      <c r="Z487" s="499" t="str">
        <f aca="false">IFERROR(__xludf.dummyfunction("if(isna(ABS(MINUS(SUM(FILTER(MatchSource!$H:$L,MatchSource!$H:$H=$B487)),SUM($X487)))),0,ABS(MINUS(SUM(FILTER(MatchSource!$H:$L,MatchSource!$H:$H=$B487)),SUM($X487))))"),"0")</f>
        <v>0</v>
      </c>
      <c r="AA487" s="499" t="str">
        <f aca="false">IFERROR(__xludf.dummyfunction("if(isna(ABS(MINUS(SUM(FILTER(MatchSource!$A:$F,MatchSource!$A:$A=$B487)),SUM($W487,$Y487)))),0,ABS(MINUS(SUM(FILTER(MatchSource!$A:$F,MatchSource!$A:$A=$B487)),SUM($W487, $Y487,))))"),"0")</f>
        <v>0</v>
      </c>
      <c r="AB487" s="501" t="str">
        <f aca="false">IFERROR(__xludf.dummyfunction("if(isna(ABS(MINUS(SUM(FILTER(MatchSource!$H:$M,MatchSource!$H:$H=$B487)),SUM($X487,$Z487)))),0,ABS(MINUS(SUM(FILTER(MatchSource!$H:$M,MatchSource!$H:$H=$B487)),SUM($X487,$Z487))))"),"0")</f>
        <v>0</v>
      </c>
      <c r="AC487" s="507" t="n">
        <f aca="false">SUM(IF(OR($R487="Grass",$R487="Psychic",$R487="Dark"),0-1,IF(OR($R487="Fighting",$R487="Flying",$R487="Fire",$R487="Ghost",$R487="Poison",$R487="Steel",$R487="Fairy"),1,0)),IF(OR($S487="Grass",$S487="Psychic",$S487="Dark"),0-1,IF(OR($S487="Fighting",$S487="Flying",$S487="Fire",$S487="Ghost",$S487="Poison",$S487="Steel",$S487="Fairy"),1,0)))</f>
        <v>-1</v>
      </c>
      <c r="AD487" s="507" t="n">
        <f aca="false">SUM(IF(OR($R487="Ghost",$R487="Psychic"),0-1,IF(OR($R487="Fighting",$R487="Dark",$R487="Fairy"),1,0)),IF(OR($S487="Ghost",$S487="Psychic"),0-1,IF(OR($S487="Fighting",$S487="Dark",$S487="Fairy"),1,0)))</f>
        <v>1</v>
      </c>
      <c r="AE487" s="507" t="n">
        <f aca="false">IF(OR($R487="Fairy",$S487="Fairy"),4,SUM(IF($R487="Dragon",0-1,IF($R487="Steel",1,0)),IF($S487="Dragon",0-1,IF($S487="Steel",1,0))))</f>
        <v>0</v>
      </c>
      <c r="AF487" s="507" t="n">
        <f aca="false">IF(OR($R487="Ground",$S487="Ground"),4,SUM(IF(OR($R487="Flying",$R487="Water"),0-1,IF(OR($R487="Dragon",$R487="Electric",$R487="Grass"),1,0)),IF(OR($S487="Flying",$S487="Water"),0-1,IF(OR($S487="Dragon",$S487="Electric",$S487="Grass"),1,0))))</f>
        <v>0</v>
      </c>
      <c r="AG487" s="507" t="n">
        <f aca="false">SUM(IF(OR($R487="Dark",$R487="Dragon",$R487="Fighting"),0-1,IF(OR($R487="Steel",$R487="Poison",$R487="Fire"),1,0)),IF(OR($S487="Dark",$S487="Dragon",$S487="Fighting"),0-1,IF(OR($S487="Steel",$S487="Poison",$S487="Fire"),1,0)))</f>
        <v>-1</v>
      </c>
      <c r="AH487" s="507" t="n">
        <f aca="false">IF(OR($R487="Ghost",$S487="Ghost"),4,SUM(IF(OR($R487="Dark",$R487="Ice",$R487="Normal",$R487="Rock",$R487="Steel"),0-1,IF(OR($R487="Bug",$R487="Fairy",$R487="Flying",$R487="Poison",$R487="Psychic"),1,0)),IF(OR($S487="Dark",$S487="Ice",$S487="Normal",$S487="Rock",$S487="Steel"),0-1,IF(OR($S487="Bug",$S487="Fairy",$S487="Flying",$S487="Poison",$S487="Psychic"),1,0))))</f>
        <v>-2</v>
      </c>
      <c r="AI487" s="507" t="n">
        <f aca="false">SUM(IF(OR($R487="Bug",$R487="Grass",$R487="Ice",$R487="Steel"),0-1,IF(OR($R487="Dragon",$R487="Fire",$R487="Rock",$R487="Water"),1,0)),IF(OR($S487="Bug",$S487="Grass",$S487="Ice",$S487="Steel"),0-1,IF(OR($S487="Dragon",$S487="Fire",$S487="Rock",$S487="Water"),1,0)))</f>
        <v>1</v>
      </c>
      <c r="AJ487" s="507" t="n">
        <f aca="false">SUM(IF(OR($R487="Bug",$R487="Grass",$R487="Fighting"),0-1,IF(OR($R487="Electric",$R487="Rock",$R487="Steel"),1,0)),IF(OR($S487="Bug",$S487="Grass",$S487="Fighting"),0-1,IF(OR($S487="Electric",$S487="Rock",$S487="Steel"),1,0)))</f>
        <v>1</v>
      </c>
      <c r="AK487" s="507" t="n">
        <f aca="false">IF(OR($R487="Normal",$S487="Normal"),4,SUM(IF(OR($R487="Ghost",$R487="Psychic"),0-1,IF($R487="Dark",1,0)),IF(OR($S487="Ghost",$S487="Psychic"),0-1,IF($S487="Dark",1,0))))</f>
        <v>1</v>
      </c>
      <c r="AL487" s="507" t="n">
        <f aca="false">SUM(IF(OR($R487="Ground",$R487="Rock",$R487="Water"),0-1,IF(OR($R487="Bug",$R487="Flying",$R487="Fire",$R487="Dragon",$R487="Poison",$R487="Steel",$R487="Grass"),1,0)),IF(OR($S487="Ground",$S487="Rock",$S487="Water"),0-1,IF(OR($S487="Bug",$S487="Flying",$S487="Fire",$S487="Dragon",$S487="Poison",$S487="Steel",$S487="Grass"),1,0)))</f>
        <v>-1</v>
      </c>
      <c r="AM487" s="507" t="n">
        <f aca="false">IF(OR($R487="Flying",$S487="Flying"),4,SUM(IF(OR($R487="Electric",$R487="Fire",$R487="Rock",$R487="Steel",$R487="Poison"),0-1,IF(OR($R487="Bug",$R487="Grass"),1,0)),IF(OR($S487="Electric",$S487="Fire",$S487="Rock",$S487="Steel",$S487="Poison"),0-1,IF(OR($S487="Bug",$S487="Grass"),1,0))))</f>
        <v>-1</v>
      </c>
      <c r="AN487" s="507" t="n">
        <f aca="false">SUM(IF(OR($R487="Flying",$R487="Dragon",$R487="Grass",$R487="Ground"),0-1,IF(OR($R487="Steel",$R487="Ice",$R487="Fire",$R487="Water"),1,0)),IF(OR($S487="Flying",$S487="Dragon",$S487="Grass",$S487="Ground"),0-1,IF(OR($S487="Steel",$S487="Ice",$S487="Fire",$S487="Water"),1,0)))</f>
        <v>0</v>
      </c>
      <c r="AO487" s="507" t="n">
        <f aca="false">IF(OR($R487="Ghost",$S487="Ghost"),4,SUM(IF(OR($R487="Steel",$R487="Rock"),1,0),IF(OR($S487="Steel",$S487="Rock"),1,0)))</f>
        <v>1</v>
      </c>
      <c r="AP487" s="507" t="n">
        <f aca="false">IF(OR($R487="Steel",$S487="Steel"),4,SUM(IF(OR($R487="Fairy",$R487="Grass"),0-1,IF(OR($R487="Ghost",$R487="Rock",$R487="Ground",$R487="Poison"),1,0)),IF(OR($S487="Fairy",$S487="Grass"),0-1,IF(OR($S487="Ghost",$S487="Rock",$S487="Ground",$S487="Poison"),1,0))))</f>
        <v>1</v>
      </c>
      <c r="AQ487" s="507" t="n">
        <f aca="false">IF(OR($R487="Dark",$S487="Dark"),4,SUM(IF(OR($R487="Fighting",$R487="Poison"),0-1,IF(OR($R487="Psychic",$R487="Steel"),1,0)),IF(OR($S487="Fighting",$S487="Poison"),0-1,IF(OR($S487="Psychic",$S487="Steel"),1,0))))</f>
        <v>4</v>
      </c>
      <c r="AR487" s="507" t="n">
        <f aca="false">SUM(IF(OR($R487="Bug",$R487="Fire",$R487="Flying",$R487="Ice"),0-1,IF(OR($R487="Steel",$R487="Fighting",$R487="Ground"),1,0)),IF(OR($S487="Bug",$S487="Fire",$S487="Flying",$S487="Ice"),0-1,IF(OR($S487="Steel",$S487="Fighting",$S487="Ground"),1,0)))</f>
        <v>0</v>
      </c>
      <c r="AS487" s="507" t="n">
        <f aca="false">SUM(IF(OR($R487="Fairy",$R487="Ice",$R487="Rock"),0-1,IF(OR($R487="Steel",$R487="Electric",$R487="Fire",$R487="Water"),1,0)),IF(OR($S487="Fairy",$S487="Ice",$S487="Rock"),0-1,IF(OR($S487="Steel",$S487="Electric",$S487="Fire",$S487="Water"),1,0)))</f>
        <v>-1</v>
      </c>
      <c r="AT487" s="508" t="n">
        <f aca="false">SUM(IF(OR($R487="Fire",$R487="Ground",$R487="Rock"),0-1,IF(OR($R487="Dragon",$R487="Grass",$R487="Water"),1,0)),IF(OR($S487="Fire",$S487="Ground",$S487="Rock"),0-1,IF(OR($S487="Dragon",$S487="Grass",$S487="Water"),1,0)))</f>
        <v>-1</v>
      </c>
      <c r="AU487" s="518"/>
    </row>
    <row r="488" customFormat="false" ht="15.75" hidden="false" customHeight="false" outlineLevel="0" collapsed="false">
      <c r="A488" s="515" t="str">
        <f aca="false" t="array" ref="A488:A488">IF(ISNA(INDEX(Source!$U$7:$U$95,MATCH(B488,Source!$V$7:$V$95,0))),"FREE",INDEX(Source!$U$7:$U$95,MATCH(B488,Source!$V$7:$V$95,0)))</f>
        <v>FREE</v>
      </c>
      <c r="B488" s="511" t="s">
        <v>739</v>
      </c>
      <c r="C488" s="511"/>
      <c r="D488" s="511"/>
      <c r="E488" s="499" t="str">
        <f aca="false">IF(SUM($W488:$X488)&gt;0,SUM($W488:$X488),IF($H488&gt;0,0,IF($H488&gt;0,0,"-")))</f>
        <v>-</v>
      </c>
      <c r="F488" s="499" t="str">
        <f aca="false">IF(SUM($Y488:$Z488)&gt;0,SUM($Y488:$Z488),IF($H488&gt;0,0,"-"))</f>
        <v>-</v>
      </c>
      <c r="G488" s="499" t="str">
        <f aca="false">IF($H488&gt;0,minus(E488,F488),"-")</f>
        <v>-</v>
      </c>
      <c r="H488" s="500" t="n">
        <f aca="false">SUM(COUNTIF(MatchSource!$A:$A,$B488),COUNTIF(MatchSource!$H:$H,$B488))</f>
        <v>0</v>
      </c>
      <c r="I488" s="501" t="n">
        <f aca="false">SUM($AA488:$AB488)</f>
        <v>0</v>
      </c>
      <c r="J488" s="501" t="s">
        <v>276</v>
      </c>
      <c r="K488" s="512" t="str">
        <f aca="false" t="array" ref="K488:K488">IF(ISNA(INDEX(DraftRosters!$AA$3:$AA$199,MATCH($B488,DraftRosters!$AB$3:$AB$199,0))),"FA",IF(INDEX(DraftRosters!$AA$3:$AA$199,MATCH($B488,DraftRosters!$AB$3:$AB$199,0))="Franchise","Franch",INDEX(DraftRosters!$AA$3:$AA$199,MATCH($B488,DraftRosters!$AB$3:$AB$199,0))))</f>
        <v>FA</v>
      </c>
      <c r="L488" s="507" t="n">
        <v>100</v>
      </c>
      <c r="M488" s="507" t="n">
        <v>164</v>
      </c>
      <c r="N488" s="507" t="n">
        <v>150</v>
      </c>
      <c r="O488" s="507" t="n">
        <v>95</v>
      </c>
      <c r="P488" s="507" t="n">
        <v>120</v>
      </c>
      <c r="Q488" s="508" t="n">
        <v>71</v>
      </c>
      <c r="R488" s="499" t="s">
        <v>795</v>
      </c>
      <c r="S488" s="501" t="s">
        <v>809</v>
      </c>
      <c r="T488" s="504" t="s">
        <v>967</v>
      </c>
      <c r="U488" s="505"/>
      <c r="V488" s="506"/>
      <c r="W488" s="500" t="str">
        <f aca="false">IFERROR(__xludf.dummyfunction("if(isna(SUM(FILTER(MatchSource!$A:$D,MatchSource!$A:$A=$B488))),0,SUM(FILTER(MatchSource!$A:$D,MatchSource!$A:$A=$B488)))"),"0")</f>
        <v>0</v>
      </c>
      <c r="X488" s="499" t="str">
        <f aca="false">IFERROR(__xludf.dummyfunction("if(isna(SUM(FILTER(MatchSource!$H:$K,MatchSource!$H:$H=$B488))),0,SUM(FILTER(MatchSource!$H:$K,MatchSource!$H:$H=$B488)))"),"0")</f>
        <v>0</v>
      </c>
      <c r="Y488" s="499" t="str">
        <f aca="false">IFERROR(__xludf.dummyfunction("if(isna(ABS(MINUS(SUM(FILTER(MatchSource!$A:$E,MatchSource!$A:$A=$B488)),SUM($W488)))),0,ABS(MINUS(SUM(FILTER(MatchSource!$A:$E,MatchSource!$A:$A=$B488)),SUM($W488))))"),"0")</f>
        <v>0</v>
      </c>
      <c r="Z488" s="499" t="str">
        <f aca="false">IFERROR(__xludf.dummyfunction("if(isna(ABS(MINUS(SUM(FILTER(MatchSource!$H:$L,MatchSource!$H:$H=$B488)),SUM($X488)))),0,ABS(MINUS(SUM(FILTER(MatchSource!$H:$L,MatchSource!$H:$H=$B488)),SUM($X488))))"),"0")</f>
        <v>0</v>
      </c>
      <c r="AA488" s="499" t="str">
        <f aca="false">IFERROR(__xludf.dummyfunction("if(isna(ABS(MINUS(SUM(FILTER(MatchSource!$A:$F,MatchSource!$A:$A=$B488)),SUM($W488,$Y488)))),0,ABS(MINUS(SUM(FILTER(MatchSource!$A:$F,MatchSource!$A:$A=$B488)),SUM($W488, $Y488,))))"),"0")</f>
        <v>0</v>
      </c>
      <c r="AB488" s="501" t="str">
        <f aca="false">IFERROR(__xludf.dummyfunction("if(isna(ABS(MINUS(SUM(FILTER(MatchSource!$H:$M,MatchSource!$H:$H=$B488)),SUM($X488,$Z488)))),0,ABS(MINUS(SUM(FILTER(MatchSource!$H:$M,MatchSource!$H:$H=$B488)),SUM($X488,$Z488))))"),"0")</f>
        <v>0</v>
      </c>
      <c r="AC488" s="507" t="n">
        <f aca="false">SUM(IF(OR($R488="Grass",$R488="Psychic",$R488="Dark"),0-1,IF(OR($R488="Fighting",$R488="Flying",$R488="Fire",$R488="Ghost",$R488="Poison",$R488="Steel",$R488="Fairy"),1,0)),IF(OR($S488="Grass",$S488="Psychic",$S488="Dark"),0-1,IF(OR($S488="Fighting",$S488="Flying",$S488="Fire",$S488="Ghost",$S488="Poison",$S488="Steel",$S488="Fairy"),1,0)))</f>
        <v>-1</v>
      </c>
      <c r="AD488" s="507" t="n">
        <f aca="false">SUM(IF(OR($R488="Ghost",$R488="Psychic"),0-1,IF(OR($R488="Fighting",$R488="Dark",$R488="Fairy"),1,0)),IF(OR($S488="Ghost",$S488="Psychic"),0-1,IF(OR($S488="Fighting",$S488="Dark",$S488="Fairy"),1,0)))</f>
        <v>1</v>
      </c>
      <c r="AE488" s="507" t="n">
        <f aca="false">IF(OR($R488="Fairy",$S488="Fairy"),4,SUM(IF($R488="Dragon",0-1,IF($R488="Steel",1,0)),IF($S488="Dragon",0-1,IF($S488="Steel",1,0))))</f>
        <v>0</v>
      </c>
      <c r="AF488" s="507" t="n">
        <f aca="false">IF(OR($R488="Ground",$S488="Ground"),4,SUM(IF(OR($R488="Flying",$R488="Water"),0-1,IF(OR($R488="Dragon",$R488="Electric",$R488="Grass"),1,0)),IF(OR($S488="Flying",$S488="Water"),0-1,IF(OR($S488="Dragon",$S488="Electric",$S488="Grass"),1,0))))</f>
        <v>0</v>
      </c>
      <c r="AG488" s="507" t="n">
        <f aca="false">SUM(IF(OR($R488="Dark",$R488="Dragon",$R488="Fighting"),0-1,IF(OR($R488="Steel",$R488="Poison",$R488="Fire"),1,0)),IF(OR($S488="Dark",$S488="Dragon",$S488="Fighting"),0-1,IF(OR($S488="Steel",$S488="Poison",$S488="Fire"),1,0)))</f>
        <v>-1</v>
      </c>
      <c r="AH488" s="507" t="n">
        <f aca="false">IF(OR($R488="Ghost",$S488="Ghost"),4,SUM(IF(OR($R488="Dark",$R488="Ice",$R488="Normal",$R488="Rock",$R488="Steel"),0-1,IF(OR($R488="Bug",$R488="Fairy",$R488="Flying",$R488="Poison",$R488="Psychic"),1,0)),IF(OR($S488="Dark",$S488="Ice",$S488="Normal",$S488="Rock",$S488="Steel"),0-1,IF(OR($S488="Bug",$S488="Fairy",$S488="Flying",$S488="Poison",$S488="Psychic"),1,0))))</f>
        <v>-2</v>
      </c>
      <c r="AI488" s="507" t="n">
        <f aca="false">SUM(IF(OR($R488="Bug",$R488="Grass",$R488="Ice",$R488="Steel"),0-1,IF(OR($R488="Dragon",$R488="Fire",$R488="Rock",$R488="Water"),1,0)),IF(OR($S488="Bug",$S488="Grass",$S488="Ice",$S488="Steel"),0-1,IF(OR($S488="Dragon",$S488="Fire",$S488="Rock",$S488="Water"),1,0)))</f>
        <v>1</v>
      </c>
      <c r="AJ488" s="507" t="n">
        <f aca="false">SUM(IF(OR($R488="Bug",$R488="Grass",$R488="Fighting"),0-1,IF(OR($R488="Electric",$R488="Rock",$R488="Steel"),1,0)),IF(OR($S488="Bug",$S488="Grass",$S488="Fighting"),0-1,IF(OR($S488="Electric",$S488="Rock",$S488="Steel"),1,0)))</f>
        <v>1</v>
      </c>
      <c r="AK488" s="507" t="n">
        <f aca="false">IF(OR($R488="Normal",$S488="Normal"),4,SUM(IF(OR($R488="Ghost",$R488="Psychic"),0-1,IF($R488="Dark",1,0)),IF(OR($S488="Ghost",$S488="Psychic"),0-1,IF($S488="Dark",1,0))))</f>
        <v>1</v>
      </c>
      <c r="AL488" s="507" t="n">
        <f aca="false">SUM(IF(OR($R488="Ground",$R488="Rock",$R488="Water"),0-1,IF(OR($R488="Bug",$R488="Flying",$R488="Fire",$R488="Dragon",$R488="Poison",$R488="Steel",$R488="Grass"),1,0)),IF(OR($S488="Ground",$S488="Rock",$S488="Water"),0-1,IF(OR($S488="Bug",$S488="Flying",$S488="Fire",$S488="Dragon",$S488="Poison",$S488="Steel",$S488="Grass"),1,0)))</f>
        <v>-1</v>
      </c>
      <c r="AM488" s="507" t="n">
        <f aca="false">IF(OR($R488="Flying",$S488="Flying"),4,SUM(IF(OR($R488="Electric",$R488="Fire",$R488="Rock",$R488="Steel",$R488="Poison"),0-1,IF(OR($R488="Bug",$R488="Grass"),1,0)),IF(OR($S488="Electric",$S488="Fire",$S488="Rock",$S488="Steel",$S488="Poison"),0-1,IF(OR($S488="Bug",$S488="Grass"),1,0))))</f>
        <v>-1</v>
      </c>
      <c r="AN488" s="507" t="n">
        <f aca="false">SUM(IF(OR($R488="Flying",$R488="Dragon",$R488="Grass",$R488="Ground"),0-1,IF(OR($R488="Steel",$R488="Ice",$R488="Fire",$R488="Water"),1,0)),IF(OR($S488="Flying",$S488="Dragon",$S488="Grass",$S488="Ground"),0-1,IF(OR($S488="Steel",$S488="Ice",$S488="Fire",$S488="Water"),1,0)))</f>
        <v>0</v>
      </c>
      <c r="AO488" s="507" t="n">
        <f aca="false">IF(OR($R488="Ghost",$S488="Ghost"),4,SUM(IF(OR($R488="Steel",$R488="Rock"),1,0),IF(OR($S488="Steel",$S488="Rock"),1,0)))</f>
        <v>1</v>
      </c>
      <c r="AP488" s="507" t="n">
        <f aca="false">IF(OR($R488="Steel",$S488="Steel"),4,SUM(IF(OR($R488="Fairy",$R488="Grass"),0-1,IF(OR($R488="Ghost",$R488="Rock",$R488="Ground",$R488="Poison"),1,0)),IF(OR($S488="Fairy",$S488="Grass"),0-1,IF(OR($S488="Ghost",$S488="Rock",$S488="Ground",$S488="Poison"),1,0))))</f>
        <v>1</v>
      </c>
      <c r="AQ488" s="507" t="n">
        <f aca="false">IF(OR($R488="Dark",$S488="Dark"),4,SUM(IF(OR($R488="Fighting",$R488="Poison"),0-1,IF(OR($R488="Psychic",$R488="Steel"),1,0)),IF(OR($S488="Fighting",$S488="Poison"),0-1,IF(OR($S488="Psychic",$S488="Steel"),1,0))))</f>
        <v>4</v>
      </c>
      <c r="AR488" s="507" t="n">
        <f aca="false">SUM(IF(OR($R488="Bug",$R488="Fire",$R488="Flying",$R488="Ice"),0-1,IF(OR($R488="Steel",$R488="Fighting",$R488="Ground"),1,0)),IF(OR($S488="Bug",$S488="Fire",$S488="Flying",$S488="Ice"),0-1,IF(OR($S488="Steel",$S488="Fighting",$S488="Ground"),1,0)))</f>
        <v>0</v>
      </c>
      <c r="AS488" s="507" t="n">
        <f aca="false">SUM(IF(OR($R488="Fairy",$R488="Ice",$R488="Rock"),0-1,IF(OR($R488="Steel",$R488="Electric",$R488="Fire",$R488="Water"),1,0)),IF(OR($S488="Fairy",$S488="Ice",$S488="Rock"),0-1,IF(OR($S488="Steel",$S488="Electric",$S488="Fire",$S488="Water"),1,0)))</f>
        <v>-1</v>
      </c>
      <c r="AT488" s="508" t="n">
        <f aca="false">SUM(IF(OR($R488="Fire",$R488="Ground",$R488="Rock"),0-1,IF(OR($R488="Dragon",$R488="Grass",$R488="Water"),1,0)),IF(OR($S488="Fire",$S488="Ground",$S488="Rock"),0-1,IF(OR($S488="Dragon",$S488="Grass",$S488="Water"),1,0)))</f>
        <v>-1</v>
      </c>
      <c r="AU488" s="518"/>
    </row>
    <row r="489" customFormat="false" ht="15.75" hidden="false" customHeight="false" outlineLevel="0" collapsed="false">
      <c r="A489" s="515" t="str">
        <f aca="false" t="array" ref="A489:A489">IF(ISNA(INDEX(Source!$U$7:$U$95,MATCH(B489,Source!$V$7:$V$95,0))),"FREE",INDEX(Source!$U$7:$U$95,MATCH(B489,Source!$V$7:$V$95,0)))</f>
        <v>FREE</v>
      </c>
      <c r="B489" s="511" t="s">
        <v>603</v>
      </c>
      <c r="C489" s="511"/>
      <c r="D489" s="511"/>
      <c r="E489" s="499" t="str">
        <f aca="false">IF(SUM($W489:$X489)&gt;0,SUM($W489:$X489),IF($H489&gt;0,0,IF($H489&gt;0,0,"-")))</f>
        <v>-</v>
      </c>
      <c r="F489" s="499" t="str">
        <f aca="false">IF(SUM($Y489:$Z489)&gt;0,SUM($Y489:$Z489),IF($H489&gt;0,0,"-"))</f>
        <v>-</v>
      </c>
      <c r="G489" s="499" t="str">
        <f aca="false">IF($H489&gt;0,minus(E489,F489),"-")</f>
        <v>-</v>
      </c>
      <c r="H489" s="500" t="n">
        <f aca="false">SUM(COUNTIF(MatchSource!$A:$A,$B489),COUNTIF(MatchSource!$H:$H,$B489))</f>
        <v>0</v>
      </c>
      <c r="I489" s="501" t="n">
        <f aca="false">SUM($AA489:$AB489)</f>
        <v>0</v>
      </c>
      <c r="J489" s="501" t="s">
        <v>700</v>
      </c>
      <c r="K489" s="512" t="str">
        <f aca="false" t="array" ref="K489:K489">IF(ISNA(INDEX(DraftRosters!$AA$3:$AA$199,MATCH($B489,DraftRosters!$AB$3:$AB$199,0))),"FA",IF(INDEX(DraftRosters!$AA$3:$AA$199,MATCH($B489,DraftRosters!$AB$3:$AB$199,0))="Franchise","Franch",INDEX(DraftRosters!$AA$3:$AA$199,MATCH($B489,DraftRosters!$AB$3:$AB$199,0))))</f>
        <v>FA</v>
      </c>
      <c r="L489" s="507" t="n">
        <v>82</v>
      </c>
      <c r="M489" s="507" t="n">
        <v>121</v>
      </c>
      <c r="N489" s="507" t="n">
        <v>119</v>
      </c>
      <c r="O489" s="507" t="n">
        <v>69</v>
      </c>
      <c r="P489" s="507" t="n">
        <v>59</v>
      </c>
      <c r="Q489" s="508" t="n">
        <v>71</v>
      </c>
      <c r="R489" s="499" t="s">
        <v>835</v>
      </c>
      <c r="S489" s="501" t="s">
        <v>809</v>
      </c>
      <c r="T489" s="504" t="s">
        <v>823</v>
      </c>
      <c r="U489" s="505" t="s">
        <v>902</v>
      </c>
      <c r="V489" s="506"/>
      <c r="W489" s="500" t="str">
        <f aca="false">IFERROR(__xludf.dummyfunction("if(isna(SUM(FILTER(MatchSource!$A:$D,MatchSource!$A:$A=$B489))),0,SUM(FILTER(MatchSource!$A:$D,MatchSource!$A:$A=$B489)))"),"0")</f>
        <v>0</v>
      </c>
      <c r="X489" s="499" t="str">
        <f aca="false">IFERROR(__xludf.dummyfunction("if(isna(SUM(FILTER(MatchSource!$H:$K,MatchSource!$H:$H=$B489))),0,SUM(FILTER(MatchSource!$H:$K,MatchSource!$H:$H=$B489)))"),"0")</f>
        <v>0</v>
      </c>
      <c r="Y489" s="499" t="str">
        <f aca="false">IFERROR(__xludf.dummyfunction("if(isna(ABS(MINUS(SUM(FILTER(MatchSource!$A:$E,MatchSource!$A:$A=$B489)),SUM($W489)))),0,ABS(MINUS(SUM(FILTER(MatchSource!$A:$E,MatchSource!$A:$A=$B489)),SUM($W489))))"),"0")</f>
        <v>0</v>
      </c>
      <c r="Z489" s="499" t="str">
        <f aca="false">IFERROR(__xludf.dummyfunction("if(isna(ABS(MINUS(SUM(FILTER(MatchSource!$H:$L,MatchSource!$H:$H=$B489)),SUM($X489)))),0,ABS(MINUS(SUM(FILTER(MatchSource!$H:$L,MatchSource!$H:$H=$B489)),SUM($X489))))"),"0")</f>
        <v>0</v>
      </c>
      <c r="AA489" s="499" t="str">
        <f aca="false">IFERROR(__xludf.dummyfunction("if(isna(ABS(MINUS(SUM(FILTER(MatchSource!$A:$F,MatchSource!$A:$A=$B489)),SUM($W489,$Y489)))),0,ABS(MINUS(SUM(FILTER(MatchSource!$A:$F,MatchSource!$A:$A=$B489)),SUM($W489, $Y489,))))"),"0")</f>
        <v>0</v>
      </c>
      <c r="AB489" s="501" t="str">
        <f aca="false">IFERROR(__xludf.dummyfunction("if(isna(ABS(MINUS(SUM(FILTER(MatchSource!$H:$M,MatchSource!$H:$H=$B489)),SUM($X489,$Z489)))),0,ABS(MINUS(SUM(FILTER(MatchSource!$H:$M,MatchSource!$H:$H=$B489)),SUM($X489,$Z489))))"),"0")</f>
        <v>0</v>
      </c>
      <c r="AC489" s="507" t="n">
        <f aca="false">SUM(IF(OR($R489="Grass",$R489="Psychic",$R489="Dark"),0-1,IF(OR($R489="Fighting",$R489="Flying",$R489="Fire",$R489="Ghost",$R489="Poison",$R489="Steel",$R489="Fairy"),1,0)),IF(OR($S489="Grass",$S489="Psychic",$S489="Dark"),0-1,IF(OR($S489="Fighting",$S489="Flying",$S489="Fire",$S489="Ghost",$S489="Poison",$S489="Steel",$S489="Fairy"),1,0)))</f>
        <v>0</v>
      </c>
      <c r="AD489" s="507" t="n">
        <f aca="false">SUM(IF(OR($R489="Ghost",$R489="Psychic"),0-1,IF(OR($R489="Fighting",$R489="Dark",$R489="Fairy"),1,0)),IF(OR($S489="Ghost",$S489="Psychic"),0-1,IF(OR($S489="Fighting",$S489="Dark",$S489="Fairy"),1,0)))</f>
        <v>0</v>
      </c>
      <c r="AE489" s="507" t="n">
        <f aca="false">IF(OR($R489="Fairy",$S489="Fairy"),4,SUM(IF($R489="Dragon",0-1,IF($R489="Steel",1,0)),IF($S489="Dragon",0-1,IF($S489="Steel",1,0))))</f>
        <v>-1</v>
      </c>
      <c r="AF489" s="507" t="n">
        <f aca="false">IF(OR($R489="Ground",$S489="Ground"),4,SUM(IF(OR($R489="Flying",$R489="Water"),0-1,IF(OR($R489="Dragon",$R489="Electric",$R489="Grass"),1,0)),IF(OR($S489="Flying",$S489="Water"),0-1,IF(OR($S489="Dragon",$S489="Electric",$S489="Grass"),1,0))))</f>
        <v>1</v>
      </c>
      <c r="AG489" s="507" t="n">
        <f aca="false">SUM(IF(OR($R489="Dark",$R489="Dragon",$R489="Fighting"),0-1,IF(OR($R489="Steel",$R489="Poison",$R489="Fire"),1,0)),IF(OR($S489="Dark",$S489="Dragon",$S489="Fighting"),0-1,IF(OR($S489="Steel",$S489="Poison",$S489="Fire"),1,0)))</f>
        <v>-1</v>
      </c>
      <c r="AH489" s="507" t="n">
        <f aca="false">IF(OR($R489="Ghost",$S489="Ghost"),4,SUM(IF(OR($R489="Dark",$R489="Ice",$R489="Normal",$R489="Rock",$R489="Steel"),0-1,IF(OR($R489="Bug",$R489="Fairy",$R489="Flying",$R489="Poison",$R489="Psychic"),1,0)),IF(OR($S489="Dark",$S489="Ice",$S489="Normal",$S489="Rock",$S489="Steel"),0-1,IF(OR($S489="Bug",$S489="Fairy",$S489="Flying",$S489="Poison",$S489="Psychic"),1,0))))</f>
        <v>-1</v>
      </c>
      <c r="AI489" s="507" t="n">
        <f aca="false">SUM(IF(OR($R489="Bug",$R489="Grass",$R489="Ice",$R489="Steel"),0-1,IF(OR($R489="Dragon",$R489="Fire",$R489="Rock",$R489="Water"),1,0)),IF(OR($S489="Bug",$S489="Grass",$S489="Ice",$S489="Steel"),0-1,IF(OR($S489="Dragon",$S489="Fire",$S489="Rock",$S489="Water"),1,0)))</f>
        <v>2</v>
      </c>
      <c r="AJ489" s="507" t="n">
        <f aca="false">SUM(IF(OR($R489="Bug",$R489="Grass",$R489="Fighting"),0-1,IF(OR($R489="Electric",$R489="Rock",$R489="Steel"),1,0)),IF(OR($S489="Bug",$S489="Grass",$S489="Fighting"),0-1,IF(OR($S489="Electric",$S489="Rock",$S489="Steel"),1,0)))</f>
        <v>1</v>
      </c>
      <c r="AK489" s="507" t="n">
        <f aca="false">IF(OR($R489="Normal",$S489="Normal"),4,SUM(IF(OR($R489="Ghost",$R489="Psychic"),0-1,IF($R489="Dark",1,0)),IF(OR($S489="Ghost",$S489="Psychic"),0-1,IF($S489="Dark",1,0))))</f>
        <v>0</v>
      </c>
      <c r="AL489" s="507" t="n">
        <f aca="false">SUM(IF(OR($R489="Ground",$R489="Rock",$R489="Water"),0-1,IF(OR($R489="Bug",$R489="Flying",$R489="Fire",$R489="Dragon",$R489="Poison",$R489="Steel",$R489="Grass"),1,0)),IF(OR($S489="Ground",$S489="Rock",$S489="Water"),0-1,IF(OR($S489="Bug",$S489="Flying",$S489="Fire",$S489="Dragon",$S489="Poison",$S489="Steel",$S489="Grass"),1,0)))</f>
        <v>0</v>
      </c>
      <c r="AM489" s="507" t="n">
        <f aca="false">IF(OR($R489="Flying",$S489="Flying"),4,SUM(IF(OR($R489="Electric",$R489="Fire",$R489="Rock",$R489="Steel",$R489="Poison"),0-1,IF(OR($R489="Bug",$R489="Grass"),1,0)),IF(OR($S489="Electric",$S489="Fire",$S489="Rock",$S489="Steel",$S489="Poison"),0-1,IF(OR($S489="Bug",$S489="Grass"),1,0))))</f>
        <v>-1</v>
      </c>
      <c r="AN489" s="507" t="n">
        <f aca="false">SUM(IF(OR($R489="Flying",$R489="Dragon",$R489="Grass",$R489="Ground"),0-1,IF(OR($R489="Steel",$R489="Ice",$R489="Fire",$R489="Water"),1,0)),IF(OR($S489="Flying",$S489="Dragon",$S489="Grass",$S489="Ground"),0-1,IF(OR($S489="Steel",$S489="Ice",$S489="Fire",$S489="Water"),1,0)))</f>
        <v>-1</v>
      </c>
      <c r="AO489" s="507" t="n">
        <f aca="false">IF(OR($R489="Ghost",$S489="Ghost"),4,SUM(IF(OR($R489="Steel",$R489="Rock"),1,0),IF(OR($S489="Steel",$S489="Rock"),1,0)))</f>
        <v>1</v>
      </c>
      <c r="AP489" s="507" t="n">
        <f aca="false">IF(OR($R489="Steel",$S489="Steel"),4,SUM(IF(OR($R489="Fairy",$R489="Grass"),0-1,IF(OR($R489="Ghost",$R489="Rock",$R489="Ground",$R489="Poison"),1,0)),IF(OR($S489="Fairy",$S489="Grass"),0-1,IF(OR($S489="Ghost",$S489="Rock",$S489="Ground",$S489="Poison"),1,0))))</f>
        <v>1</v>
      </c>
      <c r="AQ489" s="507" t="n">
        <f aca="false">IF(OR($R489="Dark",$S489="Dark"),4,SUM(IF(OR($R489="Fighting",$R489="Poison"),0-1,IF(OR($R489="Psychic",$R489="Steel"),1,0)),IF(OR($S489="Fighting",$S489="Poison"),0-1,IF(OR($S489="Psychic",$S489="Steel"),1,0))))</f>
        <v>0</v>
      </c>
      <c r="AR489" s="507" t="n">
        <f aca="false">SUM(IF(OR($R489="Bug",$R489="Fire",$R489="Flying",$R489="Ice"),0-1,IF(OR($R489="Steel",$R489="Fighting",$R489="Ground"),1,0)),IF(OR($S489="Bug",$S489="Fire",$S489="Flying",$S489="Ice"),0-1,IF(OR($S489="Steel",$S489="Fighting",$S489="Ground"),1,0)))</f>
        <v>0</v>
      </c>
      <c r="AS489" s="507" t="n">
        <f aca="false">SUM(IF(OR($R489="Fairy",$R489="Ice",$R489="Rock"),0-1,IF(OR($R489="Steel",$R489="Electric",$R489="Fire",$R489="Water"),1,0)),IF(OR($S489="Fairy",$S489="Ice",$S489="Rock"),0-1,IF(OR($S489="Steel",$S489="Electric",$S489="Fire",$S489="Water"),1,0)))</f>
        <v>-1</v>
      </c>
      <c r="AT489" s="508" t="n">
        <f aca="false">SUM(IF(OR($R489="Fire",$R489="Ground",$R489="Rock"),0-1,IF(OR($R489="Dragon",$R489="Grass",$R489="Water"),1,0)),IF(OR($S489="Fire",$S489="Ground",$S489="Rock"),0-1,IF(OR($S489="Dragon",$S489="Grass",$S489="Water"),1,0)))</f>
        <v>0</v>
      </c>
      <c r="AU489" s="518"/>
    </row>
    <row r="490" customFormat="false" ht="15.75" hidden="false" customHeight="false" outlineLevel="0" collapsed="false">
      <c r="A490" s="510" t="str">
        <f aca="false" t="array" ref="A490:A490">IF(ISNA(INDEX(Source!$U$7:$U$95,MATCH(B490,Source!$V$7:$V$95,0))),"FREE",INDEX(Source!$U$7:$U$95,MATCH(B490,Source!$V$7:$V$95,0)))</f>
        <v>JVJ</v>
      </c>
      <c r="B490" s="511" t="s">
        <v>20</v>
      </c>
      <c r="C490" s="511"/>
      <c r="D490" s="511"/>
      <c r="E490" s="499" t="n">
        <f aca="false">IF(SUM($W490:$X490)&gt;0,SUM($W490:$X490),IF($H490&gt;0,0,IF($H490&gt;0,0,"-")))</f>
        <v>0</v>
      </c>
      <c r="F490" s="499" t="n">
        <f aca="false">IF(SUM($Y490:$Z490)&gt;0,SUM($Y490:$Z490),IF($H490&gt;0,0,"-"))</f>
        <v>0</v>
      </c>
      <c r="G490" s="499" t="e">
        <f aca="false">IF($H490&gt;0,minus(E490,F490),"-")</f>
        <v>#NAME?</v>
      </c>
      <c r="H490" s="500" t="n">
        <f aca="false">SUM(COUNTIF(MatchSource!$A:$A,$B490),COUNTIF(MatchSource!$H:$H,$B490))</f>
        <v>4</v>
      </c>
      <c r="I490" s="501" t="n">
        <f aca="false">SUM($AA490:$AB490)</f>
        <v>0</v>
      </c>
      <c r="J490" s="501" t="s">
        <v>700</v>
      </c>
      <c r="K490" s="512" t="n">
        <f aca="false" t="array" ref="K490:K490">IF(ISNA(INDEX(DraftRosters!$AA$3:$AA$199,MATCH($B490,DraftRosters!$AB$3:$AB$199,0))),"FA",IF(INDEX(DraftRosters!$AA$3:$AA$199,MATCH($B490,DraftRosters!$AB$3:$AB$199,0))="Franchise","Franch",INDEX(DraftRosters!$AA$3:$AA$199,MATCH($B490,DraftRosters!$AB$3:$AB$199,0))))</f>
        <v>16</v>
      </c>
      <c r="L490" s="507" t="n">
        <v>95</v>
      </c>
      <c r="M490" s="507" t="n">
        <v>65</v>
      </c>
      <c r="N490" s="507" t="n">
        <v>110</v>
      </c>
      <c r="O490" s="507" t="n">
        <v>60</v>
      </c>
      <c r="P490" s="507" t="n">
        <v>130</v>
      </c>
      <c r="Q490" s="508" t="n">
        <v>65</v>
      </c>
      <c r="R490" s="499" t="s">
        <v>795</v>
      </c>
      <c r="S490" s="501"/>
      <c r="T490" s="504" t="s">
        <v>829</v>
      </c>
      <c r="U490" s="505" t="s">
        <v>831</v>
      </c>
      <c r="V490" s="506"/>
      <c r="W490" s="500" t="str">
        <f aca="false">IFERROR(__xludf.dummyfunction("if(isna(SUM(FILTER(MatchSource!$A:$D,MatchSource!$A:$A=$B490))),0,SUM(FILTER(MatchSource!$A:$D,MatchSource!$A:$A=$B490)))"),"2")</f>
        <v>2</v>
      </c>
      <c r="X490" s="499" t="str">
        <f aca="false">IFERROR(__xludf.dummyfunction("if(isna(SUM(FILTER(MatchSource!$H:$K,MatchSource!$H:$H=$B490))),0,SUM(FILTER(MatchSource!$H:$K,MatchSource!$H:$H=$B490)))"),"0")</f>
        <v>0</v>
      </c>
      <c r="Y490" s="499" t="str">
        <f aca="false">IFERROR(__xludf.dummyfunction("if(isna(ABS(MINUS(SUM(FILTER(MatchSource!$A:$E,MatchSource!$A:$A=$B490)),SUM($W490)))),0,ABS(MINUS(SUM(FILTER(MatchSource!$A:$E,MatchSource!$A:$A=$B490)),SUM($W490))))"),"1")</f>
        <v>1</v>
      </c>
      <c r="Z490" s="499" t="str">
        <f aca="false">IFERROR(__xludf.dummyfunction("if(isna(ABS(MINUS(SUM(FILTER(MatchSource!$H:$L,MatchSource!$H:$H=$B490)),SUM($X490)))),0,ABS(MINUS(SUM(FILTER(MatchSource!$H:$L,MatchSource!$H:$H=$B490)),SUM($X490))))"),"0")</f>
        <v>0</v>
      </c>
      <c r="AA490" s="499" t="str">
        <f aca="false">IFERROR(__xludf.dummyfunction("if(isna(ABS(MINUS(SUM(FILTER(MatchSource!$A:$F,MatchSource!$A:$A=$B490)),SUM($W490,$Y490)))),0,ABS(MINUS(SUM(FILTER(MatchSource!$A:$F,MatchSource!$A:$A=$B490)),SUM($W490, $Y490,))))"),"1")</f>
        <v>1</v>
      </c>
      <c r="AB490" s="501" t="str">
        <f aca="false">IFERROR(__xludf.dummyfunction("if(isna(ABS(MINUS(SUM(FILTER(MatchSource!$H:$M,MatchSource!$H:$H=$B490)),SUM($X490,$Z490)))),0,ABS(MINUS(SUM(FILTER(MatchSource!$H:$M,MatchSource!$H:$H=$B490)),SUM($X490,$Z490))))"),"2")</f>
        <v>2</v>
      </c>
      <c r="AC490" s="507" t="n">
        <f aca="false">SUM(IF(OR($R490="Grass",$R490="Psychic",$R490="Dark"),0-1,IF(OR($R490="Fighting",$R490="Flying",$R490="Fire",$R490="Ghost",$R490="Poison",$R490="Steel",$R490="Fairy"),1,0)),IF(OR($S490="Grass",$S490="Psychic",$S490="Dark"),0-1,IF(OR($S490="Fighting",$S490="Flying",$S490="Fire",$S490="Ghost",$S490="Poison",$S490="Steel",$S490="Fairy"),1,0)))</f>
        <v>-1</v>
      </c>
      <c r="AD490" s="507" t="n">
        <f aca="false">SUM(IF(OR($R490="Ghost",$R490="Psychic"),0-1,IF(OR($R490="Fighting",$R490="Dark",$R490="Fairy"),1,0)),IF(OR($S490="Ghost",$S490="Psychic"),0-1,IF(OR($S490="Fighting",$S490="Dark",$S490="Fairy"),1,0)))</f>
        <v>1</v>
      </c>
      <c r="AE490" s="507" t="n">
        <f aca="false">IF(OR($R490="Fairy",$S490="Fairy"),4,SUM(IF($R490="Dragon",0-1,IF($R490="Steel",1,0)),IF($S490="Dragon",0-1,IF($S490="Steel",1,0))))</f>
        <v>0</v>
      </c>
      <c r="AF490" s="507" t="n">
        <f aca="false">IF(OR($R490="Ground",$S490="Ground"),4,SUM(IF(OR($R490="Flying",$R490="Water"),0-1,IF(OR($R490="Dragon",$R490="Electric",$R490="Grass"),1,0)),IF(OR($S490="Flying",$S490="Water"),0-1,IF(OR($S490="Dragon",$S490="Electric",$S490="Grass"),1,0))))</f>
        <v>0</v>
      </c>
      <c r="AG490" s="507" t="n">
        <f aca="false">SUM(IF(OR($R490="Dark",$R490="Dragon",$R490="Fighting"),0-1,IF(OR($R490="Steel",$R490="Poison",$R490="Fire"),1,0)),IF(OR($S490="Dark",$S490="Dragon",$S490="Fighting"),0-1,IF(OR($S490="Steel",$S490="Poison",$S490="Fire"),1,0)))</f>
        <v>-1</v>
      </c>
      <c r="AH490" s="507" t="n">
        <f aca="false">IF(OR($R490="Ghost",$S490="Ghost"),4,SUM(IF(OR($R490="Dark",$R490="Ice",$R490="Normal",$R490="Rock",$R490="Steel"),0-1,IF(OR($R490="Bug",$R490="Fairy",$R490="Flying",$R490="Poison",$R490="Psychic"),1,0)),IF(OR($S490="Dark",$S490="Ice",$S490="Normal",$S490="Rock",$S490="Steel"),0-1,IF(OR($S490="Bug",$S490="Fairy",$S490="Flying",$S490="Poison",$S490="Psychic"),1,0))))</f>
        <v>-1</v>
      </c>
      <c r="AI490" s="507" t="n">
        <f aca="false">SUM(IF(OR($R490="Bug",$R490="Grass",$R490="Ice",$R490="Steel"),0-1,IF(OR($R490="Dragon",$R490="Fire",$R490="Rock",$R490="Water"),1,0)),IF(OR($S490="Bug",$S490="Grass",$S490="Ice",$S490="Steel"),0-1,IF(OR($S490="Dragon",$S490="Fire",$S490="Rock",$S490="Water"),1,0)))</f>
        <v>0</v>
      </c>
      <c r="AJ490" s="507" t="n">
        <f aca="false">SUM(IF(OR($R490="Bug",$R490="Grass",$R490="Fighting"),0-1,IF(OR($R490="Electric",$R490="Rock",$R490="Steel"),1,0)),IF(OR($S490="Bug",$S490="Grass",$S490="Fighting"),0-1,IF(OR($S490="Electric",$S490="Rock",$S490="Steel"),1,0)))</f>
        <v>0</v>
      </c>
      <c r="AK490" s="507" t="n">
        <f aca="false">IF(OR($R490="Normal",$S490="Normal"),4,SUM(IF(OR($R490="Ghost",$R490="Psychic"),0-1,IF($R490="Dark",1,0)),IF(OR($S490="Ghost",$S490="Psychic"),0-1,IF($S490="Dark",1,0))))</f>
        <v>1</v>
      </c>
      <c r="AL490" s="507" t="n">
        <f aca="false">SUM(IF(OR($R490="Ground",$R490="Rock",$R490="Water"),0-1,IF(OR($R490="Bug",$R490="Flying",$R490="Fire",$R490="Dragon",$R490="Poison",$R490="Steel",$R490="Grass"),1,0)),IF(OR($S490="Ground",$S490="Rock",$S490="Water"),0-1,IF(OR($S490="Bug",$S490="Flying",$S490="Fire",$S490="Dragon",$S490="Poison",$S490="Steel",$S490="Grass"),1,0)))</f>
        <v>0</v>
      </c>
      <c r="AM490" s="507" t="n">
        <f aca="false">IF(OR($R490="Flying",$S490="Flying"),4,SUM(IF(OR($R490="Electric",$R490="Fire",$R490="Rock",$R490="Steel",$R490="Poison"),0-1,IF(OR($R490="Bug",$R490="Grass"),1,0)),IF(OR($S490="Electric",$S490="Fire",$S490="Rock",$S490="Steel",$S490="Poison"),0-1,IF(OR($S490="Bug",$S490="Grass"),1,0))))</f>
        <v>0</v>
      </c>
      <c r="AN490" s="507" t="n">
        <f aca="false">SUM(IF(OR($R490="Flying",$R490="Dragon",$R490="Grass",$R490="Ground"),0-1,IF(OR($R490="Steel",$R490="Ice",$R490="Fire",$R490="Water"),1,0)),IF(OR($S490="Flying",$S490="Dragon",$S490="Grass",$S490="Ground"),0-1,IF(OR($S490="Steel",$S490="Ice",$S490="Fire",$S490="Water"),1,0)))</f>
        <v>0</v>
      </c>
      <c r="AO490" s="507" t="n">
        <f aca="false">IF(OR($R490="Ghost",$S490="Ghost"),4,SUM(IF(OR($R490="Steel",$R490="Rock"),1,0),IF(OR($S490="Steel",$S490="Rock"),1,0)))</f>
        <v>0</v>
      </c>
      <c r="AP490" s="507" t="n">
        <f aca="false">IF(OR($R490="Steel",$S490="Steel"),4,SUM(IF(OR($R490="Fairy",$R490="Grass"),0-1,IF(OR($R490="Ghost",$R490="Rock",$R490="Ground",$R490="Poison"),1,0)),IF(OR($S490="Fairy",$S490="Grass"),0-1,IF(OR($S490="Ghost",$S490="Rock",$S490="Ground",$S490="Poison"),1,0))))</f>
        <v>0</v>
      </c>
      <c r="AQ490" s="507" t="n">
        <f aca="false">IF(OR($R490="Dark",$S490="Dark"),4,SUM(IF(OR($R490="Fighting",$R490="Poison"),0-1,IF(OR($R490="Psychic",$R490="Steel"),1,0)),IF(OR($S490="Fighting",$S490="Poison"),0-1,IF(OR($S490="Psychic",$S490="Steel"),1,0))))</f>
        <v>4</v>
      </c>
      <c r="AR490" s="507" t="n">
        <f aca="false">SUM(IF(OR($R490="Bug",$R490="Fire",$R490="Flying",$R490="Ice"),0-1,IF(OR($R490="Steel",$R490="Fighting",$R490="Ground"),1,0)),IF(OR($S490="Bug",$S490="Fire",$S490="Flying",$S490="Ice"),0-1,IF(OR($S490="Steel",$S490="Fighting",$S490="Ground"),1,0)))</f>
        <v>0</v>
      </c>
      <c r="AS490" s="507" t="n">
        <f aca="false">SUM(IF(OR($R490="Fairy",$R490="Ice",$R490="Rock"),0-1,IF(OR($R490="Steel",$R490="Electric",$R490="Fire",$R490="Water"),1,0)),IF(OR($S490="Fairy",$S490="Ice",$S490="Rock"),0-1,IF(OR($S490="Steel",$S490="Electric",$S490="Fire",$S490="Water"),1,0)))</f>
        <v>0</v>
      </c>
      <c r="AT490" s="508" t="n">
        <f aca="false">SUM(IF(OR($R490="Fire",$R490="Ground",$R490="Rock"),0-1,IF(OR($R490="Dragon",$R490="Grass",$R490="Water"),1,0)),IF(OR($S490="Fire",$S490="Ground",$S490="Rock"),0-1,IF(OR($S490="Dragon",$S490="Grass",$S490="Water"),1,0)))</f>
        <v>0</v>
      </c>
      <c r="AU490" s="518"/>
    </row>
    <row r="491" customFormat="false" ht="15.75" hidden="false" customHeight="false" outlineLevel="0" collapsed="false">
      <c r="A491" s="510" t="str">
        <f aca="false" t="array" ref="A491:A491">IF(ISNA(INDEX(Source!$U$7:$U$95,MATCH(B491,Source!$V$7:$V$95,0))),"FREE",INDEX(Source!$U$7:$U$95,MATCH(B491,Source!$V$7:$V$95,0)))</f>
        <v>FREE</v>
      </c>
      <c r="B491" s="511" t="s">
        <v>651</v>
      </c>
      <c r="C491" s="511"/>
      <c r="D491" s="511"/>
      <c r="E491" s="499" t="str">
        <f aca="false">IF(SUM($W491:$X491)&gt;0,SUM($W491:$X491),IF($H491&gt;0,0,IF($H491&gt;0,0,"-")))</f>
        <v>-</v>
      </c>
      <c r="F491" s="499" t="str">
        <f aca="false">IF(SUM($Y491:$Z491)&gt;0,SUM($Y491:$Z491),IF($H491&gt;0,0,"-"))</f>
        <v>-</v>
      </c>
      <c r="G491" s="499" t="str">
        <f aca="false">IF($H491&gt;0,minus(E491,F491),"-")</f>
        <v>-</v>
      </c>
      <c r="H491" s="500" t="n">
        <f aca="false">SUM(COUNTIF(MatchSource!$A:$A,$B491),COUNTIF(MatchSource!$H:$H,$B491))</f>
        <v>0</v>
      </c>
      <c r="I491" s="501" t="n">
        <f aca="false">SUM($AA491:$AB491)</f>
        <v>0</v>
      </c>
      <c r="J491" s="501" t="s">
        <v>702</v>
      </c>
      <c r="K491" s="512" t="str">
        <f aca="false" t="array" ref="K491:K491">IF(ISNA(INDEX(DraftRosters!$AA$3:$AA$199,MATCH($B491,DraftRosters!$AB$3:$AB$199,0))),"FA",IF(INDEX(DraftRosters!$AA$3:$AA$199,MATCH($B491,DraftRosters!$AB$3:$AB$199,0))="Franchise","Franch",INDEX(DraftRosters!$AA$3:$AA$199,MATCH($B491,DraftRosters!$AB$3:$AB$199,0))))</f>
        <v>FA</v>
      </c>
      <c r="L491" s="499" t="n">
        <v>80</v>
      </c>
      <c r="M491" s="499" t="n">
        <v>115</v>
      </c>
      <c r="N491" s="499" t="n">
        <v>80</v>
      </c>
      <c r="O491" s="499" t="n">
        <v>65</v>
      </c>
      <c r="P491" s="499" t="n">
        <v>55</v>
      </c>
      <c r="Q491" s="501" t="n">
        <v>93</v>
      </c>
      <c r="R491" s="499" t="s">
        <v>801</v>
      </c>
      <c r="S491" s="501" t="s">
        <v>839</v>
      </c>
      <c r="T491" s="504" t="s">
        <v>917</v>
      </c>
      <c r="U491" s="505" t="s">
        <v>817</v>
      </c>
      <c r="V491" s="506" t="s">
        <v>877</v>
      </c>
      <c r="W491" s="500" t="str">
        <f aca="false">IFERROR(__xludf.dummyfunction("if(isna(SUM(FILTER(MatchSource!$A:$D,MatchSource!$A:$A=$B491))),0,SUM(FILTER(MatchSource!$A:$D,MatchSource!$A:$A=$B491)))"),"0")</f>
        <v>0</v>
      </c>
      <c r="X491" s="499" t="str">
        <f aca="false">IFERROR(__xludf.dummyfunction("if(isna(SUM(FILTER(MatchSource!$H:$K,MatchSource!$H:$H=$B491))),0,SUM(FILTER(MatchSource!$H:$K,MatchSource!$H:$H=$B491)))"),"0")</f>
        <v>0</v>
      </c>
      <c r="Y491" s="499" t="str">
        <f aca="false">IFERROR(__xludf.dummyfunction("if(isna(ABS(MINUS(SUM(FILTER(MatchSource!$A:$E,MatchSource!$A:$A=$B491)),SUM($W491)))),0,ABS(MINUS(SUM(FILTER(MatchSource!$A:$E,MatchSource!$A:$A=$B491)),SUM($W491))))"),"0")</f>
        <v>0</v>
      </c>
      <c r="Z491" s="499" t="str">
        <f aca="false">IFERROR(__xludf.dummyfunction("if(isna(ABS(MINUS(SUM(FILTER(MatchSource!$H:$L,MatchSource!$H:$H=$B491)),SUM($X491)))),0,ABS(MINUS(SUM(FILTER(MatchSource!$H:$L,MatchSource!$H:$H=$B491)),SUM($X491))))"),"0")</f>
        <v>0</v>
      </c>
      <c r="AA491" s="499" t="str">
        <f aca="false">IFERROR(__xludf.dummyfunction("if(isna(ABS(MINUS(SUM(FILTER(MatchSource!$A:$F,MatchSource!$A:$A=$B491)),SUM($W491,$Y491)))),0,ABS(MINUS(SUM(FILTER(MatchSource!$A:$F,MatchSource!$A:$A=$B491)),SUM($W491, $Y491,))))"),"0")</f>
        <v>0</v>
      </c>
      <c r="AB491" s="501" t="str">
        <f aca="false">IFERROR(__xludf.dummyfunction("if(isna(ABS(MINUS(SUM(FILTER(MatchSource!$H:$M,MatchSource!$H:$H=$B491)),SUM($X491,$Z491)))),0,ABS(MINUS(SUM(FILTER(MatchSource!$H:$M,MatchSource!$H:$H=$B491)),SUM($X491,$Z491))))"),"0")</f>
        <v>0</v>
      </c>
      <c r="AC491" s="507" t="n">
        <f aca="false">SUM(IF(OR($R491="Grass",$R491="Psychic",$R491="Dark"),0-1,IF(OR($R491="Fighting",$R491="Flying",$R491="Fire",$R491="Ghost",$R491="Poison",$R491="Steel",$R491="Fairy"),1,0)),IF(OR($S491="Grass",$S491="Psychic",$S491="Dark"),0-1,IF(OR($S491="Fighting",$S491="Flying",$S491="Fire",$S491="Ghost",$S491="Poison",$S491="Steel",$S491="Fairy"),1,0)))</f>
        <v>1</v>
      </c>
      <c r="AD491" s="507" t="n">
        <f aca="false">SUM(IF(OR($R491="Ghost",$R491="Psychic"),0-1,IF(OR($R491="Fighting",$R491="Dark",$R491="Fairy"),1,0)),IF(OR($S491="Ghost",$S491="Psychic"),0-1,IF(OR($S491="Fighting",$S491="Dark",$S491="Fairy"),1,0)))</f>
        <v>0</v>
      </c>
      <c r="AE491" s="507" t="n">
        <f aca="false">IF(OR($R491="Fairy",$S491="Fairy"),4,SUM(IF($R491="Dragon",0-1,IF($R491="Steel",1,0)),IF($S491="Dragon",0-1,IF($S491="Steel",1,0))))</f>
        <v>0</v>
      </c>
      <c r="AF491" s="507" t="n">
        <f aca="false">IF(OR($R491="Ground",$S491="Ground"),4,SUM(IF(OR($R491="Flying",$R491="Water"),0-1,IF(OR($R491="Dragon",$R491="Electric",$R491="Grass"),1,0)),IF(OR($S491="Flying",$S491="Water"),0-1,IF(OR($S491="Dragon",$S491="Electric",$S491="Grass"),1,0))))</f>
        <v>-1</v>
      </c>
      <c r="AG491" s="507" t="n">
        <f aca="false">SUM(IF(OR($R491="Dark",$R491="Dragon",$R491="Fighting"),0-1,IF(OR($R491="Steel",$R491="Poison",$R491="Fire"),1,0)),IF(OR($S491="Dark",$S491="Dragon",$S491="Fighting"),0-1,IF(OR($S491="Steel",$S491="Poison",$S491="Fire"),1,0)))</f>
        <v>0</v>
      </c>
      <c r="AH491" s="507" t="n">
        <f aca="false">IF(OR($R491="Ghost",$S491="Ghost"),4,SUM(IF(OR($R491="Dark",$R491="Ice",$R491="Normal",$R491="Rock",$R491="Steel"),0-1,IF(OR($R491="Bug",$R491="Fairy",$R491="Flying",$R491="Poison",$R491="Psychic"),1,0)),IF(OR($S491="Dark",$S491="Ice",$S491="Normal",$S491="Rock",$S491="Steel"),0-1,IF(OR($S491="Bug",$S491="Fairy",$S491="Flying",$S491="Poison",$S491="Psychic"),1,0))))</f>
        <v>0</v>
      </c>
      <c r="AI491" s="507" t="n">
        <f aca="false">SUM(IF(OR($R491="Bug",$R491="Grass",$R491="Ice",$R491="Steel"),0-1,IF(OR($R491="Dragon",$R491="Fire",$R491="Rock",$R491="Water"),1,0)),IF(OR($S491="Bug",$S491="Grass",$S491="Ice",$S491="Steel"),0-1,IF(OR($S491="Dragon",$S491="Fire",$S491="Rock",$S491="Water"),1,0)))</f>
        <v>0</v>
      </c>
      <c r="AJ491" s="507" t="n">
        <f aca="false">SUM(IF(OR($R491="Bug",$R491="Grass",$R491="Fighting"),0-1,IF(OR($R491="Electric",$R491="Rock",$R491="Steel"),1,0)),IF(OR($S491="Bug",$S491="Grass",$S491="Fighting"),0-1,IF(OR($S491="Electric",$S491="Rock",$S491="Steel"),1,0)))</f>
        <v>0</v>
      </c>
      <c r="AK491" s="507" t="n">
        <f aca="false">IF(OR($R491="Normal",$S491="Normal"),4,SUM(IF(OR($R491="Ghost",$R491="Psychic"),0-1,IF($R491="Dark",1,0)),IF(OR($S491="Ghost",$S491="Psychic"),0-1,IF($S491="Dark",1,0))))</f>
        <v>4</v>
      </c>
      <c r="AL491" s="507" t="n">
        <f aca="false">SUM(IF(OR($R491="Ground",$R491="Rock",$R491="Water"),0-1,IF(OR($R491="Bug",$R491="Flying",$R491="Fire",$R491="Dragon",$R491="Poison",$R491="Steel",$R491="Grass"),1,0)),IF(OR($S491="Ground",$S491="Rock",$S491="Water"),0-1,IF(OR($S491="Bug",$S491="Flying",$S491="Fire",$S491="Dragon",$S491="Poison",$S491="Steel",$S491="Grass"),1,0)))</f>
        <v>1</v>
      </c>
      <c r="AM491" s="507" t="n">
        <f aca="false">IF(OR($R491="Flying",$S491="Flying"),4,SUM(IF(OR($R491="Electric",$R491="Fire",$R491="Rock",$R491="Steel",$R491="Poison"),0-1,IF(OR($R491="Bug",$R491="Grass"),1,0)),IF(OR($S491="Electric",$S491="Fire",$S491="Rock",$S491="Steel",$S491="Poison"),0-1,IF(OR($S491="Bug",$S491="Grass"),1,0))))</f>
        <v>4</v>
      </c>
      <c r="AN491" s="507" t="n">
        <f aca="false">SUM(IF(OR($R491="Flying",$R491="Dragon",$R491="Grass",$R491="Ground"),0-1,IF(OR($R491="Steel",$R491="Ice",$R491="Fire",$R491="Water"),1,0)),IF(OR($S491="Flying",$S491="Dragon",$S491="Grass",$S491="Ground"),0-1,IF(OR($S491="Steel",$S491="Ice",$S491="Fire",$S491="Water"),1,0)))</f>
        <v>-1</v>
      </c>
      <c r="AO491" s="507" t="n">
        <f aca="false">IF(OR($R491="Ghost",$S491="Ghost"),4,SUM(IF(OR($R491="Steel",$R491="Rock"),1,0),IF(OR($S491="Steel",$S491="Rock"),1,0)))</f>
        <v>0</v>
      </c>
      <c r="AP491" s="507" t="n">
        <f aca="false">IF(OR($R491="Steel",$S491="Steel"),4,SUM(IF(OR($R491="Fairy",$R491="Grass"),0-1,IF(OR($R491="Ghost",$R491="Rock",$R491="Ground",$R491="Poison"),1,0)),IF(OR($S491="Fairy",$S491="Grass"),0-1,IF(OR($S491="Ghost",$S491="Rock",$S491="Ground",$S491="Poison"),1,0))))</f>
        <v>0</v>
      </c>
      <c r="AQ491" s="507" t="n">
        <f aca="false">IF(OR($R491="Dark",$S491="Dark"),4,SUM(IF(OR($R491="Fighting",$R491="Poison"),0-1,IF(OR($R491="Psychic",$R491="Steel"),1,0)),IF(OR($S491="Fighting",$S491="Poison"),0-1,IF(OR($S491="Psychic",$S491="Steel"),1,0))))</f>
        <v>0</v>
      </c>
      <c r="AR491" s="507" t="n">
        <f aca="false">SUM(IF(OR($R491="Bug",$R491="Fire",$R491="Flying",$R491="Ice"),0-1,IF(OR($R491="Steel",$R491="Fighting",$R491="Ground"),1,0)),IF(OR($S491="Bug",$S491="Fire",$S491="Flying",$S491="Ice"),0-1,IF(OR($S491="Steel",$S491="Fighting",$S491="Ground"),1,0)))</f>
        <v>-1</v>
      </c>
      <c r="AS491" s="507" t="n">
        <f aca="false">SUM(IF(OR($R491="Fairy",$R491="Ice",$R491="Rock"),0-1,IF(OR($R491="Steel",$R491="Electric",$R491="Fire",$R491="Water"),1,0)),IF(OR($S491="Fairy",$S491="Ice",$S491="Rock"),0-1,IF(OR($S491="Steel",$S491="Electric",$S491="Fire",$S491="Water"),1,0)))</f>
        <v>0</v>
      </c>
      <c r="AT491" s="508" t="n">
        <f aca="false">SUM(IF(OR($R491="Fire",$R491="Ground",$R491="Rock"),0-1,IF(OR($R491="Dragon",$R491="Grass",$R491="Water"),1,0)),IF(OR($S491="Fire",$S491="Ground",$S491="Rock"),0-1,IF(OR($S491="Dragon",$S491="Grass",$S491="Water"),1,0)))</f>
        <v>0</v>
      </c>
      <c r="AU491" s="518"/>
    </row>
    <row r="492" customFormat="false" ht="15.75" hidden="false" customHeight="false" outlineLevel="0" collapsed="false">
      <c r="A492" s="510" t="str">
        <f aca="false" t="array" ref="A492:A492">IF(ISNA(INDEX(Source!$U$7:$U$95,MATCH(B492,Source!$V$7:$V$95,0))),"FREE",INDEX(Source!$U$7:$U$95,MATCH(B492,Source!$V$7:$V$95,0)))</f>
        <v>FREE</v>
      </c>
      <c r="B492" s="511" t="s">
        <v>653</v>
      </c>
      <c r="C492" s="511"/>
      <c r="D492" s="511"/>
      <c r="E492" s="499" t="str">
        <f aca="false">IF(SUM($W492:$X492)&gt;0,SUM($W492:$X492),IF($H492&gt;0,0,IF($H492&gt;0,0,"-")))</f>
        <v>-</v>
      </c>
      <c r="F492" s="499" t="str">
        <f aca="false">IF(SUM($Y492:$Z492)&gt;0,SUM($Y492:$Z492),IF($H492&gt;0,0,"-"))</f>
        <v>-</v>
      </c>
      <c r="G492" s="499" t="str">
        <f aca="false">IF($H492&gt;0,minus(E492,F492),"-")</f>
        <v>-</v>
      </c>
      <c r="H492" s="500" t="n">
        <f aca="false">SUM(COUNTIF(MatchSource!$A:$A,$B492),COUNTIF(MatchSource!$H:$H,$B492))</f>
        <v>0</v>
      </c>
      <c r="I492" s="501" t="n">
        <f aca="false">SUM($AA492:$AB492)</f>
        <v>0</v>
      </c>
      <c r="J492" s="501" t="s">
        <v>702</v>
      </c>
      <c r="K492" s="512" t="str">
        <f aca="false" t="array" ref="K492:K492">IF(ISNA(INDEX(DraftRosters!$AA$3:$AA$199,MATCH($B492,DraftRosters!$AB$3:$AB$199,0))),"FA",IF(INDEX(DraftRosters!$AA$3:$AA$199,MATCH($B492,DraftRosters!$AB$3:$AB$199,0))="Franchise","Franch",INDEX(DraftRosters!$AA$3:$AA$199,MATCH($B492,DraftRosters!$AB$3:$AB$199,0))))</f>
        <v>FA</v>
      </c>
      <c r="L492" s="499" t="n">
        <v>48</v>
      </c>
      <c r="M492" s="499" t="n">
        <v>72</v>
      </c>
      <c r="N492" s="499" t="n">
        <v>48</v>
      </c>
      <c r="O492" s="499" t="n">
        <v>72</v>
      </c>
      <c r="P492" s="499" t="n">
        <v>48</v>
      </c>
      <c r="Q492" s="501" t="n">
        <v>48</v>
      </c>
      <c r="R492" s="499" t="s">
        <v>828</v>
      </c>
      <c r="S492" s="501"/>
      <c r="T492" s="504" t="s">
        <v>866</v>
      </c>
      <c r="U492" s="505"/>
      <c r="V492" s="506"/>
      <c r="W492" s="500" t="str">
        <f aca="false">IFERROR(__xludf.dummyfunction("if(isna(SUM(FILTER(MatchSource!$A:$D,MatchSource!$A:$A=$B492))),0,SUM(FILTER(MatchSource!$A:$D,MatchSource!$A:$A=$B492)))"),"0")</f>
        <v>0</v>
      </c>
      <c r="X492" s="499" t="str">
        <f aca="false">IFERROR(__xludf.dummyfunction("if(isna(SUM(FILTER(MatchSource!$H:$K,MatchSource!$H:$H=$B492))),0,SUM(FILTER(MatchSource!$H:$K,MatchSource!$H:$H=$B492)))"),"0")</f>
        <v>0</v>
      </c>
      <c r="Y492" s="499" t="str">
        <f aca="false">IFERROR(__xludf.dummyfunction("if(isna(ABS(MINUS(SUM(FILTER(MatchSource!$A:$E,MatchSource!$A:$A=$B492)),SUM($W492)))),0,ABS(MINUS(SUM(FILTER(MatchSource!$A:$E,MatchSource!$A:$A=$B492)),SUM($W492))))"),"0")</f>
        <v>0</v>
      </c>
      <c r="Z492" s="499" t="str">
        <f aca="false">IFERROR(__xludf.dummyfunction("if(isna(ABS(MINUS(SUM(FILTER(MatchSource!$H:$L,MatchSource!$H:$H=$B492)),SUM($X492)))),0,ABS(MINUS(SUM(FILTER(MatchSource!$H:$L,MatchSource!$H:$H=$B492)),SUM($X492))))"),"0")</f>
        <v>0</v>
      </c>
      <c r="AA492" s="499" t="str">
        <f aca="false">IFERROR(__xludf.dummyfunction("if(isna(ABS(MINUS(SUM(FILTER(MatchSource!$A:$F,MatchSource!$A:$A=$B492)),SUM($W492,$Y492)))),0,ABS(MINUS(SUM(FILTER(MatchSource!$A:$F,MatchSource!$A:$A=$B492)),SUM($W492, $Y492,))))"),"0")</f>
        <v>0</v>
      </c>
      <c r="AB492" s="501" t="str">
        <f aca="false">IFERROR(__xludf.dummyfunction("if(isna(ABS(MINUS(SUM(FILTER(MatchSource!$H:$M,MatchSource!$H:$H=$B492)),SUM($X492,$Z492)))),0,ABS(MINUS(SUM(FILTER(MatchSource!$H:$M,MatchSource!$H:$H=$B492)),SUM($X492,$Z492))))"),"0")</f>
        <v>0</v>
      </c>
      <c r="AC492" s="507" t="n">
        <f aca="false">SUM(IF(OR($R492="Grass",$R492="Psychic",$R492="Dark"),0-1,IF(OR($R492="Fighting",$R492="Flying",$R492="Fire",$R492="Ghost",$R492="Poison",$R492="Steel",$R492="Fairy"),1,0)),IF(OR($S492="Grass",$S492="Psychic",$S492="Dark"),0-1,IF(OR($S492="Fighting",$S492="Flying",$S492="Fire",$S492="Ghost",$S492="Poison",$S492="Steel",$S492="Fairy"),1,0)))</f>
        <v>-1</v>
      </c>
      <c r="AD492" s="507" t="n">
        <f aca="false">SUM(IF(OR($R492="Ghost",$R492="Psychic"),0-1,IF(OR($R492="Fighting",$R492="Dark",$R492="Fairy"),1,0)),IF(OR($S492="Ghost",$S492="Psychic"),0-1,IF(OR($S492="Fighting",$S492="Dark",$S492="Fairy"),1,0)))</f>
        <v>-1</v>
      </c>
      <c r="AE492" s="507" t="n">
        <f aca="false">IF(OR($R492="Fairy",$S492="Fairy"),4,SUM(IF($R492="Dragon",0-1,IF($R492="Steel",1,0)),IF($S492="Dragon",0-1,IF($S492="Steel",1,0))))</f>
        <v>0</v>
      </c>
      <c r="AF492" s="507" t="n">
        <f aca="false">IF(OR($R492="Ground",$S492="Ground"),4,SUM(IF(OR($R492="Flying",$R492="Water"),0-1,IF(OR($R492="Dragon",$R492="Electric",$R492="Grass"),1,0)),IF(OR($S492="Flying",$S492="Water"),0-1,IF(OR($S492="Dragon",$S492="Electric",$S492="Grass"),1,0))))</f>
        <v>0</v>
      </c>
      <c r="AG492" s="507" t="n">
        <f aca="false">SUM(IF(OR($R492="Dark",$R492="Dragon",$R492="Fighting"),0-1,IF(OR($R492="Steel",$R492="Poison",$R492="Fire"),1,0)),IF(OR($S492="Dark",$S492="Dragon",$S492="Fighting"),0-1,IF(OR($S492="Steel",$S492="Poison",$S492="Fire"),1,0)))</f>
        <v>0</v>
      </c>
      <c r="AH492" s="507" t="n">
        <f aca="false">IF(OR($R492="Ghost",$S492="Ghost"),4,SUM(IF(OR($R492="Dark",$R492="Ice",$R492="Normal",$R492="Rock",$R492="Steel"),0-1,IF(OR($R492="Bug",$R492="Fairy",$R492="Flying",$R492="Poison",$R492="Psychic"),1,0)),IF(OR($S492="Dark",$S492="Ice",$S492="Normal",$S492="Rock",$S492="Steel"),0-1,IF(OR($S492="Bug",$S492="Fairy",$S492="Flying",$S492="Poison",$S492="Psychic"),1,0))))</f>
        <v>1</v>
      </c>
      <c r="AI492" s="507" t="n">
        <f aca="false">SUM(IF(OR($R492="Bug",$R492="Grass",$R492="Ice",$R492="Steel"),0-1,IF(OR($R492="Dragon",$R492="Fire",$R492="Rock",$R492="Water"),1,0)),IF(OR($S492="Bug",$S492="Grass",$S492="Ice",$S492="Steel"),0-1,IF(OR($S492="Dragon",$S492="Fire",$S492="Rock",$S492="Water"),1,0)))</f>
        <v>0</v>
      </c>
      <c r="AJ492" s="507" t="n">
        <f aca="false">SUM(IF(OR($R492="Bug",$R492="Grass",$R492="Fighting"),0-1,IF(OR($R492="Electric",$R492="Rock",$R492="Steel"),1,0)),IF(OR($S492="Bug",$S492="Grass",$S492="Fighting"),0-1,IF(OR($S492="Electric",$S492="Rock",$S492="Steel"),1,0)))</f>
        <v>0</v>
      </c>
      <c r="AK492" s="507" t="n">
        <f aca="false">IF(OR($R492="Normal",$S492="Normal"),4,SUM(IF(OR($R492="Ghost",$R492="Psychic"),0-1,IF($R492="Dark",1,0)),IF(OR($S492="Ghost",$S492="Psychic"),0-1,IF($S492="Dark",1,0))))</f>
        <v>-1</v>
      </c>
      <c r="AL492" s="507" t="n">
        <f aca="false">SUM(IF(OR($R492="Ground",$R492="Rock",$R492="Water"),0-1,IF(OR($R492="Bug",$R492="Flying",$R492="Fire",$R492="Dragon",$R492="Poison",$R492="Steel",$R492="Grass"),1,0)),IF(OR($S492="Ground",$S492="Rock",$S492="Water"),0-1,IF(OR($S492="Bug",$S492="Flying",$S492="Fire",$S492="Dragon",$S492="Poison",$S492="Steel",$S492="Grass"),1,0)))</f>
        <v>0</v>
      </c>
      <c r="AM492" s="507" t="n">
        <f aca="false">IF(OR($R492="Flying",$S492="Flying"),4,SUM(IF(OR($R492="Electric",$R492="Fire",$R492="Rock",$R492="Steel",$R492="Poison"),0-1,IF(OR($R492="Bug",$R492="Grass"),1,0)),IF(OR($S492="Electric",$S492="Fire",$S492="Rock",$S492="Steel",$S492="Poison"),0-1,IF(OR($S492="Bug",$S492="Grass"),1,0))))</f>
        <v>0</v>
      </c>
      <c r="AN492" s="507" t="n">
        <f aca="false">SUM(IF(OR($R492="Flying",$R492="Dragon",$R492="Grass",$R492="Ground"),0-1,IF(OR($R492="Steel",$R492="Ice",$R492="Fire",$R492="Water"),1,0)),IF(OR($S492="Flying",$S492="Dragon",$S492="Grass",$S492="Ground"),0-1,IF(OR($S492="Steel",$S492="Ice",$S492="Fire",$S492="Water"),1,0)))</f>
        <v>0</v>
      </c>
      <c r="AO492" s="507" t="n">
        <f aca="false">IF(OR($R492="Ghost",$S492="Ghost"),4,SUM(IF(OR($R492="Steel",$R492="Rock"),1,0),IF(OR($S492="Steel",$S492="Rock"),1,0)))</f>
        <v>0</v>
      </c>
      <c r="AP492" s="507" t="n">
        <f aca="false">IF(OR($R492="Steel",$S492="Steel"),4,SUM(IF(OR($R492="Fairy",$R492="Grass"),0-1,IF(OR($R492="Ghost",$R492="Rock",$R492="Ground",$R492="Poison"),1,0)),IF(OR($S492="Fairy",$S492="Grass"),0-1,IF(OR($S492="Ghost",$S492="Rock",$S492="Ground",$S492="Poison"),1,0))))</f>
        <v>0</v>
      </c>
      <c r="AQ492" s="507" t="n">
        <f aca="false">IF(OR($R492="Dark",$S492="Dark"),4,SUM(IF(OR($R492="Fighting",$R492="Poison"),0-1,IF(OR($R492="Psychic",$R492="Steel"),1,0)),IF(OR($S492="Fighting",$S492="Poison"),0-1,IF(OR($S492="Psychic",$S492="Steel"),1,0))))</f>
        <v>1</v>
      </c>
      <c r="AR492" s="507" t="n">
        <f aca="false">SUM(IF(OR($R492="Bug",$R492="Fire",$R492="Flying",$R492="Ice"),0-1,IF(OR($R492="Steel",$R492="Fighting",$R492="Ground"),1,0)),IF(OR($S492="Bug",$S492="Fire",$S492="Flying",$S492="Ice"),0-1,IF(OR($S492="Steel",$S492="Fighting",$S492="Ground"),1,0)))</f>
        <v>0</v>
      </c>
      <c r="AS492" s="507" t="n">
        <f aca="false">SUM(IF(OR($R492="Fairy",$R492="Ice",$R492="Rock"),0-1,IF(OR($R492="Steel",$R492="Electric",$R492="Fire",$R492="Water"),1,0)),IF(OR($S492="Fairy",$S492="Ice",$S492="Rock"),0-1,IF(OR($S492="Steel",$S492="Electric",$S492="Fire",$S492="Water"),1,0)))</f>
        <v>0</v>
      </c>
      <c r="AT492" s="508" t="n">
        <f aca="false">SUM(IF(OR($R492="Fire",$R492="Ground",$R492="Rock"),0-1,IF(OR($R492="Dragon",$R492="Grass",$R492="Water"),1,0)),IF(OR($S492="Fire",$S492="Ground",$S492="Rock"),0-1,IF(OR($S492="Dragon",$S492="Grass",$S492="Water"),1,0)))</f>
        <v>0</v>
      </c>
      <c r="AU492" s="518"/>
    </row>
    <row r="493" customFormat="false" ht="15.75" hidden="false" customHeight="false" outlineLevel="0" collapsed="false">
      <c r="A493" s="510" t="str">
        <f aca="false" t="array" ref="A493:A493">IF(ISNA(INDEX(Source!$U$7:$U$95,MATCH(B493,Source!$V$7:$V$95,0))),"FREE",INDEX(Source!$U$7:$U$95,MATCH(B493,Source!$V$7:$V$95,0)))</f>
        <v>FREE</v>
      </c>
      <c r="B493" s="511" t="s">
        <v>656</v>
      </c>
      <c r="C493" s="511"/>
      <c r="D493" s="511"/>
      <c r="E493" s="499" t="str">
        <f aca="false">IF(SUM($W493:$X493)&gt;0,SUM($W493:$X493),IF($H493&gt;0,0,IF($H493&gt;0,0,"-")))</f>
        <v>-</v>
      </c>
      <c r="F493" s="499" t="str">
        <f aca="false">IF(SUM($Y493:$Z493)&gt;0,SUM($Y493:$Z493),IF($H493&gt;0,0,"-"))</f>
        <v>-</v>
      </c>
      <c r="G493" s="499" t="str">
        <f aca="false">IF($H493&gt;0,minus(E493,F493),"-")</f>
        <v>-</v>
      </c>
      <c r="H493" s="500" t="n">
        <f aca="false">SUM(COUNTIF(MatchSource!$A:$A,$B493),COUNTIF(MatchSource!$H:$H,$B493))</f>
        <v>0</v>
      </c>
      <c r="I493" s="501" t="n">
        <f aca="false">SUM($AA493:$AB493)</f>
        <v>0</v>
      </c>
      <c r="J493" s="501" t="s">
        <v>702</v>
      </c>
      <c r="K493" s="512" t="str">
        <f aca="false" t="array" ref="K493:K493">IF(ISNA(INDEX(DraftRosters!$AA$3:$AA$199,MATCH($B493,DraftRosters!$AB$3:$AB$199,0))),"FA",IF(INDEX(DraftRosters!$AA$3:$AA$199,MATCH($B493,DraftRosters!$AB$3:$AB$199,0))="Franchise","Franch",INDEX(DraftRosters!$AA$3:$AA$199,MATCH($B493,DraftRosters!$AB$3:$AB$199,0))))</f>
        <v>FA</v>
      </c>
      <c r="L493" s="499" t="n">
        <v>90</v>
      </c>
      <c r="M493" s="499" t="n">
        <v>130</v>
      </c>
      <c r="N493" s="499" t="n">
        <v>75</v>
      </c>
      <c r="O493" s="499" t="n">
        <v>75</v>
      </c>
      <c r="P493" s="499" t="n">
        <v>75</v>
      </c>
      <c r="Q493" s="501" t="n">
        <v>55</v>
      </c>
      <c r="R493" s="499" t="s">
        <v>839</v>
      </c>
      <c r="S493" s="501"/>
      <c r="T493" s="504" t="s">
        <v>930</v>
      </c>
      <c r="U493" s="505" t="s">
        <v>822</v>
      </c>
      <c r="V493" s="506" t="s">
        <v>991</v>
      </c>
      <c r="W493" s="500" t="str">
        <f aca="false">IFERROR(__xludf.dummyfunction("if(isna(SUM(FILTER(MatchSource!$A:$D,MatchSource!$A:$A=$B493))),0,SUM(FILTER(MatchSource!$A:$D,MatchSource!$A:$A=$B493)))"),"0")</f>
        <v>0</v>
      </c>
      <c r="X493" s="499" t="str">
        <f aca="false">IFERROR(__xludf.dummyfunction("if(isna(SUM(FILTER(MatchSource!$H:$K,MatchSource!$H:$H=$B493))),0,SUM(FILTER(MatchSource!$H:$K,MatchSource!$H:$H=$B493)))"),"0")</f>
        <v>0</v>
      </c>
      <c r="Y493" s="499" t="str">
        <f aca="false">IFERROR(__xludf.dummyfunction("if(isna(ABS(MINUS(SUM(FILTER(MatchSource!$A:$E,MatchSource!$A:$A=$B493)),SUM($W493)))),0,ABS(MINUS(SUM(FILTER(MatchSource!$A:$E,MatchSource!$A:$A=$B493)),SUM($W493))))"),"0")</f>
        <v>0</v>
      </c>
      <c r="Z493" s="499" t="str">
        <f aca="false">IFERROR(__xludf.dummyfunction("if(isna(ABS(MINUS(SUM(FILTER(MatchSource!$H:$L,MatchSource!$H:$H=$B493)),SUM($X493)))),0,ABS(MINUS(SUM(FILTER(MatchSource!$H:$L,MatchSource!$H:$H=$B493)),SUM($X493))))"),"0")</f>
        <v>0</v>
      </c>
      <c r="AA493" s="499" t="str">
        <f aca="false">IFERROR(__xludf.dummyfunction("if(isna(ABS(MINUS(SUM(FILTER(MatchSource!$A:$F,MatchSource!$A:$A=$B493)),SUM($W493,$Y493)))),0,ABS(MINUS(SUM(FILTER(MatchSource!$A:$F,MatchSource!$A:$A=$B493)),SUM($W493, $Y493,))))"),"0")</f>
        <v>0</v>
      </c>
      <c r="AB493" s="501" t="str">
        <f aca="false">IFERROR(__xludf.dummyfunction("if(isna(ABS(MINUS(SUM(FILTER(MatchSource!$H:$M,MatchSource!$H:$H=$B493)),SUM($X493,$Z493)))),0,ABS(MINUS(SUM(FILTER(MatchSource!$H:$M,MatchSource!$H:$H=$B493)),SUM($X493,$Z493))))"),"0")</f>
        <v>0</v>
      </c>
      <c r="AC493" s="507" t="n">
        <f aca="false">SUM(IF(OR($R493="Grass",$R493="Psychic",$R493="Dark"),0-1,IF(OR($R493="Fighting",$R493="Flying",$R493="Fire",$R493="Ghost",$R493="Poison",$R493="Steel",$R493="Fairy"),1,0)),IF(OR($S493="Grass",$S493="Psychic",$S493="Dark"),0-1,IF(OR($S493="Fighting",$S493="Flying",$S493="Fire",$S493="Ghost",$S493="Poison",$S493="Steel",$S493="Fairy"),1,0)))</f>
        <v>0</v>
      </c>
      <c r="AD493" s="507" t="n">
        <f aca="false">SUM(IF(OR($R493="Ghost",$R493="Psychic"),0-1,IF(OR($R493="Fighting",$R493="Dark",$R493="Fairy"),1,0)),IF(OR($S493="Ghost",$S493="Psychic"),0-1,IF(OR($S493="Fighting",$S493="Dark",$S493="Fairy"),1,0)))</f>
        <v>0</v>
      </c>
      <c r="AE493" s="507" t="n">
        <f aca="false">IF(OR($R493="Fairy",$S493="Fairy"),4,SUM(IF($R493="Dragon",0-1,IF($R493="Steel",1,0)),IF($S493="Dragon",0-1,IF($S493="Steel",1,0))))</f>
        <v>0</v>
      </c>
      <c r="AF493" s="507" t="n">
        <f aca="false">IF(OR($R493="Ground",$S493="Ground"),4,SUM(IF(OR($R493="Flying",$R493="Water"),0-1,IF(OR($R493="Dragon",$R493="Electric",$R493="Grass"),1,0)),IF(OR($S493="Flying",$S493="Water"),0-1,IF(OR($S493="Dragon",$S493="Electric",$S493="Grass"),1,0))))</f>
        <v>0</v>
      </c>
      <c r="AG493" s="507" t="n">
        <f aca="false">SUM(IF(OR($R493="Dark",$R493="Dragon",$R493="Fighting"),0-1,IF(OR($R493="Steel",$R493="Poison",$R493="Fire"),1,0)),IF(OR($S493="Dark",$S493="Dragon",$S493="Fighting"),0-1,IF(OR($S493="Steel",$S493="Poison",$S493="Fire"),1,0)))</f>
        <v>0</v>
      </c>
      <c r="AH493" s="507" t="n">
        <f aca="false">IF(OR($R493="Ghost",$S493="Ghost"),4,SUM(IF(OR($R493="Dark",$R493="Ice",$R493="Normal",$R493="Rock",$R493="Steel"),0-1,IF(OR($R493="Bug",$R493="Fairy",$R493="Flying",$R493="Poison",$R493="Psychic"),1,0)),IF(OR($S493="Dark",$S493="Ice",$S493="Normal",$S493="Rock",$S493="Steel"),0-1,IF(OR($S493="Bug",$S493="Fairy",$S493="Flying",$S493="Poison",$S493="Psychic"),1,0))))</f>
        <v>-1</v>
      </c>
      <c r="AI493" s="507" t="n">
        <f aca="false">SUM(IF(OR($R493="Bug",$R493="Grass",$R493="Ice",$R493="Steel"),0-1,IF(OR($R493="Dragon",$R493="Fire",$R493="Rock",$R493="Water"),1,0)),IF(OR($S493="Bug",$S493="Grass",$S493="Ice",$S493="Steel"),0-1,IF(OR($S493="Dragon",$S493="Fire",$S493="Rock",$S493="Water"),1,0)))</f>
        <v>0</v>
      </c>
      <c r="AJ493" s="507" t="n">
        <f aca="false">SUM(IF(OR($R493="Bug",$R493="Grass",$R493="Fighting"),0-1,IF(OR($R493="Electric",$R493="Rock",$R493="Steel"),1,0)),IF(OR($S493="Bug",$S493="Grass",$S493="Fighting"),0-1,IF(OR($S493="Electric",$S493="Rock",$S493="Steel"),1,0)))</f>
        <v>0</v>
      </c>
      <c r="AK493" s="507" t="n">
        <f aca="false">IF(OR($R493="Normal",$S493="Normal"),4,SUM(IF(OR($R493="Ghost",$R493="Psychic"),0-1,IF($R493="Dark",1,0)),IF(OR($S493="Ghost",$S493="Psychic"),0-1,IF($S493="Dark",1,0))))</f>
        <v>4</v>
      </c>
      <c r="AL493" s="507" t="n">
        <f aca="false">SUM(IF(OR($R493="Ground",$R493="Rock",$R493="Water"),0-1,IF(OR($R493="Bug",$R493="Flying",$R493="Fire",$R493="Dragon",$R493="Poison",$R493="Steel",$R493="Grass"),1,0)),IF(OR($S493="Ground",$S493="Rock",$S493="Water"),0-1,IF(OR($S493="Bug",$S493="Flying",$S493="Fire",$S493="Dragon",$S493="Poison",$S493="Steel",$S493="Grass"),1,0)))</f>
        <v>0</v>
      </c>
      <c r="AM493" s="507" t="n">
        <f aca="false">IF(OR($R493="Flying",$S493="Flying"),4,SUM(IF(OR($R493="Electric",$R493="Fire",$R493="Rock",$R493="Steel",$R493="Poison"),0-1,IF(OR($R493="Bug",$R493="Grass"),1,0)),IF(OR($S493="Electric",$S493="Fire",$S493="Rock",$S493="Steel",$S493="Poison"),0-1,IF(OR($S493="Bug",$S493="Grass"),1,0))))</f>
        <v>0</v>
      </c>
      <c r="AN493" s="507" t="n">
        <f aca="false">SUM(IF(OR($R493="Flying",$R493="Dragon",$R493="Grass",$R493="Ground"),0-1,IF(OR($R493="Steel",$R493="Ice",$R493="Fire",$R493="Water"),1,0)),IF(OR($S493="Flying",$S493="Dragon",$S493="Grass",$S493="Ground"),0-1,IF(OR($S493="Steel",$S493="Ice",$S493="Fire",$S493="Water"),1,0)))</f>
        <v>0</v>
      </c>
      <c r="AO493" s="507" t="n">
        <f aca="false">IF(OR($R493="Ghost",$S493="Ghost"),4,SUM(IF(OR($R493="Steel",$R493="Rock"),1,0),IF(OR($S493="Steel",$S493="Rock"),1,0)))</f>
        <v>0</v>
      </c>
      <c r="AP493" s="507" t="n">
        <f aca="false">IF(OR($R493="Steel",$S493="Steel"),4,SUM(IF(OR($R493="Fairy",$R493="Grass"),0-1,IF(OR($R493="Ghost",$R493="Rock",$R493="Ground",$R493="Poison"),1,0)),IF(OR($S493="Fairy",$S493="Grass"),0-1,IF(OR($S493="Ghost",$S493="Rock",$S493="Ground",$S493="Poison"),1,0))))</f>
        <v>0</v>
      </c>
      <c r="AQ493" s="507" t="n">
        <f aca="false">IF(OR($R493="Dark",$S493="Dark"),4,SUM(IF(OR($R493="Fighting",$R493="Poison"),0-1,IF(OR($R493="Psychic",$R493="Steel"),1,0)),IF(OR($S493="Fighting",$S493="Poison"),0-1,IF(OR($S493="Psychic",$S493="Steel"),1,0))))</f>
        <v>0</v>
      </c>
      <c r="AR493" s="507" t="n">
        <f aca="false">SUM(IF(OR($R493="Bug",$R493="Fire",$R493="Flying",$R493="Ice"),0-1,IF(OR($R493="Steel",$R493="Fighting",$R493="Ground"),1,0)),IF(OR($S493="Bug",$S493="Fire",$S493="Flying",$S493="Ice"),0-1,IF(OR($S493="Steel",$S493="Fighting",$S493="Ground"),1,0)))</f>
        <v>0</v>
      </c>
      <c r="AS493" s="507" t="n">
        <f aca="false">SUM(IF(OR($R493="Fairy",$R493="Ice",$R493="Rock"),0-1,IF(OR($R493="Steel",$R493="Electric",$R493="Fire",$R493="Water"),1,0)),IF(OR($S493="Fairy",$S493="Ice",$S493="Rock"),0-1,IF(OR($S493="Steel",$S493="Electric",$S493="Fire",$S493="Water"),1,0)))</f>
        <v>0</v>
      </c>
      <c r="AT493" s="508" t="n">
        <f aca="false">SUM(IF(OR($R493="Fire",$R493="Ground",$R493="Rock"),0-1,IF(OR($R493="Dragon",$R493="Grass",$R493="Water"),1,0)),IF(OR($S493="Fire",$S493="Ground",$S493="Rock"),0-1,IF(OR($S493="Dragon",$S493="Grass",$S493="Water"),1,0)))</f>
        <v>0</v>
      </c>
      <c r="AU493" s="518"/>
    </row>
    <row r="494" customFormat="false" ht="15.75" hidden="false" customHeight="false" outlineLevel="0" collapsed="false">
      <c r="A494" s="510" t="str">
        <f aca="false" t="array" ref="A494:A494">IF(ISNA(INDEX(Source!$U$7:$U$95,MATCH(B494,Source!$V$7:$V$95,0))),"FREE",INDEX(Source!$U$7:$U$95,MATCH(B494,Source!$V$7:$V$95,0)))</f>
        <v>FREE</v>
      </c>
      <c r="B494" s="511" t="s">
        <v>670</v>
      </c>
      <c r="C494" s="511"/>
      <c r="D494" s="511"/>
      <c r="E494" s="499" t="str">
        <f aca="false">IF(SUM($W494:$X494)&gt;0,SUM($W494:$X494),IF($H494&gt;0,0,IF($H494&gt;0,0,"-")))</f>
        <v>-</v>
      </c>
      <c r="F494" s="499" t="str">
        <f aca="false">IF(SUM($Y494:$Z494)&gt;0,SUM($Y494:$Z494),IF($H494&gt;0,0,"-"))</f>
        <v>-</v>
      </c>
      <c r="G494" s="499" t="str">
        <f aca="false">IF($H494&gt;0,minus(E494,F494),"-")</f>
        <v>-</v>
      </c>
      <c r="H494" s="500" t="n">
        <f aca="false">SUM(COUNTIF(MatchSource!$A:$A,$B494),COUNTIF(MatchSource!$H:$H,$B494))</f>
        <v>0</v>
      </c>
      <c r="I494" s="501" t="n">
        <f aca="false">SUM($AA494:$AB494)</f>
        <v>0</v>
      </c>
      <c r="J494" s="501" t="s">
        <v>701</v>
      </c>
      <c r="K494" s="512" t="str">
        <f aca="false" t="array" ref="K494:K494">IF(ISNA(INDEX(DraftRosters!$AA$3:$AA$199,MATCH($B494,DraftRosters!$AB$3:$AB$199,0))),"FA",IF(INDEX(DraftRosters!$AA$3:$AA$199,MATCH($B494,DraftRosters!$AB$3:$AB$199,0))="Franchise","Franch",INDEX(DraftRosters!$AA$3:$AA$199,MATCH($B494,DraftRosters!$AB$3:$AB$199,0))))</f>
        <v>FA</v>
      </c>
      <c r="L494" s="499" t="n">
        <v>75</v>
      </c>
      <c r="M494" s="499" t="n">
        <v>75</v>
      </c>
      <c r="N494" s="499" t="n">
        <v>130</v>
      </c>
      <c r="O494" s="499" t="n">
        <v>75</v>
      </c>
      <c r="P494" s="499" t="n">
        <v>130</v>
      </c>
      <c r="Q494" s="501" t="n">
        <v>95</v>
      </c>
      <c r="R494" s="499" t="s">
        <v>828</v>
      </c>
      <c r="S494" s="501"/>
      <c r="T494" s="504" t="s">
        <v>866</v>
      </c>
      <c r="U494" s="505"/>
      <c r="V494" s="506"/>
      <c r="W494" s="500" t="str">
        <f aca="false">IFERROR(__xludf.dummyfunction("if(isna(SUM(FILTER(MatchSource!$A:$D,MatchSource!$A:$A=$B494))),0,SUM(FILTER(MatchSource!$A:$D,MatchSource!$A:$A=$B494)))"),"0")</f>
        <v>0</v>
      </c>
      <c r="X494" s="499" t="str">
        <f aca="false">IFERROR(__xludf.dummyfunction("if(isna(SUM(FILTER(MatchSource!$H:$K,MatchSource!$H:$H=$B494))),0,SUM(FILTER(MatchSource!$H:$K,MatchSource!$H:$H=$B494)))"),"0")</f>
        <v>0</v>
      </c>
      <c r="Y494" s="499" t="str">
        <f aca="false">IFERROR(__xludf.dummyfunction("if(isna(ABS(MINUS(SUM(FILTER(MatchSource!$A:$E,MatchSource!$A:$A=$B494)),SUM($W494)))),0,ABS(MINUS(SUM(FILTER(MatchSource!$A:$E,MatchSource!$A:$A=$B494)),SUM($W494))))"),"0")</f>
        <v>0</v>
      </c>
      <c r="Z494" s="499" t="str">
        <f aca="false">IFERROR(__xludf.dummyfunction("if(isna(ABS(MINUS(SUM(FILTER(MatchSource!$H:$L,MatchSource!$H:$H=$B494)),SUM($X494)))),0,ABS(MINUS(SUM(FILTER(MatchSource!$H:$L,MatchSource!$H:$H=$B494)),SUM($X494))))"),"0")</f>
        <v>0</v>
      </c>
      <c r="AA494" s="499" t="str">
        <f aca="false">IFERROR(__xludf.dummyfunction("if(isna(ABS(MINUS(SUM(FILTER(MatchSource!$A:$F,MatchSource!$A:$A=$B494)),SUM($W494,$Y494)))),0,ABS(MINUS(SUM(FILTER(MatchSource!$A:$F,MatchSource!$A:$A=$B494)),SUM($W494, $Y494,))))"),"0")</f>
        <v>0</v>
      </c>
      <c r="AB494" s="501" t="str">
        <f aca="false">IFERROR(__xludf.dummyfunction("if(isna(ABS(MINUS(SUM(FILTER(MatchSource!$H:$M,MatchSource!$H:$H=$B494)),SUM($X494,$Z494)))),0,ABS(MINUS(SUM(FILTER(MatchSource!$H:$M,MatchSource!$H:$H=$B494)),SUM($X494,$Z494))))"),"0")</f>
        <v>0</v>
      </c>
      <c r="AC494" s="507" t="n">
        <f aca="false">SUM(IF(OR($R494="Grass",$R494="Psychic",$R494="Dark"),0-1,IF(OR($R494="Fighting",$R494="Flying",$R494="Fire",$R494="Ghost",$R494="Poison",$R494="Steel",$R494="Fairy"),1,0)),IF(OR($S494="Grass",$S494="Psychic",$S494="Dark"),0-1,IF(OR($S494="Fighting",$S494="Flying",$S494="Fire",$S494="Ghost",$S494="Poison",$S494="Steel",$S494="Fairy"),1,0)))</f>
        <v>-1</v>
      </c>
      <c r="AD494" s="507" t="n">
        <f aca="false">SUM(IF(OR($R494="Ghost",$R494="Psychic"),0-1,IF(OR($R494="Fighting",$R494="Dark",$R494="Fairy"),1,0)),IF(OR($S494="Ghost",$S494="Psychic"),0-1,IF(OR($S494="Fighting",$S494="Dark",$S494="Fairy"),1,0)))</f>
        <v>-1</v>
      </c>
      <c r="AE494" s="507" t="n">
        <f aca="false">IF(OR($R494="Fairy",$S494="Fairy"),4,SUM(IF($R494="Dragon",0-1,IF($R494="Steel",1,0)),IF($S494="Dragon",0-1,IF($S494="Steel",1,0))))</f>
        <v>0</v>
      </c>
      <c r="AF494" s="507" t="n">
        <f aca="false">IF(OR($R494="Ground",$S494="Ground"),4,SUM(IF(OR($R494="Flying",$R494="Water"),0-1,IF(OR($R494="Dragon",$R494="Electric",$R494="Grass"),1,0)),IF(OR($S494="Flying",$S494="Water"),0-1,IF(OR($S494="Dragon",$S494="Electric",$S494="Grass"),1,0))))</f>
        <v>0</v>
      </c>
      <c r="AG494" s="507" t="n">
        <f aca="false">SUM(IF(OR($R494="Dark",$R494="Dragon",$R494="Fighting"),0-1,IF(OR($R494="Steel",$R494="Poison",$R494="Fire"),1,0)),IF(OR($S494="Dark",$S494="Dragon",$S494="Fighting"),0-1,IF(OR($S494="Steel",$S494="Poison",$S494="Fire"),1,0)))</f>
        <v>0</v>
      </c>
      <c r="AH494" s="507" t="n">
        <f aca="false">IF(OR($R494="Ghost",$S494="Ghost"),4,SUM(IF(OR($R494="Dark",$R494="Ice",$R494="Normal",$R494="Rock",$R494="Steel"),0-1,IF(OR($R494="Bug",$R494="Fairy",$R494="Flying",$R494="Poison",$R494="Psychic"),1,0)),IF(OR($S494="Dark",$S494="Ice",$S494="Normal",$S494="Rock",$S494="Steel"),0-1,IF(OR($S494="Bug",$S494="Fairy",$S494="Flying",$S494="Poison",$S494="Psychic"),1,0))))</f>
        <v>1</v>
      </c>
      <c r="AI494" s="507" t="n">
        <f aca="false">SUM(IF(OR($R494="Bug",$R494="Grass",$R494="Ice",$R494="Steel"),0-1,IF(OR($R494="Dragon",$R494="Fire",$R494="Rock",$R494="Water"),1,0)),IF(OR($S494="Bug",$S494="Grass",$S494="Ice",$S494="Steel"),0-1,IF(OR($S494="Dragon",$S494="Fire",$S494="Rock",$S494="Water"),1,0)))</f>
        <v>0</v>
      </c>
      <c r="AJ494" s="507" t="n">
        <f aca="false">SUM(IF(OR($R494="Bug",$R494="Grass",$R494="Fighting"),0-1,IF(OR($R494="Electric",$R494="Rock",$R494="Steel"),1,0)),IF(OR($S494="Bug",$S494="Grass",$S494="Fighting"),0-1,IF(OR($S494="Electric",$S494="Rock",$S494="Steel"),1,0)))</f>
        <v>0</v>
      </c>
      <c r="AK494" s="507" t="n">
        <f aca="false">IF(OR($R494="Normal",$S494="Normal"),4,SUM(IF(OR($R494="Ghost",$R494="Psychic"),0-1,IF($R494="Dark",1,0)),IF(OR($S494="Ghost",$S494="Psychic"),0-1,IF($S494="Dark",1,0))))</f>
        <v>-1</v>
      </c>
      <c r="AL494" s="507" t="n">
        <f aca="false">SUM(IF(OR($R494="Ground",$R494="Rock",$R494="Water"),0-1,IF(OR($R494="Bug",$R494="Flying",$R494="Fire",$R494="Dragon",$R494="Poison",$R494="Steel",$R494="Grass"),1,0)),IF(OR($S494="Ground",$S494="Rock",$S494="Water"),0-1,IF(OR($S494="Bug",$S494="Flying",$S494="Fire",$S494="Dragon",$S494="Poison",$S494="Steel",$S494="Grass"),1,0)))</f>
        <v>0</v>
      </c>
      <c r="AM494" s="507" t="n">
        <f aca="false">IF(OR($R494="Flying",$S494="Flying"),4,SUM(IF(OR($R494="Electric",$R494="Fire",$R494="Rock",$R494="Steel",$R494="Poison"),0-1,IF(OR($R494="Bug",$R494="Grass"),1,0)),IF(OR($S494="Electric",$S494="Fire",$S494="Rock",$S494="Steel",$S494="Poison"),0-1,IF(OR($S494="Bug",$S494="Grass"),1,0))))</f>
        <v>0</v>
      </c>
      <c r="AN494" s="507" t="n">
        <f aca="false">SUM(IF(OR($R494="Flying",$R494="Dragon",$R494="Grass",$R494="Ground"),0-1,IF(OR($R494="Steel",$R494="Ice",$R494="Fire",$R494="Water"),1,0)),IF(OR($S494="Flying",$S494="Dragon",$S494="Grass",$S494="Ground"),0-1,IF(OR($S494="Steel",$S494="Ice",$S494="Fire",$S494="Water"),1,0)))</f>
        <v>0</v>
      </c>
      <c r="AO494" s="507" t="n">
        <f aca="false">IF(OR($R494="Ghost",$S494="Ghost"),4,SUM(IF(OR($R494="Steel",$R494="Rock"),1,0),IF(OR($S494="Steel",$S494="Rock"),1,0)))</f>
        <v>0</v>
      </c>
      <c r="AP494" s="507" t="n">
        <f aca="false">IF(OR($R494="Steel",$S494="Steel"),4,SUM(IF(OR($R494="Fairy",$R494="Grass"),0-1,IF(OR($R494="Ghost",$R494="Rock",$R494="Ground",$R494="Poison"),1,0)),IF(OR($S494="Fairy",$S494="Grass"),0-1,IF(OR($S494="Ghost",$S494="Rock",$S494="Ground",$S494="Poison"),1,0))))</f>
        <v>0</v>
      </c>
      <c r="AQ494" s="507" t="n">
        <f aca="false">IF(OR($R494="Dark",$S494="Dark"),4,SUM(IF(OR($R494="Fighting",$R494="Poison"),0-1,IF(OR($R494="Psychic",$R494="Steel"),1,0)),IF(OR($S494="Fighting",$S494="Poison"),0-1,IF(OR($S494="Psychic",$S494="Steel"),1,0))))</f>
        <v>1</v>
      </c>
      <c r="AR494" s="507" t="n">
        <f aca="false">SUM(IF(OR($R494="Bug",$R494="Fire",$R494="Flying",$R494="Ice"),0-1,IF(OR($R494="Steel",$R494="Fighting",$R494="Ground"),1,0)),IF(OR($S494="Bug",$S494="Fire",$S494="Flying",$S494="Ice"),0-1,IF(OR($S494="Steel",$S494="Fighting",$S494="Ground"),1,0)))</f>
        <v>0</v>
      </c>
      <c r="AS494" s="507" t="n">
        <f aca="false">SUM(IF(OR($R494="Fairy",$R494="Ice",$R494="Rock"),0-1,IF(OR($R494="Steel",$R494="Electric",$R494="Fire",$R494="Water"),1,0)),IF(OR($S494="Fairy",$S494="Ice",$S494="Rock"),0-1,IF(OR($S494="Steel",$S494="Electric",$S494="Fire",$S494="Water"),1,0)))</f>
        <v>0</v>
      </c>
      <c r="AT494" s="508" t="n">
        <f aca="false">SUM(IF(OR($R494="Fire",$R494="Ground",$R494="Rock"),0-1,IF(OR($R494="Dragon",$R494="Grass",$R494="Water"),1,0)),IF(OR($S494="Fire",$S494="Ground",$S494="Rock"),0-1,IF(OR($S494="Dragon",$S494="Grass",$S494="Water"),1,0)))</f>
        <v>0</v>
      </c>
      <c r="AU494" s="518"/>
    </row>
    <row r="495" customFormat="false" ht="15.75" hidden="false" customHeight="false" outlineLevel="0" collapsed="false">
      <c r="A495" s="510" t="str">
        <f aca="false" t="array" ref="A495:A495">IF(ISNA(INDEX(Source!$U$7:$U$95,MATCH(B495,Source!$V$7:$V$95,0))),"FREE",INDEX(Source!$U$7:$U$95,MATCH(B495,Source!$V$7:$V$95,0)))</f>
        <v>FREE</v>
      </c>
      <c r="B495" s="511" t="s">
        <v>658</v>
      </c>
      <c r="C495" s="511"/>
      <c r="D495" s="511"/>
      <c r="E495" s="499" t="str">
        <f aca="false">IF(SUM($W495:$X495)&gt;0,SUM($W495:$X495),IF($H495&gt;0,0,IF($H495&gt;0,0,"-")))</f>
        <v>-</v>
      </c>
      <c r="F495" s="499" t="str">
        <f aca="false">IF(SUM($Y495:$Z495)&gt;0,SUM($Y495:$Z495),IF($H495&gt;0,0,"-"))</f>
        <v>-</v>
      </c>
      <c r="G495" s="499" t="str">
        <f aca="false">IF($H495&gt;0,minus(E495,F495),"-")</f>
        <v>-</v>
      </c>
      <c r="H495" s="500" t="n">
        <f aca="false">SUM(COUNTIF(MatchSource!$A:$A,$B495),COUNTIF(MatchSource!$H:$H,$B495))</f>
        <v>0</v>
      </c>
      <c r="I495" s="501" t="n">
        <f aca="false">SUM($AA495:$AB495)</f>
        <v>0</v>
      </c>
      <c r="J495" s="501" t="s">
        <v>702</v>
      </c>
      <c r="K495" s="512" t="str">
        <f aca="false" t="array" ref="K495:K495">IF(ISNA(INDEX(DraftRosters!$AA$3:$AA$199,MATCH($B495,DraftRosters!$AB$3:$AB$199,0))),"FA",IF(INDEX(DraftRosters!$AA$3:$AA$199,MATCH($B495,DraftRosters!$AB$3:$AB$199,0))="Franchise","Franch",INDEX(DraftRosters!$AA$3:$AA$199,MATCH($B495,DraftRosters!$AB$3:$AB$199,0))))</f>
        <v>FA</v>
      </c>
      <c r="L495" s="499" t="n">
        <v>71</v>
      </c>
      <c r="M495" s="499" t="n">
        <v>95</v>
      </c>
      <c r="N495" s="499" t="n">
        <v>85</v>
      </c>
      <c r="O495" s="499" t="n">
        <v>110</v>
      </c>
      <c r="P495" s="499" t="n">
        <v>95</v>
      </c>
      <c r="Q495" s="501" t="n">
        <v>79</v>
      </c>
      <c r="R495" s="499" t="s">
        <v>805</v>
      </c>
      <c r="S495" s="501"/>
      <c r="T495" s="504" t="s">
        <v>864</v>
      </c>
      <c r="U495" s="505" t="s">
        <v>937</v>
      </c>
      <c r="V495" s="506" t="s">
        <v>813</v>
      </c>
      <c r="W495" s="500" t="str">
        <f aca="false">IFERROR(__xludf.dummyfunction("if(isna(SUM(FILTER(MatchSource!$A:$D,MatchSource!$A:$A=$B495))),0,SUM(FILTER(MatchSource!$A:$D,MatchSource!$A:$A=$B495)))"),"0")</f>
        <v>0</v>
      </c>
      <c r="X495" s="499" t="str">
        <f aca="false">IFERROR(__xludf.dummyfunction("if(isna(SUM(FILTER(MatchSource!$H:$K,MatchSource!$H:$H=$B495))),0,SUM(FILTER(MatchSource!$H:$K,MatchSource!$H:$H=$B495)))"),"0")</f>
        <v>0</v>
      </c>
      <c r="Y495" s="499" t="str">
        <f aca="false">IFERROR(__xludf.dummyfunction("if(isna(ABS(MINUS(SUM(FILTER(MatchSource!$A:$E,MatchSource!$A:$A=$B495)),SUM($W495)))),0,ABS(MINUS(SUM(FILTER(MatchSource!$A:$E,MatchSource!$A:$A=$B495)),SUM($W495))))"),"0")</f>
        <v>0</v>
      </c>
      <c r="Z495" s="499" t="str">
        <f aca="false">IFERROR(__xludf.dummyfunction("if(isna(ABS(MINUS(SUM(FILTER(MatchSource!$H:$L,MatchSource!$H:$H=$B495)),SUM($X495)))),0,ABS(MINUS(SUM(FILTER(MatchSource!$H:$L,MatchSource!$H:$H=$B495)),SUM($X495))))"),"0")</f>
        <v>0</v>
      </c>
      <c r="AA495" s="499" t="str">
        <f aca="false">IFERROR(__xludf.dummyfunction("if(isna(ABS(MINUS(SUM(FILTER(MatchSource!$A:$F,MatchSource!$A:$A=$B495)),SUM($W495,$Y495)))),0,ABS(MINUS(SUM(FILTER(MatchSource!$A:$F,MatchSource!$A:$A=$B495)),SUM($W495, $Y495,))))"),"0")</f>
        <v>0</v>
      </c>
      <c r="AB495" s="501" t="str">
        <f aca="false">IFERROR(__xludf.dummyfunction("if(isna(ABS(MINUS(SUM(FILTER(MatchSource!$H:$M,MatchSource!$H:$H=$B495)),SUM($X495,$Z495)))),0,ABS(MINUS(SUM(FILTER(MatchSource!$H:$M,MatchSource!$H:$H=$B495)),SUM($X495,$Z495))))"),"0")</f>
        <v>0</v>
      </c>
      <c r="AC495" s="507" t="n">
        <f aca="false">SUM(IF(OR($R495="Grass",$R495="Psychic",$R495="Dark"),0-1,IF(OR($R495="Fighting",$R495="Flying",$R495="Fire",$R495="Ghost",$R495="Poison",$R495="Steel",$R495="Fairy"),1,0)),IF(OR($S495="Grass",$S495="Psychic",$S495="Dark"),0-1,IF(OR($S495="Fighting",$S495="Flying",$S495="Fire",$S495="Ghost",$S495="Poison",$S495="Steel",$S495="Fairy"),1,0)))</f>
        <v>0</v>
      </c>
      <c r="AD495" s="507" t="n">
        <f aca="false">SUM(IF(OR($R495="Ghost",$R495="Psychic"),0-1,IF(OR($R495="Fighting",$R495="Dark",$R495="Fairy"),1,0)),IF(OR($S495="Ghost",$S495="Psychic"),0-1,IF(OR($S495="Fighting",$S495="Dark",$S495="Fairy"),1,0)))</f>
        <v>0</v>
      </c>
      <c r="AE495" s="507" t="n">
        <f aca="false">IF(OR($R495="Fairy",$S495="Fairy"),4,SUM(IF($R495="Dragon",0-1,IF($R495="Steel",1,0)),IF($S495="Dragon",0-1,IF($S495="Steel",1,0))))</f>
        <v>0</v>
      </c>
      <c r="AF495" s="507" t="n">
        <f aca="false">IF(OR($R495="Ground",$S495="Ground"),4,SUM(IF(OR($R495="Flying",$R495="Water"),0-1,IF(OR($R495="Dragon",$R495="Electric",$R495="Grass"),1,0)),IF(OR($S495="Flying",$S495="Water"),0-1,IF(OR($S495="Dragon",$S495="Electric",$S495="Grass"),1,0))))</f>
        <v>0</v>
      </c>
      <c r="AG495" s="507" t="n">
        <f aca="false">SUM(IF(OR($R495="Dark",$R495="Dragon",$R495="Fighting"),0-1,IF(OR($R495="Steel",$R495="Poison",$R495="Fire"),1,0)),IF(OR($S495="Dark",$S495="Dragon",$S495="Fighting"),0-1,IF(OR($S495="Steel",$S495="Poison",$S495="Fire"),1,0)))</f>
        <v>0</v>
      </c>
      <c r="AH495" s="507" t="n">
        <f aca="false">IF(OR($R495="Ghost",$S495="Ghost"),4,SUM(IF(OR($R495="Dark",$R495="Ice",$R495="Normal",$R495="Rock",$R495="Steel"),0-1,IF(OR($R495="Bug",$R495="Fairy",$R495="Flying",$R495="Poison",$R495="Psychic"),1,0)),IF(OR($S495="Dark",$S495="Ice",$S495="Normal",$S495="Rock",$S495="Steel"),0-1,IF(OR($S495="Bug",$S495="Fairy",$S495="Flying",$S495="Poison",$S495="Psychic"),1,0))))</f>
        <v>-1</v>
      </c>
      <c r="AI495" s="507" t="n">
        <f aca="false">SUM(IF(OR($R495="Bug",$R495="Grass",$R495="Ice",$R495="Steel"),0-1,IF(OR($R495="Dragon",$R495="Fire",$R495="Rock",$R495="Water"),1,0)),IF(OR($S495="Bug",$S495="Grass",$S495="Ice",$S495="Steel"),0-1,IF(OR($S495="Dragon",$S495="Fire",$S495="Rock",$S495="Water"),1,0)))</f>
        <v>-1</v>
      </c>
      <c r="AJ495" s="507" t="n">
        <f aca="false">SUM(IF(OR($R495="Bug",$R495="Grass",$R495="Fighting"),0-1,IF(OR($R495="Electric",$R495="Rock",$R495="Steel"),1,0)),IF(OR($S495="Bug",$S495="Grass",$S495="Fighting"),0-1,IF(OR($S495="Electric",$S495="Rock",$S495="Steel"),1,0)))</f>
        <v>0</v>
      </c>
      <c r="AK495" s="507" t="n">
        <f aca="false">IF(OR($R495="Normal",$S495="Normal"),4,SUM(IF(OR($R495="Ghost",$R495="Psychic"),0-1,IF($R495="Dark",1,0)),IF(OR($S495="Ghost",$S495="Psychic"),0-1,IF($S495="Dark",1,0))))</f>
        <v>0</v>
      </c>
      <c r="AL495" s="507" t="n">
        <f aca="false">SUM(IF(OR($R495="Ground",$R495="Rock",$R495="Water"),0-1,IF(OR($R495="Bug",$R495="Flying",$R495="Fire",$R495="Dragon",$R495="Poison",$R495="Steel",$R495="Grass"),1,0)),IF(OR($S495="Ground",$S495="Rock",$S495="Water"),0-1,IF(OR($S495="Bug",$S495="Flying",$S495="Fire",$S495="Dragon",$S495="Poison",$S495="Steel",$S495="Grass"),1,0)))</f>
        <v>0</v>
      </c>
      <c r="AM495" s="507" t="n">
        <f aca="false">IF(OR($R495="Flying",$S495="Flying"),4,SUM(IF(OR($R495="Electric",$R495="Fire",$R495="Rock",$R495="Steel",$R495="Poison"),0-1,IF(OR($R495="Bug",$R495="Grass"),1,0)),IF(OR($S495="Electric",$S495="Fire",$S495="Rock",$S495="Steel",$S495="Poison"),0-1,IF(OR($S495="Bug",$S495="Grass"),1,0))))</f>
        <v>0</v>
      </c>
      <c r="AN495" s="507" t="n">
        <f aca="false">SUM(IF(OR($R495="Flying",$R495="Dragon",$R495="Grass",$R495="Ground"),0-1,IF(OR($R495="Steel",$R495="Ice",$R495="Fire",$R495="Water"),1,0)),IF(OR($S495="Flying",$S495="Dragon",$S495="Grass",$S495="Ground"),0-1,IF(OR($S495="Steel",$S495="Ice",$S495="Fire",$S495="Water"),1,0)))</f>
        <v>1</v>
      </c>
      <c r="AO495" s="507" t="n">
        <f aca="false">IF(OR($R495="Ghost",$S495="Ghost"),4,SUM(IF(OR($R495="Steel",$R495="Rock"),1,0),IF(OR($S495="Steel",$S495="Rock"),1,0)))</f>
        <v>0</v>
      </c>
      <c r="AP495" s="507" t="n">
        <f aca="false">IF(OR($R495="Steel",$S495="Steel"),4,SUM(IF(OR($R495="Fairy",$R495="Grass"),0-1,IF(OR($R495="Ghost",$R495="Rock",$R495="Ground",$R495="Poison"),1,0)),IF(OR($S495="Fairy",$S495="Grass"),0-1,IF(OR($S495="Ghost",$S495="Rock",$S495="Ground",$S495="Poison"),1,0))))</f>
        <v>0</v>
      </c>
      <c r="AQ495" s="507" t="n">
        <f aca="false">IF(OR($R495="Dark",$S495="Dark"),4,SUM(IF(OR($R495="Fighting",$R495="Poison"),0-1,IF(OR($R495="Psychic",$R495="Steel"),1,0)),IF(OR($S495="Fighting",$S495="Poison"),0-1,IF(OR($S495="Psychic",$S495="Steel"),1,0))))</f>
        <v>0</v>
      </c>
      <c r="AR495" s="507" t="n">
        <f aca="false">SUM(IF(OR($R495="Bug",$R495="Fire",$R495="Flying",$R495="Ice"),0-1,IF(OR($R495="Steel",$R495="Fighting",$R495="Ground"),1,0)),IF(OR($S495="Bug",$S495="Fire",$S495="Flying",$S495="Ice"),0-1,IF(OR($S495="Steel",$S495="Fighting",$S495="Ground"),1,0)))</f>
        <v>-1</v>
      </c>
      <c r="AS495" s="507" t="n">
        <f aca="false">SUM(IF(OR($R495="Fairy",$R495="Ice",$R495="Rock"),0-1,IF(OR($R495="Steel",$R495="Electric",$R495="Fire",$R495="Water"),1,0)),IF(OR($S495="Fairy",$S495="Ice",$S495="Rock"),0-1,IF(OR($S495="Steel",$S495="Electric",$S495="Fire",$S495="Water"),1,0)))</f>
        <v>-1</v>
      </c>
      <c r="AT495" s="508" t="n">
        <f aca="false">SUM(IF(OR($R495="Fire",$R495="Ground",$R495="Rock"),0-1,IF(OR($R495="Dragon",$R495="Grass",$R495="Water"),1,0)),IF(OR($S495="Fire",$S495="Ground",$S495="Rock"),0-1,IF(OR($S495="Dragon",$S495="Grass",$S495="Water"),1,0)))</f>
        <v>0</v>
      </c>
      <c r="AU495" s="518"/>
    </row>
    <row r="496" customFormat="false" ht="15.75" hidden="false" customHeight="false" outlineLevel="0" collapsed="false">
      <c r="A496" s="515" t="str">
        <f aca="false" t="array" ref="A496:A496">IF(ISNA(INDEX(Source!$U$7:$U$95,MATCH(B496,Source!$V$7:$V$95,0))),"FREE",INDEX(Source!$U$7:$U$95,MATCH(B496,Source!$V$7:$V$95,0)))</f>
        <v>FREE</v>
      </c>
      <c r="B496" s="511" t="s">
        <v>610</v>
      </c>
      <c r="C496" s="511"/>
      <c r="D496" s="511"/>
      <c r="E496" s="499" t="str">
        <f aca="false">IF(SUM($W496:$X496)&gt;0,SUM($W496:$X496),IF($H496&gt;0,0,IF($H496&gt;0,0,"-")))</f>
        <v>-</v>
      </c>
      <c r="F496" s="499" t="str">
        <f aca="false">IF(SUM($Y496:$Z496)&gt;0,SUM($Y496:$Z496),IF($H496&gt;0,0,"-"))</f>
        <v>-</v>
      </c>
      <c r="G496" s="499" t="str">
        <f aca="false">IF($H496&gt;0,minus(E496,F496),"-")</f>
        <v>-</v>
      </c>
      <c r="H496" s="500" t="n">
        <f aca="false">SUM(COUNTIF(MatchSource!$A:$A,$B496),COUNTIF(MatchSource!$H:$H,$B496))</f>
        <v>0</v>
      </c>
      <c r="I496" s="501" t="n">
        <f aca="false">SUM($AA496:$AB496)</f>
        <v>0</v>
      </c>
      <c r="J496" s="501" t="s">
        <v>700</v>
      </c>
      <c r="K496" s="512" t="str">
        <f aca="false" t="array" ref="K496:K496">IF(ISNA(INDEX(DraftRosters!$AA$3:$AA$199,MATCH($B496,DraftRosters!$AB$3:$AB$199,0))),"FA",IF(INDEX(DraftRosters!$AA$3:$AA$199,MATCH($B496,DraftRosters!$AB$3:$AB$199,0))="Franchise","Franch",INDEX(DraftRosters!$AA$3:$AA$199,MATCH($B496,DraftRosters!$AB$3:$AB$199,0))))</f>
        <v>FA</v>
      </c>
      <c r="L496" s="507" t="n">
        <v>130</v>
      </c>
      <c r="M496" s="507" t="n">
        <v>65</v>
      </c>
      <c r="N496" s="507" t="n">
        <v>60</v>
      </c>
      <c r="O496" s="507" t="n">
        <v>110</v>
      </c>
      <c r="P496" s="507" t="n">
        <v>95</v>
      </c>
      <c r="Q496" s="508" t="n">
        <v>65</v>
      </c>
      <c r="R496" s="499" t="s">
        <v>811</v>
      </c>
      <c r="S496" s="501"/>
      <c r="T496" s="504" t="s">
        <v>819</v>
      </c>
      <c r="U496" s="505" t="s">
        <v>849</v>
      </c>
      <c r="V496" s="506"/>
      <c r="W496" s="500" t="str">
        <f aca="false">IFERROR(__xludf.dummyfunction("if(isna(SUM(FILTER(MatchSource!$A:$D,MatchSource!$A:$A=$B496))),0,SUM(FILTER(MatchSource!$A:$D,MatchSource!$A:$A=$B496)))"),"0")</f>
        <v>0</v>
      </c>
      <c r="X496" s="499" t="str">
        <f aca="false">IFERROR(__xludf.dummyfunction("if(isna(SUM(FILTER(MatchSource!$H:$K,MatchSource!$H:$H=$B496))),0,SUM(FILTER(MatchSource!$H:$K,MatchSource!$H:$H=$B496)))"),"0")</f>
        <v>0</v>
      </c>
      <c r="Y496" s="499" t="str">
        <f aca="false">IFERROR(__xludf.dummyfunction("if(isna(ABS(MINUS(SUM(FILTER(MatchSource!$A:$E,MatchSource!$A:$A=$B496)),SUM($W496)))),0,ABS(MINUS(SUM(FILTER(MatchSource!$A:$E,MatchSource!$A:$A=$B496)),SUM($W496))))"),"0")</f>
        <v>0</v>
      </c>
      <c r="Z496" s="499" t="str">
        <f aca="false">IFERROR(__xludf.dummyfunction("if(isna(ABS(MINUS(SUM(FILTER(MatchSource!$H:$L,MatchSource!$H:$H=$B496)),SUM($X496)))),0,ABS(MINUS(SUM(FILTER(MatchSource!$H:$L,MatchSource!$H:$H=$B496)),SUM($X496))))"),"0")</f>
        <v>0</v>
      </c>
      <c r="AA496" s="499" t="str">
        <f aca="false">IFERROR(__xludf.dummyfunction("if(isna(ABS(MINUS(SUM(FILTER(MatchSource!$A:$F,MatchSource!$A:$A=$B496)),SUM($W496,$Y496)))),0,ABS(MINUS(SUM(FILTER(MatchSource!$A:$F,MatchSource!$A:$A=$B496)),SUM($W496, $Y496,))))"),"0")</f>
        <v>0</v>
      </c>
      <c r="AB496" s="501" t="str">
        <f aca="false">IFERROR(__xludf.dummyfunction("if(isna(ABS(MINUS(SUM(FILTER(MatchSource!$H:$M,MatchSource!$H:$H=$B496)),SUM($X496,$Z496)))),0,ABS(MINUS(SUM(FILTER(MatchSource!$H:$M,MatchSource!$H:$H=$B496)),SUM($X496,$Z496))))"),"0")</f>
        <v>0</v>
      </c>
      <c r="AC496" s="507" t="n">
        <f aca="false">SUM(IF(OR($R496="Grass",$R496="Psychic",$R496="Dark"),0-1,IF(OR($R496="Fighting",$R496="Flying",$R496="Fire",$R496="Ghost",$R496="Poison",$R496="Steel",$R496="Fairy"),1,0)),IF(OR($S496="Grass",$S496="Psychic",$S496="Dark"),0-1,IF(OR($S496="Fighting",$S496="Flying",$S496="Fire",$S496="Ghost",$S496="Poison",$S496="Steel",$S496="Fairy"),1,0)))</f>
        <v>0</v>
      </c>
      <c r="AD496" s="507" t="n">
        <f aca="false">SUM(IF(OR($R496="Ghost",$R496="Psychic"),0-1,IF(OR($R496="Fighting",$R496="Dark",$R496="Fairy"),1,0)),IF(OR($S496="Ghost",$S496="Psychic"),0-1,IF(OR($S496="Fighting",$S496="Dark",$S496="Fairy"),1,0)))</f>
        <v>0</v>
      </c>
      <c r="AE496" s="507" t="n">
        <f aca="false">IF(OR($R496="Fairy",$S496="Fairy"),4,SUM(IF($R496="Dragon",0-1,IF($R496="Steel",1,0)),IF($S496="Dragon",0-1,IF($S496="Steel",1,0))))</f>
        <v>0</v>
      </c>
      <c r="AF496" s="507" t="n">
        <f aca="false">IF(OR($R496="Ground",$S496="Ground"),4,SUM(IF(OR($R496="Flying",$R496="Water"),0-1,IF(OR($R496="Dragon",$R496="Electric",$R496="Grass"),1,0)),IF(OR($S496="Flying",$S496="Water"),0-1,IF(OR($S496="Dragon",$S496="Electric",$S496="Grass"),1,0))))</f>
        <v>-1</v>
      </c>
      <c r="AG496" s="507" t="n">
        <f aca="false">SUM(IF(OR($R496="Dark",$R496="Dragon",$R496="Fighting"),0-1,IF(OR($R496="Steel",$R496="Poison",$R496="Fire"),1,0)),IF(OR($S496="Dark",$S496="Dragon",$S496="Fighting"),0-1,IF(OR($S496="Steel",$S496="Poison",$S496="Fire"),1,0)))</f>
        <v>0</v>
      </c>
      <c r="AH496" s="507" t="n">
        <f aca="false">IF(OR($R496="Ghost",$S496="Ghost"),4,SUM(IF(OR($R496="Dark",$R496="Ice",$R496="Normal",$R496="Rock",$R496="Steel"),0-1,IF(OR($R496="Bug",$R496="Fairy",$R496="Flying",$R496="Poison",$R496="Psychic"),1,0)),IF(OR($S496="Dark",$S496="Ice",$S496="Normal",$S496="Rock",$S496="Steel"),0-1,IF(OR($S496="Bug",$S496="Fairy",$S496="Flying",$S496="Poison",$S496="Psychic"),1,0))))</f>
        <v>0</v>
      </c>
      <c r="AI496" s="507" t="n">
        <f aca="false">SUM(IF(OR($R496="Bug",$R496="Grass",$R496="Ice",$R496="Steel"),0-1,IF(OR($R496="Dragon",$R496="Fire",$R496="Rock",$R496="Water"),1,0)),IF(OR($S496="Bug",$S496="Grass",$S496="Ice",$S496="Steel"),0-1,IF(OR($S496="Dragon",$S496="Fire",$S496="Rock",$S496="Water"),1,0)))</f>
        <v>1</v>
      </c>
      <c r="AJ496" s="507" t="n">
        <f aca="false">SUM(IF(OR($R496="Bug",$R496="Grass",$R496="Fighting"),0-1,IF(OR($R496="Electric",$R496="Rock",$R496="Steel"),1,0)),IF(OR($S496="Bug",$S496="Grass",$S496="Fighting"),0-1,IF(OR($S496="Electric",$S496="Rock",$S496="Steel"),1,0)))</f>
        <v>0</v>
      </c>
      <c r="AK496" s="507" t="n">
        <f aca="false">IF(OR($R496="Normal",$S496="Normal"),4,SUM(IF(OR($R496="Ghost",$R496="Psychic"),0-1,IF($R496="Dark",1,0)),IF(OR($S496="Ghost",$S496="Psychic"),0-1,IF($S496="Dark",1,0))))</f>
        <v>0</v>
      </c>
      <c r="AL496" s="507" t="n">
        <f aca="false">SUM(IF(OR($R496="Ground",$R496="Rock",$R496="Water"),0-1,IF(OR($R496="Bug",$R496="Flying",$R496="Fire",$R496="Dragon",$R496="Poison",$R496="Steel",$R496="Grass"),1,0)),IF(OR($S496="Ground",$S496="Rock",$S496="Water"),0-1,IF(OR($S496="Bug",$S496="Flying",$S496="Fire",$S496="Dragon",$S496="Poison",$S496="Steel",$S496="Grass"),1,0)))</f>
        <v>-1</v>
      </c>
      <c r="AM496" s="507" t="n">
        <f aca="false">IF(OR($R496="Flying",$S496="Flying"),4,SUM(IF(OR($R496="Electric",$R496="Fire",$R496="Rock",$R496="Steel",$R496="Poison"),0-1,IF(OR($R496="Bug",$R496="Grass"),1,0)),IF(OR($S496="Electric",$S496="Fire",$S496="Rock",$S496="Steel",$S496="Poison"),0-1,IF(OR($S496="Bug",$S496="Grass"),1,0))))</f>
        <v>0</v>
      </c>
      <c r="AN496" s="507" t="n">
        <f aca="false">SUM(IF(OR($R496="Flying",$R496="Dragon",$R496="Grass",$R496="Ground"),0-1,IF(OR($R496="Steel",$R496="Ice",$R496="Fire",$R496="Water"),1,0)),IF(OR($S496="Flying",$S496="Dragon",$S496="Grass",$S496="Ground"),0-1,IF(OR($S496="Steel",$S496="Ice",$S496="Fire",$S496="Water"),1,0)))</f>
        <v>1</v>
      </c>
      <c r="AO496" s="507" t="n">
        <f aca="false">IF(OR($R496="Ghost",$S496="Ghost"),4,SUM(IF(OR($R496="Steel",$R496="Rock"),1,0),IF(OR($S496="Steel",$S496="Rock"),1,0)))</f>
        <v>0</v>
      </c>
      <c r="AP496" s="507" t="n">
        <f aca="false">IF(OR($R496="Steel",$S496="Steel"),4,SUM(IF(OR($R496="Fairy",$R496="Grass"),0-1,IF(OR($R496="Ghost",$R496="Rock",$R496="Ground",$R496="Poison"),1,0)),IF(OR($S496="Fairy",$S496="Grass"),0-1,IF(OR($S496="Ghost",$S496="Rock",$S496="Ground",$S496="Poison"),1,0))))</f>
        <v>0</v>
      </c>
      <c r="AQ496" s="507" t="n">
        <f aca="false">IF(OR($R496="Dark",$S496="Dark"),4,SUM(IF(OR($R496="Fighting",$R496="Poison"),0-1,IF(OR($R496="Psychic",$R496="Steel"),1,0)),IF(OR($S496="Fighting",$S496="Poison"),0-1,IF(OR($S496="Psychic",$S496="Steel"),1,0))))</f>
        <v>0</v>
      </c>
      <c r="AR496" s="507" t="n">
        <f aca="false">SUM(IF(OR($R496="Bug",$R496="Fire",$R496="Flying",$R496="Ice"),0-1,IF(OR($R496="Steel",$R496="Fighting",$R496="Ground"),1,0)),IF(OR($S496="Bug",$S496="Fire",$S496="Flying",$S496="Ice"),0-1,IF(OR($S496="Steel",$S496="Fighting",$S496="Ground"),1,0)))</f>
        <v>0</v>
      </c>
      <c r="AS496" s="507" t="n">
        <f aca="false">SUM(IF(OR($R496="Fairy",$R496="Ice",$R496="Rock"),0-1,IF(OR($R496="Steel",$R496="Electric",$R496="Fire",$R496="Water"),1,0)),IF(OR($S496="Fairy",$S496="Ice",$S496="Rock"),0-1,IF(OR($S496="Steel",$S496="Electric",$S496="Fire",$S496="Water"),1,0)))</f>
        <v>1</v>
      </c>
      <c r="AT496" s="508" t="n">
        <f aca="false">SUM(IF(OR($R496="Fire",$R496="Ground",$R496="Rock"),0-1,IF(OR($R496="Dragon",$R496="Grass",$R496="Water"),1,0)),IF(OR($S496="Fire",$S496="Ground",$S496="Rock"),0-1,IF(OR($S496="Dragon",$S496="Grass",$S496="Water"),1,0)))</f>
        <v>1</v>
      </c>
      <c r="AU496" s="518"/>
    </row>
    <row r="497" customFormat="false" ht="15.75" hidden="false" customHeight="false" outlineLevel="0" collapsed="false">
      <c r="A497" s="515" t="str">
        <f aca="false" t="array" ref="A497:A497">IF(ISNA(INDEX(Source!$U$7:$U$95,MATCH(B497,Source!$V$7:$V$95,0))),"FREE",INDEX(Source!$U$7:$U$95,MATCH(B497,Source!$V$7:$V$95,0)))</f>
        <v>FREE</v>
      </c>
      <c r="B497" s="511" t="s">
        <v>673</v>
      </c>
      <c r="C497" s="511"/>
      <c r="D497" s="511"/>
      <c r="E497" s="499" t="str">
        <f aca="false">IF(SUM($W497:$X497)&gt;0,SUM($W497:$X497),IF($H497&gt;0,0,IF($H497&gt;0,0,"-")))</f>
        <v>-</v>
      </c>
      <c r="F497" s="499" t="str">
        <f aca="false">IF(SUM($Y497:$Z497)&gt;0,SUM($Y497:$Z497),IF($H497&gt;0,0,"-"))</f>
        <v>-</v>
      </c>
      <c r="G497" s="499" t="str">
        <f aca="false">IF($H497&gt;0,minus(E497,F497),"-")</f>
        <v>-</v>
      </c>
      <c r="H497" s="500" t="n">
        <f aca="false">SUM(COUNTIF(MatchSource!$A:$A,$B497),COUNTIF(MatchSource!$H:$H,$B497))</f>
        <v>0</v>
      </c>
      <c r="I497" s="501" t="n">
        <f aca="false">SUM($AA497:$AB497)</f>
        <v>0</v>
      </c>
      <c r="J497" s="501" t="s">
        <v>701</v>
      </c>
      <c r="K497" s="512" t="str">
        <f aca="false" t="array" ref="K497:K497">IF(ISNA(INDEX(DraftRosters!$AA$3:$AA$199,MATCH($B497,DraftRosters!$AB$3:$AB$199,0))),"FA",IF(INDEX(DraftRosters!$AA$3:$AA$199,MATCH($B497,DraftRosters!$AB$3:$AB$199,0))="Franchise","Franch",INDEX(DraftRosters!$AA$3:$AA$199,MATCH($B497,DraftRosters!$AB$3:$AB$199,0))))</f>
        <v>FA</v>
      </c>
      <c r="L497" s="499" t="n">
        <v>70</v>
      </c>
      <c r="M497" s="499" t="n">
        <v>65</v>
      </c>
      <c r="N497" s="499" t="n">
        <v>60</v>
      </c>
      <c r="O497" s="499" t="n">
        <v>90</v>
      </c>
      <c r="P497" s="499" t="n">
        <v>75</v>
      </c>
      <c r="Q497" s="501" t="n">
        <v>90</v>
      </c>
      <c r="R497" s="499" t="s">
        <v>794</v>
      </c>
      <c r="S497" s="501" t="s">
        <v>843</v>
      </c>
      <c r="T497" s="504" t="s">
        <v>963</v>
      </c>
      <c r="U497" s="505" t="s">
        <v>903</v>
      </c>
      <c r="V497" s="506" t="s">
        <v>905</v>
      </c>
      <c r="W497" s="500" t="str">
        <f aca="false">IFERROR(__xludf.dummyfunction("if(isna(SUM(FILTER(MatchSource!$A:$D,MatchSource!$A:$A=$B497))),0,SUM(FILTER(MatchSource!$A:$D,MatchSource!$A:$A=$B497)))"),"0")</f>
        <v>0</v>
      </c>
      <c r="X497" s="499" t="str">
        <f aca="false">IFERROR(__xludf.dummyfunction("if(isna(SUM(FILTER(MatchSource!$H:$K,MatchSource!$H:$H=$B497))),0,SUM(FILTER(MatchSource!$H:$K,MatchSource!$H:$H=$B497)))"),"0")</f>
        <v>0</v>
      </c>
      <c r="Y497" s="499" t="str">
        <f aca="false">IFERROR(__xludf.dummyfunction("if(isna(ABS(MINUS(SUM(FILTER(MatchSource!$A:$E,MatchSource!$A:$A=$B497)),SUM($W497)))),0,ABS(MINUS(SUM(FILTER(MatchSource!$A:$E,MatchSource!$A:$A=$B497)),SUM($W497))))"),"0")</f>
        <v>0</v>
      </c>
      <c r="Z497" s="499" t="str">
        <f aca="false">IFERROR(__xludf.dummyfunction("if(isna(ABS(MINUS(SUM(FILTER(MatchSource!$H:$L,MatchSource!$H:$H=$B497)),SUM($X497)))),0,ABS(MINUS(SUM(FILTER(MatchSource!$H:$L,MatchSource!$H:$H=$B497)),SUM($X497))))"),"0")</f>
        <v>0</v>
      </c>
      <c r="AA497" s="499" t="str">
        <f aca="false">IFERROR(__xludf.dummyfunction("if(isna(ABS(MINUS(SUM(FILTER(MatchSource!$A:$F,MatchSource!$A:$A=$B497)),SUM($W497,$Y497)))),0,ABS(MINUS(SUM(FILTER(MatchSource!$A:$F,MatchSource!$A:$A=$B497)),SUM($W497, $Y497,))))"),"0")</f>
        <v>0</v>
      </c>
      <c r="AB497" s="501" t="str">
        <f aca="false">IFERROR(__xludf.dummyfunction("if(isna(ABS(MINUS(SUM(FILTER(MatchSource!$H:$M,MatchSource!$H:$H=$B497)),SUM($X497,$Z497)))),0,ABS(MINUS(SUM(FILTER(MatchSource!$H:$M,MatchSource!$H:$H=$B497)),SUM($X497,$Z497))))"),"0")</f>
        <v>0</v>
      </c>
      <c r="AC497" s="507" t="n">
        <f aca="false">SUM(IF(OR($R497="Grass",$R497="Psychic",$R497="Dark"),0-1,IF(OR($R497="Fighting",$R497="Flying",$R497="Fire",$R497="Ghost",$R497="Poison",$R497="Steel",$R497="Fairy"),1,0)),IF(OR($S497="Grass",$S497="Psychic",$S497="Dark"),0-1,IF(OR($S497="Fighting",$S497="Flying",$S497="Fire",$S497="Ghost",$S497="Poison",$S497="Steel",$S497="Fairy"),1,0)))</f>
        <v>1</v>
      </c>
      <c r="AD497" s="507" t="n">
        <f aca="false">SUM(IF(OR($R497="Ghost",$R497="Psychic"),0-1,IF(OR($R497="Fighting",$R497="Dark",$R497="Fairy"),1,0)),IF(OR($S497="Ghost",$S497="Psychic"),0-1,IF(OR($S497="Fighting",$S497="Dark",$S497="Fairy"),1,0)))</f>
        <v>0</v>
      </c>
      <c r="AE497" s="507" t="n">
        <f aca="false">IF(OR($R497="Fairy",$S497="Fairy"),4,SUM(IF($R497="Dragon",0-1,IF($R497="Steel",1,0)),IF($S497="Dragon",0-1,IF($S497="Steel",1,0))))</f>
        <v>0</v>
      </c>
      <c r="AF497" s="507" t="n">
        <f aca="false">IF(OR($R497="Ground",$S497="Ground"),4,SUM(IF(OR($R497="Flying",$R497="Water"),0-1,IF(OR($R497="Dragon",$R497="Electric",$R497="Grass"),1,0)),IF(OR($S497="Flying",$S497="Water"),0-1,IF(OR($S497="Dragon",$S497="Electric",$S497="Grass"),1,0))))</f>
        <v>0</v>
      </c>
      <c r="AG497" s="507" t="n">
        <f aca="false">SUM(IF(OR($R497="Dark",$R497="Dragon",$R497="Fighting"),0-1,IF(OR($R497="Steel",$R497="Poison",$R497="Fire"),1,0)),IF(OR($S497="Dark",$S497="Dragon",$S497="Fighting"),0-1,IF(OR($S497="Steel",$S497="Poison",$S497="Fire"),1,0)))</f>
        <v>1</v>
      </c>
      <c r="AH497" s="507" t="n">
        <f aca="false">IF(OR($R497="Ghost",$S497="Ghost"),4,SUM(IF(OR($R497="Dark",$R497="Ice",$R497="Normal",$R497="Rock",$R497="Steel"),0-1,IF(OR($R497="Bug",$R497="Fairy",$R497="Flying",$R497="Poison",$R497="Psychic"),1,0)),IF(OR($S497="Dark",$S497="Ice",$S497="Normal",$S497="Rock",$S497="Steel"),0-1,IF(OR($S497="Bug",$S497="Fairy",$S497="Flying",$S497="Poison",$S497="Psychic"),1,0))))</f>
        <v>2</v>
      </c>
      <c r="AI497" s="507" t="n">
        <f aca="false">SUM(IF(OR($R497="Bug",$R497="Grass",$R497="Ice",$R497="Steel"),0-1,IF(OR($R497="Dragon",$R497="Fire",$R497="Rock",$R497="Water"),1,0)),IF(OR($S497="Bug",$S497="Grass",$S497="Ice",$S497="Steel"),0-1,IF(OR($S497="Dragon",$S497="Fire",$S497="Rock",$S497="Water"),1,0)))</f>
        <v>-1</v>
      </c>
      <c r="AJ497" s="507" t="n">
        <f aca="false">SUM(IF(OR($R497="Bug",$R497="Grass",$R497="Fighting"),0-1,IF(OR($R497="Electric",$R497="Rock",$R497="Steel"),1,0)),IF(OR($S497="Bug",$S497="Grass",$S497="Fighting"),0-1,IF(OR($S497="Electric",$S497="Rock",$S497="Steel"),1,0)))</f>
        <v>-1</v>
      </c>
      <c r="AK497" s="507" t="n">
        <f aca="false">IF(OR($R497="Normal",$S497="Normal"),4,SUM(IF(OR($R497="Ghost",$R497="Psychic"),0-1,IF($R497="Dark",1,0)),IF(OR($S497="Ghost",$S497="Psychic"),0-1,IF($S497="Dark",1,0))))</f>
        <v>0</v>
      </c>
      <c r="AL497" s="507" t="n">
        <f aca="false">SUM(IF(OR($R497="Ground",$R497="Rock",$R497="Water"),0-1,IF(OR($R497="Bug",$R497="Flying",$R497="Fire",$R497="Dragon",$R497="Poison",$R497="Steel",$R497="Grass"),1,0)),IF(OR($S497="Ground",$S497="Rock",$S497="Water"),0-1,IF(OR($S497="Bug",$S497="Flying",$S497="Fire",$S497="Dragon",$S497="Poison",$S497="Steel",$S497="Grass"),1,0)))</f>
        <v>2</v>
      </c>
      <c r="AM497" s="507" t="n">
        <f aca="false">IF(OR($R497="Flying",$S497="Flying"),4,SUM(IF(OR($R497="Electric",$R497="Fire",$R497="Rock",$R497="Steel",$R497="Poison"),0-1,IF(OR($R497="Bug",$R497="Grass"),1,0)),IF(OR($S497="Electric",$S497="Fire",$S497="Rock",$S497="Steel",$S497="Poison"),0-1,IF(OR($S497="Bug",$S497="Grass"),1,0))))</f>
        <v>0</v>
      </c>
      <c r="AN497" s="507" t="n">
        <f aca="false">SUM(IF(OR($R497="Flying",$R497="Dragon",$R497="Grass",$R497="Ground"),0-1,IF(OR($R497="Steel",$R497="Ice",$R497="Fire",$R497="Water"),1,0)),IF(OR($S497="Flying",$S497="Dragon",$S497="Grass",$S497="Ground"),0-1,IF(OR($S497="Steel",$S497="Ice",$S497="Fire",$S497="Water"),1,0)))</f>
        <v>0</v>
      </c>
      <c r="AO497" s="507" t="n">
        <f aca="false">IF(OR($R497="Ghost",$S497="Ghost"),4,SUM(IF(OR($R497="Steel",$R497="Rock"),1,0),IF(OR($S497="Steel",$S497="Rock"),1,0)))</f>
        <v>0</v>
      </c>
      <c r="AP497" s="507" t="n">
        <f aca="false">IF(OR($R497="Steel",$S497="Steel"),4,SUM(IF(OR($R497="Fairy",$R497="Grass"),0-1,IF(OR($R497="Ghost",$R497="Rock",$R497="Ground",$R497="Poison"),1,0)),IF(OR($S497="Fairy",$S497="Grass"),0-1,IF(OR($S497="Ghost",$S497="Rock",$S497="Ground",$S497="Poison"),1,0))))</f>
        <v>1</v>
      </c>
      <c r="AQ497" s="507" t="n">
        <f aca="false">IF(OR($R497="Dark",$S497="Dark"),4,SUM(IF(OR($R497="Fighting",$R497="Poison"),0-1,IF(OR($R497="Psychic",$R497="Steel"),1,0)),IF(OR($S497="Fighting",$S497="Poison"),0-1,IF(OR($S497="Psychic",$S497="Steel"),1,0))))</f>
        <v>-1</v>
      </c>
      <c r="AR497" s="507" t="n">
        <f aca="false">SUM(IF(OR($R497="Bug",$R497="Fire",$R497="Flying",$R497="Ice"),0-1,IF(OR($R497="Steel",$R497="Fighting",$R497="Ground"),1,0)),IF(OR($S497="Bug",$S497="Fire",$S497="Flying",$S497="Ice"),0-1,IF(OR($S497="Steel",$S497="Fighting",$S497="Ground"),1,0)))</f>
        <v>-1</v>
      </c>
      <c r="AS497" s="507" t="n">
        <f aca="false">SUM(IF(OR($R497="Fairy",$R497="Ice",$R497="Rock"),0-1,IF(OR($R497="Steel",$R497="Electric",$R497="Fire",$R497="Water"),1,0)),IF(OR($S497="Fairy",$S497="Ice",$S497="Rock"),0-1,IF(OR($S497="Steel",$S497="Electric",$S497="Fire",$S497="Water"),1,0)))</f>
        <v>0</v>
      </c>
      <c r="AT497" s="508" t="n">
        <f aca="false">SUM(IF(OR($R497="Fire",$R497="Ground",$R497="Rock"),0-1,IF(OR($R497="Dragon",$R497="Grass",$R497="Water"),1,0)),IF(OR($S497="Fire",$S497="Ground",$S497="Rock"),0-1,IF(OR($S497="Dragon",$S497="Grass",$S497="Water"),1,0)))</f>
        <v>0</v>
      </c>
      <c r="AU497" s="518"/>
    </row>
    <row r="498" customFormat="false" ht="15.75" hidden="false" customHeight="false" outlineLevel="0" collapsed="false">
      <c r="A498" s="515" t="str">
        <f aca="false" t="array" ref="A498:A498">IF(ISNA(INDEX(Source!$U$7:$U$95,MATCH(B498,Source!$V$7:$V$95,0))),"FREE",INDEX(Source!$U$7:$U$95,MATCH(B498,Source!$V$7:$V$95,0)))</f>
        <v>FREE</v>
      </c>
      <c r="B498" s="511" t="s">
        <v>676</v>
      </c>
      <c r="C498" s="511"/>
      <c r="D498" s="511"/>
      <c r="E498" s="499" t="str">
        <f aca="false">IF(SUM($W498:$X498)&gt;0,SUM($W498:$X498),IF($H498&gt;0,0,IF($H498&gt;0,0,"-")))</f>
        <v>-</v>
      </c>
      <c r="F498" s="499" t="str">
        <f aca="false">IF(SUM($Y498:$Z498)&gt;0,SUM($Y498:$Z498),IF($H498&gt;0,0,"-"))</f>
        <v>-</v>
      </c>
      <c r="G498" s="499" t="str">
        <f aca="false">IF($H498&gt;0,minus(E498,F498),"-")</f>
        <v>-</v>
      </c>
      <c r="H498" s="500" t="n">
        <f aca="false">SUM(COUNTIF(MatchSource!$A:$A,$B498),COUNTIF(MatchSource!$H:$H,$B498))</f>
        <v>0</v>
      </c>
      <c r="I498" s="501" t="n">
        <f aca="false">SUM($AA498:$AB498)</f>
        <v>0</v>
      </c>
      <c r="J498" s="501" t="s">
        <v>701</v>
      </c>
      <c r="K498" s="512" t="str">
        <f aca="false" t="array" ref="K498:K498">IF(ISNA(INDEX(DraftRosters!$AA$3:$AA$199,MATCH($B498,DraftRosters!$AB$3:$AB$199,0))),"FA",IF(INDEX(DraftRosters!$AA$3:$AA$199,MATCH($B498,DraftRosters!$AB$3:$AB$199,0))="Franchise","Franch",INDEX(DraftRosters!$AA$3:$AA$199,MATCH($B498,DraftRosters!$AB$3:$AB$199,0))))</f>
        <v>FA</v>
      </c>
      <c r="L498" s="499" t="n">
        <v>80</v>
      </c>
      <c r="M498" s="499" t="n">
        <v>82</v>
      </c>
      <c r="N498" s="499" t="n">
        <v>83</v>
      </c>
      <c r="O498" s="499" t="n">
        <v>100</v>
      </c>
      <c r="P498" s="499" t="n">
        <v>100</v>
      </c>
      <c r="Q498" s="501" t="n">
        <v>80</v>
      </c>
      <c r="R498" s="499" t="s">
        <v>803</v>
      </c>
      <c r="S498" s="501" t="s">
        <v>843</v>
      </c>
      <c r="T498" s="504" t="s">
        <v>880</v>
      </c>
      <c r="U498" s="505" t="s">
        <v>921</v>
      </c>
      <c r="V498" s="506"/>
      <c r="W498" s="500" t="str">
        <f aca="false">IFERROR(__xludf.dummyfunction("if(isna(SUM(FILTER(MatchSource!$A:$D,MatchSource!$A:$A=$B498))),0,SUM(FILTER(MatchSource!$A:$D,MatchSource!$A:$A=$B498)))"),"0")</f>
        <v>0</v>
      </c>
      <c r="X498" s="499" t="str">
        <f aca="false">IFERROR(__xludf.dummyfunction("if(isna(SUM(FILTER(MatchSource!$H:$K,MatchSource!$H:$H=$B498))),0,SUM(FILTER(MatchSource!$H:$K,MatchSource!$H:$H=$B498)))"),"0")</f>
        <v>0</v>
      </c>
      <c r="Y498" s="499" t="str">
        <f aca="false">IFERROR(__xludf.dummyfunction("if(isna(ABS(MINUS(SUM(FILTER(MatchSource!$A:$E,MatchSource!$A:$A=$B498)),SUM($W498)))),0,ABS(MINUS(SUM(FILTER(MatchSource!$A:$E,MatchSource!$A:$A=$B498)),SUM($W498))))"),"0")</f>
        <v>0</v>
      </c>
      <c r="Z498" s="499" t="str">
        <f aca="false">IFERROR(__xludf.dummyfunction("if(isna(ABS(MINUS(SUM(FILTER(MatchSource!$H:$L,MatchSource!$H:$H=$B498)),SUM($X498)))),0,ABS(MINUS(SUM(FILTER(MatchSource!$H:$L,MatchSource!$H:$H=$B498)),SUM($X498))))"),"0")</f>
        <v>0</v>
      </c>
      <c r="AA498" s="499" t="str">
        <f aca="false">IFERROR(__xludf.dummyfunction("if(isna(ABS(MINUS(SUM(FILTER(MatchSource!$A:$F,MatchSource!$A:$A=$B498)),SUM($W498,$Y498)))),0,ABS(MINUS(SUM(FILTER(MatchSource!$A:$F,MatchSource!$A:$A=$B498)),SUM($W498, $Y498,))))"),"0")</f>
        <v>0</v>
      </c>
      <c r="AB498" s="501" t="str">
        <f aca="false">IFERROR(__xludf.dummyfunction("if(isna(ABS(MINUS(SUM(FILTER(MatchSource!$H:$M,MatchSource!$H:$H=$B498)),SUM($X498,$Z498)))),0,ABS(MINUS(SUM(FILTER(MatchSource!$H:$M,MatchSource!$H:$H=$B498)),SUM($X498,$Z498))))"),"0")</f>
        <v>0</v>
      </c>
      <c r="AC498" s="507" t="n">
        <f aca="false">SUM(IF(OR($R498="Grass",$R498="Psychic",$R498="Dark"),0-1,IF(OR($R498="Fighting",$R498="Flying",$R498="Fire",$R498="Ghost",$R498="Poison",$R498="Steel",$R498="Fairy"),1,0)),IF(OR($S498="Grass",$S498="Psychic",$S498="Dark"),0-1,IF(OR($S498="Fighting",$S498="Flying",$S498="Fire",$S498="Ghost",$S498="Poison",$S498="Steel",$S498="Fairy"),1,0)))</f>
        <v>0</v>
      </c>
      <c r="AD498" s="507" t="n">
        <f aca="false">SUM(IF(OR($R498="Ghost",$R498="Psychic"),0-1,IF(OR($R498="Fighting",$R498="Dark",$R498="Fairy"),1,0)),IF(OR($S498="Ghost",$S498="Psychic"),0-1,IF(OR($S498="Fighting",$S498="Dark",$S498="Fairy"),1,0)))</f>
        <v>0</v>
      </c>
      <c r="AE498" s="507" t="n">
        <f aca="false">IF(OR($R498="Fairy",$S498="Fairy"),4,SUM(IF($R498="Dragon",0-1,IF($R498="Steel",1,0)),IF($S498="Dragon",0-1,IF($S498="Steel",1,0))))</f>
        <v>0</v>
      </c>
      <c r="AF498" s="507" t="n">
        <f aca="false">IF(OR($R498="Ground",$S498="Ground"),4,SUM(IF(OR($R498="Flying",$R498="Water"),0-1,IF(OR($R498="Dragon",$R498="Electric",$R498="Grass"),1,0)),IF(OR($S498="Flying",$S498="Water"),0-1,IF(OR($S498="Dragon",$S498="Electric",$S498="Grass"),1,0))))</f>
        <v>1</v>
      </c>
      <c r="AG498" s="507" t="n">
        <f aca="false">SUM(IF(OR($R498="Dark",$R498="Dragon",$R498="Fighting"),0-1,IF(OR($R498="Steel",$R498="Poison",$R498="Fire"),1,0)),IF(OR($S498="Dark",$S498="Dragon",$S498="Fighting"),0-1,IF(OR($S498="Steel",$S498="Poison",$S498="Fire"),1,0)))</f>
        <v>1</v>
      </c>
      <c r="AH498" s="507" t="n">
        <f aca="false">IF(OR($R498="Ghost",$S498="Ghost"),4,SUM(IF(OR($R498="Dark",$R498="Ice",$R498="Normal",$R498="Rock",$R498="Steel"),0-1,IF(OR($R498="Bug",$R498="Fairy",$R498="Flying",$R498="Poison",$R498="Psychic"),1,0)),IF(OR($S498="Dark",$S498="Ice",$S498="Normal",$S498="Rock",$S498="Steel"),0-1,IF(OR($S498="Bug",$S498="Fairy",$S498="Flying",$S498="Poison",$S498="Psychic"),1,0))))</f>
        <v>1</v>
      </c>
      <c r="AI498" s="507" t="n">
        <f aca="false">SUM(IF(OR($R498="Bug",$R498="Grass",$R498="Ice",$R498="Steel"),0-1,IF(OR($R498="Dragon",$R498="Fire",$R498="Rock",$R498="Water"),1,0)),IF(OR($S498="Bug",$S498="Grass",$S498="Ice",$S498="Steel"),0-1,IF(OR($S498="Dragon",$S498="Fire",$S498="Rock",$S498="Water"),1,0)))</f>
        <v>-1</v>
      </c>
      <c r="AJ498" s="507" t="n">
        <f aca="false">SUM(IF(OR($R498="Bug",$R498="Grass",$R498="Fighting"),0-1,IF(OR($R498="Electric",$R498="Rock",$R498="Steel"),1,0)),IF(OR($S498="Bug",$S498="Grass",$S498="Fighting"),0-1,IF(OR($S498="Electric",$S498="Rock",$S498="Steel"),1,0)))</f>
        <v>-1</v>
      </c>
      <c r="AK498" s="507" t="n">
        <f aca="false">IF(OR($R498="Normal",$S498="Normal"),4,SUM(IF(OR($R498="Ghost",$R498="Psychic"),0-1,IF($R498="Dark",1,0)),IF(OR($S498="Ghost",$S498="Psychic"),0-1,IF($S498="Dark",1,0))))</f>
        <v>0</v>
      </c>
      <c r="AL498" s="507" t="n">
        <f aca="false">SUM(IF(OR($R498="Ground",$R498="Rock",$R498="Water"),0-1,IF(OR($R498="Bug",$R498="Flying",$R498="Fire",$R498="Dragon",$R498="Poison",$R498="Steel",$R498="Grass"),1,0)),IF(OR($S498="Ground",$S498="Rock",$S498="Water"),0-1,IF(OR($S498="Bug",$S498="Flying",$S498="Fire",$S498="Dragon",$S498="Poison",$S498="Steel",$S498="Grass"),1,0)))</f>
        <v>2</v>
      </c>
      <c r="AM498" s="507" t="n">
        <f aca="false">IF(OR($R498="Flying",$S498="Flying"),4,SUM(IF(OR($R498="Electric",$R498="Fire",$R498="Rock",$R498="Steel",$R498="Poison"),0-1,IF(OR($R498="Bug",$R498="Grass"),1,0)),IF(OR($S498="Electric",$S498="Fire",$S498="Rock",$S498="Steel",$S498="Poison"),0-1,IF(OR($S498="Bug",$S498="Grass"),1,0))))</f>
        <v>0</v>
      </c>
      <c r="AN498" s="507" t="n">
        <f aca="false">SUM(IF(OR($R498="Flying",$R498="Dragon",$R498="Grass",$R498="Ground"),0-1,IF(OR($R498="Steel",$R498="Ice",$R498="Fire",$R498="Water"),1,0)),IF(OR($S498="Flying",$S498="Dragon",$S498="Grass",$S498="Ground"),0-1,IF(OR($S498="Steel",$S498="Ice",$S498="Fire",$S498="Water"),1,0)))</f>
        <v>-1</v>
      </c>
      <c r="AO498" s="507" t="n">
        <f aca="false">IF(OR($R498="Ghost",$S498="Ghost"),4,SUM(IF(OR($R498="Steel",$R498="Rock"),1,0),IF(OR($S498="Steel",$S498="Rock"),1,0)))</f>
        <v>0</v>
      </c>
      <c r="AP498" s="507" t="n">
        <f aca="false">IF(OR($R498="Steel",$S498="Steel"),4,SUM(IF(OR($R498="Fairy",$R498="Grass"),0-1,IF(OR($R498="Ghost",$R498="Rock",$R498="Ground",$R498="Poison"),1,0)),IF(OR($S498="Fairy",$S498="Grass"),0-1,IF(OR($S498="Ghost",$S498="Rock",$S498="Ground",$S498="Poison"),1,0))))</f>
        <v>0</v>
      </c>
      <c r="AQ498" s="507" t="n">
        <f aca="false">IF(OR($R498="Dark",$S498="Dark"),4,SUM(IF(OR($R498="Fighting",$R498="Poison"),0-1,IF(OR($R498="Psychic",$R498="Steel"),1,0)),IF(OR($S498="Fighting",$S498="Poison"),0-1,IF(OR($S498="Psychic",$S498="Steel"),1,0))))</f>
        <v>-1</v>
      </c>
      <c r="AR498" s="507" t="n">
        <f aca="false">SUM(IF(OR($R498="Bug",$R498="Fire",$R498="Flying",$R498="Ice"),0-1,IF(OR($R498="Steel",$R498="Fighting",$R498="Ground"),1,0)),IF(OR($S498="Bug",$S498="Fire",$S498="Flying",$S498="Ice"),0-1,IF(OR($S498="Steel",$S498="Fighting",$S498="Ground"),1,0)))</f>
        <v>0</v>
      </c>
      <c r="AS498" s="507" t="n">
        <f aca="false">SUM(IF(OR($R498="Fairy",$R498="Ice",$R498="Rock"),0-1,IF(OR($R498="Steel",$R498="Electric",$R498="Fire",$R498="Water"),1,0)),IF(OR($S498="Fairy",$S498="Ice",$S498="Rock"),0-1,IF(OR($S498="Steel",$S498="Electric",$S498="Fire",$S498="Water"),1,0)))</f>
        <v>0</v>
      </c>
      <c r="AT498" s="508" t="n">
        <f aca="false">SUM(IF(OR($R498="Fire",$R498="Ground",$R498="Rock"),0-1,IF(OR($R498="Dragon",$R498="Grass",$R498="Water"),1,0)),IF(OR($S498="Fire",$S498="Ground",$S498="Rock"),0-1,IF(OR($S498="Dragon",$S498="Grass",$S498="Water"),1,0)))</f>
        <v>1</v>
      </c>
      <c r="AU498" s="518"/>
    </row>
    <row r="499" customFormat="false" ht="15.75" hidden="false" customHeight="false" outlineLevel="0" collapsed="false">
      <c r="A499" s="515" t="str">
        <f aca="false" t="array" ref="A499:A499">IF(ISNA(INDEX(Source!$U$7:$U$95,MATCH(B499,Source!$V$7:$V$95,0))),"FREE",INDEX(Source!$U$7:$U$95,MATCH(B499,Source!$V$7:$V$95,0)))</f>
        <v>FREE</v>
      </c>
      <c r="B499" s="511" t="s">
        <v>740</v>
      </c>
      <c r="C499" s="511"/>
      <c r="D499" s="511"/>
      <c r="E499" s="499" t="str">
        <f aca="false">IF(SUM($W499:$X499)&gt;0,SUM($W499:$X499),IF($H499&gt;0,0,IF($H499&gt;0,0,"-")))</f>
        <v>-</v>
      </c>
      <c r="F499" s="499" t="str">
        <f aca="false">IF(SUM($Y499:$Z499)&gt;0,SUM($Y499:$Z499),IF($H499&gt;0,0,"-"))</f>
        <v>-</v>
      </c>
      <c r="G499" s="499" t="str">
        <f aca="false">IF($H499&gt;0,minus(E499,F499),"-")</f>
        <v>-</v>
      </c>
      <c r="H499" s="500" t="n">
        <f aca="false">SUM(COUNTIF(MatchSource!$A:$A,$B499),COUNTIF(MatchSource!$H:$H,$B499))</f>
        <v>0</v>
      </c>
      <c r="I499" s="501" t="n">
        <f aca="false">SUM($AA499:$AB499)</f>
        <v>0</v>
      </c>
      <c r="J499" s="501" t="s">
        <v>276</v>
      </c>
      <c r="K499" s="512" t="str">
        <f aca="false" t="array" ref="K499:K499">IF(ISNA(INDEX(DraftRosters!$AA$3:$AA$199,MATCH($B499,DraftRosters!$AB$3:$AB$199,0))),"FA",IF(INDEX(DraftRosters!$AA$3:$AA$199,MATCH($B499,DraftRosters!$AB$3:$AB$199,0))="Franchise","Franch",INDEX(DraftRosters!$AA$3:$AA$199,MATCH($B499,DraftRosters!$AB$3:$AB$199,0))))</f>
        <v>FA</v>
      </c>
      <c r="L499" s="507" t="n">
        <v>80</v>
      </c>
      <c r="M499" s="507" t="n">
        <v>100</v>
      </c>
      <c r="N499" s="507" t="n">
        <v>123</v>
      </c>
      <c r="O499" s="507" t="n">
        <v>122</v>
      </c>
      <c r="P499" s="507" t="n">
        <v>120</v>
      </c>
      <c r="Q499" s="508" t="n">
        <v>80</v>
      </c>
      <c r="R499" s="499" t="s">
        <v>803</v>
      </c>
      <c r="S499" s="501" t="s">
        <v>843</v>
      </c>
      <c r="T499" s="504" t="s">
        <v>868</v>
      </c>
      <c r="U499" s="505"/>
      <c r="V499" s="506"/>
      <c r="W499" s="500" t="str">
        <f aca="false">IFERROR(__xludf.dummyfunction("if(isna(SUM(FILTER(MatchSource!$A:$D,MatchSource!$A:$A=$B499))),0,SUM(FILTER(MatchSource!$A:$D,MatchSource!$A:$A=$B499)))"),"0")</f>
        <v>0</v>
      </c>
      <c r="X499" s="499" t="str">
        <f aca="false">IFERROR(__xludf.dummyfunction("if(isna(SUM(FILTER(MatchSource!$H:$K,MatchSource!$H:$H=$B499))),0,SUM(FILTER(MatchSource!$H:$K,MatchSource!$H:$H=$B499)))"),"0")</f>
        <v>0</v>
      </c>
      <c r="Y499" s="499" t="str">
        <f aca="false">IFERROR(__xludf.dummyfunction("if(isna(ABS(MINUS(SUM(FILTER(MatchSource!$A:$E,MatchSource!$A:$A=$B499)),SUM($W499)))),0,ABS(MINUS(SUM(FILTER(MatchSource!$A:$E,MatchSource!$A:$A=$B499)),SUM($W499))))"),"0")</f>
        <v>0</v>
      </c>
      <c r="Z499" s="499" t="str">
        <f aca="false">IFERROR(__xludf.dummyfunction("if(isna(ABS(MINUS(SUM(FILTER(MatchSource!$H:$L,MatchSource!$H:$H=$B499)),SUM($X499)))),0,ABS(MINUS(SUM(FILTER(MatchSource!$H:$L,MatchSource!$H:$H=$B499)),SUM($X499))))"),"0")</f>
        <v>0</v>
      </c>
      <c r="AA499" s="499" t="str">
        <f aca="false">IFERROR(__xludf.dummyfunction("if(isna(ABS(MINUS(SUM(FILTER(MatchSource!$A:$F,MatchSource!$A:$A=$B499)),SUM($W499,$Y499)))),0,ABS(MINUS(SUM(FILTER(MatchSource!$A:$F,MatchSource!$A:$A=$B499)),SUM($W499, $Y499,))))"),"0")</f>
        <v>0</v>
      </c>
      <c r="AB499" s="501" t="str">
        <f aca="false">IFERROR(__xludf.dummyfunction("if(isna(ABS(MINUS(SUM(FILTER(MatchSource!$H:$M,MatchSource!$H:$H=$B499)),SUM($X499,$Z499)))),0,ABS(MINUS(SUM(FILTER(MatchSource!$H:$M,MatchSource!$H:$H=$B499)),SUM($X499,$Z499))))"),"0")</f>
        <v>0</v>
      </c>
      <c r="AC499" s="507" t="n">
        <f aca="false">SUM(IF(OR($R499="Grass",$R499="Psychic",$R499="Dark"),0-1,IF(OR($R499="Fighting",$R499="Flying",$R499="Fire",$R499="Ghost",$R499="Poison",$R499="Steel",$R499="Fairy"),1,0)),IF(OR($S499="Grass",$S499="Psychic",$S499="Dark"),0-1,IF(OR($S499="Fighting",$S499="Flying",$S499="Fire",$S499="Ghost",$S499="Poison",$S499="Steel",$S499="Fairy"),1,0)))</f>
        <v>0</v>
      </c>
      <c r="AD499" s="507" t="n">
        <f aca="false">SUM(IF(OR($R499="Ghost",$R499="Psychic"),0-1,IF(OR($R499="Fighting",$R499="Dark",$R499="Fairy"),1,0)),IF(OR($S499="Ghost",$S499="Psychic"),0-1,IF(OR($S499="Fighting",$S499="Dark",$S499="Fairy"),1,0)))</f>
        <v>0</v>
      </c>
      <c r="AE499" s="507" t="n">
        <f aca="false">IF(OR($R499="Fairy",$S499="Fairy"),4,SUM(IF($R499="Dragon",0-1,IF($R499="Steel",1,0)),IF($S499="Dragon",0-1,IF($S499="Steel",1,0))))</f>
        <v>0</v>
      </c>
      <c r="AF499" s="507" t="n">
        <f aca="false">IF(OR($R499="Ground",$S499="Ground"),4,SUM(IF(OR($R499="Flying",$R499="Water"),0-1,IF(OR($R499="Dragon",$R499="Electric",$R499="Grass"),1,0)),IF(OR($S499="Flying",$S499="Water"),0-1,IF(OR($S499="Dragon",$S499="Electric",$S499="Grass"),1,0))))</f>
        <v>1</v>
      </c>
      <c r="AG499" s="507" t="n">
        <f aca="false">SUM(IF(OR($R499="Dark",$R499="Dragon",$R499="Fighting"),0-1,IF(OR($R499="Steel",$R499="Poison",$R499="Fire"),1,0)),IF(OR($S499="Dark",$S499="Dragon",$S499="Fighting"),0-1,IF(OR($S499="Steel",$S499="Poison",$S499="Fire"),1,0)))</f>
        <v>1</v>
      </c>
      <c r="AH499" s="507" t="n">
        <f aca="false">IF(OR($R499="Ghost",$S499="Ghost"),4,SUM(IF(OR($R499="Dark",$R499="Ice",$R499="Normal",$R499="Rock",$R499="Steel"),0-1,IF(OR($R499="Bug",$R499="Fairy",$R499="Flying",$R499="Poison",$R499="Psychic"),1,0)),IF(OR($S499="Dark",$S499="Ice",$S499="Normal",$S499="Rock",$S499="Steel"),0-1,IF(OR($S499="Bug",$S499="Fairy",$S499="Flying",$S499="Poison",$S499="Psychic"),1,0))))</f>
        <v>1</v>
      </c>
      <c r="AI499" s="507" t="n">
        <f aca="false">SUM(IF(OR($R499="Bug",$R499="Grass",$R499="Ice",$R499="Steel"),0-1,IF(OR($R499="Dragon",$R499="Fire",$R499="Rock",$R499="Water"),1,0)),IF(OR($S499="Bug",$S499="Grass",$S499="Ice",$S499="Steel"),0-1,IF(OR($S499="Dragon",$S499="Fire",$S499="Rock",$S499="Water"),1,0)))</f>
        <v>-1</v>
      </c>
      <c r="AJ499" s="507" t="n">
        <f aca="false">SUM(IF(OR($R499="Bug",$R499="Grass",$R499="Fighting"),0-1,IF(OR($R499="Electric",$R499="Rock",$R499="Steel"),1,0)),IF(OR($S499="Bug",$S499="Grass",$S499="Fighting"),0-1,IF(OR($S499="Electric",$S499="Rock",$S499="Steel"),1,0)))</f>
        <v>-1</v>
      </c>
      <c r="AK499" s="507" t="n">
        <f aca="false">IF(OR($R499="Normal",$S499="Normal"),4,SUM(IF(OR($R499="Ghost",$R499="Psychic"),0-1,IF($R499="Dark",1,0)),IF(OR($S499="Ghost",$S499="Psychic"),0-1,IF($S499="Dark",1,0))))</f>
        <v>0</v>
      </c>
      <c r="AL499" s="507" t="n">
        <f aca="false">SUM(IF(OR($R499="Ground",$R499="Rock",$R499="Water"),0-1,IF(OR($R499="Bug",$R499="Flying",$R499="Fire",$R499="Dragon",$R499="Poison",$R499="Steel",$R499="Grass"),1,0)),IF(OR($S499="Ground",$S499="Rock",$S499="Water"),0-1,IF(OR($S499="Bug",$S499="Flying",$S499="Fire",$S499="Dragon",$S499="Poison",$S499="Steel",$S499="Grass"),1,0)))</f>
        <v>2</v>
      </c>
      <c r="AM499" s="507" t="n">
        <f aca="false">IF(OR($R499="Flying",$S499="Flying"),4,SUM(IF(OR($R499="Electric",$R499="Fire",$R499="Rock",$R499="Steel",$R499="Poison"),0-1,IF(OR($R499="Bug",$R499="Grass"),1,0)),IF(OR($S499="Electric",$S499="Fire",$S499="Rock",$S499="Steel",$S499="Poison"),0-1,IF(OR($S499="Bug",$S499="Grass"),1,0))))</f>
        <v>0</v>
      </c>
      <c r="AN499" s="507" t="n">
        <f aca="false">SUM(IF(OR($R499="Flying",$R499="Dragon",$R499="Grass",$R499="Ground"),0-1,IF(OR($R499="Steel",$R499="Ice",$R499="Fire",$R499="Water"),1,0)),IF(OR($S499="Flying",$S499="Dragon",$S499="Grass",$S499="Ground"),0-1,IF(OR($S499="Steel",$S499="Ice",$S499="Fire",$S499="Water"),1,0)))</f>
        <v>-1</v>
      </c>
      <c r="AO499" s="507" t="n">
        <f aca="false">IF(OR($R499="Ghost",$S499="Ghost"),4,SUM(IF(OR($R499="Steel",$R499="Rock"),1,0),IF(OR($S499="Steel",$S499="Rock"),1,0)))</f>
        <v>0</v>
      </c>
      <c r="AP499" s="507" t="n">
        <f aca="false">IF(OR($R499="Steel",$S499="Steel"),4,SUM(IF(OR($R499="Fairy",$R499="Grass"),0-1,IF(OR($R499="Ghost",$R499="Rock",$R499="Ground",$R499="Poison"),1,0)),IF(OR($S499="Fairy",$S499="Grass"),0-1,IF(OR($S499="Ghost",$S499="Rock",$S499="Ground",$S499="Poison"),1,0))))</f>
        <v>0</v>
      </c>
      <c r="AQ499" s="507" t="n">
        <f aca="false">IF(OR($R499="Dark",$S499="Dark"),4,SUM(IF(OR($R499="Fighting",$R499="Poison"),0-1,IF(OR($R499="Psychic",$R499="Steel"),1,0)),IF(OR($S499="Fighting",$S499="Poison"),0-1,IF(OR($S499="Psychic",$S499="Steel"),1,0))))</f>
        <v>-1</v>
      </c>
      <c r="AR499" s="507" t="n">
        <f aca="false">SUM(IF(OR($R499="Bug",$R499="Fire",$R499="Flying",$R499="Ice"),0-1,IF(OR($R499="Steel",$R499="Fighting",$R499="Ground"),1,0)),IF(OR($S499="Bug",$S499="Fire",$S499="Flying",$S499="Ice"),0-1,IF(OR($S499="Steel",$S499="Fighting",$S499="Ground"),1,0)))</f>
        <v>0</v>
      </c>
      <c r="AS499" s="507" t="n">
        <f aca="false">SUM(IF(OR($R499="Fairy",$R499="Ice",$R499="Rock"),0-1,IF(OR($R499="Steel",$R499="Electric",$R499="Fire",$R499="Water"),1,0)),IF(OR($S499="Fairy",$S499="Ice",$S499="Rock"),0-1,IF(OR($S499="Steel",$S499="Electric",$S499="Fire",$S499="Water"),1,0)))</f>
        <v>0</v>
      </c>
      <c r="AT499" s="508" t="n">
        <f aca="false">SUM(IF(OR($R499="Fire",$R499="Ground",$R499="Rock"),0-1,IF(OR($R499="Dragon",$R499="Grass",$R499="Water"),1,0)),IF(OR($S499="Fire",$S499="Ground",$S499="Rock"),0-1,IF(OR($S499="Dragon",$S499="Grass",$S499="Water"),1,0)))</f>
        <v>1</v>
      </c>
      <c r="AU499" s="518"/>
    </row>
    <row r="500" customFormat="false" ht="15.75" hidden="false" customHeight="false" outlineLevel="0" collapsed="false">
      <c r="A500" s="510" t="str">
        <f aca="false" t="array" ref="A500:A500">IF(ISNA(INDEX(Source!$U$7:$U$95,MATCH(B500,Source!$V$7:$V$95,0))),"FREE",INDEX(Source!$U$7:$U$95,MATCH(B500,Source!$V$7:$V$95,0)))</f>
        <v>FREE</v>
      </c>
      <c r="B500" s="511" t="s">
        <v>661</v>
      </c>
      <c r="C500" s="511"/>
      <c r="D500" s="511"/>
      <c r="E500" s="499" t="str">
        <f aca="false">IF(SUM($W500:$X500)&gt;0,SUM($W500:$X500),IF($H500&gt;0,0,IF($H500&gt;0,0,"-")))</f>
        <v>-</v>
      </c>
      <c r="F500" s="499" t="str">
        <f aca="false">IF(SUM($Y500:$Z500)&gt;0,SUM($Y500:$Z500),IF($H500&gt;0,0,"-"))</f>
        <v>-</v>
      </c>
      <c r="G500" s="499" t="str">
        <f aca="false">IF($H500&gt;0,minus(E500,F500),"-")</f>
        <v>-</v>
      </c>
      <c r="H500" s="500" t="n">
        <f aca="false">SUM(COUNTIF(MatchSource!$A:$A,$B500),COUNTIF(MatchSource!$H:$H,$B500))</f>
        <v>0</v>
      </c>
      <c r="I500" s="501" t="n">
        <f aca="false">SUM($AA500:$AB500)</f>
        <v>0</v>
      </c>
      <c r="J500" s="501" t="s">
        <v>702</v>
      </c>
      <c r="K500" s="512" t="str">
        <f aca="false" t="array" ref="K500:K500">IF(ISNA(INDEX(DraftRosters!$AA$3:$AA$199,MATCH($B500,DraftRosters!$AB$3:$AB$199,0))),"FA",IF(INDEX(DraftRosters!$AA$3:$AA$199,MATCH($B500,DraftRosters!$AB$3:$AB$199,0))="Franchise","Franch",INDEX(DraftRosters!$AA$3:$AA$199,MATCH($B500,DraftRosters!$AB$3:$AB$199,0))))</f>
        <v>FA</v>
      </c>
      <c r="L500" s="499" t="n">
        <v>70</v>
      </c>
      <c r="M500" s="499" t="n">
        <v>80</v>
      </c>
      <c r="N500" s="499" t="n">
        <v>102</v>
      </c>
      <c r="O500" s="499" t="n">
        <v>80</v>
      </c>
      <c r="P500" s="499" t="n">
        <v>102</v>
      </c>
      <c r="Q500" s="501" t="n">
        <v>40</v>
      </c>
      <c r="R500" s="499" t="s">
        <v>794</v>
      </c>
      <c r="S500" s="501" t="s">
        <v>801</v>
      </c>
      <c r="T500" s="504" t="s">
        <v>816</v>
      </c>
      <c r="U500" s="505" t="s">
        <v>822</v>
      </c>
      <c r="V500" s="506"/>
      <c r="W500" s="500" t="str">
        <f aca="false">IFERROR(__xludf.dummyfunction("if(isna(SUM(FILTER(MatchSource!$A:$D,MatchSource!$A:$A=$B500))),0,SUM(FILTER(MatchSource!$A:$D,MatchSource!$A:$A=$B500)))"),"0")</f>
        <v>0</v>
      </c>
      <c r="X500" s="499" t="str">
        <f aca="false">IFERROR(__xludf.dummyfunction("if(isna(SUM(FILTER(MatchSource!$H:$K,MatchSource!$H:$H=$B500))),0,SUM(FILTER(MatchSource!$H:$K,MatchSource!$H:$H=$B500)))"),"0")</f>
        <v>0</v>
      </c>
      <c r="Y500" s="499" t="str">
        <f aca="false">IFERROR(__xludf.dummyfunction("if(isna(ABS(MINUS(SUM(FILTER(MatchSource!$A:$E,MatchSource!$A:$A=$B500)),SUM($W500)))),0,ABS(MINUS(SUM(FILTER(MatchSource!$A:$E,MatchSource!$A:$A=$B500)),SUM($W500))))"),"0")</f>
        <v>0</v>
      </c>
      <c r="Z500" s="499" t="str">
        <f aca="false">IFERROR(__xludf.dummyfunction("if(isna(ABS(MINUS(SUM(FILTER(MatchSource!$H:$L,MatchSource!$H:$H=$B500)),SUM($X500)))),0,ABS(MINUS(SUM(FILTER(MatchSource!$H:$L,MatchSource!$H:$H=$B500)),SUM($X500))))"),"0")</f>
        <v>0</v>
      </c>
      <c r="AA500" s="499" t="str">
        <f aca="false">IFERROR(__xludf.dummyfunction("if(isna(ABS(MINUS(SUM(FILTER(MatchSource!$A:$F,MatchSource!$A:$A=$B500)),SUM($W500,$Y500)))),0,ABS(MINUS(SUM(FILTER(MatchSource!$A:$F,MatchSource!$A:$A=$B500)),SUM($W500, $Y500,))))"),"0")</f>
        <v>0</v>
      </c>
      <c r="AB500" s="501" t="str">
        <f aca="false">IFERROR(__xludf.dummyfunction("if(isna(ABS(MINUS(SUM(FILTER(MatchSource!$H:$M,MatchSource!$H:$H=$B500)),SUM($X500,$Z500)))),0,ABS(MINUS(SUM(FILTER(MatchSource!$H:$M,MatchSource!$H:$H=$B500)),SUM($X500,$Z500))))"),"0")</f>
        <v>0</v>
      </c>
      <c r="AC500" s="507" t="n">
        <f aca="false">SUM(IF(OR($R500="Grass",$R500="Psychic",$R500="Dark"),0-1,IF(OR($R500="Fighting",$R500="Flying",$R500="Fire",$R500="Ghost",$R500="Poison",$R500="Steel",$R500="Fairy"),1,0)),IF(OR($S500="Grass",$S500="Psychic",$S500="Dark"),0-1,IF(OR($S500="Fighting",$S500="Flying",$S500="Fire",$S500="Ghost",$S500="Poison",$S500="Steel",$S500="Fairy"),1,0)))</f>
        <v>1</v>
      </c>
      <c r="AD500" s="507" t="n">
        <f aca="false">SUM(IF(OR($R500="Ghost",$R500="Psychic"),0-1,IF(OR($R500="Fighting",$R500="Dark",$R500="Fairy"),1,0)),IF(OR($S500="Ghost",$S500="Psychic"),0-1,IF(OR($S500="Fighting",$S500="Dark",$S500="Fairy"),1,0)))</f>
        <v>0</v>
      </c>
      <c r="AE500" s="507" t="n">
        <f aca="false">IF(OR($R500="Fairy",$S500="Fairy"),4,SUM(IF($R500="Dragon",0-1,IF($R500="Steel",1,0)),IF($S500="Dragon",0-1,IF($S500="Steel",1,0))))</f>
        <v>0</v>
      </c>
      <c r="AF500" s="507" t="n">
        <f aca="false">IF(OR($R500="Ground",$S500="Ground"),4,SUM(IF(OR($R500="Flying",$R500="Water"),0-1,IF(OR($R500="Dragon",$R500="Electric",$R500="Grass"),1,0)),IF(OR($S500="Flying",$S500="Water"),0-1,IF(OR($S500="Dragon",$S500="Electric",$S500="Grass"),1,0))))</f>
        <v>-1</v>
      </c>
      <c r="AG500" s="507" t="n">
        <f aca="false">SUM(IF(OR($R500="Dark",$R500="Dragon",$R500="Fighting"),0-1,IF(OR($R500="Steel",$R500="Poison",$R500="Fire"),1,0)),IF(OR($S500="Dark",$S500="Dragon",$S500="Fighting"),0-1,IF(OR($S500="Steel",$S500="Poison",$S500="Fire"),1,0)))</f>
        <v>0</v>
      </c>
      <c r="AH500" s="507" t="n">
        <f aca="false">IF(OR($R500="Ghost",$S500="Ghost"),4,SUM(IF(OR($R500="Dark",$R500="Ice",$R500="Normal",$R500="Rock",$R500="Steel"),0-1,IF(OR($R500="Bug",$R500="Fairy",$R500="Flying",$R500="Poison",$R500="Psychic"),1,0)),IF(OR($S500="Dark",$S500="Ice",$S500="Normal",$S500="Rock",$S500="Steel"),0-1,IF(OR($S500="Bug",$S500="Fairy",$S500="Flying",$S500="Poison",$S500="Psychic"),1,0))))</f>
        <v>2</v>
      </c>
      <c r="AI500" s="507" t="n">
        <f aca="false">SUM(IF(OR($R500="Bug",$R500="Grass",$R500="Ice",$R500="Steel"),0-1,IF(OR($R500="Dragon",$R500="Fire",$R500="Rock",$R500="Water"),1,0)),IF(OR($S500="Bug",$S500="Grass",$S500="Ice",$S500="Steel"),0-1,IF(OR($S500="Dragon",$S500="Fire",$S500="Rock",$S500="Water"),1,0)))</f>
        <v>-1</v>
      </c>
      <c r="AJ500" s="507" t="n">
        <f aca="false">SUM(IF(OR($R500="Bug",$R500="Grass",$R500="Fighting"),0-1,IF(OR($R500="Electric",$R500="Rock",$R500="Steel"),1,0)),IF(OR($S500="Bug",$S500="Grass",$S500="Fighting"),0-1,IF(OR($S500="Electric",$S500="Rock",$S500="Steel"),1,0)))</f>
        <v>-1</v>
      </c>
      <c r="AK500" s="507" t="n">
        <f aca="false">IF(OR($R500="Normal",$S500="Normal"),4,SUM(IF(OR($R500="Ghost",$R500="Psychic"),0-1,IF($R500="Dark",1,0)),IF(OR($S500="Ghost",$S500="Psychic"),0-1,IF($S500="Dark",1,0))))</f>
        <v>0</v>
      </c>
      <c r="AL500" s="507" t="n">
        <f aca="false">SUM(IF(OR($R500="Ground",$R500="Rock",$R500="Water"),0-1,IF(OR($R500="Bug",$R500="Flying",$R500="Fire",$R500="Dragon",$R500="Poison",$R500="Steel",$R500="Grass"),1,0)),IF(OR($S500="Ground",$S500="Rock",$S500="Water"),0-1,IF(OR($S500="Bug",$S500="Flying",$S500="Fire",$S500="Dragon",$S500="Poison",$S500="Steel",$S500="Grass"),1,0)))</f>
        <v>2</v>
      </c>
      <c r="AM500" s="507" t="n">
        <f aca="false">IF(OR($R500="Flying",$S500="Flying"),4,SUM(IF(OR($R500="Electric",$R500="Fire",$R500="Rock",$R500="Steel",$R500="Poison"),0-1,IF(OR($R500="Bug",$R500="Grass"),1,0)),IF(OR($S500="Electric",$S500="Fire",$S500="Rock",$S500="Steel",$S500="Poison"),0-1,IF(OR($S500="Bug",$S500="Grass"),1,0))))</f>
        <v>4</v>
      </c>
      <c r="AN500" s="507" t="n">
        <f aca="false">SUM(IF(OR($R500="Flying",$R500="Dragon",$R500="Grass",$R500="Ground"),0-1,IF(OR($R500="Steel",$R500="Ice",$R500="Fire",$R500="Water"),1,0)),IF(OR($S500="Flying",$S500="Dragon",$S500="Grass",$S500="Ground"),0-1,IF(OR($S500="Steel",$S500="Ice",$S500="Fire",$S500="Water"),1,0)))</f>
        <v>-1</v>
      </c>
      <c r="AO500" s="507" t="n">
        <f aca="false">IF(OR($R500="Ghost",$S500="Ghost"),4,SUM(IF(OR($R500="Steel",$R500="Rock"),1,0),IF(OR($S500="Steel",$S500="Rock"),1,0)))</f>
        <v>0</v>
      </c>
      <c r="AP500" s="507" t="n">
        <f aca="false">IF(OR($R500="Steel",$S500="Steel"),4,SUM(IF(OR($R500="Fairy",$R500="Grass"),0-1,IF(OR($R500="Ghost",$R500="Rock",$R500="Ground",$R500="Poison"),1,0)),IF(OR($S500="Fairy",$S500="Grass"),0-1,IF(OR($S500="Ghost",$S500="Rock",$S500="Ground",$S500="Poison"),1,0))))</f>
        <v>0</v>
      </c>
      <c r="AQ500" s="507" t="n">
        <f aca="false">IF(OR($R500="Dark",$S500="Dark"),4,SUM(IF(OR($R500="Fighting",$R500="Poison"),0-1,IF(OR($R500="Psychic",$R500="Steel"),1,0)),IF(OR($S500="Fighting",$S500="Poison"),0-1,IF(OR($S500="Psychic",$S500="Steel"),1,0))))</f>
        <v>0</v>
      </c>
      <c r="AR500" s="507" t="n">
        <f aca="false">SUM(IF(OR($R500="Bug",$R500="Fire",$R500="Flying",$R500="Ice"),0-1,IF(OR($R500="Steel",$R500="Fighting",$R500="Ground"),1,0)),IF(OR($S500="Bug",$S500="Fire",$S500="Flying",$S500="Ice"),0-1,IF(OR($S500="Steel",$S500="Fighting",$S500="Ground"),1,0)))</f>
        <v>-2</v>
      </c>
      <c r="AS500" s="507" t="n">
        <f aca="false">SUM(IF(OR($R500="Fairy",$R500="Ice",$R500="Rock"),0-1,IF(OR($R500="Steel",$R500="Electric",$R500="Fire",$R500="Water"),1,0)),IF(OR($S500="Fairy",$S500="Ice",$S500="Rock"),0-1,IF(OR($S500="Steel",$S500="Electric",$S500="Fire",$S500="Water"),1,0)))</f>
        <v>0</v>
      </c>
      <c r="AT500" s="508" t="n">
        <f aca="false">SUM(IF(OR($R500="Fire",$R500="Ground",$R500="Rock"),0-1,IF(OR($R500="Dragon",$R500="Grass",$R500="Water"),1,0)),IF(OR($S500="Fire",$S500="Ground",$S500="Rock"),0-1,IF(OR($S500="Dragon",$S500="Grass",$S500="Water"),1,0)))</f>
        <v>0</v>
      </c>
      <c r="AU500" s="518"/>
    </row>
    <row r="501" customFormat="false" ht="15.75" hidden="false" customHeight="false" outlineLevel="0" collapsed="false">
      <c r="A501" s="510" t="str">
        <f aca="false" t="array" ref="A501:A501">IF(ISNA(INDEX(Source!$U$7:$U$95,MATCH(B501,Source!$V$7:$V$95,0))),"FREE",INDEX(Source!$U$7:$U$95,MATCH(B501,Source!$V$7:$V$95,0)))</f>
        <v>FREE</v>
      </c>
      <c r="B501" s="511" t="s">
        <v>767</v>
      </c>
      <c r="C501" s="511"/>
      <c r="D501" s="511"/>
      <c r="E501" s="499" t="str">
        <f aca="false">IF(SUM($W501:$X501)&gt;0,SUM($W501:$X501),IF($H501&gt;0,0,IF($H501&gt;0,0,"-")))</f>
        <v>-</v>
      </c>
      <c r="F501" s="499" t="str">
        <f aca="false">IF(SUM($Y501:$Z501)&gt;0,SUM($Y501:$Z501),IF($H501&gt;0,0,"-"))</f>
        <v>-</v>
      </c>
      <c r="G501" s="499" t="str">
        <f aca="false">IF($H501&gt;0,minus(E501,F501),"-")</f>
        <v>-</v>
      </c>
      <c r="H501" s="500" t="n">
        <f aca="false">SUM(COUNTIF(MatchSource!$A:$A,$B501),COUNTIF(MatchSource!$H:$H,$B501))</f>
        <v>0</v>
      </c>
      <c r="I501" s="501" t="n">
        <f aca="false">SUM($AA501:$AB501)</f>
        <v>0</v>
      </c>
      <c r="J501" s="501" t="s">
        <v>702</v>
      </c>
      <c r="K501" s="512" t="str">
        <f aca="false" t="array" ref="K501:K501">IF(ISNA(INDEX(DraftRosters!$AA$3:$AA$199,MATCH($B501,DraftRosters!$AB$3:$AB$199,0))),"FA",IF(INDEX(DraftRosters!$AA$3:$AA$199,MATCH($B501,DraftRosters!$AB$3:$AB$199,0))="Franchise","Franch",INDEX(DraftRosters!$AA$3:$AA$199,MATCH($B501,DraftRosters!$AB$3:$AB$199,0))))</f>
        <v>FA</v>
      </c>
      <c r="L501" s="499" t="n">
        <v>50</v>
      </c>
      <c r="M501" s="499" t="n">
        <v>70</v>
      </c>
      <c r="N501" s="499" t="n">
        <v>50</v>
      </c>
      <c r="O501" s="499" t="n">
        <v>50</v>
      </c>
      <c r="P501" s="499" t="n">
        <v>50</v>
      </c>
      <c r="Q501" s="501" t="n">
        <v>70</v>
      </c>
      <c r="R501" s="499" t="s">
        <v>835</v>
      </c>
      <c r="S501" s="501" t="s">
        <v>907</v>
      </c>
      <c r="T501" s="504" t="s">
        <v>866</v>
      </c>
      <c r="U501" s="505"/>
      <c r="V501" s="506"/>
      <c r="W501" s="500" t="str">
        <f aca="false">IFERROR(__xludf.dummyfunction("if(isna(SUM(FILTER(MatchSource!$A:$D,MatchSource!$A:$A=$B501))),0,SUM(FILTER(MatchSource!$A:$D,MatchSource!$A:$A=$B501)))"),"0")</f>
        <v>0</v>
      </c>
      <c r="X501" s="499" t="str">
        <f aca="false">IFERROR(__xludf.dummyfunction("if(isna(SUM(FILTER(MatchSource!$H:$K,MatchSource!$H:$H=$B501))),0,SUM(FILTER(MatchSource!$H:$K,MatchSource!$H:$H=$B501)))"),"0")</f>
        <v>0</v>
      </c>
      <c r="Y501" s="499" t="str">
        <f aca="false">IFERROR(__xludf.dummyfunction("if(isna(ABS(MINUS(SUM(FILTER(MatchSource!$A:$E,MatchSource!$A:$A=$B501)),SUM($W501)))),0,ABS(MINUS(SUM(FILTER(MatchSource!$A:$E,MatchSource!$A:$A=$B501)),SUM($W501))))"),"0")</f>
        <v>0</v>
      </c>
      <c r="Z501" s="499" t="str">
        <f aca="false">IFERROR(__xludf.dummyfunction("if(isna(ABS(MINUS(SUM(FILTER(MatchSource!$H:$L,MatchSource!$H:$H=$B501)),SUM($X501)))),0,ABS(MINUS(SUM(FILTER(MatchSource!$H:$L,MatchSource!$H:$H=$B501)),SUM($X501))))"),"0")</f>
        <v>0</v>
      </c>
      <c r="AA501" s="499" t="str">
        <f aca="false">IFERROR(__xludf.dummyfunction("if(isna(ABS(MINUS(SUM(FILTER(MatchSource!$A:$F,MatchSource!$A:$A=$B501)),SUM($W501,$Y501)))),0,ABS(MINUS(SUM(FILTER(MatchSource!$A:$F,MatchSource!$A:$A=$B501)),SUM($W501, $Y501,))))"),"0")</f>
        <v>0</v>
      </c>
      <c r="AB501" s="501" t="str">
        <f aca="false">IFERROR(__xludf.dummyfunction("if(isna(ABS(MINUS(SUM(FILTER(MatchSource!$H:$M,MatchSource!$H:$H=$B501)),SUM($X501,$Z501)))),0,ABS(MINUS(SUM(FILTER(MatchSource!$H:$M,MatchSource!$H:$H=$B501)),SUM($X501,$Z501))))"),"0")</f>
        <v>0</v>
      </c>
      <c r="AC501" s="507" t="n">
        <f aca="false">SUM(IF(OR($R501="Grass",$R501="Psychic",$R501="Dark"),0-1,IF(OR($R501="Fighting",$R501="Flying",$R501="Fire",$R501="Ghost",$R501="Poison",$R501="Steel",$R501="Fairy"),1,0)),IF(OR($S501="Grass",$S501="Psychic",$S501="Dark"),0-1,IF(OR($S501="Fighting",$S501="Flying",$S501="Fire",$S501="Ghost",$S501="Poison",$S501="Steel",$S501="Fairy"),1,0)))</f>
        <v>0</v>
      </c>
      <c r="AD501" s="507" t="n">
        <f aca="false">SUM(IF(OR($R501="Ghost",$R501="Psychic"),0-1,IF(OR($R501="Fighting",$R501="Dark",$R501="Fairy"),1,0)),IF(OR($S501="Ghost",$S501="Psychic"),0-1,IF(OR($S501="Fighting",$S501="Dark",$S501="Fairy"),1,0)))</f>
        <v>0</v>
      </c>
      <c r="AE501" s="507" t="n">
        <f aca="false">IF(OR($R501="Fairy",$S501="Fairy"),4,SUM(IF($R501="Dragon",0-1,IF($R501="Steel",1,0)),IF($S501="Dragon",0-1,IF($S501="Steel",1,0))))</f>
        <v>-1</v>
      </c>
      <c r="AF501" s="507" t="n">
        <f aca="false">IF(OR($R501="Ground",$S501="Ground"),4,SUM(IF(OR($R501="Flying",$R501="Water"),0-1,IF(OR($R501="Dragon",$R501="Electric",$R501="Grass"),1,0)),IF(OR($S501="Flying",$S501="Water"),0-1,IF(OR($S501="Dragon",$S501="Electric",$S501="Grass"),1,0))))</f>
        <v>4</v>
      </c>
      <c r="AG501" s="507" t="n">
        <f aca="false">SUM(IF(OR($R501="Dark",$R501="Dragon",$R501="Fighting"),0-1,IF(OR($R501="Steel",$R501="Poison",$R501="Fire"),1,0)),IF(OR($S501="Dark",$S501="Dragon",$S501="Fighting"),0-1,IF(OR($S501="Steel",$S501="Poison",$S501="Fire"),1,0)))</f>
        <v>-1</v>
      </c>
      <c r="AH501" s="507" t="n">
        <f aca="false">IF(OR($R501="Ghost",$S501="Ghost"),4,SUM(IF(OR($R501="Dark",$R501="Ice",$R501="Normal",$R501="Rock",$R501="Steel"),0-1,IF(OR($R501="Bug",$R501="Fairy",$R501="Flying",$R501="Poison",$R501="Psychic"),1,0)),IF(OR($S501="Dark",$S501="Ice",$S501="Normal",$S501="Rock",$S501="Steel"),0-1,IF(OR($S501="Bug",$S501="Fairy",$S501="Flying",$S501="Poison",$S501="Psychic"),1,0))))</f>
        <v>0</v>
      </c>
      <c r="AI501" s="507" t="n">
        <f aca="false">SUM(IF(OR($R501="Bug",$R501="Grass",$R501="Ice",$R501="Steel"),0-1,IF(OR($R501="Dragon",$R501="Fire",$R501="Rock",$R501="Water"),1,0)),IF(OR($S501="Bug",$S501="Grass",$S501="Ice",$S501="Steel"),0-1,IF(OR($S501="Dragon",$S501="Fire",$S501="Rock",$S501="Water"),1,0)))</f>
        <v>1</v>
      </c>
      <c r="AJ501" s="507" t="n">
        <f aca="false">SUM(IF(OR($R501="Bug",$R501="Grass",$R501="Fighting"),0-1,IF(OR($R501="Electric",$R501="Rock",$R501="Steel"),1,0)),IF(OR($S501="Bug",$S501="Grass",$S501="Fighting"),0-1,IF(OR($S501="Electric",$S501="Rock",$S501="Steel"),1,0)))</f>
        <v>0</v>
      </c>
      <c r="AK501" s="507" t="n">
        <f aca="false">IF(OR($R501="Normal",$S501="Normal"),4,SUM(IF(OR($R501="Ghost",$R501="Psychic"),0-1,IF($R501="Dark",1,0)),IF(OR($S501="Ghost",$S501="Psychic"),0-1,IF($S501="Dark",1,0))))</f>
        <v>0</v>
      </c>
      <c r="AL501" s="507" t="n">
        <f aca="false">SUM(IF(OR($R501="Ground",$R501="Rock",$R501="Water"),0-1,IF(OR($R501="Bug",$R501="Flying",$R501="Fire",$R501="Dragon",$R501="Poison",$R501="Steel",$R501="Grass"),1,0)),IF(OR($S501="Ground",$S501="Rock",$S501="Water"),0-1,IF(OR($S501="Bug",$S501="Flying",$S501="Fire",$S501="Dragon",$S501="Poison",$S501="Steel",$S501="Grass"),1,0)))</f>
        <v>0</v>
      </c>
      <c r="AM501" s="507" t="n">
        <f aca="false">IF(OR($R501="Flying",$S501="Flying"),4,SUM(IF(OR($R501="Electric",$R501="Fire",$R501="Rock",$R501="Steel",$R501="Poison"),0-1,IF(OR($R501="Bug",$R501="Grass"),1,0)),IF(OR($S501="Electric",$S501="Fire",$S501="Rock",$S501="Steel",$S501="Poison"),0-1,IF(OR($S501="Bug",$S501="Grass"),1,0))))</f>
        <v>0</v>
      </c>
      <c r="AN501" s="507" t="n">
        <f aca="false">SUM(IF(OR($R501="Flying",$R501="Dragon",$R501="Grass",$R501="Ground"),0-1,IF(OR($R501="Steel",$R501="Ice",$R501="Fire",$R501="Water"),1,0)),IF(OR($S501="Flying",$S501="Dragon",$S501="Grass",$S501="Ground"),0-1,IF(OR($S501="Steel",$S501="Ice",$S501="Fire",$S501="Water"),1,0)))</f>
        <v>-2</v>
      </c>
      <c r="AO501" s="507" t="n">
        <f aca="false">IF(OR($R501="Ghost",$S501="Ghost"),4,SUM(IF(OR($R501="Steel",$R501="Rock"),1,0),IF(OR($S501="Steel",$S501="Rock"),1,0)))</f>
        <v>0</v>
      </c>
      <c r="AP501" s="507" t="n">
        <f aca="false">IF(OR($R501="Steel",$S501="Steel"),4,SUM(IF(OR($R501="Fairy",$R501="Grass"),0-1,IF(OR($R501="Ghost",$R501="Rock",$R501="Ground",$R501="Poison"),1,0)),IF(OR($S501="Fairy",$S501="Grass"),0-1,IF(OR($S501="Ghost",$S501="Rock",$S501="Ground",$S501="Poison"),1,0))))</f>
        <v>1</v>
      </c>
      <c r="AQ501" s="507" t="n">
        <f aca="false">IF(OR($R501="Dark",$S501="Dark"),4,SUM(IF(OR($R501="Fighting",$R501="Poison"),0-1,IF(OR($R501="Psychic",$R501="Steel"),1,0)),IF(OR($S501="Fighting",$S501="Poison"),0-1,IF(OR($S501="Psychic",$S501="Steel"),1,0))))</f>
        <v>0</v>
      </c>
      <c r="AR501" s="507" t="n">
        <f aca="false">SUM(IF(OR($R501="Bug",$R501="Fire",$R501="Flying",$R501="Ice"),0-1,IF(OR($R501="Steel",$R501="Fighting",$R501="Ground"),1,0)),IF(OR($S501="Bug",$S501="Fire",$S501="Flying",$S501="Ice"),0-1,IF(OR($S501="Steel",$S501="Fighting",$S501="Ground"),1,0)))</f>
        <v>1</v>
      </c>
      <c r="AS501" s="507" t="n">
        <f aca="false">SUM(IF(OR($R501="Fairy",$R501="Ice",$R501="Rock"),0-1,IF(OR($R501="Steel",$R501="Electric",$R501="Fire",$R501="Water"),1,0)),IF(OR($S501="Fairy",$S501="Ice",$S501="Rock"),0-1,IF(OR($S501="Steel",$S501="Electric",$S501="Fire",$S501="Water"),1,0)))</f>
        <v>0</v>
      </c>
      <c r="AT501" s="508" t="n">
        <f aca="false">SUM(IF(OR($R501="Fire",$R501="Ground",$R501="Rock"),0-1,IF(OR($R501="Dragon",$R501="Grass",$R501="Water"),1,0)),IF(OR($S501="Fire",$S501="Ground",$S501="Rock"),0-1,IF(OR($S501="Dragon",$S501="Grass",$S501="Water"),1,0)))</f>
        <v>0</v>
      </c>
      <c r="AU501" s="518"/>
    </row>
    <row r="502" customFormat="false" ht="15.75" hidden="false" customHeight="false" outlineLevel="0" collapsed="false">
      <c r="A502" s="510" t="str">
        <f aca="false" t="array" ref="A502:A502">IF(ISNA(INDEX(Source!$U$7:$U$95,MATCH(B502,Source!$V$7:$V$95,0))),"FREE",INDEX(Source!$U$7:$U$95,MATCH(B502,Source!$V$7:$V$95,0)))</f>
        <v>FREE</v>
      </c>
      <c r="B502" s="511" t="s">
        <v>454</v>
      </c>
      <c r="C502" s="511"/>
      <c r="D502" s="511"/>
      <c r="E502" s="499" t="str">
        <f aca="false">IF(SUM($W502:$X502)&gt;0,SUM($W502:$X502),IF($H502&gt;0,0,IF($H502&gt;0,0,"-")))</f>
        <v>-</v>
      </c>
      <c r="F502" s="499" t="str">
        <f aca="false">IF(SUM($Y502:$Z502)&gt;0,SUM($Y502:$Z502),IF($H502&gt;0,0,"-"))</f>
        <v>-</v>
      </c>
      <c r="G502" s="499" t="str">
        <f aca="false">IF($H502&gt;0,minus(E502,F502),"-")</f>
        <v>-</v>
      </c>
      <c r="H502" s="500" t="n">
        <f aca="false">SUM(COUNTIF(MatchSource!$A:$A,$B502),COUNTIF(MatchSource!$H:$H,$B502))</f>
        <v>0</v>
      </c>
      <c r="I502" s="501" t="n">
        <f aca="false">SUM($AA502:$AB502)</f>
        <v>0</v>
      </c>
      <c r="J502" s="501" t="s">
        <v>698</v>
      </c>
      <c r="K502" s="512" t="str">
        <f aca="false" t="array" ref="K502:K502">IF(ISNA(INDEX(DraftRosters!$AA$3:$AA$199,MATCH($B502,DraftRosters!$AB$3:$AB$199,0))),"FA",IF(INDEX(DraftRosters!$AA$3:$AA$199,MATCH($B502,DraftRosters!$AB$3:$AB$199,0))="Franchise","Franch",INDEX(DraftRosters!$AA$3:$AA$199,MATCH($B502,DraftRosters!$AB$3:$AB$199,0))))</f>
        <v>FA</v>
      </c>
      <c r="L502" s="499" t="n">
        <v>100</v>
      </c>
      <c r="M502" s="499" t="n">
        <v>100</v>
      </c>
      <c r="N502" s="499" t="n">
        <v>100</v>
      </c>
      <c r="O502" s="499" t="n">
        <v>100</v>
      </c>
      <c r="P502" s="499" t="n">
        <v>100</v>
      </c>
      <c r="Q502" s="501" t="n">
        <v>100</v>
      </c>
      <c r="R502" s="499" t="s">
        <v>800</v>
      </c>
      <c r="S502" s="501" t="s">
        <v>828</v>
      </c>
      <c r="T502" s="504" t="s">
        <v>1078</v>
      </c>
      <c r="U502" s="505"/>
      <c r="V502" s="506"/>
      <c r="W502" s="500" t="str">
        <f aca="false">IFERROR(__xludf.dummyfunction("if(isna(SUM(FILTER(MatchSource!$A:$D,MatchSource!$A:$A=$B502))),0,SUM(FILTER(MatchSource!$A:$D,MatchSource!$A:$A=$B502)))"),"0")</f>
        <v>0</v>
      </c>
      <c r="X502" s="499" t="str">
        <f aca="false">IFERROR(__xludf.dummyfunction("if(isna(SUM(FILTER(MatchSource!$H:$K,MatchSource!$H:$H=$B502))),0,SUM(FILTER(MatchSource!$H:$K,MatchSource!$H:$H=$B502)))"),"0")</f>
        <v>0</v>
      </c>
      <c r="Y502" s="499" t="str">
        <f aca="false">IFERROR(__xludf.dummyfunction("if(isna(ABS(MINUS(SUM(FILTER(MatchSource!$A:$E,MatchSource!$A:$A=$B502)),SUM($W502)))),0,ABS(MINUS(SUM(FILTER(MatchSource!$A:$E,MatchSource!$A:$A=$B502)),SUM($W502))))"),"0")</f>
        <v>0</v>
      </c>
      <c r="Z502" s="499" t="str">
        <f aca="false">IFERROR(__xludf.dummyfunction("if(isna(ABS(MINUS(SUM(FILTER(MatchSource!$H:$L,MatchSource!$H:$H=$B502)),SUM($X502)))),0,ABS(MINUS(SUM(FILTER(MatchSource!$H:$L,MatchSource!$H:$H=$B502)),SUM($X502))))"),"0")</f>
        <v>0</v>
      </c>
      <c r="AA502" s="499" t="str">
        <f aca="false">IFERROR(__xludf.dummyfunction("if(isna(ABS(MINUS(SUM(FILTER(MatchSource!$A:$F,MatchSource!$A:$A=$B502)),SUM($W502,$Y502)))),0,ABS(MINUS(SUM(FILTER(MatchSource!$A:$F,MatchSource!$A:$A=$B502)),SUM($W502, $Y502,))))"),"0")</f>
        <v>0</v>
      </c>
      <c r="AB502" s="501" t="str">
        <f aca="false">IFERROR(__xludf.dummyfunction("if(isna(ABS(MINUS(SUM(FILTER(MatchSource!$H:$M,MatchSource!$H:$H=$B502)),SUM($X502,$Z502)))),0,ABS(MINUS(SUM(FILTER(MatchSource!$H:$M,MatchSource!$H:$H=$B502)),SUM($X502,$Z502))))"),"0")</f>
        <v>0</v>
      </c>
      <c r="AC502" s="507" t="n">
        <f aca="false">SUM(IF(OR($R502="Grass",$R502="Psychic",$R502="Dark"),0-1,IF(OR($R502="Fighting",$R502="Flying",$R502="Fire",$R502="Ghost",$R502="Poison",$R502="Steel",$R502="Fairy"),1,0)),IF(OR($S502="Grass",$S502="Psychic",$S502="Dark"),0-1,IF(OR($S502="Fighting",$S502="Flying",$S502="Fire",$S502="Ghost",$S502="Poison",$S502="Steel",$S502="Fairy"),1,0)))</f>
        <v>0</v>
      </c>
      <c r="AD502" s="507" t="n">
        <f aca="false">SUM(IF(OR($R502="Ghost",$R502="Psychic"),0-1,IF(OR($R502="Fighting",$R502="Dark",$R502="Fairy"),1,0)),IF(OR($S502="Ghost",$S502="Psychic"),0-1,IF(OR($S502="Fighting",$S502="Dark",$S502="Fairy"),1,0)))</f>
        <v>-1</v>
      </c>
      <c r="AE502" s="507" t="n">
        <f aca="false">IF(OR($R502="Fairy",$S502="Fairy"),4,SUM(IF($R502="Dragon",0-1,IF($R502="Steel",1,0)),IF($S502="Dragon",0-1,IF($S502="Steel",1,0))))</f>
        <v>0</v>
      </c>
      <c r="AF502" s="507" t="n">
        <f aca="false">IF(OR($R502="Ground",$S502="Ground"),4,SUM(IF(OR($R502="Flying",$R502="Water"),0-1,IF(OR($R502="Dragon",$R502="Electric",$R502="Grass"),1,0)),IF(OR($S502="Flying",$S502="Water"),0-1,IF(OR($S502="Dragon",$S502="Electric",$S502="Grass"),1,0))))</f>
        <v>0</v>
      </c>
      <c r="AG502" s="507" t="n">
        <f aca="false">SUM(IF(OR($R502="Dark",$R502="Dragon",$R502="Fighting"),0-1,IF(OR($R502="Steel",$R502="Poison",$R502="Fire"),1,0)),IF(OR($S502="Dark",$S502="Dragon",$S502="Fighting"),0-1,IF(OR($S502="Steel",$S502="Poison",$S502="Fire"),1,0)))</f>
        <v>1</v>
      </c>
      <c r="AH502" s="507" t="n">
        <f aca="false">IF(OR($R502="Ghost",$S502="Ghost"),4,SUM(IF(OR($R502="Dark",$R502="Ice",$R502="Normal",$R502="Rock",$R502="Steel"),0-1,IF(OR($R502="Bug",$R502="Fairy",$R502="Flying",$R502="Poison",$R502="Psychic"),1,0)),IF(OR($S502="Dark",$S502="Ice",$S502="Normal",$S502="Rock",$S502="Steel"),0-1,IF(OR($S502="Bug",$S502="Fairy",$S502="Flying",$S502="Poison",$S502="Psychic"),1,0))))</f>
        <v>1</v>
      </c>
      <c r="AI502" s="507" t="n">
        <f aca="false">SUM(IF(OR($R502="Bug",$R502="Grass",$R502="Ice",$R502="Steel"),0-1,IF(OR($R502="Dragon",$R502="Fire",$R502="Rock",$R502="Water"),1,0)),IF(OR($S502="Bug",$S502="Grass",$S502="Ice",$S502="Steel"),0-1,IF(OR($S502="Dragon",$S502="Fire",$S502="Rock",$S502="Water"),1,0)))</f>
        <v>1</v>
      </c>
      <c r="AJ502" s="507" t="n">
        <f aca="false">SUM(IF(OR($R502="Bug",$R502="Grass",$R502="Fighting"),0-1,IF(OR($R502="Electric",$R502="Rock",$R502="Steel"),1,0)),IF(OR($S502="Bug",$S502="Grass",$S502="Fighting"),0-1,IF(OR($S502="Electric",$S502="Rock",$S502="Steel"),1,0)))</f>
        <v>0</v>
      </c>
      <c r="AK502" s="507" t="n">
        <f aca="false">IF(OR($R502="Normal",$S502="Normal"),4,SUM(IF(OR($R502="Ghost",$R502="Psychic"),0-1,IF($R502="Dark",1,0)),IF(OR($S502="Ghost",$S502="Psychic"),0-1,IF($S502="Dark",1,0))))</f>
        <v>-1</v>
      </c>
      <c r="AL502" s="507" t="n">
        <f aca="false">SUM(IF(OR($R502="Ground",$R502="Rock",$R502="Water"),0-1,IF(OR($R502="Bug",$R502="Flying",$R502="Fire",$R502="Dragon",$R502="Poison",$R502="Steel",$R502="Grass"),1,0)),IF(OR($S502="Ground",$S502="Rock",$S502="Water"),0-1,IF(OR($S502="Bug",$S502="Flying",$S502="Fire",$S502="Dragon",$S502="Poison",$S502="Steel",$S502="Grass"),1,0)))</f>
        <v>1</v>
      </c>
      <c r="AM502" s="507" t="n">
        <f aca="false">IF(OR($R502="Flying",$S502="Flying"),4,SUM(IF(OR($R502="Electric",$R502="Fire",$R502="Rock",$R502="Steel",$R502="Poison"),0-1,IF(OR($R502="Bug",$R502="Grass"),1,0)),IF(OR($S502="Electric",$S502="Fire",$S502="Rock",$S502="Steel",$S502="Poison"),0-1,IF(OR($S502="Bug",$S502="Grass"),1,0))))</f>
        <v>-1</v>
      </c>
      <c r="AN502" s="507" t="n">
        <f aca="false">SUM(IF(OR($R502="Flying",$R502="Dragon",$R502="Grass",$R502="Ground"),0-1,IF(OR($R502="Steel",$R502="Ice",$R502="Fire",$R502="Water"),1,0)),IF(OR($S502="Flying",$S502="Dragon",$S502="Grass",$S502="Ground"),0-1,IF(OR($S502="Steel",$S502="Ice",$S502="Fire",$S502="Water"),1,0)))</f>
        <v>1</v>
      </c>
      <c r="AO502" s="507" t="n">
        <f aca="false">IF(OR($R502="Ghost",$S502="Ghost"),4,SUM(IF(OR($R502="Steel",$R502="Rock"),1,0),IF(OR($S502="Steel",$S502="Rock"),1,0)))</f>
        <v>0</v>
      </c>
      <c r="AP502" s="507" t="n">
        <f aca="false">IF(OR($R502="Steel",$S502="Steel"),4,SUM(IF(OR($R502="Fairy",$R502="Grass"),0-1,IF(OR($R502="Ghost",$R502="Rock",$R502="Ground",$R502="Poison"),1,0)),IF(OR($S502="Fairy",$S502="Grass"),0-1,IF(OR($S502="Ghost",$S502="Rock",$S502="Ground",$S502="Poison"),1,0))))</f>
        <v>0</v>
      </c>
      <c r="AQ502" s="507" t="n">
        <f aca="false">IF(OR($R502="Dark",$S502="Dark"),4,SUM(IF(OR($R502="Fighting",$R502="Poison"),0-1,IF(OR($R502="Psychic",$R502="Steel"),1,0)),IF(OR($S502="Fighting",$S502="Poison"),0-1,IF(OR($S502="Psychic",$S502="Steel"),1,0))))</f>
        <v>1</v>
      </c>
      <c r="AR502" s="507" t="n">
        <f aca="false">SUM(IF(OR($R502="Bug",$R502="Fire",$R502="Flying",$R502="Ice"),0-1,IF(OR($R502="Steel",$R502="Fighting",$R502="Ground"),1,0)),IF(OR($S502="Bug",$S502="Fire",$S502="Flying",$S502="Ice"),0-1,IF(OR($S502="Steel",$S502="Fighting",$S502="Ground"),1,0)))</f>
        <v>-1</v>
      </c>
      <c r="AS502" s="507" t="n">
        <f aca="false">SUM(IF(OR($R502="Fairy",$R502="Ice",$R502="Rock"),0-1,IF(OR($R502="Steel",$R502="Electric",$R502="Fire",$R502="Water"),1,0)),IF(OR($S502="Fairy",$S502="Ice",$S502="Rock"),0-1,IF(OR($S502="Steel",$S502="Electric",$S502="Fire",$S502="Water"),1,0)))</f>
        <v>1</v>
      </c>
      <c r="AT502" s="508" t="n">
        <f aca="false">SUM(IF(OR($R502="Fire",$R502="Ground",$R502="Rock"),0-1,IF(OR($R502="Dragon",$R502="Grass",$R502="Water"),1,0)),IF(OR($S502="Fire",$S502="Ground",$S502="Rock"),0-1,IF(OR($S502="Dragon",$S502="Grass",$S502="Water"),1,0)))</f>
        <v>-1</v>
      </c>
      <c r="AU502" s="518"/>
    </row>
    <row r="503" customFormat="false" ht="15.75" hidden="false" customHeight="false" outlineLevel="0" collapsed="false">
      <c r="A503" s="510" t="str">
        <f aca="false" t="array" ref="A503:A503">IF(ISNA(INDEX(Source!$U$7:$U$95,MATCH(B503,Source!$V$7:$V$95,0))),"FREE",INDEX(Source!$U$7:$U$95,MATCH(B503,Source!$V$7:$V$95,0)))</f>
        <v>FREE</v>
      </c>
      <c r="B503" s="511" t="s">
        <v>663</v>
      </c>
      <c r="C503" s="511"/>
      <c r="D503" s="511"/>
      <c r="E503" s="499" t="str">
        <f aca="false">IF(SUM($W503:$X503)&gt;0,SUM($W503:$X503),IF($H503&gt;0,0,IF($H503&gt;0,0,"-")))</f>
        <v>-</v>
      </c>
      <c r="F503" s="499" t="str">
        <f aca="false">IF(SUM($Y503:$Z503)&gt;0,SUM($Y503:$Z503),IF($H503&gt;0,0,"-"))</f>
        <v>-</v>
      </c>
      <c r="G503" s="499" t="str">
        <f aca="false">IF($H503&gt;0,minus(E503,F503),"-")</f>
        <v>-</v>
      </c>
      <c r="H503" s="500" t="n">
        <f aca="false">SUM(COUNTIF(MatchSource!$A:$A,$B503),COUNTIF(MatchSource!$H:$H,$B503))</f>
        <v>0</v>
      </c>
      <c r="I503" s="501" t="n">
        <f aca="false">SUM($AA503:$AB503)</f>
        <v>0</v>
      </c>
      <c r="J503" s="501" t="s">
        <v>702</v>
      </c>
      <c r="K503" s="512" t="str">
        <f aca="false" t="array" ref="K503:K503">IF(ISNA(INDEX(DraftRosters!$AA$3:$AA$199,MATCH($B503,DraftRosters!$AB$3:$AB$199,0))),"FA",IF(INDEX(DraftRosters!$AA$3:$AA$199,MATCH($B503,DraftRosters!$AB$3:$AB$199,0))="Franchise","Franch",INDEX(DraftRosters!$AA$3:$AA$199,MATCH($B503,DraftRosters!$AB$3:$AB$199,0))))</f>
        <v>FA</v>
      </c>
      <c r="L503" s="499" t="n">
        <v>80</v>
      </c>
      <c r="M503" s="499" t="n">
        <v>105</v>
      </c>
      <c r="N503" s="499" t="n">
        <v>65</v>
      </c>
      <c r="O503" s="499" t="n">
        <v>100</v>
      </c>
      <c r="P503" s="499" t="n">
        <v>70</v>
      </c>
      <c r="Q503" s="501" t="n">
        <v>70</v>
      </c>
      <c r="R503" s="499" t="s">
        <v>803</v>
      </c>
      <c r="S503" s="501" t="s">
        <v>843</v>
      </c>
      <c r="T503" s="504" t="s">
        <v>880</v>
      </c>
      <c r="U503" s="505" t="s">
        <v>995</v>
      </c>
      <c r="V503" s="506"/>
      <c r="W503" s="500" t="str">
        <f aca="false">IFERROR(__xludf.dummyfunction("if(isna(SUM(FILTER(MatchSource!$A:$D,MatchSource!$A:$A=$B503))),0,SUM(FILTER(MatchSource!$A:$D,MatchSource!$A:$A=$B503)))"),"0")</f>
        <v>0</v>
      </c>
      <c r="X503" s="499" t="str">
        <f aca="false">IFERROR(__xludf.dummyfunction("if(isna(SUM(FILTER(MatchSource!$H:$K,MatchSource!$H:$H=$B503))),0,SUM(FILTER(MatchSource!$H:$K,MatchSource!$H:$H=$B503)))"),"0")</f>
        <v>0</v>
      </c>
      <c r="Y503" s="499" t="str">
        <f aca="false">IFERROR(__xludf.dummyfunction("if(isna(ABS(MINUS(SUM(FILTER(MatchSource!$A:$E,MatchSource!$A:$A=$B503)),SUM($W503)))),0,ABS(MINUS(SUM(FILTER(MatchSource!$A:$E,MatchSource!$A:$A=$B503)),SUM($W503))))"),"0")</f>
        <v>0</v>
      </c>
      <c r="Z503" s="499" t="str">
        <f aca="false">IFERROR(__xludf.dummyfunction("if(isna(ABS(MINUS(SUM(FILTER(MatchSource!$H:$L,MatchSource!$H:$H=$B503)),SUM($X503)))),0,ABS(MINUS(SUM(FILTER(MatchSource!$H:$L,MatchSource!$H:$H=$B503)),SUM($X503))))"),"0")</f>
        <v>0</v>
      </c>
      <c r="AA503" s="499" t="str">
        <f aca="false">IFERROR(__xludf.dummyfunction("if(isna(ABS(MINUS(SUM(FILTER(MatchSource!$A:$F,MatchSource!$A:$A=$B503)),SUM($W503,$Y503)))),0,ABS(MINUS(SUM(FILTER(MatchSource!$A:$F,MatchSource!$A:$A=$B503)),SUM($W503, $Y503,))))"),"0")</f>
        <v>0</v>
      </c>
      <c r="AB503" s="501" t="str">
        <f aca="false">IFERROR(__xludf.dummyfunction("if(isna(ABS(MINUS(SUM(FILTER(MatchSource!$H:$M,MatchSource!$H:$H=$B503)),SUM($X503,$Z503)))),0,ABS(MINUS(SUM(FILTER(MatchSource!$H:$M,MatchSource!$H:$H=$B503)),SUM($X503,$Z503))))"),"0")</f>
        <v>0</v>
      </c>
      <c r="AC503" s="507" t="n">
        <f aca="false">SUM(IF(OR($R503="Grass",$R503="Psychic",$R503="Dark"),0-1,IF(OR($R503="Fighting",$R503="Flying",$R503="Fire",$R503="Ghost",$R503="Poison",$R503="Steel",$R503="Fairy"),1,0)),IF(OR($S503="Grass",$S503="Psychic",$S503="Dark"),0-1,IF(OR($S503="Fighting",$S503="Flying",$S503="Fire",$S503="Ghost",$S503="Poison",$S503="Steel",$S503="Fairy"),1,0)))</f>
        <v>0</v>
      </c>
      <c r="AD503" s="507" t="n">
        <f aca="false">SUM(IF(OR($R503="Ghost",$R503="Psychic"),0-1,IF(OR($R503="Fighting",$R503="Dark",$R503="Fairy"),1,0)),IF(OR($S503="Ghost",$S503="Psychic"),0-1,IF(OR($S503="Fighting",$S503="Dark",$S503="Fairy"),1,0)))</f>
        <v>0</v>
      </c>
      <c r="AE503" s="507" t="n">
        <f aca="false">IF(OR($R503="Fairy",$S503="Fairy"),4,SUM(IF($R503="Dragon",0-1,IF($R503="Steel",1,0)),IF($S503="Dragon",0-1,IF($S503="Steel",1,0))))</f>
        <v>0</v>
      </c>
      <c r="AF503" s="507" t="n">
        <f aca="false">IF(OR($R503="Ground",$S503="Ground"),4,SUM(IF(OR($R503="Flying",$R503="Water"),0-1,IF(OR($R503="Dragon",$R503="Electric",$R503="Grass"),1,0)),IF(OR($S503="Flying",$S503="Water"),0-1,IF(OR($S503="Dragon",$S503="Electric",$S503="Grass"),1,0))))</f>
        <v>1</v>
      </c>
      <c r="AG503" s="507" t="n">
        <f aca="false">SUM(IF(OR($R503="Dark",$R503="Dragon",$R503="Fighting"),0-1,IF(OR($R503="Steel",$R503="Poison",$R503="Fire"),1,0)),IF(OR($S503="Dark",$S503="Dragon",$S503="Fighting"),0-1,IF(OR($S503="Steel",$S503="Poison",$S503="Fire"),1,0)))</f>
        <v>1</v>
      </c>
      <c r="AH503" s="507" t="n">
        <f aca="false">IF(OR($R503="Ghost",$S503="Ghost"),4,SUM(IF(OR($R503="Dark",$R503="Ice",$R503="Normal",$R503="Rock",$R503="Steel"),0-1,IF(OR($R503="Bug",$R503="Fairy",$R503="Flying",$R503="Poison",$R503="Psychic"),1,0)),IF(OR($S503="Dark",$S503="Ice",$S503="Normal",$S503="Rock",$S503="Steel"),0-1,IF(OR($S503="Bug",$S503="Fairy",$S503="Flying",$S503="Poison",$S503="Psychic"),1,0))))</f>
        <v>1</v>
      </c>
      <c r="AI503" s="507" t="n">
        <f aca="false">SUM(IF(OR($R503="Bug",$R503="Grass",$R503="Ice",$R503="Steel"),0-1,IF(OR($R503="Dragon",$R503="Fire",$R503="Rock",$R503="Water"),1,0)),IF(OR($S503="Bug",$S503="Grass",$S503="Ice",$S503="Steel"),0-1,IF(OR($S503="Dragon",$S503="Fire",$S503="Rock",$S503="Water"),1,0)))</f>
        <v>-1</v>
      </c>
      <c r="AJ503" s="507" t="n">
        <f aca="false">SUM(IF(OR($R503="Bug",$R503="Grass",$R503="Fighting"),0-1,IF(OR($R503="Electric",$R503="Rock",$R503="Steel"),1,0)),IF(OR($S503="Bug",$S503="Grass",$S503="Fighting"),0-1,IF(OR($S503="Electric",$S503="Rock",$S503="Steel"),1,0)))</f>
        <v>-1</v>
      </c>
      <c r="AK503" s="507" t="n">
        <f aca="false">IF(OR($R503="Normal",$S503="Normal"),4,SUM(IF(OR($R503="Ghost",$R503="Psychic"),0-1,IF($R503="Dark",1,0)),IF(OR($S503="Ghost",$S503="Psychic"),0-1,IF($S503="Dark",1,0))))</f>
        <v>0</v>
      </c>
      <c r="AL503" s="507" t="n">
        <f aca="false">SUM(IF(OR($R503="Ground",$R503="Rock",$R503="Water"),0-1,IF(OR($R503="Bug",$R503="Flying",$R503="Fire",$R503="Dragon",$R503="Poison",$R503="Steel",$R503="Grass"),1,0)),IF(OR($S503="Ground",$S503="Rock",$S503="Water"),0-1,IF(OR($S503="Bug",$S503="Flying",$S503="Fire",$S503="Dragon",$S503="Poison",$S503="Steel",$S503="Grass"),1,0)))</f>
        <v>2</v>
      </c>
      <c r="AM503" s="507" t="n">
        <f aca="false">IF(OR($R503="Flying",$S503="Flying"),4,SUM(IF(OR($R503="Electric",$R503="Fire",$R503="Rock",$R503="Steel",$R503="Poison"),0-1,IF(OR($R503="Bug",$R503="Grass"),1,0)),IF(OR($S503="Electric",$S503="Fire",$S503="Rock",$S503="Steel",$S503="Poison"),0-1,IF(OR($S503="Bug",$S503="Grass"),1,0))))</f>
        <v>0</v>
      </c>
      <c r="AN503" s="507" t="n">
        <f aca="false">SUM(IF(OR($R503="Flying",$R503="Dragon",$R503="Grass",$R503="Ground"),0-1,IF(OR($R503="Steel",$R503="Ice",$R503="Fire",$R503="Water"),1,0)),IF(OR($S503="Flying",$S503="Dragon",$S503="Grass",$S503="Ground"),0-1,IF(OR($S503="Steel",$S503="Ice",$S503="Fire",$S503="Water"),1,0)))</f>
        <v>-1</v>
      </c>
      <c r="AO503" s="507" t="n">
        <f aca="false">IF(OR($R503="Ghost",$S503="Ghost"),4,SUM(IF(OR($R503="Steel",$R503="Rock"),1,0),IF(OR($S503="Steel",$S503="Rock"),1,0)))</f>
        <v>0</v>
      </c>
      <c r="AP503" s="507" t="n">
        <f aca="false">IF(OR($R503="Steel",$S503="Steel"),4,SUM(IF(OR($R503="Fairy",$R503="Grass"),0-1,IF(OR($R503="Ghost",$R503="Rock",$R503="Ground",$R503="Poison"),1,0)),IF(OR($S503="Fairy",$S503="Grass"),0-1,IF(OR($S503="Ghost",$S503="Rock",$S503="Ground",$S503="Poison"),1,0))))</f>
        <v>0</v>
      </c>
      <c r="AQ503" s="507" t="n">
        <f aca="false">IF(OR($R503="Dark",$S503="Dark"),4,SUM(IF(OR($R503="Fighting",$R503="Poison"),0-1,IF(OR($R503="Psychic",$R503="Steel"),1,0)),IF(OR($S503="Fighting",$S503="Poison"),0-1,IF(OR($S503="Psychic",$S503="Steel"),1,0))))</f>
        <v>-1</v>
      </c>
      <c r="AR503" s="507" t="n">
        <f aca="false">SUM(IF(OR($R503="Bug",$R503="Fire",$R503="Flying",$R503="Ice"),0-1,IF(OR($R503="Steel",$R503="Fighting",$R503="Ground"),1,0)),IF(OR($S503="Bug",$S503="Fire",$S503="Flying",$S503="Ice"),0-1,IF(OR($S503="Steel",$S503="Fighting",$S503="Ground"),1,0)))</f>
        <v>0</v>
      </c>
      <c r="AS503" s="507" t="n">
        <f aca="false">SUM(IF(OR($R503="Fairy",$R503="Ice",$R503="Rock"),0-1,IF(OR($R503="Steel",$R503="Electric",$R503="Fire",$R503="Water"),1,0)),IF(OR($S503="Fairy",$S503="Ice",$S503="Rock"),0-1,IF(OR($S503="Steel",$S503="Electric",$S503="Fire",$S503="Water"),1,0)))</f>
        <v>0</v>
      </c>
      <c r="AT503" s="508" t="n">
        <f aca="false">SUM(IF(OR($R503="Fire",$R503="Ground",$R503="Rock"),0-1,IF(OR($R503="Dragon",$R503="Grass",$R503="Water"),1,0)),IF(OR($S503="Fire",$S503="Ground",$S503="Rock"),0-1,IF(OR($S503="Dragon",$S503="Grass",$S503="Water"),1,0)))</f>
        <v>1</v>
      </c>
      <c r="AU503" s="518"/>
    </row>
    <row r="504" customFormat="false" ht="15.75" hidden="false" customHeight="false" outlineLevel="0" collapsed="false">
      <c r="A504" s="510" t="str">
        <f aca="false" t="array" ref="A504:A504">IF(ISNA(INDEX(Source!$U$7:$U$95,MATCH(B504,Source!$V$7:$V$95,0))),"FREE",INDEX(Source!$U$7:$U$95,MATCH(B504,Source!$V$7:$V$95,0)))</f>
        <v>FREE</v>
      </c>
      <c r="B504" s="511" t="s">
        <v>679</v>
      </c>
      <c r="C504" s="511"/>
      <c r="D504" s="511"/>
      <c r="E504" s="499" t="str">
        <f aca="false">IF(SUM($W504:$X504)&gt;0,SUM($W504:$X504),IF($H504&gt;0,0,IF($H504&gt;0,0,"-")))</f>
        <v>-</v>
      </c>
      <c r="F504" s="499" t="str">
        <f aca="false">IF(SUM($Y504:$Z504)&gt;0,SUM($Y504:$Z504),IF($H504&gt;0,0,"-"))</f>
        <v>-</v>
      </c>
      <c r="G504" s="499" t="str">
        <f aca="false">IF($H504&gt;0,minus(E504,F504),"-")</f>
        <v>-</v>
      </c>
      <c r="H504" s="500" t="n">
        <f aca="false">SUM(COUNTIF(MatchSource!$A:$A,$B504),COUNTIF(MatchSource!$H:$H,$B504))</f>
        <v>0</v>
      </c>
      <c r="I504" s="501" t="n">
        <f aca="false">SUM($AA504:$AB504)</f>
        <v>0</v>
      </c>
      <c r="J504" s="501" t="s">
        <v>701</v>
      </c>
      <c r="K504" s="512" t="str">
        <f aca="false" t="array" ref="K504:K504">IF(ISNA(INDEX(DraftRosters!$AA$3:$AA$199,MATCH($B504,DraftRosters!$AB$3:$AB$199,0))),"FA",IF(INDEX(DraftRosters!$AA$3:$AA$199,MATCH($B504,DraftRosters!$AB$3:$AB$199,0))="Franchise","Franch",INDEX(DraftRosters!$AA$3:$AA$199,MATCH($B504,DraftRosters!$AB$3:$AB$199,0))))</f>
        <v>FA</v>
      </c>
      <c r="L504" s="499" t="n">
        <v>77</v>
      </c>
      <c r="M504" s="499" t="n">
        <v>70</v>
      </c>
      <c r="N504" s="499" t="n">
        <v>90</v>
      </c>
      <c r="O504" s="499" t="n">
        <v>145</v>
      </c>
      <c r="P504" s="499" t="n">
        <v>75</v>
      </c>
      <c r="Q504" s="501" t="n">
        <v>43</v>
      </c>
      <c r="R504" s="499" t="s">
        <v>794</v>
      </c>
      <c r="S504" s="501" t="s">
        <v>845</v>
      </c>
      <c r="T504" s="520" t="s">
        <v>866</v>
      </c>
      <c r="U504" s="513"/>
      <c r="V504" s="514"/>
      <c r="W504" s="500" t="str">
        <f aca="false">IFERROR(__xludf.dummyfunction("if(isna(SUM(FILTER(MatchSource!$A:$D,MatchSource!$A:$A=$B504))),0,SUM(FILTER(MatchSource!$A:$D,MatchSource!$A:$A=$B504)))"),"0")</f>
        <v>0</v>
      </c>
      <c r="X504" s="499" t="str">
        <f aca="false">IFERROR(__xludf.dummyfunction("if(isna(SUM(FILTER(MatchSource!$H:$K,MatchSource!$H:$H=$B504))),0,SUM(FILTER(MatchSource!$H:$K,MatchSource!$H:$H=$B504)))"),"0")</f>
        <v>0</v>
      </c>
      <c r="Y504" s="499" t="str">
        <f aca="false">IFERROR(__xludf.dummyfunction("if(isna(ABS(MINUS(SUM(FILTER(MatchSource!$A:$E,MatchSource!$A:$A=$B504)),SUM($W504)))),0,ABS(MINUS(SUM(FILTER(MatchSource!$A:$E,MatchSource!$A:$A=$B504)),SUM($W504))))"),"0")</f>
        <v>0</v>
      </c>
      <c r="Z504" s="499" t="str">
        <f aca="false">IFERROR(__xludf.dummyfunction("if(isna(ABS(MINUS(SUM(FILTER(MatchSource!$H:$L,MatchSource!$H:$H=$B504)),SUM($X504)))),0,ABS(MINUS(SUM(FILTER(MatchSource!$H:$L,MatchSource!$H:$H=$B504)),SUM($X504))))"),"0")</f>
        <v>0</v>
      </c>
      <c r="AA504" s="499" t="str">
        <f aca="false">IFERROR(__xludf.dummyfunction("if(isna(ABS(MINUS(SUM(FILTER(MatchSource!$A:$F,MatchSource!$A:$A=$B504)),SUM($W504,$Y504)))),0,ABS(MINUS(SUM(FILTER(MatchSource!$A:$F,MatchSource!$A:$A=$B504)),SUM($W504, $Y504,))))"),"0")</f>
        <v>0</v>
      </c>
      <c r="AB504" s="501" t="str">
        <f aca="false">IFERROR(__xludf.dummyfunction("if(isna(ABS(MINUS(SUM(FILTER(MatchSource!$H:$M,MatchSource!$H:$H=$B504)),SUM($X504,$Z504)))),0,ABS(MINUS(SUM(FILTER(MatchSource!$H:$M,MatchSource!$H:$H=$B504)),SUM($X504,$Z504))))"),"0")</f>
        <v>0</v>
      </c>
      <c r="AC504" s="507" t="n">
        <f aca="false">SUM(IF(OR($R504="Grass",$R504="Psychic",$R504="Dark"),0-1,IF(OR($R504="Fighting",$R504="Flying",$R504="Fire",$R504="Ghost",$R504="Poison",$R504="Steel",$R504="Fairy"),1,0)),IF(OR($S504="Grass",$S504="Psychic",$S504="Dark"),0-1,IF(OR($S504="Fighting",$S504="Flying",$S504="Fire",$S504="Ghost",$S504="Poison",$S504="Steel",$S504="Fairy"),1,0)))</f>
        <v>0</v>
      </c>
      <c r="AD504" s="507" t="n">
        <f aca="false">SUM(IF(OR($R504="Ghost",$R504="Psychic"),0-1,IF(OR($R504="Fighting",$R504="Dark",$R504="Fairy"),1,0)),IF(OR($S504="Ghost",$S504="Psychic"),0-1,IF(OR($S504="Fighting",$S504="Dark",$S504="Fairy"),1,0)))</f>
        <v>0</v>
      </c>
      <c r="AE504" s="507" t="n">
        <f aca="false">IF(OR($R504="Fairy",$S504="Fairy"),4,SUM(IF($R504="Dragon",0-1,IF($R504="Steel",1,0)),IF($S504="Dragon",0-1,IF($S504="Steel",1,0))))</f>
        <v>0</v>
      </c>
      <c r="AF504" s="507" t="n">
        <f aca="false">IF(OR($R504="Ground",$S504="Ground"),4,SUM(IF(OR($R504="Flying",$R504="Water"),0-1,IF(OR($R504="Dragon",$R504="Electric",$R504="Grass"),1,0)),IF(OR($S504="Flying",$S504="Water"),0-1,IF(OR($S504="Dragon",$S504="Electric",$S504="Grass"),1,0))))</f>
        <v>1</v>
      </c>
      <c r="AG504" s="507" t="n">
        <f aca="false">SUM(IF(OR($R504="Dark",$R504="Dragon",$R504="Fighting"),0-1,IF(OR($R504="Steel",$R504="Poison",$R504="Fire"),1,0)),IF(OR($S504="Dark",$S504="Dragon",$S504="Fighting"),0-1,IF(OR($S504="Steel",$S504="Poison",$S504="Fire"),1,0)))</f>
        <v>0</v>
      </c>
      <c r="AH504" s="507" t="n">
        <f aca="false">IF(OR($R504="Ghost",$S504="Ghost"),4,SUM(IF(OR($R504="Dark",$R504="Ice",$R504="Normal",$R504="Rock",$R504="Steel"),0-1,IF(OR($R504="Bug",$R504="Fairy",$R504="Flying",$R504="Poison",$R504="Psychic"),1,0)),IF(OR($S504="Dark",$S504="Ice",$S504="Normal",$S504="Rock",$S504="Steel"),0-1,IF(OR($S504="Bug",$S504="Fairy",$S504="Flying",$S504="Poison",$S504="Psychic"),1,0))))</f>
        <v>1</v>
      </c>
      <c r="AI504" s="507" t="n">
        <f aca="false">SUM(IF(OR($R504="Bug",$R504="Grass",$R504="Ice",$R504="Steel"),0-1,IF(OR($R504="Dragon",$R504="Fire",$R504="Rock",$R504="Water"),1,0)),IF(OR($S504="Bug",$S504="Grass",$S504="Ice",$S504="Steel"),0-1,IF(OR($S504="Dragon",$S504="Fire",$S504="Rock",$S504="Water"),1,0)))</f>
        <v>-1</v>
      </c>
      <c r="AJ504" s="507" t="n">
        <f aca="false">SUM(IF(OR($R504="Bug",$R504="Grass",$R504="Fighting"),0-1,IF(OR($R504="Electric",$R504="Rock",$R504="Steel"),1,0)),IF(OR($S504="Bug",$S504="Grass",$S504="Fighting"),0-1,IF(OR($S504="Electric",$S504="Rock",$S504="Steel"),1,0)))</f>
        <v>0</v>
      </c>
      <c r="AK504" s="507" t="n">
        <f aca="false">IF(OR($R504="Normal",$S504="Normal"),4,SUM(IF(OR($R504="Ghost",$R504="Psychic"),0-1,IF($R504="Dark",1,0)),IF(OR($S504="Ghost",$S504="Psychic"),0-1,IF($S504="Dark",1,0))))</f>
        <v>0</v>
      </c>
      <c r="AL504" s="507" t="n">
        <f aca="false">SUM(IF(OR($R504="Ground",$R504="Rock",$R504="Water"),0-1,IF(OR($R504="Bug",$R504="Flying",$R504="Fire",$R504="Dragon",$R504="Poison",$R504="Steel",$R504="Grass"),1,0)),IF(OR($S504="Ground",$S504="Rock",$S504="Water"),0-1,IF(OR($S504="Bug",$S504="Flying",$S504="Fire",$S504="Dragon",$S504="Poison",$S504="Steel",$S504="Grass"),1,0)))</f>
        <v>1</v>
      </c>
      <c r="AM504" s="507" t="n">
        <f aca="false">IF(OR($R504="Flying",$S504="Flying"),4,SUM(IF(OR($R504="Electric",$R504="Fire",$R504="Rock",$R504="Steel",$R504="Poison"),0-1,IF(OR($R504="Bug",$R504="Grass"),1,0)),IF(OR($S504="Electric",$S504="Fire",$S504="Rock",$S504="Steel",$S504="Poison"),0-1,IF(OR($S504="Bug",$S504="Grass"),1,0))))</f>
        <v>0</v>
      </c>
      <c r="AN504" s="507" t="n">
        <f aca="false">SUM(IF(OR($R504="Flying",$R504="Dragon",$R504="Grass",$R504="Ground"),0-1,IF(OR($R504="Steel",$R504="Ice",$R504="Fire",$R504="Water"),1,0)),IF(OR($S504="Flying",$S504="Dragon",$S504="Grass",$S504="Ground"),0-1,IF(OR($S504="Steel",$S504="Ice",$S504="Fire",$S504="Water"),1,0)))</f>
        <v>0</v>
      </c>
      <c r="AO504" s="507" t="n">
        <f aca="false">IF(OR($R504="Ghost",$S504="Ghost"),4,SUM(IF(OR($R504="Steel",$R504="Rock"),1,0),IF(OR($S504="Steel",$S504="Rock"),1,0)))</f>
        <v>0</v>
      </c>
      <c r="AP504" s="507" t="n">
        <f aca="false">IF(OR($R504="Steel",$S504="Steel"),4,SUM(IF(OR($R504="Fairy",$R504="Grass"),0-1,IF(OR($R504="Ghost",$R504="Rock",$R504="Ground",$R504="Poison"),1,0)),IF(OR($S504="Fairy",$S504="Grass"),0-1,IF(OR($S504="Ghost",$S504="Rock",$S504="Ground",$S504="Poison"),1,0))))</f>
        <v>0</v>
      </c>
      <c r="AQ504" s="507" t="n">
        <f aca="false">IF(OR($R504="Dark",$S504="Dark"),4,SUM(IF(OR($R504="Fighting",$R504="Poison"),0-1,IF(OR($R504="Psychic",$R504="Steel"),1,0)),IF(OR($S504="Fighting",$S504="Poison"),0-1,IF(OR($S504="Psychic",$S504="Steel"),1,0))))</f>
        <v>0</v>
      </c>
      <c r="AR504" s="507" t="n">
        <f aca="false">SUM(IF(OR($R504="Bug",$R504="Fire",$R504="Flying",$R504="Ice"),0-1,IF(OR($R504="Steel",$R504="Fighting",$R504="Ground"),1,0)),IF(OR($S504="Bug",$S504="Fire",$S504="Flying",$S504="Ice"),0-1,IF(OR($S504="Steel",$S504="Fighting",$S504="Ground"),1,0)))</f>
        <v>-1</v>
      </c>
      <c r="AS504" s="507" t="n">
        <f aca="false">SUM(IF(OR($R504="Fairy",$R504="Ice",$R504="Rock"),0-1,IF(OR($R504="Steel",$R504="Electric",$R504="Fire",$R504="Water"),1,0)),IF(OR($S504="Fairy",$S504="Ice",$S504="Rock"),0-1,IF(OR($S504="Steel",$S504="Electric",$S504="Fire",$S504="Water"),1,0)))</f>
        <v>1</v>
      </c>
      <c r="AT504" s="508" t="n">
        <f aca="false">SUM(IF(OR($R504="Fire",$R504="Ground",$R504="Rock"),0-1,IF(OR($R504="Dragon",$R504="Grass",$R504="Water"),1,0)),IF(OR($S504="Fire",$S504="Ground",$S504="Rock"),0-1,IF(OR($S504="Dragon",$S504="Grass",$S504="Water"),1,0)))</f>
        <v>0</v>
      </c>
      <c r="AU504" s="518"/>
    </row>
    <row r="505" customFormat="false" ht="15.75" hidden="false" customHeight="false" outlineLevel="0" collapsed="false">
      <c r="A505" s="510" t="str">
        <f aca="false" t="array" ref="A505:A505">IF(ISNA(INDEX(Source!$U$7:$U$95,MATCH(B505,Source!$V$7:$V$95,0))),"FREE",INDEX(Source!$U$7:$U$95,MATCH(B505,Source!$V$7:$V$95,0)))</f>
        <v>FREE</v>
      </c>
      <c r="B505" s="511" t="s">
        <v>666</v>
      </c>
      <c r="C505" s="511"/>
      <c r="D505" s="511"/>
      <c r="E505" s="499" t="str">
        <f aca="false">IF(SUM($W505:$X505)&gt;0,SUM($W505:$X505),IF($H505&gt;0,0,IF($H505&gt;0,0,"-")))</f>
        <v>-</v>
      </c>
      <c r="F505" s="499" t="str">
        <f aca="false">IF(SUM($Y505:$Z505)&gt;0,SUM($Y505:$Z505),IF($H505&gt;0,0,"-"))</f>
        <v>-</v>
      </c>
      <c r="G505" s="499" t="str">
        <f aca="false">IF($H505&gt;0,minus(E505,F505),"-")</f>
        <v>-</v>
      </c>
      <c r="H505" s="500" t="n">
        <f aca="false">SUM(COUNTIF(MatchSource!$A:$A,$B505),COUNTIF(MatchSource!$H:$H,$B505))</f>
        <v>0</v>
      </c>
      <c r="I505" s="501" t="n">
        <f aca="false">SUM($AA505:$AB505)</f>
        <v>0</v>
      </c>
      <c r="J505" s="501" t="s">
        <v>702</v>
      </c>
      <c r="K505" s="512" t="str">
        <f aca="false" t="array" ref="K505:K505">IF(ISNA(INDEX(DraftRosters!$AA$3:$AA$199,MATCH($B505,DraftRosters!$AB$3:$AB$199,0))),"FA",IF(INDEX(DraftRosters!$AA$3:$AA$199,MATCH($B505,DraftRosters!$AB$3:$AB$199,0))="Franchise","Franch",INDEX(DraftRosters!$AA$3:$AA$199,MATCH($B505,DraftRosters!$AB$3:$AB$199,0))))</f>
        <v>FA</v>
      </c>
      <c r="L505" s="507" t="n">
        <v>75</v>
      </c>
      <c r="M505" s="507" t="n">
        <v>80</v>
      </c>
      <c r="N505" s="507" t="n">
        <v>85</v>
      </c>
      <c r="O505" s="507" t="n">
        <v>110</v>
      </c>
      <c r="P505" s="507" t="n">
        <v>90</v>
      </c>
      <c r="Q505" s="508" t="n">
        <v>50</v>
      </c>
      <c r="R505" s="499" t="s">
        <v>803</v>
      </c>
      <c r="S505" s="501" t="s">
        <v>843</v>
      </c>
      <c r="T505" s="504" t="s">
        <v>880</v>
      </c>
      <c r="U505" s="505" t="s">
        <v>844</v>
      </c>
      <c r="V505" s="506"/>
      <c r="W505" s="500" t="str">
        <f aca="false">IFERROR(__xludf.dummyfunction("if(isna(SUM(FILTER(MatchSource!$A:$D,MatchSource!$A:$A=$B505))),0,SUM(FILTER(MatchSource!$A:$D,MatchSource!$A:$A=$B505)))"),"0")</f>
        <v>0</v>
      </c>
      <c r="X505" s="499" t="str">
        <f aca="false">IFERROR(__xludf.dummyfunction("if(isna(SUM(FILTER(MatchSource!$H:$K,MatchSource!$H:$H=$B505))),0,SUM(FILTER(MatchSource!$H:$K,MatchSource!$H:$H=$B505)))"),"0")</f>
        <v>0</v>
      </c>
      <c r="Y505" s="499" t="str">
        <f aca="false">IFERROR(__xludf.dummyfunction("if(isna(ABS(MINUS(SUM(FILTER(MatchSource!$A:$E,MatchSource!$A:$A=$B505)),SUM($W505)))),0,ABS(MINUS(SUM(FILTER(MatchSource!$A:$E,MatchSource!$A:$A=$B505)),SUM($W505))))"),"0")</f>
        <v>0</v>
      </c>
      <c r="Z505" s="499" t="str">
        <f aca="false">IFERROR(__xludf.dummyfunction("if(isna(ABS(MINUS(SUM(FILTER(MatchSource!$H:$L,MatchSource!$H:$H=$B505)),SUM($X505)))),0,ABS(MINUS(SUM(FILTER(MatchSource!$H:$L,MatchSource!$H:$H=$B505)),SUM($X505))))"),"0")</f>
        <v>0</v>
      </c>
      <c r="AA505" s="499" t="str">
        <f aca="false">IFERROR(__xludf.dummyfunction("if(isna(ABS(MINUS(SUM(FILTER(MatchSource!$A:$F,MatchSource!$A:$A=$B505)),SUM($W505,$Y505)))),0,ABS(MINUS(SUM(FILTER(MatchSource!$A:$F,MatchSource!$A:$A=$B505)),SUM($W505, $Y505,))))"),"0")</f>
        <v>0</v>
      </c>
      <c r="AB505" s="501" t="str">
        <f aca="false">IFERROR(__xludf.dummyfunction("if(isna(ABS(MINUS(SUM(FILTER(MatchSource!$H:$M,MatchSource!$H:$H=$B505)),SUM($X505,$Z505)))),0,ABS(MINUS(SUM(FILTER(MatchSource!$H:$M,MatchSource!$H:$H=$B505)),SUM($X505,$Z505))))"),"0")</f>
        <v>0</v>
      </c>
      <c r="AC505" s="507" t="n">
        <f aca="false">SUM(IF(OR($R505="Grass",$R505="Psychic",$R505="Dark"),0-1,IF(OR($R505="Fighting",$R505="Flying",$R505="Fire",$R505="Ghost",$R505="Poison",$R505="Steel",$R505="Fairy"),1,0)),IF(OR($S505="Grass",$S505="Psychic",$S505="Dark"),0-1,IF(OR($S505="Fighting",$S505="Flying",$S505="Fire",$S505="Ghost",$S505="Poison",$S505="Steel",$S505="Fairy"),1,0)))</f>
        <v>0</v>
      </c>
      <c r="AD505" s="507" t="n">
        <f aca="false">SUM(IF(OR($R505="Ghost",$R505="Psychic"),0-1,IF(OR($R505="Fighting",$R505="Dark",$R505="Fairy"),1,0)),IF(OR($S505="Ghost",$S505="Psychic"),0-1,IF(OR($S505="Fighting",$S505="Dark",$S505="Fairy"),1,0)))</f>
        <v>0</v>
      </c>
      <c r="AE505" s="507" t="n">
        <f aca="false">IF(OR($R505="Fairy",$S505="Fairy"),4,SUM(IF($R505="Dragon",0-1,IF($R505="Steel",1,0)),IF($S505="Dragon",0-1,IF($S505="Steel",1,0))))</f>
        <v>0</v>
      </c>
      <c r="AF505" s="507" t="n">
        <f aca="false">IF(OR($R505="Ground",$S505="Ground"),4,SUM(IF(OR($R505="Flying",$R505="Water"),0-1,IF(OR($R505="Dragon",$R505="Electric",$R505="Grass"),1,0)),IF(OR($S505="Flying",$S505="Water"),0-1,IF(OR($S505="Dragon",$S505="Electric",$S505="Grass"),1,0))))</f>
        <v>1</v>
      </c>
      <c r="AG505" s="507" t="n">
        <f aca="false">SUM(IF(OR($R505="Dark",$R505="Dragon",$R505="Fighting"),0-1,IF(OR($R505="Steel",$R505="Poison",$R505="Fire"),1,0)),IF(OR($S505="Dark",$S505="Dragon",$S505="Fighting"),0-1,IF(OR($S505="Steel",$S505="Poison",$S505="Fire"),1,0)))</f>
        <v>1</v>
      </c>
      <c r="AH505" s="507" t="n">
        <f aca="false">IF(OR($R505="Ghost",$S505="Ghost"),4,SUM(IF(OR($R505="Dark",$R505="Ice",$R505="Normal",$R505="Rock",$R505="Steel"),0-1,IF(OR($R505="Bug",$R505="Fairy",$R505="Flying",$R505="Poison",$R505="Psychic"),1,0)),IF(OR($S505="Dark",$S505="Ice",$S505="Normal",$S505="Rock",$S505="Steel"),0-1,IF(OR($S505="Bug",$S505="Fairy",$S505="Flying",$S505="Poison",$S505="Psychic"),1,0))))</f>
        <v>1</v>
      </c>
      <c r="AI505" s="507" t="n">
        <f aca="false">SUM(IF(OR($R505="Bug",$R505="Grass",$R505="Ice",$R505="Steel"),0-1,IF(OR($R505="Dragon",$R505="Fire",$R505="Rock",$R505="Water"),1,0)),IF(OR($S505="Bug",$S505="Grass",$S505="Ice",$S505="Steel"),0-1,IF(OR($S505="Dragon",$S505="Fire",$S505="Rock",$S505="Water"),1,0)))</f>
        <v>-1</v>
      </c>
      <c r="AJ505" s="507" t="n">
        <f aca="false">SUM(IF(OR($R505="Bug",$R505="Grass",$R505="Fighting"),0-1,IF(OR($R505="Electric",$R505="Rock",$R505="Steel"),1,0)),IF(OR($S505="Bug",$S505="Grass",$S505="Fighting"),0-1,IF(OR($S505="Electric",$S505="Rock",$S505="Steel"),1,0)))</f>
        <v>-1</v>
      </c>
      <c r="AK505" s="507" t="n">
        <f aca="false">IF(OR($R505="Normal",$S505="Normal"),4,SUM(IF(OR($R505="Ghost",$R505="Psychic"),0-1,IF($R505="Dark",1,0)),IF(OR($S505="Ghost",$S505="Psychic"),0-1,IF($S505="Dark",1,0))))</f>
        <v>0</v>
      </c>
      <c r="AL505" s="507" t="n">
        <f aca="false">SUM(IF(OR($R505="Ground",$R505="Rock",$R505="Water"),0-1,IF(OR($R505="Bug",$R505="Flying",$R505="Fire",$R505="Dragon",$R505="Poison",$R505="Steel",$R505="Grass"),1,0)),IF(OR($S505="Ground",$S505="Rock",$S505="Water"),0-1,IF(OR($S505="Bug",$S505="Flying",$S505="Fire",$S505="Dragon",$S505="Poison",$S505="Steel",$S505="Grass"),1,0)))</f>
        <v>2</v>
      </c>
      <c r="AM505" s="507" t="n">
        <f aca="false">IF(OR($R505="Flying",$S505="Flying"),4,SUM(IF(OR($R505="Electric",$R505="Fire",$R505="Rock",$R505="Steel",$R505="Poison"),0-1,IF(OR($R505="Bug",$R505="Grass"),1,0)),IF(OR($S505="Electric",$S505="Fire",$S505="Rock",$S505="Steel",$S505="Poison"),0-1,IF(OR($S505="Bug",$S505="Grass"),1,0))))</f>
        <v>0</v>
      </c>
      <c r="AN505" s="507" t="n">
        <f aca="false">SUM(IF(OR($R505="Flying",$R505="Dragon",$R505="Grass",$R505="Ground"),0-1,IF(OR($R505="Steel",$R505="Ice",$R505="Fire",$R505="Water"),1,0)),IF(OR($S505="Flying",$S505="Dragon",$S505="Grass",$S505="Ground"),0-1,IF(OR($S505="Steel",$S505="Ice",$S505="Fire",$S505="Water"),1,0)))</f>
        <v>-1</v>
      </c>
      <c r="AO505" s="507" t="n">
        <f aca="false">IF(OR($R505="Ghost",$S505="Ghost"),4,SUM(IF(OR($R505="Steel",$R505="Rock"),1,0),IF(OR($S505="Steel",$S505="Rock"),1,0)))</f>
        <v>0</v>
      </c>
      <c r="AP505" s="507" t="n">
        <f aca="false">IF(OR($R505="Steel",$S505="Steel"),4,SUM(IF(OR($R505="Fairy",$R505="Grass"),0-1,IF(OR($R505="Ghost",$R505="Rock",$R505="Ground",$R505="Poison"),1,0)),IF(OR($S505="Fairy",$S505="Grass"),0-1,IF(OR($S505="Ghost",$S505="Rock",$S505="Ground",$S505="Poison"),1,0))))</f>
        <v>0</v>
      </c>
      <c r="AQ505" s="507" t="n">
        <f aca="false">IF(OR($R505="Dark",$S505="Dark"),4,SUM(IF(OR($R505="Fighting",$R505="Poison"),0-1,IF(OR($R505="Psychic",$R505="Steel"),1,0)),IF(OR($S505="Fighting",$S505="Poison"),0-1,IF(OR($S505="Psychic",$S505="Steel"),1,0))))</f>
        <v>-1</v>
      </c>
      <c r="AR505" s="507" t="n">
        <f aca="false">SUM(IF(OR($R505="Bug",$R505="Fire",$R505="Flying",$R505="Ice"),0-1,IF(OR($R505="Steel",$R505="Fighting",$R505="Ground"),1,0)),IF(OR($S505="Bug",$S505="Fire",$S505="Flying",$S505="Ice"),0-1,IF(OR($S505="Steel",$S505="Fighting",$S505="Ground"),1,0)))</f>
        <v>0</v>
      </c>
      <c r="AS505" s="507" t="n">
        <f aca="false">SUM(IF(OR($R505="Fairy",$R505="Ice",$R505="Rock"),0-1,IF(OR($R505="Steel",$R505="Electric",$R505="Fire",$R505="Water"),1,0)),IF(OR($S505="Fairy",$S505="Ice",$S505="Rock"),0-1,IF(OR($S505="Steel",$S505="Electric",$S505="Fire",$S505="Water"),1,0)))</f>
        <v>0</v>
      </c>
      <c r="AT505" s="508" t="n">
        <f aca="false">SUM(IF(OR($R505="Fire",$R505="Ground",$R505="Rock"),0-1,IF(OR($R505="Dragon",$R505="Grass",$R505="Water"),1,0)),IF(OR($S505="Fire",$S505="Ground",$S505="Rock"),0-1,IF(OR($S505="Dragon",$S505="Grass",$S505="Water"),1,0)))</f>
        <v>1</v>
      </c>
      <c r="AU505" s="518"/>
    </row>
    <row r="506" customFormat="false" ht="15.75" hidden="false" customHeight="false" outlineLevel="0" collapsed="false">
      <c r="A506" s="510" t="str">
        <f aca="false" t="array" ref="A506:A506">IF(ISNA(INDEX(Source!$U$7:$U$95,MATCH(B506,Source!$V$7:$V$95,0))),"FREE",INDEX(Source!$U$7:$U$95,MATCH(B506,Source!$V$7:$V$95,0)))</f>
        <v>FREE</v>
      </c>
      <c r="B506" s="511" t="s">
        <v>682</v>
      </c>
      <c r="C506" s="511"/>
      <c r="D506" s="511"/>
      <c r="E506" s="499" t="str">
        <f aca="false">IF(SUM($W506:$X506)&gt;0,SUM($W506:$X506),IF($H506&gt;0,0,IF($H506&gt;0,0,"-")))</f>
        <v>-</v>
      </c>
      <c r="F506" s="499" t="str">
        <f aca="false">IF(SUM($Y506:$Z506)&gt;0,SUM($Y506:$Z506),IF($H506&gt;0,0,"-"))</f>
        <v>-</v>
      </c>
      <c r="G506" s="499" t="str">
        <f aca="false">IF($H506&gt;0,minus(E506,F506),"-")</f>
        <v>-</v>
      </c>
      <c r="H506" s="500" t="n">
        <f aca="false">SUM(COUNTIF(MatchSource!$A:$A,$B506),COUNTIF(MatchSource!$H:$H,$B506))</f>
        <v>0</v>
      </c>
      <c r="I506" s="501" t="n">
        <f aca="false">SUM($AA506:$AB506)</f>
        <v>0</v>
      </c>
      <c r="J506" s="501" t="s">
        <v>701</v>
      </c>
      <c r="K506" s="512" t="str">
        <f aca="false" t="array" ref="K506:K506">IF(ISNA(INDEX(DraftRosters!$AA$3:$AA$199,MATCH($B506,DraftRosters!$AB$3:$AB$199,0))),"FA",IF(INDEX(DraftRosters!$AA$3:$AA$199,MATCH($B506,DraftRosters!$AB$3:$AB$199,0))="Franchise","Franch",INDEX(DraftRosters!$AA$3:$AA$199,MATCH($B506,DraftRosters!$AB$3:$AB$199,0))))</f>
        <v>FA</v>
      </c>
      <c r="L506" s="499" t="n">
        <v>91</v>
      </c>
      <c r="M506" s="499" t="n">
        <v>90</v>
      </c>
      <c r="N506" s="499" t="n">
        <v>72</v>
      </c>
      <c r="O506" s="499" t="n">
        <v>90</v>
      </c>
      <c r="P506" s="499" t="n">
        <v>129</v>
      </c>
      <c r="Q506" s="501" t="n">
        <v>108</v>
      </c>
      <c r="R506" s="499" t="s">
        <v>881</v>
      </c>
      <c r="S506" s="501" t="s">
        <v>803</v>
      </c>
      <c r="T506" s="505" t="s">
        <v>815</v>
      </c>
      <c r="U506" s="505"/>
      <c r="V506" s="506"/>
      <c r="W506" s="500" t="str">
        <f aca="false">IFERROR(__xludf.dummyfunction("if(isna(SUM(FILTER(MatchSource!$A:$D,MatchSource!$A:$A=$B506))),0,SUM(FILTER(MatchSource!$A:$D,MatchSource!$A:$A=$B506)))"),"0")</f>
        <v>0</v>
      </c>
      <c r="X506" s="499" t="str">
        <f aca="false">IFERROR(__xludf.dummyfunction("if(isna(SUM(FILTER(MatchSource!$H:$K,MatchSource!$H:$H=$B506))),0,SUM(FILTER(MatchSource!$H:$K,MatchSource!$H:$H=$B506)))"),"0")</f>
        <v>0</v>
      </c>
      <c r="Y506" s="499" t="str">
        <f aca="false">IFERROR(__xludf.dummyfunction("if(isna(ABS(MINUS(SUM(FILTER(MatchSource!$A:$E,MatchSource!$A:$A=$B506)),SUM($W506)))),0,ABS(MINUS(SUM(FILTER(MatchSource!$A:$E,MatchSource!$A:$A=$B506)),SUM($W506))))"),"0")</f>
        <v>0</v>
      </c>
      <c r="Z506" s="499" t="str">
        <f aca="false">IFERROR(__xludf.dummyfunction("if(isna(ABS(MINUS(SUM(FILTER(MatchSource!$H:$L,MatchSource!$H:$H=$B506)),SUM($X506)))),0,ABS(MINUS(SUM(FILTER(MatchSource!$H:$L,MatchSource!$H:$H=$B506)),SUM($X506))))"),"0")</f>
        <v>0</v>
      </c>
      <c r="AA506" s="499" t="str">
        <f aca="false">IFERROR(__xludf.dummyfunction("if(isna(ABS(MINUS(SUM(FILTER(MatchSource!$A:$F,MatchSource!$A:$A=$B506)),SUM($W506,$Y506)))),0,ABS(MINUS(SUM(FILTER(MatchSource!$A:$F,MatchSource!$A:$A=$B506)),SUM($W506, $Y506,))))"),"0")</f>
        <v>0</v>
      </c>
      <c r="AB506" s="501" t="str">
        <f aca="false">IFERROR(__xludf.dummyfunction("if(isna(ABS(MINUS(SUM(FILTER(MatchSource!$H:$M,MatchSource!$H:$H=$B506)),SUM($X506,$Z506)))),0,ABS(MINUS(SUM(FILTER(MatchSource!$H:$M,MatchSource!$H:$H=$B506)),SUM($X506,$Z506))))"),"0")</f>
        <v>0</v>
      </c>
      <c r="AC506" s="507" t="n">
        <f aca="false">SUM(IF(OR($R506="Grass",$R506="Psychic",$R506="Dark"),0-1,IF(OR($R506="Fighting",$R506="Flying",$R506="Fire",$R506="Ghost",$R506="Poison",$R506="Steel",$R506="Fairy"),1,0)),IF(OR($S506="Grass",$S506="Psychic",$S506="Dark"),0-1,IF(OR($S506="Fighting",$S506="Flying",$S506="Fire",$S506="Ghost",$S506="Poison",$S506="Steel",$S506="Fairy"),1,0)))</f>
        <v>0</v>
      </c>
      <c r="AD506" s="507" t="n">
        <f aca="false">SUM(IF(OR($R506="Ghost",$R506="Psychic"),0-1,IF(OR($R506="Fighting",$R506="Dark",$R506="Fairy"),1,0)),IF(OR($S506="Ghost",$S506="Psychic"),0-1,IF(OR($S506="Fighting",$S506="Dark",$S506="Fairy"),1,0)))</f>
        <v>1</v>
      </c>
      <c r="AE506" s="507" t="n">
        <f aca="false">IF(OR($R506="Fairy",$S506="Fairy"),4,SUM(IF($R506="Dragon",0-1,IF($R506="Steel",1,0)),IF($S506="Dragon",0-1,IF($S506="Steel",1,0))))</f>
        <v>0</v>
      </c>
      <c r="AF506" s="507" t="n">
        <f aca="false">IF(OR($R506="Ground",$S506="Ground"),4,SUM(IF(OR($R506="Flying",$R506="Water"),0-1,IF(OR($R506="Dragon",$R506="Electric",$R506="Grass"),1,0)),IF(OR($S506="Flying",$S506="Water"),0-1,IF(OR($S506="Dragon",$S506="Electric",$S506="Grass"),1,0))))</f>
        <v>1</v>
      </c>
      <c r="AG506" s="507" t="n">
        <f aca="false">SUM(IF(OR($R506="Dark",$R506="Dragon",$R506="Fighting"),0-1,IF(OR($R506="Steel",$R506="Poison",$R506="Fire"),1,0)),IF(OR($S506="Dark",$S506="Dragon",$S506="Fighting"),0-1,IF(OR($S506="Steel",$S506="Poison",$S506="Fire"),1,0)))</f>
        <v>-1</v>
      </c>
      <c r="AH506" s="507" t="n">
        <f aca="false">IF(OR($R506="Ghost",$S506="Ghost"),4,SUM(IF(OR($R506="Dark",$R506="Ice",$R506="Normal",$R506="Rock",$R506="Steel"),0-1,IF(OR($R506="Bug",$R506="Fairy",$R506="Flying",$R506="Poison",$R506="Psychic"),1,0)),IF(OR($S506="Dark",$S506="Ice",$S506="Normal",$S506="Rock",$S506="Steel"),0-1,IF(OR($S506="Bug",$S506="Fairy",$S506="Flying",$S506="Poison",$S506="Psychic"),1,0))))</f>
        <v>0</v>
      </c>
      <c r="AI506" s="507" t="n">
        <f aca="false">SUM(IF(OR($R506="Bug",$R506="Grass",$R506="Ice",$R506="Steel"),0-1,IF(OR($R506="Dragon",$R506="Fire",$R506="Rock",$R506="Water"),1,0)),IF(OR($S506="Bug",$S506="Grass",$S506="Ice",$S506="Steel"),0-1,IF(OR($S506="Dragon",$S506="Fire",$S506="Rock",$S506="Water"),1,0)))</f>
        <v>-1</v>
      </c>
      <c r="AJ506" s="507" t="n">
        <f aca="false">SUM(IF(OR($R506="Bug",$R506="Grass",$R506="Fighting"),0-1,IF(OR($R506="Electric",$R506="Rock",$R506="Steel"),1,0)),IF(OR($S506="Bug",$S506="Grass",$S506="Fighting"),0-1,IF(OR($S506="Electric",$S506="Rock",$S506="Steel"),1,0)))</f>
        <v>-2</v>
      </c>
      <c r="AK506" s="507" t="n">
        <f aca="false">IF(OR($R506="Normal",$S506="Normal"),4,SUM(IF(OR($R506="Ghost",$R506="Psychic"),0-1,IF($R506="Dark",1,0)),IF(OR($S506="Ghost",$S506="Psychic"),0-1,IF($S506="Dark",1,0))))</f>
        <v>0</v>
      </c>
      <c r="AL506" s="507" t="n">
        <f aca="false">SUM(IF(OR($R506="Ground",$R506="Rock",$R506="Water"),0-1,IF(OR($R506="Bug",$R506="Flying",$R506="Fire",$R506="Dragon",$R506="Poison",$R506="Steel",$R506="Grass"),1,0)),IF(OR($S506="Ground",$S506="Rock",$S506="Water"),0-1,IF(OR($S506="Bug",$S506="Flying",$S506="Fire",$S506="Dragon",$S506="Poison",$S506="Steel",$S506="Grass"),1,0)))</f>
        <v>1</v>
      </c>
      <c r="AM506" s="507" t="n">
        <f aca="false">IF(OR($R506="Flying",$S506="Flying"),4,SUM(IF(OR($R506="Electric",$R506="Fire",$R506="Rock",$R506="Steel",$R506="Poison"),0-1,IF(OR($R506="Bug",$R506="Grass"),1,0)),IF(OR($S506="Electric",$S506="Fire",$S506="Rock",$S506="Steel",$S506="Poison"),0-1,IF(OR($S506="Bug",$S506="Grass"),1,0))))</f>
        <v>1</v>
      </c>
      <c r="AN506" s="507" t="n">
        <f aca="false">SUM(IF(OR($R506="Flying",$R506="Dragon",$R506="Grass",$R506="Ground"),0-1,IF(OR($R506="Steel",$R506="Ice",$R506="Fire",$R506="Water"),1,0)),IF(OR($S506="Flying",$S506="Dragon",$S506="Grass",$S506="Ground"),0-1,IF(OR($S506="Steel",$S506="Ice",$S506="Fire",$S506="Water"),1,0)))</f>
        <v>-1</v>
      </c>
      <c r="AO506" s="507" t="n">
        <f aca="false">IF(OR($R506="Ghost",$S506="Ghost"),4,SUM(IF(OR($R506="Steel",$R506="Rock"),1,0),IF(OR($S506="Steel",$S506="Rock"),1,0)))</f>
        <v>0</v>
      </c>
      <c r="AP506" s="507" t="n">
        <f aca="false">IF(OR($R506="Steel",$S506="Steel"),4,SUM(IF(OR($R506="Fairy",$R506="Grass"),0-1,IF(OR($R506="Ghost",$R506="Rock",$R506="Ground",$R506="Poison"),1,0)),IF(OR($S506="Fairy",$S506="Grass"),0-1,IF(OR($S506="Ghost",$S506="Rock",$S506="Ground",$S506="Poison"),1,0))))</f>
        <v>-1</v>
      </c>
      <c r="AQ506" s="507" t="n">
        <f aca="false">IF(OR($R506="Dark",$S506="Dark"),4,SUM(IF(OR($R506="Fighting",$R506="Poison"),0-1,IF(OR($R506="Psychic",$R506="Steel"),1,0)),IF(OR($S506="Fighting",$S506="Poison"),0-1,IF(OR($S506="Psychic",$S506="Steel"),1,0))))</f>
        <v>-1</v>
      </c>
      <c r="AR506" s="507" t="n">
        <f aca="false">SUM(IF(OR($R506="Bug",$R506="Fire",$R506="Flying",$R506="Ice"),0-1,IF(OR($R506="Steel",$R506="Fighting",$R506="Ground"),1,0)),IF(OR($S506="Bug",$S506="Fire",$S506="Flying",$S506="Ice"),0-1,IF(OR($S506="Steel",$S506="Fighting",$S506="Ground"),1,0)))</f>
        <v>1</v>
      </c>
      <c r="AS506" s="507" t="n">
        <f aca="false">SUM(IF(OR($R506="Fairy",$R506="Ice",$R506="Rock"),0-1,IF(OR($R506="Steel",$R506="Electric",$R506="Fire",$R506="Water"),1,0)),IF(OR($S506="Fairy",$S506="Ice",$S506="Rock"),0-1,IF(OR($S506="Steel",$S506="Electric",$S506="Fire",$S506="Water"),1,0)))</f>
        <v>0</v>
      </c>
      <c r="AT506" s="508" t="n">
        <f aca="false">SUM(IF(OR($R506="Fire",$R506="Ground",$R506="Rock"),0-1,IF(OR($R506="Dragon",$R506="Grass",$R506="Water"),1,0)),IF(OR($S506="Fire",$S506="Ground",$S506="Rock"),0-1,IF(OR($S506="Dragon",$S506="Grass",$S506="Water"),1,0)))</f>
        <v>1</v>
      </c>
      <c r="AU506" s="518"/>
    </row>
    <row r="507" customFormat="false" ht="15.75" hidden="false" customHeight="false" outlineLevel="0" collapsed="false">
      <c r="A507" s="515" t="str">
        <f aca="false" t="array" ref="A507:A507">IF(ISNA(INDEX(Source!$U$7:$U$95,MATCH(B507,Source!$V$7:$V$95,0))),"FREE",INDEX(Source!$U$7:$U$95,MATCH(B507,Source!$V$7:$V$95,0)))</f>
        <v>FREE</v>
      </c>
      <c r="B507" s="511" t="s">
        <v>669</v>
      </c>
      <c r="C507" s="511"/>
      <c r="D507" s="511"/>
      <c r="E507" s="499" t="str">
        <f aca="false">IF(SUM($W507:$X507)&gt;0,SUM($W507:$X507),IF($H507&gt;0,0,IF($H507&gt;0,0,"-")))</f>
        <v>-</v>
      </c>
      <c r="F507" s="499" t="str">
        <f aca="false">IF(SUM($Y507:$Z507)&gt;0,SUM($Y507:$Z507),IF($H507&gt;0,0,"-"))</f>
        <v>-</v>
      </c>
      <c r="G507" s="499" t="str">
        <f aca="false">IF($H507&gt;0,minus(E507,F507),"-")</f>
        <v>-</v>
      </c>
      <c r="H507" s="500" t="n">
        <f aca="false">SUM(COUNTIF(MatchSource!$A:$A,$B507),COUNTIF(MatchSource!$H:$H,$B507))</f>
        <v>0</v>
      </c>
      <c r="I507" s="501" t="n">
        <f aca="false">SUM($AA507:$AB507)</f>
        <v>0</v>
      </c>
      <c r="J507" s="501" t="s">
        <v>702</v>
      </c>
      <c r="K507" s="512" t="str">
        <f aca="false" t="array" ref="K507:K507">IF(ISNA(INDEX(DraftRosters!$AA$3:$AA$199,MATCH($B507,DraftRosters!$AB$3:$AB$199,0))),"FA",IF(INDEX(DraftRosters!$AA$3:$AA$199,MATCH($B507,DraftRosters!$AB$3:$AB$199,0))="Franchise","Franch",INDEX(DraftRosters!$AA$3:$AA$199,MATCH($B507,DraftRosters!$AB$3:$AB$199,0))))</f>
        <v>FA</v>
      </c>
      <c r="L507" s="499" t="n">
        <v>80</v>
      </c>
      <c r="M507" s="499" t="n">
        <v>52</v>
      </c>
      <c r="N507" s="499" t="n">
        <v>50</v>
      </c>
      <c r="O507" s="499" t="n">
        <v>90</v>
      </c>
      <c r="P507" s="499" t="n">
        <v>50</v>
      </c>
      <c r="Q507" s="501" t="n">
        <v>89</v>
      </c>
      <c r="R507" s="499" t="s">
        <v>794</v>
      </c>
      <c r="S507" s="501" t="s">
        <v>801</v>
      </c>
      <c r="T507" s="505" t="s">
        <v>904</v>
      </c>
      <c r="U507" s="505" t="s">
        <v>963</v>
      </c>
      <c r="V507" s="506" t="s">
        <v>923</v>
      </c>
      <c r="W507" s="500" t="str">
        <f aca="false">IFERROR(__xludf.dummyfunction("if(isna(SUM(FILTER(MatchSource!$A:$D,MatchSource!$A:$A=$B507))),0,SUM(FILTER(MatchSource!$A:$D,MatchSource!$A:$A=$B507)))"),"0")</f>
        <v>0</v>
      </c>
      <c r="X507" s="499" t="str">
        <f aca="false">IFERROR(__xludf.dummyfunction("if(isna(SUM(FILTER(MatchSource!$H:$K,MatchSource!$H:$H=$B507))),0,SUM(FILTER(MatchSource!$H:$K,MatchSource!$H:$H=$B507)))"),"0")</f>
        <v>0</v>
      </c>
      <c r="Y507" s="499" t="str">
        <f aca="false">IFERROR(__xludf.dummyfunction("if(isna(ABS(MINUS(SUM(FILTER(MatchSource!$A:$E,MatchSource!$A:$A=$B507)),SUM($W507)))),0,ABS(MINUS(SUM(FILTER(MatchSource!$A:$E,MatchSource!$A:$A=$B507)),SUM($W507))))"),"0")</f>
        <v>0</v>
      </c>
      <c r="Z507" s="499" t="str">
        <f aca="false">IFERROR(__xludf.dummyfunction("if(isna(ABS(MINUS(SUM(FILTER(MatchSource!$H:$L,MatchSource!$H:$H=$B507)),SUM($X507)))),0,ABS(MINUS(SUM(FILTER(MatchSource!$H:$L,MatchSource!$H:$H=$B507)),SUM($X507))))"),"0")</f>
        <v>0</v>
      </c>
      <c r="AA507" s="499" t="str">
        <f aca="false">IFERROR(__xludf.dummyfunction("if(isna(ABS(MINUS(SUM(FILTER(MatchSource!$A:$F,MatchSource!$A:$A=$B507)),SUM($W507,$Y507)))),0,ABS(MINUS(SUM(FILTER(MatchSource!$A:$F,MatchSource!$A:$A=$B507)),SUM($W507, $Y507,))))"),"0")</f>
        <v>0</v>
      </c>
      <c r="AB507" s="501" t="str">
        <f aca="false">IFERROR(__xludf.dummyfunction("if(isna(ABS(MINUS(SUM(FILTER(MatchSource!$H:$M,MatchSource!$H:$H=$B507)),SUM($X507,$Z507)))),0,ABS(MINUS(SUM(FILTER(MatchSource!$H:$M,MatchSource!$H:$H=$B507)),SUM($X507,$Z507))))"),"0")</f>
        <v>0</v>
      </c>
      <c r="AC507" s="507" t="n">
        <f aca="false">SUM(IF(OR($R507="Grass",$R507="Psychic",$R507="Dark"),0-1,IF(OR($R507="Fighting",$R507="Flying",$R507="Fire",$R507="Ghost",$R507="Poison",$R507="Steel",$R507="Fairy"),1,0)),IF(OR($S507="Grass",$S507="Psychic",$S507="Dark"),0-1,IF(OR($S507="Fighting",$S507="Flying",$S507="Fire",$S507="Ghost",$S507="Poison",$S507="Steel",$S507="Fairy"),1,0)))</f>
        <v>1</v>
      </c>
      <c r="AD507" s="507" t="n">
        <f aca="false">SUM(IF(OR($R507="Ghost",$R507="Psychic"),0-1,IF(OR($R507="Fighting",$R507="Dark",$R507="Fairy"),1,0)),IF(OR($S507="Ghost",$S507="Psychic"),0-1,IF(OR($S507="Fighting",$S507="Dark",$S507="Fairy"),1,0)))</f>
        <v>0</v>
      </c>
      <c r="AE507" s="507" t="n">
        <f aca="false">IF(OR($R507="Fairy",$S507="Fairy"),4,SUM(IF($R507="Dragon",0-1,IF($R507="Steel",1,0)),IF($S507="Dragon",0-1,IF($S507="Steel",1,0))))</f>
        <v>0</v>
      </c>
      <c r="AF507" s="507" t="n">
        <f aca="false">IF(OR($R507="Ground",$S507="Ground"),4,SUM(IF(OR($R507="Flying",$R507="Water"),0-1,IF(OR($R507="Dragon",$R507="Electric",$R507="Grass"),1,0)),IF(OR($S507="Flying",$S507="Water"),0-1,IF(OR($S507="Dragon",$S507="Electric",$S507="Grass"),1,0))))</f>
        <v>-1</v>
      </c>
      <c r="AG507" s="507" t="n">
        <f aca="false">SUM(IF(OR($R507="Dark",$R507="Dragon",$R507="Fighting"),0-1,IF(OR($R507="Steel",$R507="Poison",$R507="Fire"),1,0)),IF(OR($S507="Dark",$S507="Dragon",$S507="Fighting"),0-1,IF(OR($S507="Steel",$S507="Poison",$S507="Fire"),1,0)))</f>
        <v>0</v>
      </c>
      <c r="AH507" s="507" t="n">
        <f aca="false">IF(OR($R507="Ghost",$S507="Ghost"),4,SUM(IF(OR($R507="Dark",$R507="Ice",$R507="Normal",$R507="Rock",$R507="Steel"),0-1,IF(OR($R507="Bug",$R507="Fairy",$R507="Flying",$R507="Poison",$R507="Psychic"),1,0)),IF(OR($S507="Dark",$S507="Ice",$S507="Normal",$S507="Rock",$S507="Steel"),0-1,IF(OR($S507="Bug",$S507="Fairy",$S507="Flying",$S507="Poison",$S507="Psychic"),1,0))))</f>
        <v>2</v>
      </c>
      <c r="AI507" s="507" t="n">
        <f aca="false">SUM(IF(OR($R507="Bug",$R507="Grass",$R507="Ice",$R507="Steel"),0-1,IF(OR($R507="Dragon",$R507="Fire",$R507="Rock",$R507="Water"),1,0)),IF(OR($S507="Bug",$S507="Grass",$S507="Ice",$S507="Steel"),0-1,IF(OR($S507="Dragon",$S507="Fire",$S507="Rock",$S507="Water"),1,0)))</f>
        <v>-1</v>
      </c>
      <c r="AJ507" s="507" t="n">
        <f aca="false">SUM(IF(OR($R507="Bug",$R507="Grass",$R507="Fighting"),0-1,IF(OR($R507="Electric",$R507="Rock",$R507="Steel"),1,0)),IF(OR($S507="Bug",$S507="Grass",$S507="Fighting"),0-1,IF(OR($S507="Electric",$S507="Rock",$S507="Steel"),1,0)))</f>
        <v>-1</v>
      </c>
      <c r="AK507" s="507" t="n">
        <f aca="false">IF(OR($R507="Normal",$S507="Normal"),4,SUM(IF(OR($R507="Ghost",$R507="Psychic"),0-1,IF($R507="Dark",1,0)),IF(OR($S507="Ghost",$S507="Psychic"),0-1,IF($S507="Dark",1,0))))</f>
        <v>0</v>
      </c>
      <c r="AL507" s="507" t="n">
        <f aca="false">SUM(IF(OR($R507="Ground",$R507="Rock",$R507="Water"),0-1,IF(OR($R507="Bug",$R507="Flying",$R507="Fire",$R507="Dragon",$R507="Poison",$R507="Steel",$R507="Grass"),1,0)),IF(OR($S507="Ground",$S507="Rock",$S507="Water"),0-1,IF(OR($S507="Bug",$S507="Flying",$S507="Fire",$S507="Dragon",$S507="Poison",$S507="Steel",$S507="Grass"),1,0)))</f>
        <v>2</v>
      </c>
      <c r="AM507" s="507" t="n">
        <f aca="false">IF(OR($R507="Flying",$S507="Flying"),4,SUM(IF(OR($R507="Electric",$R507="Fire",$R507="Rock",$R507="Steel",$R507="Poison"),0-1,IF(OR($R507="Bug",$R507="Grass"),1,0)),IF(OR($S507="Electric",$S507="Fire",$S507="Rock",$S507="Steel",$S507="Poison"),0-1,IF(OR($S507="Bug",$S507="Grass"),1,0))))</f>
        <v>4</v>
      </c>
      <c r="AN507" s="507" t="n">
        <f aca="false">SUM(IF(OR($R507="Flying",$R507="Dragon",$R507="Grass",$R507="Ground"),0-1,IF(OR($R507="Steel",$R507="Ice",$R507="Fire",$R507="Water"),1,0)),IF(OR($S507="Flying",$S507="Dragon",$S507="Grass",$S507="Ground"),0-1,IF(OR($S507="Steel",$S507="Ice",$S507="Fire",$S507="Water"),1,0)))</f>
        <v>-1</v>
      </c>
      <c r="AO507" s="507" t="n">
        <f aca="false">IF(OR($R507="Ghost",$S507="Ghost"),4,SUM(IF(OR($R507="Steel",$R507="Rock"),1,0),IF(OR($S507="Steel",$S507="Rock"),1,0)))</f>
        <v>0</v>
      </c>
      <c r="AP507" s="507" t="n">
        <f aca="false">IF(OR($R507="Steel",$S507="Steel"),4,SUM(IF(OR($R507="Fairy",$R507="Grass"),0-1,IF(OR($R507="Ghost",$R507="Rock",$R507="Ground",$R507="Poison"),1,0)),IF(OR($S507="Fairy",$S507="Grass"),0-1,IF(OR($S507="Ghost",$S507="Rock",$S507="Ground",$S507="Poison"),1,0))))</f>
        <v>0</v>
      </c>
      <c r="AQ507" s="507" t="n">
        <f aca="false">IF(OR($R507="Dark",$S507="Dark"),4,SUM(IF(OR($R507="Fighting",$R507="Poison"),0-1,IF(OR($R507="Psychic",$R507="Steel"),1,0)),IF(OR($S507="Fighting",$S507="Poison"),0-1,IF(OR($S507="Psychic",$S507="Steel"),1,0))))</f>
        <v>0</v>
      </c>
      <c r="AR507" s="507" t="n">
        <f aca="false">SUM(IF(OR($R507="Bug",$R507="Fire",$R507="Flying",$R507="Ice"),0-1,IF(OR($R507="Steel",$R507="Fighting",$R507="Ground"),1,0)),IF(OR($S507="Bug",$S507="Fire",$S507="Flying",$S507="Ice"),0-1,IF(OR($S507="Steel",$S507="Fighting",$S507="Ground"),1,0)))</f>
        <v>-2</v>
      </c>
      <c r="AS507" s="507" t="n">
        <f aca="false">SUM(IF(OR($R507="Fairy",$R507="Ice",$R507="Rock"),0-1,IF(OR($R507="Steel",$R507="Electric",$R507="Fire",$R507="Water"),1,0)),IF(OR($S507="Fairy",$S507="Ice",$S507="Rock"),0-1,IF(OR($S507="Steel",$S507="Electric",$S507="Fire",$S507="Water"),1,0)))</f>
        <v>0</v>
      </c>
      <c r="AT507" s="508" t="n">
        <f aca="false">SUM(IF(OR($R507="Fire",$R507="Ground",$R507="Rock"),0-1,IF(OR($R507="Dragon",$R507="Grass",$R507="Water"),1,0)),IF(OR($S507="Fire",$S507="Ground",$S507="Rock"),0-1,IF(OR($S507="Dragon",$S507="Grass",$S507="Water"),1,0)))</f>
        <v>0</v>
      </c>
      <c r="AU507" s="518"/>
    </row>
    <row r="508" customFormat="false" ht="15.75" hidden="false" customHeight="false" outlineLevel="0" collapsed="false">
      <c r="A508" s="515" t="str">
        <f aca="false" t="array" ref="A508:A508">IF(ISNA(INDEX(Source!$U$7:$U$95,MATCH(B508,Source!$V$7:$V$95,0))),"FREE",INDEX(Source!$U$7:$U$95,MATCH(B508,Source!$V$7:$V$95,0)))</f>
        <v>FREE</v>
      </c>
      <c r="B508" s="511" t="s">
        <v>672</v>
      </c>
      <c r="C508" s="511"/>
      <c r="D508" s="511"/>
      <c r="E508" s="499" t="str">
        <f aca="false">IF(SUM($W508:$X508)&gt;0,SUM($W508:$X508),IF($H508&gt;0,0,IF($H508&gt;0,0,"-")))</f>
        <v>-</v>
      </c>
      <c r="F508" s="499" t="str">
        <f aca="false">IF(SUM($Y508:$Z508)&gt;0,SUM($Y508:$Z508),IF($H508&gt;0,0,"-"))</f>
        <v>-</v>
      </c>
      <c r="G508" s="499" t="str">
        <f aca="false">IF($H508&gt;0,minus(E508,F508),"-")</f>
        <v>-</v>
      </c>
      <c r="H508" s="500" t="n">
        <f aca="false">SUM(COUNTIF(MatchSource!$A:$A,$B508),COUNTIF(MatchSource!$H:$H,$B508))</f>
        <v>0</v>
      </c>
      <c r="I508" s="501" t="n">
        <f aca="false">SUM($AA508:$AB508)</f>
        <v>0</v>
      </c>
      <c r="J508" s="501" t="s">
        <v>702</v>
      </c>
      <c r="K508" s="512" t="str">
        <f aca="false" t="array" ref="K508:K508">IF(ISNA(INDEX(DraftRosters!$AA$3:$AA$199,MATCH($B508,DraftRosters!$AB$3:$AB$199,0))),"FA",IF(INDEX(DraftRosters!$AA$3:$AA$199,MATCH($B508,DraftRosters!$AB$3:$AB$199,0))="Franchise","Franch",INDEX(DraftRosters!$AA$3:$AA$199,MATCH($B508,DraftRosters!$AB$3:$AB$199,0))))</f>
        <v>FA</v>
      </c>
      <c r="L508" s="499" t="n">
        <v>65</v>
      </c>
      <c r="M508" s="499" t="n">
        <v>73</v>
      </c>
      <c r="N508" s="499" t="n">
        <v>75</v>
      </c>
      <c r="O508" s="499" t="n">
        <v>47</v>
      </c>
      <c r="P508" s="499" t="n">
        <v>85</v>
      </c>
      <c r="Q508" s="501" t="n">
        <v>85</v>
      </c>
      <c r="R508" s="499" t="s">
        <v>794</v>
      </c>
      <c r="S508" s="501"/>
      <c r="T508" s="505" t="s">
        <v>1012</v>
      </c>
      <c r="U508" s="505" t="s">
        <v>857</v>
      </c>
      <c r="V508" s="506" t="s">
        <v>872</v>
      </c>
      <c r="W508" s="500" t="str">
        <f aca="false">IFERROR(__xludf.dummyfunction("if(isna(SUM(FILTER(MatchSource!$A:$D,MatchSource!$A:$A=$B508))),0,SUM(FILTER(MatchSource!$A:$D,MatchSource!$A:$A=$B508)))"),"0")</f>
        <v>0</v>
      </c>
      <c r="X508" s="499" t="str">
        <f aca="false">IFERROR(__xludf.dummyfunction("if(isna(SUM(FILTER(MatchSource!$H:$K,MatchSource!$H:$H=$B508))),0,SUM(FILTER(MatchSource!$H:$K,MatchSource!$H:$H=$B508)))"),"0")</f>
        <v>0</v>
      </c>
      <c r="Y508" s="499" t="str">
        <f aca="false">IFERROR(__xludf.dummyfunction("if(isna(ABS(MINUS(SUM(FILTER(MatchSource!$A:$E,MatchSource!$A:$A=$B508)),SUM($W508)))),0,ABS(MINUS(SUM(FILTER(MatchSource!$A:$E,MatchSource!$A:$A=$B508)),SUM($W508))))"),"0")</f>
        <v>0</v>
      </c>
      <c r="Z508" s="499" t="str">
        <f aca="false">IFERROR(__xludf.dummyfunction("if(isna(ABS(MINUS(SUM(FILTER(MatchSource!$H:$L,MatchSource!$H:$H=$B508)),SUM($X508)))),0,ABS(MINUS(SUM(FILTER(MatchSource!$H:$L,MatchSource!$H:$H=$B508)),SUM($X508))))"),"0")</f>
        <v>0</v>
      </c>
      <c r="AA508" s="499" t="str">
        <f aca="false">IFERROR(__xludf.dummyfunction("if(isna(ABS(MINUS(SUM(FILTER(MatchSource!$A:$F,MatchSource!$A:$A=$B508)),SUM($W508,$Y508)))),0,ABS(MINUS(SUM(FILTER(MatchSource!$A:$F,MatchSource!$A:$A=$B508)),SUM($W508, $Y508,))))"),"0")</f>
        <v>0</v>
      </c>
      <c r="AB508" s="501" t="str">
        <f aca="false">IFERROR(__xludf.dummyfunction("if(isna(ABS(MINUS(SUM(FILTER(MatchSource!$H:$M,MatchSource!$H:$H=$B508)),SUM($X508,$Z508)))),0,ABS(MINUS(SUM(FILTER(MatchSource!$H:$M,MatchSource!$H:$H=$B508)),SUM($X508,$Z508))))"),"0")</f>
        <v>0</v>
      </c>
      <c r="AC508" s="507" t="n">
        <f aca="false">SUM(IF(OR($R508="Grass",$R508="Psychic",$R508="Dark"),0-1,IF(OR($R508="Fighting",$R508="Flying",$R508="Fire",$R508="Ghost",$R508="Poison",$R508="Steel",$R508="Fairy"),1,0)),IF(OR($S508="Grass",$S508="Psychic",$S508="Dark"),0-1,IF(OR($S508="Fighting",$S508="Flying",$S508="Fire",$S508="Ghost",$S508="Poison",$S508="Steel",$S508="Fairy"),1,0)))</f>
        <v>0</v>
      </c>
      <c r="AD508" s="507" t="n">
        <f aca="false">SUM(IF(OR($R508="Ghost",$R508="Psychic"),0-1,IF(OR($R508="Fighting",$R508="Dark",$R508="Fairy"),1,0)),IF(OR($S508="Ghost",$S508="Psychic"),0-1,IF(OR($S508="Fighting",$S508="Dark",$S508="Fairy"),1,0)))</f>
        <v>0</v>
      </c>
      <c r="AE508" s="507" t="n">
        <f aca="false">IF(OR($R508="Fairy",$S508="Fairy"),4,SUM(IF($R508="Dragon",0-1,IF($R508="Steel",1,0)),IF($S508="Dragon",0-1,IF($S508="Steel",1,0))))</f>
        <v>0</v>
      </c>
      <c r="AF508" s="507" t="n">
        <f aca="false">IF(OR($R508="Ground",$S508="Ground"),4,SUM(IF(OR($R508="Flying",$R508="Water"),0-1,IF(OR($R508="Dragon",$R508="Electric",$R508="Grass"),1,0)),IF(OR($S508="Flying",$S508="Water"),0-1,IF(OR($S508="Dragon",$S508="Electric",$S508="Grass"),1,0))))</f>
        <v>0</v>
      </c>
      <c r="AG508" s="507" t="n">
        <f aca="false">SUM(IF(OR($R508="Dark",$R508="Dragon",$R508="Fighting"),0-1,IF(OR($R508="Steel",$R508="Poison",$R508="Fire"),1,0)),IF(OR($S508="Dark",$S508="Dragon",$S508="Fighting"),0-1,IF(OR($S508="Steel",$S508="Poison",$S508="Fire"),1,0)))</f>
        <v>0</v>
      </c>
      <c r="AH508" s="507" t="n">
        <f aca="false">IF(OR($R508="Ghost",$S508="Ghost"),4,SUM(IF(OR($R508="Dark",$R508="Ice",$R508="Normal",$R508="Rock",$R508="Steel"),0-1,IF(OR($R508="Bug",$R508="Fairy",$R508="Flying",$R508="Poison",$R508="Psychic"),1,0)),IF(OR($S508="Dark",$S508="Ice",$S508="Normal",$S508="Rock",$S508="Steel"),0-1,IF(OR($S508="Bug",$S508="Fairy",$S508="Flying",$S508="Poison",$S508="Psychic"),1,0))))</f>
        <v>1</v>
      </c>
      <c r="AI508" s="507" t="n">
        <f aca="false">SUM(IF(OR($R508="Bug",$R508="Grass",$R508="Ice",$R508="Steel"),0-1,IF(OR($R508="Dragon",$R508="Fire",$R508="Rock",$R508="Water"),1,0)),IF(OR($S508="Bug",$S508="Grass",$S508="Ice",$S508="Steel"),0-1,IF(OR($S508="Dragon",$S508="Fire",$S508="Rock",$S508="Water"),1,0)))</f>
        <v>-1</v>
      </c>
      <c r="AJ508" s="507" t="n">
        <f aca="false">SUM(IF(OR($R508="Bug",$R508="Grass",$R508="Fighting"),0-1,IF(OR($R508="Electric",$R508="Rock",$R508="Steel"),1,0)),IF(OR($S508="Bug",$S508="Grass",$S508="Fighting"),0-1,IF(OR($S508="Electric",$S508="Rock",$S508="Steel"),1,0)))</f>
        <v>-1</v>
      </c>
      <c r="AK508" s="507" t="n">
        <f aca="false">IF(OR($R508="Normal",$S508="Normal"),4,SUM(IF(OR($R508="Ghost",$R508="Psychic"),0-1,IF($R508="Dark",1,0)),IF(OR($S508="Ghost",$S508="Psychic"),0-1,IF($S508="Dark",1,0))))</f>
        <v>0</v>
      </c>
      <c r="AL508" s="507" t="n">
        <f aca="false">SUM(IF(OR($R508="Ground",$R508="Rock",$R508="Water"),0-1,IF(OR($R508="Bug",$R508="Flying",$R508="Fire",$R508="Dragon",$R508="Poison",$R508="Steel",$R508="Grass"),1,0)),IF(OR($S508="Ground",$S508="Rock",$S508="Water"),0-1,IF(OR($S508="Bug",$S508="Flying",$S508="Fire",$S508="Dragon",$S508="Poison",$S508="Steel",$S508="Grass"),1,0)))</f>
        <v>1</v>
      </c>
      <c r="AM508" s="507" t="n">
        <f aca="false">IF(OR($R508="Flying",$S508="Flying"),4,SUM(IF(OR($R508="Electric",$R508="Fire",$R508="Rock",$R508="Steel",$R508="Poison"),0-1,IF(OR($R508="Bug",$R508="Grass"),1,0)),IF(OR($S508="Electric",$S508="Fire",$S508="Rock",$S508="Steel",$S508="Poison"),0-1,IF(OR($S508="Bug",$S508="Grass"),1,0))))</f>
        <v>1</v>
      </c>
      <c r="AN508" s="507" t="n">
        <f aca="false">SUM(IF(OR($R508="Flying",$R508="Dragon",$R508="Grass",$R508="Ground"),0-1,IF(OR($R508="Steel",$R508="Ice",$R508="Fire",$R508="Water"),1,0)),IF(OR($S508="Flying",$S508="Dragon",$S508="Grass",$S508="Ground"),0-1,IF(OR($S508="Steel",$S508="Ice",$S508="Fire",$S508="Water"),1,0)))</f>
        <v>0</v>
      </c>
      <c r="AO508" s="507" t="n">
        <f aca="false">IF(OR($R508="Ghost",$S508="Ghost"),4,SUM(IF(OR($R508="Steel",$R508="Rock"),1,0),IF(OR($S508="Steel",$S508="Rock"),1,0)))</f>
        <v>0</v>
      </c>
      <c r="AP508" s="507" t="n">
        <f aca="false">IF(OR($R508="Steel",$S508="Steel"),4,SUM(IF(OR($R508="Fairy",$R508="Grass"),0-1,IF(OR($R508="Ghost",$R508="Rock",$R508="Ground",$R508="Poison"),1,0)),IF(OR($S508="Fairy",$S508="Grass"),0-1,IF(OR($S508="Ghost",$S508="Rock",$S508="Ground",$S508="Poison"),1,0))))</f>
        <v>0</v>
      </c>
      <c r="AQ508" s="507" t="n">
        <f aca="false">IF(OR($R508="Dark",$S508="Dark"),4,SUM(IF(OR($R508="Fighting",$R508="Poison"),0-1,IF(OR($R508="Psychic",$R508="Steel"),1,0)),IF(OR($S508="Fighting",$S508="Poison"),0-1,IF(OR($S508="Psychic",$S508="Steel"),1,0))))</f>
        <v>0</v>
      </c>
      <c r="AR508" s="507" t="n">
        <f aca="false">SUM(IF(OR($R508="Bug",$R508="Fire",$R508="Flying",$R508="Ice"),0-1,IF(OR($R508="Steel",$R508="Fighting",$R508="Ground"),1,0)),IF(OR($S508="Bug",$S508="Fire",$S508="Flying",$S508="Ice"),0-1,IF(OR($S508="Steel",$S508="Fighting",$S508="Ground"),1,0)))</f>
        <v>-1</v>
      </c>
      <c r="AS508" s="507" t="n">
        <f aca="false">SUM(IF(OR($R508="Fairy",$R508="Ice",$R508="Rock"),0-1,IF(OR($R508="Steel",$R508="Electric",$R508="Fire",$R508="Water"),1,0)),IF(OR($S508="Fairy",$S508="Ice",$S508="Rock"),0-1,IF(OR($S508="Steel",$S508="Electric",$S508="Fire",$S508="Water"),1,0)))</f>
        <v>0</v>
      </c>
      <c r="AT508" s="508" t="n">
        <f aca="false">SUM(IF(OR($R508="Fire",$R508="Ground",$R508="Rock"),0-1,IF(OR($R508="Dragon",$R508="Grass",$R508="Water"),1,0)),IF(OR($S508="Fire",$S508="Ground",$S508="Rock"),0-1,IF(OR($S508="Dragon",$S508="Grass",$S508="Water"),1,0)))</f>
        <v>0</v>
      </c>
      <c r="AU508" s="518"/>
    </row>
    <row r="509" customFormat="false" ht="15.75" hidden="false" customHeight="false" outlineLevel="0" collapsed="false">
      <c r="A509" s="515" t="str">
        <f aca="false" t="array" ref="A509:A509">IF(ISNA(INDEX(Source!$U$7:$U$95,MATCH(B509,Source!$V$7:$V$95,0))),"FREE",INDEX(Source!$U$7:$U$95,MATCH(B509,Source!$V$7:$V$95,0)))</f>
        <v>FREE</v>
      </c>
      <c r="B509" s="511" t="s">
        <v>459</v>
      </c>
      <c r="C509" s="511"/>
      <c r="D509" s="511"/>
      <c r="E509" s="499" t="str">
        <f aca="false">IF(SUM($W509:$X509)&gt;0,SUM($W509:$X509),IF($H509&gt;0,0,IF($H509&gt;0,0,"-")))</f>
        <v>-</v>
      </c>
      <c r="F509" s="499" t="str">
        <f aca="false">IF(SUM($Y509:$Z509)&gt;0,SUM($Y509:$Z509),IF($H509&gt;0,0,"-"))</f>
        <v>-</v>
      </c>
      <c r="G509" s="499" t="str">
        <f aca="false">IF($H509&gt;0,minus(E509,F509),"-")</f>
        <v>-</v>
      </c>
      <c r="H509" s="500" t="n">
        <f aca="false">SUM(COUNTIF(MatchSource!$A:$A,$B509),COUNTIF(MatchSource!$H:$H,$B509))</f>
        <v>0</v>
      </c>
      <c r="I509" s="501" t="n">
        <f aca="false">SUM($AA509:$AB509)</f>
        <v>0</v>
      </c>
      <c r="J509" s="501" t="s">
        <v>698</v>
      </c>
      <c r="K509" s="512" t="str">
        <f aca="false" t="array" ref="K509:K509">IF(ISNA(INDEX(DraftRosters!$AA$3:$AA$199,MATCH($B509,DraftRosters!$AB$3:$AB$199,0))),"FA",IF(INDEX(DraftRosters!$AA$3:$AA$199,MATCH($B509,DraftRosters!$AB$3:$AB$199,0))="Franchise","Franch",INDEX(DraftRosters!$AA$3:$AA$199,MATCH($B509,DraftRosters!$AB$3:$AB$199,0))))</f>
        <v>FA</v>
      </c>
      <c r="L509" s="499" t="n">
        <v>80</v>
      </c>
      <c r="M509" s="499" t="n">
        <v>110</v>
      </c>
      <c r="N509" s="499" t="n">
        <v>120</v>
      </c>
      <c r="O509" s="499" t="n">
        <v>130</v>
      </c>
      <c r="P509" s="499" t="n">
        <v>90</v>
      </c>
      <c r="Q509" s="501" t="n">
        <v>70</v>
      </c>
      <c r="R509" s="499" t="s">
        <v>800</v>
      </c>
      <c r="S509" s="501" t="s">
        <v>811</v>
      </c>
      <c r="T509" s="505" t="s">
        <v>849</v>
      </c>
      <c r="U509" s="505"/>
      <c r="V509" s="506"/>
      <c r="W509" s="500" t="str">
        <f aca="false">IFERROR(__xludf.dummyfunction("if(isna(SUM(FILTER(MatchSource!$A:$D,MatchSource!$A:$A=$B509))),0,SUM(FILTER(MatchSource!$A:$D,MatchSource!$A:$A=$B509)))"),"0")</f>
        <v>0</v>
      </c>
      <c r="X509" s="499" t="str">
        <f aca="false">IFERROR(__xludf.dummyfunction("if(isna(SUM(FILTER(MatchSource!$H:$K,MatchSource!$H:$H=$B509))),0,SUM(FILTER(MatchSource!$H:$K,MatchSource!$H:$H=$B509)))"),"0")</f>
        <v>0</v>
      </c>
      <c r="Y509" s="499" t="str">
        <f aca="false">IFERROR(__xludf.dummyfunction("if(isna(ABS(MINUS(SUM(FILTER(MatchSource!$A:$E,MatchSource!$A:$A=$B509)),SUM($W509)))),0,ABS(MINUS(SUM(FILTER(MatchSource!$A:$E,MatchSource!$A:$A=$B509)),SUM($W509))))"),"0")</f>
        <v>0</v>
      </c>
      <c r="Z509" s="499" t="str">
        <f aca="false">IFERROR(__xludf.dummyfunction("if(isna(ABS(MINUS(SUM(FILTER(MatchSource!$H:$L,MatchSource!$H:$H=$B509)),SUM($X509)))),0,ABS(MINUS(SUM(FILTER(MatchSource!$H:$L,MatchSource!$H:$H=$B509)),SUM($X509))))"),"0")</f>
        <v>0</v>
      </c>
      <c r="AA509" s="499" t="str">
        <f aca="false">IFERROR(__xludf.dummyfunction("if(isna(ABS(MINUS(SUM(FILTER(MatchSource!$A:$F,MatchSource!$A:$A=$B509)),SUM($W509,$Y509)))),0,ABS(MINUS(SUM(FILTER(MatchSource!$A:$F,MatchSource!$A:$A=$B509)),SUM($W509, $Y509,))))"),"0")</f>
        <v>0</v>
      </c>
      <c r="AB509" s="501" t="str">
        <f aca="false">IFERROR(__xludf.dummyfunction("if(isna(ABS(MINUS(SUM(FILTER(MatchSource!$H:$M,MatchSource!$H:$H=$B509)),SUM($X509,$Z509)))),0,ABS(MINUS(SUM(FILTER(MatchSource!$H:$M,MatchSource!$H:$H=$B509)),SUM($X509,$Z509))))"),"0")</f>
        <v>0</v>
      </c>
      <c r="AC509" s="507" t="n">
        <f aca="false">SUM(IF(OR($R509="Grass",$R509="Psychic",$R509="Dark"),0-1,IF(OR($R509="Fighting",$R509="Flying",$R509="Fire",$R509="Ghost",$R509="Poison",$R509="Steel",$R509="Fairy"),1,0)),IF(OR($S509="Grass",$S509="Psychic",$S509="Dark"),0-1,IF(OR($S509="Fighting",$S509="Flying",$S509="Fire",$S509="Ghost",$S509="Poison",$S509="Steel",$S509="Fairy"),1,0)))</f>
        <v>1</v>
      </c>
      <c r="AD509" s="507" t="n">
        <f aca="false">SUM(IF(OR($R509="Ghost",$R509="Psychic"),0-1,IF(OR($R509="Fighting",$R509="Dark",$R509="Fairy"),1,0)),IF(OR($S509="Ghost",$S509="Psychic"),0-1,IF(OR($S509="Fighting",$S509="Dark",$S509="Fairy"),1,0)))</f>
        <v>0</v>
      </c>
      <c r="AE509" s="507" t="n">
        <f aca="false">IF(OR($R509="Fairy",$S509="Fairy"),4,SUM(IF($R509="Dragon",0-1,IF($R509="Steel",1,0)),IF($S509="Dragon",0-1,IF($S509="Steel",1,0))))</f>
        <v>0</v>
      </c>
      <c r="AF509" s="507" t="n">
        <f aca="false">IF(OR($R509="Ground",$S509="Ground"),4,SUM(IF(OR($R509="Flying",$R509="Water"),0-1,IF(OR($R509="Dragon",$R509="Electric",$R509="Grass"),1,0)),IF(OR($S509="Flying",$S509="Water"),0-1,IF(OR($S509="Dragon",$S509="Electric",$S509="Grass"),1,0))))</f>
        <v>-1</v>
      </c>
      <c r="AG509" s="507" t="n">
        <f aca="false">SUM(IF(OR($R509="Dark",$R509="Dragon",$R509="Fighting"),0-1,IF(OR($R509="Steel",$R509="Poison",$R509="Fire"),1,0)),IF(OR($S509="Dark",$S509="Dragon",$S509="Fighting"),0-1,IF(OR($S509="Steel",$S509="Poison",$S509="Fire"),1,0)))</f>
        <v>1</v>
      </c>
      <c r="AH509" s="507" t="n">
        <f aca="false">IF(OR($R509="Ghost",$S509="Ghost"),4,SUM(IF(OR($R509="Dark",$R509="Ice",$R509="Normal",$R509="Rock",$R509="Steel"),0-1,IF(OR($R509="Bug",$R509="Fairy",$R509="Flying",$R509="Poison",$R509="Psychic"),1,0)),IF(OR($S509="Dark",$S509="Ice",$S509="Normal",$S509="Rock",$S509="Steel"),0-1,IF(OR($S509="Bug",$S509="Fairy",$S509="Flying",$S509="Poison",$S509="Psychic"),1,0))))</f>
        <v>0</v>
      </c>
      <c r="AI509" s="507" t="n">
        <f aca="false">SUM(IF(OR($R509="Bug",$R509="Grass",$R509="Ice",$R509="Steel"),0-1,IF(OR($R509="Dragon",$R509="Fire",$R509="Rock",$R509="Water"),1,0)),IF(OR($S509="Bug",$S509="Grass",$S509="Ice",$S509="Steel"),0-1,IF(OR($S509="Dragon",$S509="Fire",$S509="Rock",$S509="Water"),1,0)))</f>
        <v>2</v>
      </c>
      <c r="AJ509" s="507" t="n">
        <f aca="false">SUM(IF(OR($R509="Bug",$R509="Grass",$R509="Fighting"),0-1,IF(OR($R509="Electric",$R509="Rock",$R509="Steel"),1,0)),IF(OR($S509="Bug",$S509="Grass",$S509="Fighting"),0-1,IF(OR($S509="Electric",$S509="Rock",$S509="Steel"),1,0)))</f>
        <v>0</v>
      </c>
      <c r="AK509" s="507" t="n">
        <f aca="false">IF(OR($R509="Normal",$S509="Normal"),4,SUM(IF(OR($R509="Ghost",$R509="Psychic"),0-1,IF($R509="Dark",1,0)),IF(OR($S509="Ghost",$S509="Psychic"),0-1,IF($S509="Dark",1,0))))</f>
        <v>0</v>
      </c>
      <c r="AL509" s="507" t="n">
        <f aca="false">SUM(IF(OR($R509="Ground",$R509="Rock",$R509="Water"),0-1,IF(OR($R509="Bug",$R509="Flying",$R509="Fire",$R509="Dragon",$R509="Poison",$R509="Steel",$R509="Grass"),1,0)),IF(OR($S509="Ground",$S509="Rock",$S509="Water"),0-1,IF(OR($S509="Bug",$S509="Flying",$S509="Fire",$S509="Dragon",$S509="Poison",$S509="Steel",$S509="Grass"),1,0)))</f>
        <v>0</v>
      </c>
      <c r="AM509" s="507" t="n">
        <f aca="false">IF(OR($R509="Flying",$S509="Flying"),4,SUM(IF(OR($R509="Electric",$R509="Fire",$R509="Rock",$R509="Steel",$R509="Poison"),0-1,IF(OR($R509="Bug",$R509="Grass"),1,0)),IF(OR($S509="Electric",$S509="Fire",$S509="Rock",$S509="Steel",$S509="Poison"),0-1,IF(OR($S509="Bug",$S509="Grass"),1,0))))</f>
        <v>-1</v>
      </c>
      <c r="AN509" s="507" t="n">
        <f aca="false">SUM(IF(OR($R509="Flying",$R509="Dragon",$R509="Grass",$R509="Ground"),0-1,IF(OR($R509="Steel",$R509="Ice",$R509="Fire",$R509="Water"),1,0)),IF(OR($S509="Flying",$S509="Dragon",$S509="Grass",$S509="Ground"),0-1,IF(OR($S509="Steel",$S509="Ice",$S509="Fire",$S509="Water"),1,0)))</f>
        <v>2</v>
      </c>
      <c r="AO509" s="507" t="n">
        <f aca="false">IF(OR($R509="Ghost",$S509="Ghost"),4,SUM(IF(OR($R509="Steel",$R509="Rock"),1,0),IF(OR($S509="Steel",$S509="Rock"),1,0)))</f>
        <v>0</v>
      </c>
      <c r="AP509" s="507" t="n">
        <f aca="false">IF(OR($R509="Steel",$S509="Steel"),4,SUM(IF(OR($R509="Fairy",$R509="Grass"),0-1,IF(OR($R509="Ghost",$R509="Rock",$R509="Ground",$R509="Poison"),1,0)),IF(OR($S509="Fairy",$S509="Grass"),0-1,IF(OR($S509="Ghost",$S509="Rock",$S509="Ground",$S509="Poison"),1,0))))</f>
        <v>0</v>
      </c>
      <c r="AQ509" s="507" t="n">
        <f aca="false">IF(OR($R509="Dark",$S509="Dark"),4,SUM(IF(OR($R509="Fighting",$R509="Poison"),0-1,IF(OR($R509="Psychic",$R509="Steel"),1,0)),IF(OR($S509="Fighting",$S509="Poison"),0-1,IF(OR($S509="Psychic",$S509="Steel"),1,0))))</f>
        <v>0</v>
      </c>
      <c r="AR509" s="507" t="n">
        <f aca="false">SUM(IF(OR($R509="Bug",$R509="Fire",$R509="Flying",$R509="Ice"),0-1,IF(OR($R509="Steel",$R509="Fighting",$R509="Ground"),1,0)),IF(OR($S509="Bug",$S509="Fire",$S509="Flying",$S509="Ice"),0-1,IF(OR($S509="Steel",$S509="Fighting",$S509="Ground"),1,0)))</f>
        <v>-1</v>
      </c>
      <c r="AS509" s="507" t="n">
        <f aca="false">SUM(IF(OR($R509="Fairy",$R509="Ice",$R509="Rock"),0-1,IF(OR($R509="Steel",$R509="Electric",$R509="Fire",$R509="Water"),1,0)),IF(OR($S509="Fairy",$S509="Ice",$S509="Rock"),0-1,IF(OR($S509="Steel",$S509="Electric",$S509="Fire",$S509="Water"),1,0)))</f>
        <v>2</v>
      </c>
      <c r="AT509" s="508" t="n">
        <f aca="false">SUM(IF(OR($R509="Fire",$R509="Ground",$R509="Rock"),0-1,IF(OR($R509="Dragon",$R509="Grass",$R509="Water"),1,0)),IF(OR($S509="Fire",$S509="Ground",$S509="Rock"),0-1,IF(OR($S509="Dragon",$S509="Grass",$S509="Water"),1,0)))</f>
        <v>0</v>
      </c>
      <c r="AU509" s="518"/>
    </row>
    <row r="510" customFormat="false" ht="15.75" hidden="false" customHeight="false" outlineLevel="0" collapsed="false">
      <c r="A510" s="515" t="str">
        <f aca="false" t="array" ref="A510:A510">IF(ISNA(INDEX(Source!$U$7:$U$95,MATCH(B510,Source!$V$7:$V$95,0))),"FREE",INDEX(Source!$U$7:$U$95,MATCH(B510,Source!$V$7:$V$95,0)))</f>
        <v>FREE</v>
      </c>
      <c r="B510" s="511" t="s">
        <v>518</v>
      </c>
      <c r="C510" s="511"/>
      <c r="D510" s="511"/>
      <c r="E510" s="499" t="str">
        <f aca="false">IF(SUM($W510:$X510)&gt;0,SUM($W510:$X510),IF($H510&gt;0,0,IF($H510&gt;0,0,"-")))</f>
        <v>-</v>
      </c>
      <c r="F510" s="499" t="str">
        <f aca="false">IF(SUM($Y510:$Z510)&gt;0,SUM($Y510:$Z510),IF($H510&gt;0,0,"-"))</f>
        <v>-</v>
      </c>
      <c r="G510" s="499" t="str">
        <f aca="false">IF($H510&gt;0,minus(E510,F510),"-")</f>
        <v>-</v>
      </c>
      <c r="H510" s="500" t="n">
        <f aca="false">SUM(COUNTIF(MatchSource!$A:$A,$B510),COUNTIF(MatchSource!$H:$H,$B510))</f>
        <v>0</v>
      </c>
      <c r="I510" s="501" t="n">
        <f aca="false">SUM($AA510:$AB510)</f>
        <v>0</v>
      </c>
      <c r="J510" s="501" t="s">
        <v>699</v>
      </c>
      <c r="K510" s="512" t="str">
        <f aca="false" t="array" ref="K510:K510">IF(ISNA(INDEX(DraftRosters!$AA$3:$AA$199,MATCH($B510,DraftRosters!$AB$3:$AB$199,0))),"FA",IF(INDEX(DraftRosters!$AA$3:$AA$199,MATCH($B510,DraftRosters!$AB$3:$AB$199,0))="Franchise","Franch",INDEX(DraftRosters!$AA$3:$AA$199,MATCH($B510,DraftRosters!$AB$3:$AB$199,0))))</f>
        <v>FA</v>
      </c>
      <c r="L510" s="499" t="n">
        <v>85</v>
      </c>
      <c r="M510" s="499" t="n">
        <v>60</v>
      </c>
      <c r="N510" s="499" t="n">
        <v>65</v>
      </c>
      <c r="O510" s="499" t="n">
        <v>135</v>
      </c>
      <c r="P510" s="499" t="n">
        <v>105</v>
      </c>
      <c r="Q510" s="501" t="n">
        <v>100</v>
      </c>
      <c r="R510" s="499" t="s">
        <v>794</v>
      </c>
      <c r="S510" s="501" t="s">
        <v>800</v>
      </c>
      <c r="T510" s="505" t="s">
        <v>913</v>
      </c>
      <c r="U510" s="505" t="s">
        <v>857</v>
      </c>
      <c r="V510" s="506"/>
      <c r="W510" s="500" t="str">
        <f aca="false">IFERROR(__xludf.dummyfunction("if(isna(SUM(FILTER(MatchSource!$A:$D,MatchSource!$A:$A=$B510))),0,SUM(FILTER(MatchSource!$A:$D,MatchSource!$A:$A=$B510)))"),"0")</f>
        <v>0</v>
      </c>
      <c r="X510" s="499" t="str">
        <f aca="false">IFERROR(__xludf.dummyfunction("if(isna(SUM(FILTER(MatchSource!$H:$K,MatchSource!$H:$H=$B510))),0,SUM(FILTER(MatchSource!$H:$K,MatchSource!$H:$H=$B510)))"),"0")</f>
        <v>0</v>
      </c>
      <c r="Y510" s="499" t="str">
        <f aca="false">IFERROR(__xludf.dummyfunction("if(isna(ABS(MINUS(SUM(FILTER(MatchSource!$A:$E,MatchSource!$A:$A=$B510)),SUM($W510)))),0,ABS(MINUS(SUM(FILTER(MatchSource!$A:$E,MatchSource!$A:$A=$B510)),SUM($W510))))"),"0")</f>
        <v>0</v>
      </c>
      <c r="Z510" s="499" t="str">
        <f aca="false">IFERROR(__xludf.dummyfunction("if(isna(ABS(MINUS(SUM(FILTER(MatchSource!$H:$L,MatchSource!$H:$H=$B510)),SUM($X510)))),0,ABS(MINUS(SUM(FILTER(MatchSource!$H:$L,MatchSource!$H:$H=$B510)),SUM($X510))))"),"0")</f>
        <v>0</v>
      </c>
      <c r="AA510" s="499" t="str">
        <f aca="false">IFERROR(__xludf.dummyfunction("if(isna(ABS(MINUS(SUM(FILTER(MatchSource!$A:$F,MatchSource!$A:$A=$B510)),SUM($W510,$Y510)))),0,ABS(MINUS(SUM(FILTER(MatchSource!$A:$F,MatchSource!$A:$A=$B510)),SUM($W510, $Y510,))))"),"0")</f>
        <v>0</v>
      </c>
      <c r="AB510" s="501" t="str">
        <f aca="false">IFERROR(__xludf.dummyfunction("if(isna(ABS(MINUS(SUM(FILTER(MatchSource!$H:$M,MatchSource!$H:$H=$B510)),SUM($X510,$Z510)))),0,ABS(MINUS(SUM(FILTER(MatchSource!$H:$M,MatchSource!$H:$H=$B510)),SUM($X510,$Z510))))"),"0")</f>
        <v>0</v>
      </c>
      <c r="AC510" s="507" t="n">
        <f aca="false">SUM(IF(OR($R510="Grass",$R510="Psychic",$R510="Dark"),0-1,IF(OR($R510="Fighting",$R510="Flying",$R510="Fire",$R510="Ghost",$R510="Poison",$R510="Steel",$R510="Fairy"),1,0)),IF(OR($S510="Grass",$S510="Psychic",$S510="Dark"),0-1,IF(OR($S510="Fighting",$S510="Flying",$S510="Fire",$S510="Ghost",$S510="Poison",$S510="Steel",$S510="Fairy"),1,0)))</f>
        <v>1</v>
      </c>
      <c r="AD510" s="507" t="n">
        <f aca="false">SUM(IF(OR($R510="Ghost",$R510="Psychic"),0-1,IF(OR($R510="Fighting",$R510="Dark",$R510="Fairy"),1,0)),IF(OR($S510="Ghost",$S510="Psychic"),0-1,IF(OR($S510="Fighting",$S510="Dark",$S510="Fairy"),1,0)))</f>
        <v>0</v>
      </c>
      <c r="AE510" s="507" t="n">
        <f aca="false">IF(OR($R510="Fairy",$S510="Fairy"),4,SUM(IF($R510="Dragon",0-1,IF($R510="Steel",1,0)),IF($S510="Dragon",0-1,IF($S510="Steel",1,0))))</f>
        <v>0</v>
      </c>
      <c r="AF510" s="507" t="n">
        <f aca="false">IF(OR($R510="Ground",$S510="Ground"),4,SUM(IF(OR($R510="Flying",$R510="Water"),0-1,IF(OR($R510="Dragon",$R510="Electric",$R510="Grass"),1,0)),IF(OR($S510="Flying",$S510="Water"),0-1,IF(OR($S510="Dragon",$S510="Electric",$S510="Grass"),1,0))))</f>
        <v>0</v>
      </c>
      <c r="AG510" s="507" t="n">
        <f aca="false">SUM(IF(OR($R510="Dark",$R510="Dragon",$R510="Fighting"),0-1,IF(OR($R510="Steel",$R510="Poison",$R510="Fire"),1,0)),IF(OR($S510="Dark",$S510="Dragon",$S510="Fighting"),0-1,IF(OR($S510="Steel",$S510="Poison",$S510="Fire"),1,0)))</f>
        <v>1</v>
      </c>
      <c r="AH510" s="507" t="n">
        <f aca="false">IF(OR($R510="Ghost",$S510="Ghost"),4,SUM(IF(OR($R510="Dark",$R510="Ice",$R510="Normal",$R510="Rock",$R510="Steel"),0-1,IF(OR($R510="Bug",$R510="Fairy",$R510="Flying",$R510="Poison",$R510="Psychic"),1,0)),IF(OR($S510="Dark",$S510="Ice",$S510="Normal",$S510="Rock",$S510="Steel"),0-1,IF(OR($S510="Bug",$S510="Fairy",$S510="Flying",$S510="Poison",$S510="Psychic"),1,0))))</f>
        <v>1</v>
      </c>
      <c r="AI510" s="507" t="n">
        <f aca="false">SUM(IF(OR($R510="Bug",$R510="Grass",$R510="Ice",$R510="Steel"),0-1,IF(OR($R510="Dragon",$R510="Fire",$R510="Rock",$R510="Water"),1,0)),IF(OR($S510="Bug",$S510="Grass",$S510="Ice",$S510="Steel"),0-1,IF(OR($S510="Dragon",$S510="Fire",$S510="Rock",$S510="Water"),1,0)))</f>
        <v>0</v>
      </c>
      <c r="AJ510" s="507" t="n">
        <f aca="false">SUM(IF(OR($R510="Bug",$R510="Grass",$R510="Fighting"),0-1,IF(OR($R510="Electric",$R510="Rock",$R510="Steel"),1,0)),IF(OR($S510="Bug",$S510="Grass",$S510="Fighting"),0-1,IF(OR($S510="Electric",$S510="Rock",$S510="Steel"),1,0)))</f>
        <v>-1</v>
      </c>
      <c r="AK510" s="507" t="n">
        <f aca="false">IF(OR($R510="Normal",$S510="Normal"),4,SUM(IF(OR($R510="Ghost",$R510="Psychic"),0-1,IF($R510="Dark",1,0)),IF(OR($S510="Ghost",$S510="Psychic"),0-1,IF($S510="Dark",1,0))))</f>
        <v>0</v>
      </c>
      <c r="AL510" s="507" t="n">
        <f aca="false">SUM(IF(OR($R510="Ground",$R510="Rock",$R510="Water"),0-1,IF(OR($R510="Bug",$R510="Flying",$R510="Fire",$R510="Dragon",$R510="Poison",$R510="Steel",$R510="Grass"),1,0)),IF(OR($S510="Ground",$S510="Rock",$S510="Water"),0-1,IF(OR($S510="Bug",$S510="Flying",$S510="Fire",$S510="Dragon",$S510="Poison",$S510="Steel",$S510="Grass"),1,0)))</f>
        <v>2</v>
      </c>
      <c r="AM510" s="507" t="n">
        <f aca="false">IF(OR($R510="Flying",$S510="Flying"),4,SUM(IF(OR($R510="Electric",$R510="Fire",$R510="Rock",$R510="Steel",$R510="Poison"),0-1,IF(OR($R510="Bug",$R510="Grass"),1,0)),IF(OR($S510="Electric",$S510="Fire",$S510="Rock",$S510="Steel",$S510="Poison"),0-1,IF(OR($S510="Bug",$S510="Grass"),1,0))))</f>
        <v>0</v>
      </c>
      <c r="AN510" s="507" t="n">
        <f aca="false">SUM(IF(OR($R510="Flying",$R510="Dragon",$R510="Grass",$R510="Ground"),0-1,IF(OR($R510="Steel",$R510="Ice",$R510="Fire",$R510="Water"),1,0)),IF(OR($S510="Flying",$S510="Dragon",$S510="Grass",$S510="Ground"),0-1,IF(OR($S510="Steel",$S510="Ice",$S510="Fire",$S510="Water"),1,0)))</f>
        <v>1</v>
      </c>
      <c r="AO510" s="507" t="n">
        <f aca="false">IF(OR($R510="Ghost",$S510="Ghost"),4,SUM(IF(OR($R510="Steel",$R510="Rock"),1,0),IF(OR($S510="Steel",$S510="Rock"),1,0)))</f>
        <v>0</v>
      </c>
      <c r="AP510" s="507" t="n">
        <f aca="false">IF(OR($R510="Steel",$S510="Steel"),4,SUM(IF(OR($R510="Fairy",$R510="Grass"),0-1,IF(OR($R510="Ghost",$R510="Rock",$R510="Ground",$R510="Poison"),1,0)),IF(OR($S510="Fairy",$S510="Grass"),0-1,IF(OR($S510="Ghost",$S510="Rock",$S510="Ground",$S510="Poison"),1,0))))</f>
        <v>0</v>
      </c>
      <c r="AQ510" s="507" t="n">
        <f aca="false">IF(OR($R510="Dark",$S510="Dark"),4,SUM(IF(OR($R510="Fighting",$R510="Poison"),0-1,IF(OR($R510="Psychic",$R510="Steel"),1,0)),IF(OR($S510="Fighting",$S510="Poison"),0-1,IF(OR($S510="Psychic",$S510="Steel"),1,0))))</f>
        <v>0</v>
      </c>
      <c r="AR510" s="507" t="n">
        <f aca="false">SUM(IF(OR($R510="Bug",$R510="Fire",$R510="Flying",$R510="Ice"),0-1,IF(OR($R510="Steel",$R510="Fighting",$R510="Ground"),1,0)),IF(OR($S510="Bug",$S510="Fire",$S510="Flying",$S510="Ice"),0-1,IF(OR($S510="Steel",$S510="Fighting",$S510="Ground"),1,0)))</f>
        <v>-2</v>
      </c>
      <c r="AS510" s="507" t="n">
        <f aca="false">SUM(IF(OR($R510="Fairy",$R510="Ice",$R510="Rock"),0-1,IF(OR($R510="Steel",$R510="Electric",$R510="Fire",$R510="Water"),1,0)),IF(OR($S510="Fairy",$S510="Ice",$S510="Rock"),0-1,IF(OR($S510="Steel",$S510="Electric",$S510="Fire",$S510="Water"),1,0)))</f>
        <v>1</v>
      </c>
      <c r="AT510" s="508" t="n">
        <f aca="false">SUM(IF(OR($R510="Fire",$R510="Ground",$R510="Rock"),0-1,IF(OR($R510="Dragon",$R510="Grass",$R510="Water"),1,0)),IF(OR($S510="Fire",$S510="Ground",$S510="Rock"),0-1,IF(OR($S510="Dragon",$S510="Grass",$S510="Water"),1,0)))</f>
        <v>-1</v>
      </c>
      <c r="AU510" s="518"/>
    </row>
    <row r="511" customFormat="false" ht="15.75" hidden="false" customHeight="false" outlineLevel="0" collapsed="false">
      <c r="A511" s="510" t="str">
        <f aca="false" t="array" ref="A511:A511">IF(ISNA(INDEX(Source!$U$7:$U$95,MATCH(B511,Source!$V$7:$V$95,0))),"FREE",INDEX(Source!$U$7:$U$95,MATCH(B511,Source!$V$7:$V$95,0)))</f>
        <v>FREE</v>
      </c>
      <c r="B511" s="511" t="s">
        <v>768</v>
      </c>
      <c r="C511" s="511"/>
      <c r="D511" s="511"/>
      <c r="E511" s="499" t="str">
        <f aca="false">IF(SUM($W511:$X511)&gt;0,SUM($W511:$X511),IF($H511&gt;0,0,IF($H511&gt;0,0,"-")))</f>
        <v>-</v>
      </c>
      <c r="F511" s="499" t="str">
        <f aca="false">IF(SUM($Y511:$Z511)&gt;0,SUM($Y511:$Z511),IF($H511&gt;0,0,"-"))</f>
        <v>-</v>
      </c>
      <c r="G511" s="499" t="str">
        <f aca="false">IF($H511&gt;0,minus(E511,F511),"-")</f>
        <v>-</v>
      </c>
      <c r="H511" s="500" t="n">
        <f aca="false">SUM(COUNTIF(MatchSource!$A:$A,$B511),COUNTIF(MatchSource!$H:$H,$B511))</f>
        <v>0</v>
      </c>
      <c r="I511" s="501" t="n">
        <f aca="false">SUM($AA511:$AB511)</f>
        <v>0</v>
      </c>
      <c r="J511" s="501" t="s">
        <v>702</v>
      </c>
      <c r="K511" s="512" t="str">
        <f aca="false" t="array" ref="K511:K511">IF(ISNA(INDEX(DraftRosters!$AA$3:$AA$199,MATCH($B511,DraftRosters!$AB$3:$AB$199,0))),"FA",IF(INDEX(DraftRosters!$AA$3:$AA$199,MATCH($B511,DraftRosters!$AB$3:$AB$199,0))="Franchise","Franch",INDEX(DraftRosters!$AA$3:$AA$199,MATCH($B511,DraftRosters!$AB$3:$AB$199,0))))</f>
        <v>FA</v>
      </c>
      <c r="L511" s="499" t="n">
        <v>70</v>
      </c>
      <c r="M511" s="499" t="n">
        <v>55</v>
      </c>
      <c r="N511" s="499" t="n">
        <v>75</v>
      </c>
      <c r="O511" s="499" t="n">
        <v>45</v>
      </c>
      <c r="P511" s="499" t="n">
        <v>65</v>
      </c>
      <c r="Q511" s="501" t="n">
        <v>60</v>
      </c>
      <c r="R511" s="499" t="s">
        <v>795</v>
      </c>
      <c r="S511" s="501" t="s">
        <v>801</v>
      </c>
      <c r="T511" s="505" t="s">
        <v>917</v>
      </c>
      <c r="U511" s="505" t="s">
        <v>937</v>
      </c>
      <c r="V511" s="506" t="s">
        <v>924</v>
      </c>
      <c r="W511" s="500" t="str">
        <f aca="false">IFERROR(__xludf.dummyfunction("if(isna(SUM(FILTER(MatchSource!$A:$D,MatchSource!$A:$A=$B511))),0,SUM(FILTER(MatchSource!$A:$D,MatchSource!$A:$A=$B511)))"),"0")</f>
        <v>0</v>
      </c>
      <c r="X511" s="499" t="str">
        <f aca="false">IFERROR(__xludf.dummyfunction("if(isna(SUM(FILTER(MatchSource!$H:$K,MatchSource!$H:$H=$B511))),0,SUM(FILTER(MatchSource!$H:$K,MatchSource!$H:$H=$B511)))"),"0")</f>
        <v>0</v>
      </c>
      <c r="Y511" s="499" t="str">
        <f aca="false">IFERROR(__xludf.dummyfunction("if(isna(ABS(MINUS(SUM(FILTER(MatchSource!$A:$E,MatchSource!$A:$A=$B511)),SUM($W511)))),0,ABS(MINUS(SUM(FILTER(MatchSource!$A:$E,MatchSource!$A:$A=$B511)),SUM($W511))))"),"0")</f>
        <v>0</v>
      </c>
      <c r="Z511" s="499" t="str">
        <f aca="false">IFERROR(__xludf.dummyfunction("if(isna(ABS(MINUS(SUM(FILTER(MatchSource!$H:$L,MatchSource!$H:$H=$B511)),SUM($X511)))),0,ABS(MINUS(SUM(FILTER(MatchSource!$H:$L,MatchSource!$H:$H=$B511)),SUM($X511))))"),"0")</f>
        <v>0</v>
      </c>
      <c r="AA511" s="499" t="str">
        <f aca="false">IFERROR(__xludf.dummyfunction("if(isna(ABS(MINUS(SUM(FILTER(MatchSource!$A:$F,MatchSource!$A:$A=$B511)),SUM($W511,$Y511)))),0,ABS(MINUS(SUM(FILTER(MatchSource!$A:$F,MatchSource!$A:$A=$B511)),SUM($W511, $Y511,))))"),"0")</f>
        <v>0</v>
      </c>
      <c r="AB511" s="501" t="str">
        <f aca="false">IFERROR(__xludf.dummyfunction("if(isna(ABS(MINUS(SUM(FILTER(MatchSource!$H:$M,MatchSource!$H:$H=$B511)),SUM($X511,$Z511)))),0,ABS(MINUS(SUM(FILTER(MatchSource!$H:$M,MatchSource!$H:$H=$B511)),SUM($X511,$Z511))))"),"0")</f>
        <v>0</v>
      </c>
      <c r="AC511" s="507" t="n">
        <f aca="false">SUM(IF(OR($R511="Grass",$R511="Psychic",$R511="Dark"),0-1,IF(OR($R511="Fighting",$R511="Flying",$R511="Fire",$R511="Ghost",$R511="Poison",$R511="Steel",$R511="Fairy"),1,0)),IF(OR($S511="Grass",$S511="Psychic",$S511="Dark"),0-1,IF(OR($S511="Fighting",$S511="Flying",$S511="Fire",$S511="Ghost",$S511="Poison",$S511="Steel",$S511="Fairy"),1,0)))</f>
        <v>0</v>
      </c>
      <c r="AD511" s="507" t="n">
        <f aca="false">SUM(IF(OR($R511="Ghost",$R511="Psychic"),0-1,IF(OR($R511="Fighting",$R511="Dark",$R511="Fairy"),1,0)),IF(OR($S511="Ghost",$S511="Psychic"),0-1,IF(OR($S511="Fighting",$S511="Dark",$S511="Fairy"),1,0)))</f>
        <v>1</v>
      </c>
      <c r="AE511" s="507" t="n">
        <f aca="false">IF(OR($R511="Fairy",$S511="Fairy"),4,SUM(IF($R511="Dragon",0-1,IF($R511="Steel",1,0)),IF($S511="Dragon",0-1,IF($S511="Steel",1,0))))</f>
        <v>0</v>
      </c>
      <c r="AF511" s="507" t="n">
        <f aca="false">IF(OR($R511="Ground",$S511="Ground"),4,SUM(IF(OR($R511="Flying",$R511="Water"),0-1,IF(OR($R511="Dragon",$R511="Electric",$R511="Grass"),1,0)),IF(OR($S511="Flying",$S511="Water"),0-1,IF(OR($S511="Dragon",$S511="Electric",$S511="Grass"),1,0))))</f>
        <v>-1</v>
      </c>
      <c r="AG511" s="507" t="n">
        <f aca="false">SUM(IF(OR($R511="Dark",$R511="Dragon",$R511="Fighting"),0-1,IF(OR($R511="Steel",$R511="Poison",$R511="Fire"),1,0)),IF(OR($S511="Dark",$S511="Dragon",$S511="Fighting"),0-1,IF(OR($S511="Steel",$S511="Poison",$S511="Fire"),1,0)))</f>
        <v>-1</v>
      </c>
      <c r="AH511" s="507" t="n">
        <f aca="false">IF(OR($R511="Ghost",$S511="Ghost"),4,SUM(IF(OR($R511="Dark",$R511="Ice",$R511="Normal",$R511="Rock",$R511="Steel"),0-1,IF(OR($R511="Bug",$R511="Fairy",$R511="Flying",$R511="Poison",$R511="Psychic"),1,0)),IF(OR($S511="Dark",$S511="Ice",$S511="Normal",$S511="Rock",$S511="Steel"),0-1,IF(OR($S511="Bug",$S511="Fairy",$S511="Flying",$S511="Poison",$S511="Psychic"),1,0))))</f>
        <v>0</v>
      </c>
      <c r="AI511" s="507" t="n">
        <f aca="false">SUM(IF(OR($R511="Bug",$R511="Grass",$R511="Ice",$R511="Steel"),0-1,IF(OR($R511="Dragon",$R511="Fire",$R511="Rock",$R511="Water"),1,0)),IF(OR($S511="Bug",$S511="Grass",$S511="Ice",$S511="Steel"),0-1,IF(OR($S511="Dragon",$S511="Fire",$S511="Rock",$S511="Water"),1,0)))</f>
        <v>0</v>
      </c>
      <c r="AJ511" s="507" t="n">
        <f aca="false">SUM(IF(OR($R511="Bug",$R511="Grass",$R511="Fighting"),0-1,IF(OR($R511="Electric",$R511="Rock",$R511="Steel"),1,0)),IF(OR($S511="Bug",$S511="Grass",$S511="Fighting"),0-1,IF(OR($S511="Electric",$S511="Rock",$S511="Steel"),1,0)))</f>
        <v>0</v>
      </c>
      <c r="AK511" s="507" t="n">
        <f aca="false">IF(OR($R511="Normal",$S511="Normal"),4,SUM(IF(OR($R511="Ghost",$R511="Psychic"),0-1,IF($R511="Dark",1,0)),IF(OR($S511="Ghost",$S511="Psychic"),0-1,IF($S511="Dark",1,0))))</f>
        <v>1</v>
      </c>
      <c r="AL511" s="507" t="n">
        <f aca="false">SUM(IF(OR($R511="Ground",$R511="Rock",$R511="Water"),0-1,IF(OR($R511="Bug",$R511="Flying",$R511="Fire",$R511="Dragon",$R511="Poison",$R511="Steel",$R511="Grass"),1,0)),IF(OR($S511="Ground",$S511="Rock",$S511="Water"),0-1,IF(OR($S511="Bug",$S511="Flying",$S511="Fire",$S511="Dragon",$S511="Poison",$S511="Steel",$S511="Grass"),1,0)))</f>
        <v>1</v>
      </c>
      <c r="AM511" s="507" t="n">
        <f aca="false">IF(OR($R511="Flying",$S511="Flying"),4,SUM(IF(OR($R511="Electric",$R511="Fire",$R511="Rock",$R511="Steel",$R511="Poison"),0-1,IF(OR($R511="Bug",$R511="Grass"),1,0)),IF(OR($S511="Electric",$S511="Fire",$S511="Rock",$S511="Steel",$S511="Poison"),0-1,IF(OR($S511="Bug",$S511="Grass"),1,0))))</f>
        <v>4</v>
      </c>
      <c r="AN511" s="507" t="n">
        <f aca="false">SUM(IF(OR($R511="Flying",$R511="Dragon",$R511="Grass",$R511="Ground"),0-1,IF(OR($R511="Steel",$R511="Ice",$R511="Fire",$R511="Water"),1,0)),IF(OR($S511="Flying",$S511="Dragon",$S511="Grass",$S511="Ground"),0-1,IF(OR($S511="Steel",$S511="Ice",$S511="Fire",$S511="Water"),1,0)))</f>
        <v>-1</v>
      </c>
      <c r="AO511" s="507" t="n">
        <f aca="false">IF(OR($R511="Ghost",$S511="Ghost"),4,SUM(IF(OR($R511="Steel",$R511="Rock"),1,0),IF(OR($S511="Steel",$S511="Rock"),1,0)))</f>
        <v>0</v>
      </c>
      <c r="AP511" s="507" t="n">
        <f aca="false">IF(OR($R511="Steel",$S511="Steel"),4,SUM(IF(OR($R511="Fairy",$R511="Grass"),0-1,IF(OR($R511="Ghost",$R511="Rock",$R511="Ground",$R511="Poison"),1,0)),IF(OR($S511="Fairy",$S511="Grass"),0-1,IF(OR($S511="Ghost",$S511="Rock",$S511="Ground",$S511="Poison"),1,0))))</f>
        <v>0</v>
      </c>
      <c r="AQ511" s="507" t="n">
        <f aca="false">IF(OR($R511="Dark",$S511="Dark"),4,SUM(IF(OR($R511="Fighting",$R511="Poison"),0-1,IF(OR($R511="Psychic",$R511="Steel"),1,0)),IF(OR($S511="Fighting",$S511="Poison"),0-1,IF(OR($S511="Psychic",$S511="Steel"),1,0))))</f>
        <v>4</v>
      </c>
      <c r="AR511" s="507" t="n">
        <f aca="false">SUM(IF(OR($R511="Bug",$R511="Fire",$R511="Flying",$R511="Ice"),0-1,IF(OR($R511="Steel",$R511="Fighting",$R511="Ground"),1,0)),IF(OR($S511="Bug",$S511="Fire",$S511="Flying",$S511="Ice"),0-1,IF(OR($S511="Steel",$S511="Fighting",$S511="Ground"),1,0)))</f>
        <v>-1</v>
      </c>
      <c r="AS511" s="507" t="n">
        <f aca="false">SUM(IF(OR($R511="Fairy",$R511="Ice",$R511="Rock"),0-1,IF(OR($R511="Steel",$R511="Electric",$R511="Fire",$R511="Water"),1,0)),IF(OR($S511="Fairy",$S511="Ice",$S511="Rock"),0-1,IF(OR($S511="Steel",$S511="Electric",$S511="Fire",$S511="Water"),1,0)))</f>
        <v>0</v>
      </c>
      <c r="AT511" s="508" t="n">
        <f aca="false">SUM(IF(OR($R511="Fire",$R511="Ground",$R511="Rock"),0-1,IF(OR($R511="Dragon",$R511="Grass",$R511="Water"),1,0)),IF(OR($S511="Fire",$S511="Ground",$S511="Rock"),0-1,IF(OR($S511="Dragon",$S511="Grass",$S511="Water"),1,0)))</f>
        <v>0</v>
      </c>
      <c r="AU511" s="518"/>
    </row>
    <row r="512" customFormat="false" ht="15.75" hidden="false" customHeight="false" outlineLevel="0" collapsed="false">
      <c r="A512" s="510" t="str">
        <f aca="false" t="array" ref="A512:A512">IF(ISNA(INDEX(Source!$U$7:$U$95,MATCH(B512,Source!$V$7:$V$95,0))),"FREE",INDEX(Source!$U$7:$U$95,MATCH(B512,Source!$V$7:$V$95,0)))</f>
        <v>FREE</v>
      </c>
      <c r="B512" s="511" t="s">
        <v>675</v>
      </c>
      <c r="C512" s="511"/>
      <c r="D512" s="511"/>
      <c r="E512" s="499" t="str">
        <f aca="false">IF(SUM($W512:$X512)&gt;0,SUM($W512:$X512),IF($H512&gt;0,0,IF($H512&gt;0,0,"-")))</f>
        <v>-</v>
      </c>
      <c r="F512" s="499" t="str">
        <f aca="false">IF(SUM($Y512:$Z512)&gt;0,SUM($Y512:$Z512),IF($H512&gt;0,0,"-"))</f>
        <v>-</v>
      </c>
      <c r="G512" s="499" t="str">
        <f aca="false">IF($H512&gt;0,minus(E512,F512),"-")</f>
        <v>-</v>
      </c>
      <c r="H512" s="500" t="n">
        <f aca="false">SUM(COUNTIF(MatchSource!$A:$A,$B512),COUNTIF(MatchSource!$H:$H,$B512))</f>
        <v>0</v>
      </c>
      <c r="I512" s="501" t="n">
        <f aca="false">SUM($AA512:$AB512)</f>
        <v>0</v>
      </c>
      <c r="J512" s="501" t="s">
        <v>702</v>
      </c>
      <c r="K512" s="512" t="str">
        <f aca="false" t="array" ref="K512:K512">IF(ISNA(INDEX(DraftRosters!$AA$3:$AA$199,MATCH($B512,DraftRosters!$AB$3:$AB$199,0))),"FA",IF(INDEX(DraftRosters!$AA$3:$AA$199,MATCH($B512,DraftRosters!$AB$3:$AB$199,0))="Franchise","Franch",INDEX(DraftRosters!$AA$3:$AA$199,MATCH($B512,DraftRosters!$AB$3:$AB$199,0))))</f>
        <v>FA</v>
      </c>
      <c r="L512" s="499" t="n">
        <v>170</v>
      </c>
      <c r="M512" s="499" t="n">
        <v>90</v>
      </c>
      <c r="N512" s="499" t="n">
        <v>45</v>
      </c>
      <c r="O512" s="499" t="n">
        <v>90</v>
      </c>
      <c r="P512" s="499" t="n">
        <v>45</v>
      </c>
      <c r="Q512" s="501" t="n">
        <v>60</v>
      </c>
      <c r="R512" s="499" t="s">
        <v>811</v>
      </c>
      <c r="S512" s="501"/>
      <c r="T512" s="505" t="s">
        <v>1002</v>
      </c>
      <c r="U512" s="505" t="s">
        <v>973</v>
      </c>
      <c r="V512" s="506" t="s">
        <v>1079</v>
      </c>
      <c r="W512" s="500" t="str">
        <f aca="false">IFERROR(__xludf.dummyfunction("if(isna(SUM(FILTER(MatchSource!$A:$D,MatchSource!$A:$A=$B512))),0,SUM(FILTER(MatchSource!$A:$D,MatchSource!$A:$A=$B512)))"),"0")</f>
        <v>0</v>
      </c>
      <c r="X512" s="499" t="str">
        <f aca="false">IFERROR(__xludf.dummyfunction("if(isna(SUM(FILTER(MatchSource!$H:$K,MatchSource!$H:$H=$B512))),0,SUM(FILTER(MatchSource!$H:$K,MatchSource!$H:$H=$B512)))"),"0")</f>
        <v>0</v>
      </c>
      <c r="Y512" s="499" t="str">
        <f aca="false">IFERROR(__xludf.dummyfunction("if(isna(ABS(MINUS(SUM(FILTER(MatchSource!$A:$E,MatchSource!$A:$A=$B512)),SUM($W512)))),0,ABS(MINUS(SUM(FILTER(MatchSource!$A:$E,MatchSource!$A:$A=$B512)),SUM($W512))))"),"0")</f>
        <v>0</v>
      </c>
      <c r="Z512" s="499" t="str">
        <f aca="false">IFERROR(__xludf.dummyfunction("if(isna(ABS(MINUS(SUM(FILTER(MatchSource!$H:$L,MatchSource!$H:$H=$B512)),SUM($X512)))),0,ABS(MINUS(SUM(FILTER(MatchSource!$H:$L,MatchSource!$H:$H=$B512)),SUM($X512))))"),"0")</f>
        <v>0</v>
      </c>
      <c r="AA512" s="499" t="str">
        <f aca="false">IFERROR(__xludf.dummyfunction("if(isna(ABS(MINUS(SUM(FILTER(MatchSource!$A:$F,MatchSource!$A:$A=$B512)),SUM($W512,$Y512)))),0,ABS(MINUS(SUM(FILTER(MatchSource!$A:$F,MatchSource!$A:$A=$B512)),SUM($W512, $Y512,))))"),"0")</f>
        <v>0</v>
      </c>
      <c r="AB512" s="501" t="str">
        <f aca="false">IFERROR(__xludf.dummyfunction("if(isna(ABS(MINUS(SUM(FILTER(MatchSource!$H:$M,MatchSource!$H:$H=$B512)),SUM($X512,$Z512)))),0,ABS(MINUS(SUM(FILTER(MatchSource!$H:$M,MatchSource!$H:$H=$B512)),SUM($X512,$Z512))))"),"0")</f>
        <v>0</v>
      </c>
      <c r="AC512" s="507" t="n">
        <f aca="false">SUM(IF(OR($R512="Grass",$R512="Psychic",$R512="Dark"),0-1,IF(OR($R512="Fighting",$R512="Flying",$R512="Fire",$R512="Ghost",$R512="Poison",$R512="Steel",$R512="Fairy"),1,0)),IF(OR($S512="Grass",$S512="Psychic",$S512="Dark"),0-1,IF(OR($S512="Fighting",$S512="Flying",$S512="Fire",$S512="Ghost",$S512="Poison",$S512="Steel",$S512="Fairy"),1,0)))</f>
        <v>0</v>
      </c>
      <c r="AD512" s="507" t="n">
        <f aca="false">SUM(IF(OR($R512="Ghost",$R512="Psychic"),0-1,IF(OR($R512="Fighting",$R512="Dark",$R512="Fairy"),1,0)),IF(OR($S512="Ghost",$S512="Psychic"),0-1,IF(OR($S512="Fighting",$S512="Dark",$S512="Fairy"),1,0)))</f>
        <v>0</v>
      </c>
      <c r="AE512" s="507" t="n">
        <f aca="false">IF(OR($R512="Fairy",$S512="Fairy"),4,SUM(IF($R512="Dragon",0-1,IF($R512="Steel",1,0)),IF($S512="Dragon",0-1,IF($S512="Steel",1,0))))</f>
        <v>0</v>
      </c>
      <c r="AF512" s="507" t="n">
        <f aca="false">IF(OR($R512="Ground",$S512="Ground"),4,SUM(IF(OR($R512="Flying",$R512="Water"),0-1,IF(OR($R512="Dragon",$R512="Electric",$R512="Grass"),1,0)),IF(OR($S512="Flying",$S512="Water"),0-1,IF(OR($S512="Dragon",$S512="Electric",$S512="Grass"),1,0))))</f>
        <v>-1</v>
      </c>
      <c r="AG512" s="507" t="n">
        <f aca="false">SUM(IF(OR($R512="Dark",$R512="Dragon",$R512="Fighting"),0-1,IF(OR($R512="Steel",$R512="Poison",$R512="Fire"),1,0)),IF(OR($S512="Dark",$S512="Dragon",$S512="Fighting"),0-1,IF(OR($S512="Steel",$S512="Poison",$S512="Fire"),1,0)))</f>
        <v>0</v>
      </c>
      <c r="AH512" s="507" t="n">
        <f aca="false">IF(OR($R512="Ghost",$S512="Ghost"),4,SUM(IF(OR($R512="Dark",$R512="Ice",$R512="Normal",$R512="Rock",$R512="Steel"),0-1,IF(OR($R512="Bug",$R512="Fairy",$R512="Flying",$R512="Poison",$R512="Psychic"),1,0)),IF(OR($S512="Dark",$S512="Ice",$S512="Normal",$S512="Rock",$S512="Steel"),0-1,IF(OR($S512="Bug",$S512="Fairy",$S512="Flying",$S512="Poison",$S512="Psychic"),1,0))))</f>
        <v>0</v>
      </c>
      <c r="AI512" s="507" t="n">
        <f aca="false">SUM(IF(OR($R512="Bug",$R512="Grass",$R512="Ice",$R512="Steel"),0-1,IF(OR($R512="Dragon",$R512="Fire",$R512="Rock",$R512="Water"),1,0)),IF(OR($S512="Bug",$S512="Grass",$S512="Ice",$S512="Steel"),0-1,IF(OR($S512="Dragon",$S512="Fire",$S512="Rock",$S512="Water"),1,0)))</f>
        <v>1</v>
      </c>
      <c r="AJ512" s="507" t="n">
        <f aca="false">SUM(IF(OR($R512="Bug",$R512="Grass",$R512="Fighting"),0-1,IF(OR($R512="Electric",$R512="Rock",$R512="Steel"),1,0)),IF(OR($S512="Bug",$S512="Grass",$S512="Fighting"),0-1,IF(OR($S512="Electric",$S512="Rock",$S512="Steel"),1,0)))</f>
        <v>0</v>
      </c>
      <c r="AK512" s="507" t="n">
        <f aca="false">IF(OR($R512="Normal",$S512="Normal"),4,SUM(IF(OR($R512="Ghost",$R512="Psychic"),0-1,IF($R512="Dark",1,0)),IF(OR($S512="Ghost",$S512="Psychic"),0-1,IF($S512="Dark",1,0))))</f>
        <v>0</v>
      </c>
      <c r="AL512" s="507" t="n">
        <f aca="false">SUM(IF(OR($R512="Ground",$R512="Rock",$R512="Water"),0-1,IF(OR($R512="Bug",$R512="Flying",$R512="Fire",$R512="Dragon",$R512="Poison",$R512="Steel",$R512="Grass"),1,0)),IF(OR($S512="Ground",$S512="Rock",$S512="Water"),0-1,IF(OR($S512="Bug",$S512="Flying",$S512="Fire",$S512="Dragon",$S512="Poison",$S512="Steel",$S512="Grass"),1,0)))</f>
        <v>-1</v>
      </c>
      <c r="AM512" s="507" t="n">
        <f aca="false">IF(OR($R512="Flying",$S512="Flying"),4,SUM(IF(OR($R512="Electric",$R512="Fire",$R512="Rock",$R512="Steel",$R512="Poison"),0-1,IF(OR($R512="Bug",$R512="Grass"),1,0)),IF(OR($S512="Electric",$S512="Fire",$S512="Rock",$S512="Steel",$S512="Poison"),0-1,IF(OR($S512="Bug",$S512="Grass"),1,0))))</f>
        <v>0</v>
      </c>
      <c r="AN512" s="507" t="n">
        <f aca="false">SUM(IF(OR($R512="Flying",$R512="Dragon",$R512="Grass",$R512="Ground"),0-1,IF(OR($R512="Steel",$R512="Ice",$R512="Fire",$R512="Water"),1,0)),IF(OR($S512="Flying",$S512="Dragon",$S512="Grass",$S512="Ground"),0-1,IF(OR($S512="Steel",$S512="Ice",$S512="Fire",$S512="Water"),1,0)))</f>
        <v>1</v>
      </c>
      <c r="AO512" s="507" t="n">
        <f aca="false">IF(OR($R512="Ghost",$S512="Ghost"),4,SUM(IF(OR($R512="Steel",$R512="Rock"),1,0),IF(OR($S512="Steel",$S512="Rock"),1,0)))</f>
        <v>0</v>
      </c>
      <c r="AP512" s="507" t="n">
        <f aca="false">IF(OR($R512="Steel",$S512="Steel"),4,SUM(IF(OR($R512="Fairy",$R512="Grass"),0-1,IF(OR($R512="Ghost",$R512="Rock",$R512="Ground",$R512="Poison"),1,0)),IF(OR($S512="Fairy",$S512="Grass"),0-1,IF(OR($S512="Ghost",$S512="Rock",$S512="Ground",$S512="Poison"),1,0))))</f>
        <v>0</v>
      </c>
      <c r="AQ512" s="507" t="n">
        <f aca="false">IF(OR($R512="Dark",$S512="Dark"),4,SUM(IF(OR($R512="Fighting",$R512="Poison"),0-1,IF(OR($R512="Psychic",$R512="Steel"),1,0)),IF(OR($S512="Fighting",$S512="Poison"),0-1,IF(OR($S512="Psychic",$S512="Steel"),1,0))))</f>
        <v>0</v>
      </c>
      <c r="AR512" s="507" t="n">
        <f aca="false">SUM(IF(OR($R512="Bug",$R512="Fire",$R512="Flying",$R512="Ice"),0-1,IF(OR($R512="Steel",$R512="Fighting",$R512="Ground"),1,0)),IF(OR($S512="Bug",$S512="Fire",$S512="Flying",$S512="Ice"),0-1,IF(OR($S512="Steel",$S512="Fighting",$S512="Ground"),1,0)))</f>
        <v>0</v>
      </c>
      <c r="AS512" s="507" t="n">
        <f aca="false">SUM(IF(OR($R512="Fairy",$R512="Ice",$R512="Rock"),0-1,IF(OR($R512="Steel",$R512="Electric",$R512="Fire",$R512="Water"),1,0)),IF(OR($S512="Fairy",$S512="Ice",$S512="Rock"),0-1,IF(OR($S512="Steel",$S512="Electric",$S512="Fire",$S512="Water"),1,0)))</f>
        <v>1</v>
      </c>
      <c r="AT512" s="508" t="n">
        <f aca="false">SUM(IF(OR($R512="Fire",$R512="Ground",$R512="Rock"),0-1,IF(OR($R512="Dragon",$R512="Grass",$R512="Water"),1,0)),IF(OR($S512="Fire",$S512="Ground",$S512="Rock"),0-1,IF(OR($S512="Dragon",$S512="Grass",$S512="Water"),1,0)))</f>
        <v>1</v>
      </c>
      <c r="AU512" s="518"/>
    </row>
    <row r="513" customFormat="false" ht="15.75" hidden="false" customHeight="false" outlineLevel="0" collapsed="false">
      <c r="A513" s="510" t="str">
        <f aca="false" t="array" ref="A513:A513">IF(ISNA(INDEX(Source!$U$7:$U$95,MATCH(B513,Source!$V$7:$V$95,0))),"FREE",INDEX(Source!$U$7:$U$95,MATCH(B513,Source!$V$7:$V$95,0)))</f>
        <v>FREE</v>
      </c>
      <c r="B513" s="511" t="s">
        <v>678</v>
      </c>
      <c r="C513" s="511"/>
      <c r="D513" s="511"/>
      <c r="E513" s="499" t="str">
        <f aca="false">IF(SUM($W513:$X513)&gt;0,SUM($W513:$X513),IF($H513&gt;0,0,IF($H513&gt;0,0,"-")))</f>
        <v>-</v>
      </c>
      <c r="F513" s="499" t="str">
        <f aca="false">IF(SUM($Y513:$Z513)&gt;0,SUM($Y513:$Z513),IF($H513&gt;0,0,"-"))</f>
        <v>-</v>
      </c>
      <c r="G513" s="499" t="str">
        <f aca="false">IF($H513&gt;0,minus(E513,F513),"-")</f>
        <v>-</v>
      </c>
      <c r="H513" s="500" t="n">
        <f aca="false">SUM(COUNTIF(MatchSource!$A:$A,$B513),COUNTIF(MatchSource!$H:$H,$B513))</f>
        <v>0</v>
      </c>
      <c r="I513" s="501" t="n">
        <f aca="false">SUM($AA513:$AB513)</f>
        <v>0</v>
      </c>
      <c r="J513" s="501" t="s">
        <v>702</v>
      </c>
      <c r="K513" s="512" t="str">
        <f aca="false" t="array" ref="K513:K513">IF(ISNA(INDEX(DraftRosters!$AA$3:$AA$199,MATCH($B513,DraftRosters!$AB$3:$AB$199,0))),"FA",IF(INDEX(DraftRosters!$AA$3:$AA$199,MATCH($B513,DraftRosters!$AB$3:$AB$199,0))="Franchise","Franch",INDEX(DraftRosters!$AA$3:$AA$199,MATCH($B513,DraftRosters!$AB$3:$AB$199,0))))</f>
        <v>FA</v>
      </c>
      <c r="L513" s="499" t="n">
        <v>110</v>
      </c>
      <c r="M513" s="499" t="n">
        <v>80</v>
      </c>
      <c r="N513" s="499" t="n">
        <v>90</v>
      </c>
      <c r="O513" s="499" t="n">
        <v>95</v>
      </c>
      <c r="P513" s="499" t="n">
        <v>90</v>
      </c>
      <c r="Q513" s="501" t="n">
        <v>60</v>
      </c>
      <c r="R513" s="499" t="s">
        <v>805</v>
      </c>
      <c r="S513" s="501" t="s">
        <v>811</v>
      </c>
      <c r="T513" s="513" t="s">
        <v>864</v>
      </c>
      <c r="U513" s="513" t="s">
        <v>868</v>
      </c>
      <c r="V513" s="514" t="s">
        <v>1002</v>
      </c>
      <c r="W513" s="500" t="str">
        <f aca="false">IFERROR(__xludf.dummyfunction("if(isna(SUM(FILTER(MatchSource!$A:$D,MatchSource!$A:$A=$B513))),0,SUM(FILTER(MatchSource!$A:$D,MatchSource!$A:$A=$B513)))"),"0")</f>
        <v>0</v>
      </c>
      <c r="X513" s="499" t="str">
        <f aca="false">IFERROR(__xludf.dummyfunction("if(isna(SUM(FILTER(MatchSource!$H:$K,MatchSource!$H:$H=$B513))),0,SUM(FILTER(MatchSource!$H:$K,MatchSource!$H:$H=$B513)))"),"0")</f>
        <v>0</v>
      </c>
      <c r="Y513" s="499" t="str">
        <f aca="false">IFERROR(__xludf.dummyfunction("if(isna(ABS(MINUS(SUM(FILTER(MatchSource!$A:$E,MatchSource!$A:$A=$B513)),SUM($W513)))),0,ABS(MINUS(SUM(FILTER(MatchSource!$A:$E,MatchSource!$A:$A=$B513)),SUM($W513))))"),"0")</f>
        <v>0</v>
      </c>
      <c r="Z513" s="499" t="str">
        <f aca="false">IFERROR(__xludf.dummyfunction("if(isna(ABS(MINUS(SUM(FILTER(MatchSource!$H:$L,MatchSource!$H:$H=$B513)),SUM($X513)))),0,ABS(MINUS(SUM(FILTER(MatchSource!$H:$L,MatchSource!$H:$H=$B513)),SUM($X513))))"),"0")</f>
        <v>0</v>
      </c>
      <c r="AA513" s="499" t="str">
        <f aca="false">IFERROR(__xludf.dummyfunction("if(isna(ABS(MINUS(SUM(FILTER(MatchSource!$A:$F,MatchSource!$A:$A=$B513)),SUM($W513,$Y513)))),0,ABS(MINUS(SUM(FILTER(MatchSource!$A:$F,MatchSource!$A:$A=$B513)),SUM($W513, $Y513,))))"),"0")</f>
        <v>0</v>
      </c>
      <c r="AB513" s="501" t="str">
        <f aca="false">IFERROR(__xludf.dummyfunction("if(isna(ABS(MINUS(SUM(FILTER(MatchSource!$H:$M,MatchSource!$H:$H=$B513)),SUM($X513,$Z513)))),0,ABS(MINUS(SUM(FILTER(MatchSource!$H:$M,MatchSource!$H:$H=$B513)),SUM($X513,$Z513))))"),"0")</f>
        <v>0</v>
      </c>
      <c r="AC513" s="507" t="n">
        <f aca="false">SUM(IF(OR($R513="Grass",$R513="Psychic",$R513="Dark"),0-1,IF(OR($R513="Fighting",$R513="Flying",$R513="Fire",$R513="Ghost",$R513="Poison",$R513="Steel",$R513="Fairy"),1,0)),IF(OR($S513="Grass",$S513="Psychic",$S513="Dark"),0-1,IF(OR($S513="Fighting",$S513="Flying",$S513="Fire",$S513="Ghost",$S513="Poison",$S513="Steel",$S513="Fairy"),1,0)))</f>
        <v>0</v>
      </c>
      <c r="AD513" s="507" t="n">
        <f aca="false">SUM(IF(OR($R513="Ghost",$R513="Psychic"),0-1,IF(OR($R513="Fighting",$R513="Dark",$R513="Fairy"),1,0)),IF(OR($S513="Ghost",$S513="Psychic"),0-1,IF(OR($S513="Fighting",$S513="Dark",$S513="Fairy"),1,0)))</f>
        <v>0</v>
      </c>
      <c r="AE513" s="507" t="n">
        <f aca="false">IF(OR($R513="Fairy",$S513="Fairy"),4,SUM(IF($R513="Dragon",0-1,IF($R513="Steel",1,0)),IF($S513="Dragon",0-1,IF($S513="Steel",1,0))))</f>
        <v>0</v>
      </c>
      <c r="AF513" s="507" t="n">
        <f aca="false">IF(OR($R513="Ground",$S513="Ground"),4,SUM(IF(OR($R513="Flying",$R513="Water"),0-1,IF(OR($R513="Dragon",$R513="Electric",$R513="Grass"),1,0)),IF(OR($S513="Flying",$S513="Water"),0-1,IF(OR($S513="Dragon",$S513="Electric",$S513="Grass"),1,0))))</f>
        <v>-1</v>
      </c>
      <c r="AG513" s="507" t="n">
        <f aca="false">SUM(IF(OR($R513="Dark",$R513="Dragon",$R513="Fighting"),0-1,IF(OR($R513="Steel",$R513="Poison",$R513="Fire"),1,0)),IF(OR($S513="Dark",$S513="Dragon",$S513="Fighting"),0-1,IF(OR($S513="Steel",$S513="Poison",$S513="Fire"),1,0)))</f>
        <v>0</v>
      </c>
      <c r="AH513" s="507" t="n">
        <f aca="false">IF(OR($R513="Ghost",$S513="Ghost"),4,SUM(IF(OR($R513="Dark",$R513="Ice",$R513="Normal",$R513="Rock",$R513="Steel"),0-1,IF(OR($R513="Bug",$R513="Fairy",$R513="Flying",$R513="Poison",$R513="Psychic"),1,0)),IF(OR($S513="Dark",$S513="Ice",$S513="Normal",$S513="Rock",$S513="Steel"),0-1,IF(OR($S513="Bug",$S513="Fairy",$S513="Flying",$S513="Poison",$S513="Psychic"),1,0))))</f>
        <v>-1</v>
      </c>
      <c r="AI513" s="507" t="n">
        <f aca="false">SUM(IF(OR($R513="Bug",$R513="Grass",$R513="Ice",$R513="Steel"),0-1,IF(OR($R513="Dragon",$R513="Fire",$R513="Rock",$R513="Water"),1,0)),IF(OR($S513="Bug",$S513="Grass",$S513="Ice",$S513="Steel"),0-1,IF(OR($S513="Dragon",$S513="Fire",$S513="Rock",$S513="Water"),1,0)))</f>
        <v>0</v>
      </c>
      <c r="AJ513" s="507" t="n">
        <f aca="false">SUM(IF(OR($R513="Bug",$R513="Grass",$R513="Fighting"),0-1,IF(OR($R513="Electric",$R513="Rock",$R513="Steel"),1,0)),IF(OR($S513="Bug",$S513="Grass",$S513="Fighting"),0-1,IF(OR($S513="Electric",$S513="Rock",$S513="Steel"),1,0)))</f>
        <v>0</v>
      </c>
      <c r="AK513" s="507" t="n">
        <f aca="false">IF(OR($R513="Normal",$S513="Normal"),4,SUM(IF(OR($R513="Ghost",$R513="Psychic"),0-1,IF($R513="Dark",1,0)),IF(OR($S513="Ghost",$S513="Psychic"),0-1,IF($S513="Dark",1,0))))</f>
        <v>0</v>
      </c>
      <c r="AL513" s="507" t="n">
        <f aca="false">SUM(IF(OR($R513="Ground",$R513="Rock",$R513="Water"),0-1,IF(OR($R513="Bug",$R513="Flying",$R513="Fire",$R513="Dragon",$R513="Poison",$R513="Steel",$R513="Grass"),1,0)),IF(OR($S513="Ground",$S513="Rock",$S513="Water"),0-1,IF(OR($S513="Bug",$S513="Flying",$S513="Fire",$S513="Dragon",$S513="Poison",$S513="Steel",$S513="Grass"),1,0)))</f>
        <v>-1</v>
      </c>
      <c r="AM513" s="507" t="n">
        <f aca="false">IF(OR($R513="Flying",$S513="Flying"),4,SUM(IF(OR($R513="Electric",$R513="Fire",$R513="Rock",$R513="Steel",$R513="Poison"),0-1,IF(OR($R513="Bug",$R513="Grass"),1,0)),IF(OR($S513="Electric",$S513="Fire",$S513="Rock",$S513="Steel",$S513="Poison"),0-1,IF(OR($S513="Bug",$S513="Grass"),1,0))))</f>
        <v>0</v>
      </c>
      <c r="AN513" s="507" t="n">
        <f aca="false">SUM(IF(OR($R513="Flying",$R513="Dragon",$R513="Grass",$R513="Ground"),0-1,IF(OR($R513="Steel",$R513="Ice",$R513="Fire",$R513="Water"),1,0)),IF(OR($S513="Flying",$S513="Dragon",$S513="Grass",$S513="Ground"),0-1,IF(OR($S513="Steel",$S513="Ice",$S513="Fire",$S513="Water"),1,0)))</f>
        <v>2</v>
      </c>
      <c r="AO513" s="507" t="n">
        <f aca="false">IF(OR($R513="Ghost",$S513="Ghost"),4,SUM(IF(OR($R513="Steel",$R513="Rock"),1,0),IF(OR($S513="Steel",$S513="Rock"),1,0)))</f>
        <v>0</v>
      </c>
      <c r="AP513" s="507" t="n">
        <f aca="false">IF(OR($R513="Steel",$S513="Steel"),4,SUM(IF(OR($R513="Fairy",$R513="Grass"),0-1,IF(OR($R513="Ghost",$R513="Rock",$R513="Ground",$R513="Poison"),1,0)),IF(OR($S513="Fairy",$S513="Grass"),0-1,IF(OR($S513="Ghost",$S513="Rock",$S513="Ground",$S513="Poison"),1,0))))</f>
        <v>0</v>
      </c>
      <c r="AQ513" s="507" t="n">
        <f aca="false">IF(OR($R513="Dark",$S513="Dark"),4,SUM(IF(OR($R513="Fighting",$R513="Poison"),0-1,IF(OR($R513="Psychic",$R513="Steel"),1,0)),IF(OR($S513="Fighting",$S513="Poison"),0-1,IF(OR($S513="Psychic",$S513="Steel"),1,0))))</f>
        <v>0</v>
      </c>
      <c r="AR513" s="507" t="n">
        <f aca="false">SUM(IF(OR($R513="Bug",$R513="Fire",$R513="Flying",$R513="Ice"),0-1,IF(OR($R513="Steel",$R513="Fighting",$R513="Ground"),1,0)),IF(OR($S513="Bug",$S513="Fire",$S513="Flying",$S513="Ice"),0-1,IF(OR($S513="Steel",$S513="Fighting",$S513="Ground"),1,0)))</f>
        <v>-1</v>
      </c>
      <c r="AS513" s="507" t="n">
        <f aca="false">SUM(IF(OR($R513="Fairy",$R513="Ice",$R513="Rock"),0-1,IF(OR($R513="Steel",$R513="Electric",$R513="Fire",$R513="Water"),1,0)),IF(OR($S513="Fairy",$S513="Ice",$S513="Rock"),0-1,IF(OR($S513="Steel",$S513="Electric",$S513="Fire",$S513="Water"),1,0)))</f>
        <v>0</v>
      </c>
      <c r="AT513" s="508" t="n">
        <f aca="false">SUM(IF(OR($R513="Fire",$R513="Ground",$R513="Rock"),0-1,IF(OR($R513="Dragon",$R513="Grass",$R513="Water"),1,0)),IF(OR($S513="Fire",$S513="Ground",$S513="Rock"),0-1,IF(OR($S513="Dragon",$S513="Grass",$S513="Water"),1,0)))</f>
        <v>1</v>
      </c>
      <c r="AU513" s="518"/>
    </row>
    <row r="514" customFormat="false" ht="15.75" hidden="false" customHeight="false" outlineLevel="0" collapsed="false">
      <c r="A514" s="510" t="str">
        <f aca="false" t="array" ref="A514:A514">IF(ISNA(INDEX(Source!$U$7:$U$95,MATCH(B514,Source!$V$7:$V$95,0))),"FREE",INDEX(Source!$U$7:$U$95,MATCH(B514,Source!$V$7:$V$95,0)))</f>
        <v>FREE</v>
      </c>
      <c r="B514" s="511" t="s">
        <v>681</v>
      </c>
      <c r="C514" s="511"/>
      <c r="D514" s="511"/>
      <c r="E514" s="499" t="str">
        <f aca="false">IF(SUM($W514:$X514)&gt;0,SUM($W514:$X514),IF($H514&gt;0,0,IF($H514&gt;0,0,"-")))</f>
        <v>-</v>
      </c>
      <c r="F514" s="499" t="str">
        <f aca="false">IF(SUM($Y514:$Z514)&gt;0,SUM($Y514:$Z514),IF($H514&gt;0,0,"-"))</f>
        <v>-</v>
      </c>
      <c r="G514" s="499" t="str">
        <f aca="false">IF($H514&gt;0,minus(E514,F514),"-")</f>
        <v>-</v>
      </c>
      <c r="H514" s="500" t="n">
        <f aca="false">SUM(COUNTIF(MatchSource!$A:$A,$B514),COUNTIF(MatchSource!$H:$H,$B514))</f>
        <v>0</v>
      </c>
      <c r="I514" s="501" t="n">
        <f aca="false">SUM($AA514:$AB514)</f>
        <v>0</v>
      </c>
      <c r="J514" s="501" t="s">
        <v>702</v>
      </c>
      <c r="K514" s="512" t="str">
        <f aca="false" t="array" ref="K514:K514">IF(ISNA(INDEX(DraftRosters!$AA$3:$AA$199,MATCH($B514,DraftRosters!$AB$3:$AB$199,0))),"FA",IF(INDEX(DraftRosters!$AA$3:$AA$199,MATCH($B514,DraftRosters!$AB$3:$AB$199,0))="Franchise","Franch",INDEX(DraftRosters!$AA$3:$AA$199,MATCH($B514,DraftRosters!$AB$3:$AB$199,0))))</f>
        <v>FA</v>
      </c>
      <c r="L514" s="499" t="n">
        <v>60</v>
      </c>
      <c r="M514" s="499" t="n">
        <v>85</v>
      </c>
      <c r="N514" s="499" t="n">
        <v>69</v>
      </c>
      <c r="O514" s="499" t="n">
        <v>60</v>
      </c>
      <c r="P514" s="499" t="n">
        <v>69</v>
      </c>
      <c r="Q514" s="501" t="n">
        <v>77</v>
      </c>
      <c r="R514" s="499" t="s">
        <v>839</v>
      </c>
      <c r="S514" s="501"/>
      <c r="T514" s="513" t="s">
        <v>878</v>
      </c>
      <c r="U514" s="513" t="s">
        <v>897</v>
      </c>
      <c r="V514" s="514" t="s">
        <v>1012</v>
      </c>
      <c r="W514" s="500" t="str">
        <f aca="false">IFERROR(__xludf.dummyfunction("if(isna(SUM(FILTER(MatchSource!$A:$D,MatchSource!$A:$A=$B514))),0,SUM(FILTER(MatchSource!$A:$D,MatchSource!$A:$A=$B514)))"),"0")</f>
        <v>0</v>
      </c>
      <c r="X514" s="499" t="str">
        <f aca="false">IFERROR(__xludf.dummyfunction("if(isna(SUM(FILTER(MatchSource!$H:$K,MatchSource!$H:$H=$B514))),0,SUM(FILTER(MatchSource!$H:$K,MatchSource!$H:$H=$B514)))"),"0")</f>
        <v>0</v>
      </c>
      <c r="Y514" s="499" t="str">
        <f aca="false">IFERROR(__xludf.dummyfunction("if(isna(ABS(MINUS(SUM(FILTER(MatchSource!$A:$E,MatchSource!$A:$A=$B514)),SUM($W514)))),0,ABS(MINUS(SUM(FILTER(MatchSource!$A:$E,MatchSource!$A:$A=$B514)),SUM($W514))))"),"0")</f>
        <v>0</v>
      </c>
      <c r="Z514" s="499" t="str">
        <f aca="false">IFERROR(__xludf.dummyfunction("if(isna(ABS(MINUS(SUM(FILTER(MatchSource!$H:$L,MatchSource!$H:$H=$B514)),SUM($X514)))),0,ABS(MINUS(SUM(FILTER(MatchSource!$H:$L,MatchSource!$H:$H=$B514)),SUM($X514))))"),"0")</f>
        <v>0</v>
      </c>
      <c r="AA514" s="499" t="str">
        <f aca="false">IFERROR(__xludf.dummyfunction("if(isna(ABS(MINUS(SUM(FILTER(MatchSource!$A:$F,MatchSource!$A:$A=$B514)),SUM($W514,$Y514)))),0,ABS(MINUS(SUM(FILTER(MatchSource!$A:$F,MatchSource!$A:$A=$B514)),SUM($W514, $Y514,))))"),"0")</f>
        <v>0</v>
      </c>
      <c r="AB514" s="501" t="str">
        <f aca="false">IFERROR(__xludf.dummyfunction("if(isna(ABS(MINUS(SUM(FILTER(MatchSource!$H:$M,MatchSource!$H:$H=$B514)),SUM($X514,$Z514)))),0,ABS(MINUS(SUM(FILTER(MatchSource!$H:$M,MatchSource!$H:$H=$B514)),SUM($X514,$Z514))))"),"0")</f>
        <v>0</v>
      </c>
      <c r="AC514" s="507" t="n">
        <f aca="false">SUM(IF(OR($R514="Grass",$R514="Psychic",$R514="Dark"),0-1,IF(OR($R514="Fighting",$R514="Flying",$R514="Fire",$R514="Ghost",$R514="Poison",$R514="Steel",$R514="Fairy"),1,0)),IF(OR($S514="Grass",$S514="Psychic",$S514="Dark"),0-1,IF(OR($S514="Fighting",$S514="Flying",$S514="Fire",$S514="Ghost",$S514="Poison",$S514="Steel",$S514="Fairy"),1,0)))</f>
        <v>0</v>
      </c>
      <c r="AD514" s="507" t="n">
        <f aca="false">SUM(IF(OR($R514="Ghost",$R514="Psychic"),0-1,IF(OR($R514="Fighting",$R514="Dark",$R514="Fairy"),1,0)),IF(OR($S514="Ghost",$S514="Psychic"),0-1,IF(OR($S514="Fighting",$S514="Dark",$S514="Fairy"),1,0)))</f>
        <v>0</v>
      </c>
      <c r="AE514" s="507" t="n">
        <f aca="false">IF(OR($R514="Fairy",$S514="Fairy"),4,SUM(IF($R514="Dragon",0-1,IF($R514="Steel",1,0)),IF($S514="Dragon",0-1,IF($S514="Steel",1,0))))</f>
        <v>0</v>
      </c>
      <c r="AF514" s="507" t="n">
        <f aca="false">IF(OR($R514="Ground",$S514="Ground"),4,SUM(IF(OR($R514="Flying",$R514="Water"),0-1,IF(OR($R514="Dragon",$R514="Electric",$R514="Grass"),1,0)),IF(OR($S514="Flying",$S514="Water"),0-1,IF(OR($S514="Dragon",$S514="Electric",$S514="Grass"),1,0))))</f>
        <v>0</v>
      </c>
      <c r="AG514" s="507" t="n">
        <f aca="false">SUM(IF(OR($R514="Dark",$R514="Dragon",$R514="Fighting"),0-1,IF(OR($R514="Steel",$R514="Poison",$R514="Fire"),1,0)),IF(OR($S514="Dark",$S514="Dragon",$S514="Fighting"),0-1,IF(OR($S514="Steel",$S514="Poison",$S514="Fire"),1,0)))</f>
        <v>0</v>
      </c>
      <c r="AH514" s="507" t="n">
        <f aca="false">IF(OR($R514="Ghost",$S514="Ghost"),4,SUM(IF(OR($R514="Dark",$R514="Ice",$R514="Normal",$R514="Rock",$R514="Steel"),0-1,IF(OR($R514="Bug",$R514="Fairy",$R514="Flying",$R514="Poison",$R514="Psychic"),1,0)),IF(OR($S514="Dark",$S514="Ice",$S514="Normal",$S514="Rock",$S514="Steel"),0-1,IF(OR($S514="Bug",$S514="Fairy",$S514="Flying",$S514="Poison",$S514="Psychic"),1,0))))</f>
        <v>-1</v>
      </c>
      <c r="AI514" s="507" t="n">
        <f aca="false">SUM(IF(OR($R514="Bug",$R514="Grass",$R514="Ice",$R514="Steel"),0-1,IF(OR($R514="Dragon",$R514="Fire",$R514="Rock",$R514="Water"),1,0)),IF(OR($S514="Bug",$S514="Grass",$S514="Ice",$S514="Steel"),0-1,IF(OR($S514="Dragon",$S514="Fire",$S514="Rock",$S514="Water"),1,0)))</f>
        <v>0</v>
      </c>
      <c r="AJ514" s="507" t="n">
        <f aca="false">SUM(IF(OR($R514="Bug",$R514="Grass",$R514="Fighting"),0-1,IF(OR($R514="Electric",$R514="Rock",$R514="Steel"),1,0)),IF(OR($S514="Bug",$S514="Grass",$S514="Fighting"),0-1,IF(OR($S514="Electric",$S514="Rock",$S514="Steel"),1,0)))</f>
        <v>0</v>
      </c>
      <c r="AK514" s="507" t="n">
        <f aca="false">IF(OR($R514="Normal",$S514="Normal"),4,SUM(IF(OR($R514="Ghost",$R514="Psychic"),0-1,IF($R514="Dark",1,0)),IF(OR($S514="Ghost",$S514="Psychic"),0-1,IF($S514="Dark",1,0))))</f>
        <v>4</v>
      </c>
      <c r="AL514" s="507" t="n">
        <f aca="false">SUM(IF(OR($R514="Ground",$R514="Rock",$R514="Water"),0-1,IF(OR($R514="Bug",$R514="Flying",$R514="Fire",$R514="Dragon",$R514="Poison",$R514="Steel",$R514="Grass"),1,0)),IF(OR($S514="Ground",$S514="Rock",$S514="Water"),0-1,IF(OR($S514="Bug",$S514="Flying",$S514="Fire",$S514="Dragon",$S514="Poison",$S514="Steel",$S514="Grass"),1,0)))</f>
        <v>0</v>
      </c>
      <c r="AM514" s="507" t="n">
        <f aca="false">IF(OR($R514="Flying",$S514="Flying"),4,SUM(IF(OR($R514="Electric",$R514="Fire",$R514="Rock",$R514="Steel",$R514="Poison"),0-1,IF(OR($R514="Bug",$R514="Grass"),1,0)),IF(OR($S514="Electric",$S514="Fire",$S514="Rock",$S514="Steel",$S514="Poison"),0-1,IF(OR($S514="Bug",$S514="Grass"),1,0))))</f>
        <v>0</v>
      </c>
      <c r="AN514" s="507" t="n">
        <f aca="false">SUM(IF(OR($R514="Flying",$R514="Dragon",$R514="Grass",$R514="Ground"),0-1,IF(OR($R514="Steel",$R514="Ice",$R514="Fire",$R514="Water"),1,0)),IF(OR($S514="Flying",$S514="Dragon",$S514="Grass",$S514="Ground"),0-1,IF(OR($S514="Steel",$S514="Ice",$S514="Fire",$S514="Water"),1,0)))</f>
        <v>0</v>
      </c>
      <c r="AO514" s="507" t="n">
        <f aca="false">IF(OR($R514="Ghost",$S514="Ghost"),4,SUM(IF(OR($R514="Steel",$R514="Rock"),1,0),IF(OR($S514="Steel",$S514="Rock"),1,0)))</f>
        <v>0</v>
      </c>
      <c r="AP514" s="507" t="n">
        <f aca="false">IF(OR($R514="Steel",$S514="Steel"),4,SUM(IF(OR($R514="Fairy",$R514="Grass"),0-1,IF(OR($R514="Ghost",$R514="Rock",$R514="Ground",$R514="Poison"),1,0)),IF(OR($S514="Fairy",$S514="Grass"),0-1,IF(OR($S514="Ghost",$S514="Rock",$S514="Ground",$S514="Poison"),1,0))))</f>
        <v>0</v>
      </c>
      <c r="AQ514" s="507" t="n">
        <f aca="false">IF(OR($R514="Dark",$S514="Dark"),4,SUM(IF(OR($R514="Fighting",$R514="Poison"),0-1,IF(OR($R514="Psychic",$R514="Steel"),1,0)),IF(OR($S514="Fighting",$S514="Poison"),0-1,IF(OR($S514="Psychic",$S514="Steel"),1,0))))</f>
        <v>0</v>
      </c>
      <c r="AR514" s="507" t="n">
        <f aca="false">SUM(IF(OR($R514="Bug",$R514="Fire",$R514="Flying",$R514="Ice"),0-1,IF(OR($R514="Steel",$R514="Fighting",$R514="Ground"),1,0)),IF(OR($S514="Bug",$S514="Fire",$S514="Flying",$S514="Ice"),0-1,IF(OR($S514="Steel",$S514="Fighting",$S514="Ground"),1,0)))</f>
        <v>0</v>
      </c>
      <c r="AS514" s="507" t="n">
        <f aca="false">SUM(IF(OR($R514="Fairy",$R514="Ice",$R514="Rock"),0-1,IF(OR($R514="Steel",$R514="Electric",$R514="Fire",$R514="Water"),1,0)),IF(OR($S514="Fairy",$S514="Ice",$S514="Rock"),0-1,IF(OR($S514="Steel",$S514="Electric",$S514="Fire",$S514="Water"),1,0)))</f>
        <v>0</v>
      </c>
      <c r="AT514" s="508" t="n">
        <f aca="false">SUM(IF(OR($R514="Fire",$R514="Ground",$R514="Rock"),0-1,IF(OR($R514="Dragon",$R514="Grass",$R514="Water"),1,0)),IF(OR($S514="Fire",$S514="Ground",$S514="Rock"),0-1,IF(OR($S514="Dragon",$S514="Grass",$S514="Water"),1,0)))</f>
        <v>0</v>
      </c>
      <c r="AU514" s="518"/>
    </row>
    <row r="515" customFormat="false" ht="15.75" hidden="false" customHeight="false" outlineLevel="0" collapsed="false">
      <c r="A515" s="510" t="str">
        <f aca="false" t="array" ref="A515:A515">IF(ISNA(INDEX(Source!$U$7:$U$95,MATCH(B515,Source!$V$7:$V$95,0))),"FREE",INDEX(Source!$U$7:$U$95,MATCH(B515,Source!$V$7:$V$95,0)))</f>
        <v>FREE</v>
      </c>
      <c r="B515" s="511" t="s">
        <v>464</v>
      </c>
      <c r="C515" s="511"/>
      <c r="D515" s="511"/>
      <c r="E515" s="499" t="str">
        <f aca="false">IF(SUM($W515:$X515)&gt;0,SUM($W515:$X515),IF($H515&gt;0,0,IF($H515&gt;0,0,"-")))</f>
        <v>-</v>
      </c>
      <c r="F515" s="499" t="str">
        <f aca="false">IF(SUM($Y515:$Z515)&gt;0,SUM($Y515:$Z515),IF($H515&gt;0,0,"-"))</f>
        <v>-</v>
      </c>
      <c r="G515" s="499" t="str">
        <f aca="false">IF($H515&gt;0,minus(E515,F515),"-")</f>
        <v>-</v>
      </c>
      <c r="H515" s="500" t="n">
        <f aca="false">SUM(COUNTIF(MatchSource!$A:$A,$B515),COUNTIF(MatchSource!$H:$H,$B515))</f>
        <v>0</v>
      </c>
      <c r="I515" s="501" t="n">
        <f aca="false">SUM($AA515:$AB515)</f>
        <v>0</v>
      </c>
      <c r="J515" s="501" t="s">
        <v>698</v>
      </c>
      <c r="K515" s="512" t="str">
        <f aca="false" t="array" ref="K515:K515">IF(ISNA(INDEX(DraftRosters!$AA$3:$AA$199,MATCH($B515,DraftRosters!$AB$3:$AB$199,0))),"FA",IF(INDEX(DraftRosters!$AA$3:$AA$199,MATCH($B515,DraftRosters!$AB$3:$AB$199,0))="Franchise","Franch",INDEX(DraftRosters!$AA$3:$AA$199,MATCH($B515,DraftRosters!$AB$3:$AB$199,0))))</f>
        <v>FA</v>
      </c>
      <c r="L515" s="507" t="n">
        <v>70</v>
      </c>
      <c r="M515" s="507" t="n">
        <v>120</v>
      </c>
      <c r="N515" s="507" t="n">
        <v>65</v>
      </c>
      <c r="O515" s="507" t="n">
        <v>45</v>
      </c>
      <c r="P515" s="507" t="n">
        <v>85</v>
      </c>
      <c r="Q515" s="508" t="n">
        <v>125</v>
      </c>
      <c r="R515" s="499" t="s">
        <v>795</v>
      </c>
      <c r="S515" s="501" t="s">
        <v>805</v>
      </c>
      <c r="T515" s="513" t="s">
        <v>873</v>
      </c>
      <c r="U515" s="513" t="s">
        <v>816</v>
      </c>
      <c r="V515" s="514"/>
      <c r="W515" s="500" t="str">
        <f aca="false">IFERROR(__xludf.dummyfunction("if(isna(SUM(FILTER(MatchSource!$A:$D,MatchSource!$A:$A=$B515))),0,SUM(FILTER(MatchSource!$A:$D,MatchSource!$A:$A=$B515)))"),"0")</f>
        <v>0</v>
      </c>
      <c r="X515" s="499" t="str">
        <f aca="false">IFERROR(__xludf.dummyfunction("if(isna(SUM(FILTER(MatchSource!$H:$K,MatchSource!$H:$H=$B515))),0,SUM(FILTER(MatchSource!$H:$K,MatchSource!$H:$H=$B515)))"),"0")</f>
        <v>0</v>
      </c>
      <c r="Y515" s="499" t="str">
        <f aca="false">IFERROR(__xludf.dummyfunction("if(isna(ABS(MINUS(SUM(FILTER(MatchSource!$A:$E,MatchSource!$A:$A=$B515)),SUM($W515)))),0,ABS(MINUS(SUM(FILTER(MatchSource!$A:$E,MatchSource!$A:$A=$B515)),SUM($W515))))"),"0")</f>
        <v>0</v>
      </c>
      <c r="Z515" s="499" t="str">
        <f aca="false">IFERROR(__xludf.dummyfunction("if(isna(ABS(MINUS(SUM(FILTER(MatchSource!$H:$L,MatchSource!$H:$H=$B515)),SUM($X515)))),0,ABS(MINUS(SUM(FILTER(MatchSource!$H:$L,MatchSource!$H:$H=$B515)),SUM($X515))))"),"0")</f>
        <v>0</v>
      </c>
      <c r="AA515" s="499" t="str">
        <f aca="false">IFERROR(__xludf.dummyfunction("if(isna(ABS(MINUS(SUM(FILTER(MatchSource!$A:$F,MatchSource!$A:$A=$B515)),SUM($W515,$Y515)))),0,ABS(MINUS(SUM(FILTER(MatchSource!$A:$F,MatchSource!$A:$A=$B515)),SUM($W515, $Y515,))))"),"0")</f>
        <v>0</v>
      </c>
      <c r="AB515" s="501" t="str">
        <f aca="false">IFERROR(__xludf.dummyfunction("if(isna(ABS(MINUS(SUM(FILTER(MatchSource!$H:$M,MatchSource!$H:$H=$B515)),SUM($X515,$Z515)))),0,ABS(MINUS(SUM(FILTER(MatchSource!$H:$M,MatchSource!$H:$H=$B515)),SUM($X515,$Z515))))"),"0")</f>
        <v>0</v>
      </c>
      <c r="AC515" s="507" t="n">
        <f aca="false">SUM(IF(OR($R515="Grass",$R515="Psychic",$R515="Dark"),0-1,IF(OR($R515="Fighting",$R515="Flying",$R515="Fire",$R515="Ghost",$R515="Poison",$R515="Steel",$R515="Fairy"),1,0)),IF(OR($S515="Grass",$S515="Psychic",$S515="Dark"),0-1,IF(OR($S515="Fighting",$S515="Flying",$S515="Fire",$S515="Ghost",$S515="Poison",$S515="Steel",$S515="Fairy"),1,0)))</f>
        <v>-1</v>
      </c>
      <c r="AD515" s="507" t="n">
        <f aca="false">SUM(IF(OR($R515="Ghost",$R515="Psychic"),0-1,IF(OR($R515="Fighting",$R515="Dark",$R515="Fairy"),1,0)),IF(OR($S515="Ghost",$S515="Psychic"),0-1,IF(OR($S515="Fighting",$S515="Dark",$S515="Fairy"),1,0)))</f>
        <v>1</v>
      </c>
      <c r="AE515" s="507" t="n">
        <f aca="false">IF(OR($R515="Fairy",$S515="Fairy"),4,SUM(IF($R515="Dragon",0-1,IF($R515="Steel",1,0)),IF($S515="Dragon",0-1,IF($S515="Steel",1,0))))</f>
        <v>0</v>
      </c>
      <c r="AF515" s="507" t="n">
        <f aca="false">IF(OR($R515="Ground",$S515="Ground"),4,SUM(IF(OR($R515="Flying",$R515="Water"),0-1,IF(OR($R515="Dragon",$R515="Electric",$R515="Grass"),1,0)),IF(OR($S515="Flying",$S515="Water"),0-1,IF(OR($S515="Dragon",$S515="Electric",$S515="Grass"),1,0))))</f>
        <v>0</v>
      </c>
      <c r="AG515" s="507" t="n">
        <f aca="false">SUM(IF(OR($R515="Dark",$R515="Dragon",$R515="Fighting"),0-1,IF(OR($R515="Steel",$R515="Poison",$R515="Fire"),1,0)),IF(OR($S515="Dark",$S515="Dragon",$S515="Fighting"),0-1,IF(OR($S515="Steel",$S515="Poison",$S515="Fire"),1,0)))</f>
        <v>-1</v>
      </c>
      <c r="AH515" s="507" t="n">
        <f aca="false">IF(OR($R515="Ghost",$S515="Ghost"),4,SUM(IF(OR($R515="Dark",$R515="Ice",$R515="Normal",$R515="Rock",$R515="Steel"),0-1,IF(OR($R515="Bug",$R515="Fairy",$R515="Flying",$R515="Poison",$R515="Psychic"),1,0)),IF(OR($S515="Dark",$S515="Ice",$S515="Normal",$S515="Rock",$S515="Steel"),0-1,IF(OR($S515="Bug",$S515="Fairy",$S515="Flying",$S515="Poison",$S515="Psychic"),1,0))))</f>
        <v>-2</v>
      </c>
      <c r="AI515" s="507" t="n">
        <f aca="false">SUM(IF(OR($R515="Bug",$R515="Grass",$R515="Ice",$R515="Steel"),0-1,IF(OR($R515="Dragon",$R515="Fire",$R515="Rock",$R515="Water"),1,0)),IF(OR($S515="Bug",$S515="Grass",$S515="Ice",$S515="Steel"),0-1,IF(OR($S515="Dragon",$S515="Fire",$S515="Rock",$S515="Water"),1,0)))</f>
        <v>-1</v>
      </c>
      <c r="AJ515" s="507" t="n">
        <f aca="false">SUM(IF(OR($R515="Bug",$R515="Grass",$R515="Fighting"),0-1,IF(OR($R515="Electric",$R515="Rock",$R515="Steel"),1,0)),IF(OR($S515="Bug",$S515="Grass",$S515="Fighting"),0-1,IF(OR($S515="Electric",$S515="Rock",$S515="Steel"),1,0)))</f>
        <v>0</v>
      </c>
      <c r="AK515" s="507" t="n">
        <f aca="false">IF(OR($R515="Normal",$S515="Normal"),4,SUM(IF(OR($R515="Ghost",$R515="Psychic"),0-1,IF($R515="Dark",1,0)),IF(OR($S515="Ghost",$S515="Psychic"),0-1,IF($S515="Dark",1,0))))</f>
        <v>1</v>
      </c>
      <c r="AL515" s="507" t="n">
        <f aca="false">SUM(IF(OR($R515="Ground",$R515="Rock",$R515="Water"),0-1,IF(OR($R515="Bug",$R515="Flying",$R515="Fire",$R515="Dragon",$R515="Poison",$R515="Steel",$R515="Grass"),1,0)),IF(OR($S515="Ground",$S515="Rock",$S515="Water"),0-1,IF(OR($S515="Bug",$S515="Flying",$S515="Fire",$S515="Dragon",$S515="Poison",$S515="Steel",$S515="Grass"),1,0)))</f>
        <v>0</v>
      </c>
      <c r="AM515" s="507" t="n">
        <f aca="false">IF(OR($R515="Flying",$S515="Flying"),4,SUM(IF(OR($R515="Electric",$R515="Fire",$R515="Rock",$R515="Steel",$R515="Poison"),0-1,IF(OR($R515="Bug",$R515="Grass"),1,0)),IF(OR($S515="Electric",$S515="Fire",$S515="Rock",$S515="Steel",$S515="Poison"),0-1,IF(OR($S515="Bug",$S515="Grass"),1,0))))</f>
        <v>0</v>
      </c>
      <c r="AN515" s="507" t="n">
        <f aca="false">SUM(IF(OR($R515="Flying",$R515="Dragon",$R515="Grass",$R515="Ground"),0-1,IF(OR($R515="Steel",$R515="Ice",$R515="Fire",$R515="Water"),1,0)),IF(OR($S515="Flying",$S515="Dragon",$S515="Grass",$S515="Ground"),0-1,IF(OR($S515="Steel",$S515="Ice",$S515="Fire",$S515="Water"),1,0)))</f>
        <v>1</v>
      </c>
      <c r="AO515" s="507" t="n">
        <f aca="false">IF(OR($R515="Ghost",$S515="Ghost"),4,SUM(IF(OR($R515="Steel",$R515="Rock"),1,0),IF(OR($S515="Steel",$S515="Rock"),1,0)))</f>
        <v>0</v>
      </c>
      <c r="AP515" s="507" t="n">
        <f aca="false">IF(OR($R515="Steel",$S515="Steel"),4,SUM(IF(OR($R515="Fairy",$R515="Grass"),0-1,IF(OR($R515="Ghost",$R515="Rock",$R515="Ground",$R515="Poison"),1,0)),IF(OR($S515="Fairy",$S515="Grass"),0-1,IF(OR($S515="Ghost",$S515="Rock",$S515="Ground",$S515="Poison"),1,0))))</f>
        <v>0</v>
      </c>
      <c r="AQ515" s="507" t="n">
        <f aca="false">IF(OR($R515="Dark",$S515="Dark"),4,SUM(IF(OR($R515="Fighting",$R515="Poison"),0-1,IF(OR($R515="Psychic",$R515="Steel"),1,0)),IF(OR($S515="Fighting",$S515="Poison"),0-1,IF(OR($S515="Psychic",$S515="Steel"),1,0))))</f>
        <v>4</v>
      </c>
      <c r="AR515" s="507" t="n">
        <f aca="false">SUM(IF(OR($R515="Bug",$R515="Fire",$R515="Flying",$R515="Ice"),0-1,IF(OR($R515="Steel",$R515="Fighting",$R515="Ground"),1,0)),IF(OR($S515="Bug",$S515="Fire",$S515="Flying",$S515="Ice"),0-1,IF(OR($S515="Steel",$S515="Fighting",$S515="Ground"),1,0)))</f>
        <v>-1</v>
      </c>
      <c r="AS515" s="507" t="n">
        <f aca="false">SUM(IF(OR($R515="Fairy",$R515="Ice",$R515="Rock"),0-1,IF(OR($R515="Steel",$R515="Electric",$R515="Fire",$R515="Water"),1,0)),IF(OR($S515="Fairy",$S515="Ice",$S515="Rock"),0-1,IF(OR($S515="Steel",$S515="Electric",$S515="Fire",$S515="Water"),1,0)))</f>
        <v>-1</v>
      </c>
      <c r="AT515" s="508" t="n">
        <f aca="false">SUM(IF(OR($R515="Fire",$R515="Ground",$R515="Rock"),0-1,IF(OR($R515="Dragon",$R515="Grass",$R515="Water"),1,0)),IF(OR($S515="Fire",$S515="Ground",$S515="Rock"),0-1,IF(OR($S515="Dragon",$S515="Grass",$S515="Water"),1,0)))</f>
        <v>0</v>
      </c>
      <c r="AU515" s="518"/>
    </row>
    <row r="516" customFormat="false" ht="15.75" hidden="false" customHeight="false" outlineLevel="0" collapsed="false">
      <c r="A516" s="510" t="str">
        <f aca="false" t="array" ref="A516:A516">IF(ISNA(INDEX(Source!$U$7:$U$95,MATCH(B516,Source!$V$7:$V$95,0))),"FREE",INDEX(Source!$U$7:$U$95,MATCH(B516,Source!$V$7:$V$95,0)))</f>
        <v>FREE</v>
      </c>
      <c r="B516" s="511" t="s">
        <v>685</v>
      </c>
      <c r="C516" s="511"/>
      <c r="D516" s="511"/>
      <c r="E516" s="499" t="str">
        <f aca="false">IF(SUM($W516:$X516)&gt;0,SUM($W516:$X516),IF($H516&gt;0,0,IF($H516&gt;0,0,"-")))</f>
        <v>-</v>
      </c>
      <c r="F516" s="499" t="str">
        <f aca="false">IF(SUM($Y516:$Z516)&gt;0,SUM($Y516:$Z516),IF($H516&gt;0,0,"-"))</f>
        <v>-</v>
      </c>
      <c r="G516" s="499" t="str">
        <f aca="false">IF($H516&gt;0,minus(E516,F516),"-")</f>
        <v>-</v>
      </c>
      <c r="H516" s="500" t="n">
        <f aca="false">SUM(COUNTIF(MatchSource!$A:$A,$B516),COUNTIF(MatchSource!$H:$H,$B516))</f>
        <v>0</v>
      </c>
      <c r="I516" s="501" t="n">
        <f aca="false">SUM($AA516:$AB516)</f>
        <v>0</v>
      </c>
      <c r="J516" s="501" t="s">
        <v>701</v>
      </c>
      <c r="K516" s="512" t="str">
        <f aca="false" t="array" ref="K516:K516">IF(ISNA(INDEX(DraftRosters!$AA$3:$AA$199,MATCH($B516,DraftRosters!$AB$3:$AB$199,0))),"FA",IF(INDEX(DraftRosters!$AA$3:$AA$199,MATCH($B516,DraftRosters!$AB$3:$AB$199,0))="Franchise","Franch",INDEX(DraftRosters!$AA$3:$AA$199,MATCH($B516,DraftRosters!$AB$3:$AB$199,0))))</f>
        <v>FA</v>
      </c>
      <c r="L516" s="507" t="n">
        <v>65</v>
      </c>
      <c r="M516" s="507" t="n">
        <v>90</v>
      </c>
      <c r="N516" s="507" t="n">
        <v>120</v>
      </c>
      <c r="O516" s="507" t="n">
        <v>85</v>
      </c>
      <c r="P516" s="507" t="n">
        <v>70</v>
      </c>
      <c r="Q516" s="508" t="n">
        <v>60</v>
      </c>
      <c r="R516" s="499" t="s">
        <v>843</v>
      </c>
      <c r="S516" s="501"/>
      <c r="T516" s="513" t="s">
        <v>866</v>
      </c>
      <c r="U516" s="513"/>
      <c r="V516" s="514"/>
      <c r="W516" s="500" t="str">
        <f aca="false">IFERROR(__xludf.dummyfunction("if(isna(SUM(FILTER(MatchSource!$A:$D,MatchSource!$A:$A=$B516))),0,SUM(FILTER(MatchSource!$A:$D,MatchSource!$A:$A=$B516)))"),"0")</f>
        <v>0</v>
      </c>
      <c r="X516" s="499" t="str">
        <f aca="false">IFERROR(__xludf.dummyfunction("if(isna(SUM(FILTER(MatchSource!$H:$K,MatchSource!$H:$H=$B516))),0,SUM(FILTER(MatchSource!$H:$K,MatchSource!$H:$H=$B516)))"),"0")</f>
        <v>0</v>
      </c>
      <c r="Y516" s="499" t="str">
        <f aca="false">IFERROR(__xludf.dummyfunction("if(isna(ABS(MINUS(SUM(FILTER(MatchSource!$A:$E,MatchSource!$A:$A=$B516)),SUM($W516)))),0,ABS(MINUS(SUM(FILTER(MatchSource!$A:$E,MatchSource!$A:$A=$B516)),SUM($W516))))"),"0")</f>
        <v>0</v>
      </c>
      <c r="Z516" s="499" t="str">
        <f aca="false">IFERROR(__xludf.dummyfunction("if(isna(ABS(MINUS(SUM(FILTER(MatchSource!$H:$L,MatchSource!$H:$H=$B516)),SUM($X516)))),0,ABS(MINUS(SUM(FILTER(MatchSource!$H:$L,MatchSource!$H:$H=$B516)),SUM($X516))))"),"0")</f>
        <v>0</v>
      </c>
      <c r="AA516" s="499" t="str">
        <f aca="false">IFERROR(__xludf.dummyfunction("if(isna(ABS(MINUS(SUM(FILTER(MatchSource!$A:$F,MatchSource!$A:$A=$B516)),SUM($W516,$Y516)))),0,ABS(MINUS(SUM(FILTER(MatchSource!$A:$F,MatchSource!$A:$A=$B516)),SUM($W516, $Y516,))))"),"0")</f>
        <v>0</v>
      </c>
      <c r="AB516" s="501" t="str">
        <f aca="false">IFERROR(__xludf.dummyfunction("if(isna(ABS(MINUS(SUM(FILTER(MatchSource!$H:$M,MatchSource!$H:$H=$B516)),SUM($X516,$Z516)))),0,ABS(MINUS(SUM(FILTER(MatchSource!$H:$M,MatchSource!$H:$H=$B516)),SUM($X516,$Z516))))"),"0")</f>
        <v>0</v>
      </c>
      <c r="AC516" s="507" t="n">
        <f aca="false">SUM(IF(OR($R516="Grass",$R516="Psychic",$R516="Dark"),0-1,IF(OR($R516="Fighting",$R516="Flying",$R516="Fire",$R516="Ghost",$R516="Poison",$R516="Steel",$R516="Fairy"),1,0)),IF(OR($S516="Grass",$S516="Psychic",$S516="Dark"),0-1,IF(OR($S516="Fighting",$S516="Flying",$S516="Fire",$S516="Ghost",$S516="Poison",$S516="Steel",$S516="Fairy"),1,0)))</f>
        <v>1</v>
      </c>
      <c r="AD516" s="507" t="n">
        <f aca="false">SUM(IF(OR($R516="Ghost",$R516="Psychic"),0-1,IF(OR($R516="Fighting",$R516="Dark",$R516="Fairy"),1,0)),IF(OR($S516="Ghost",$S516="Psychic"),0-1,IF(OR($S516="Fighting",$S516="Dark",$S516="Fairy"),1,0)))</f>
        <v>0</v>
      </c>
      <c r="AE516" s="507" t="n">
        <f aca="false">IF(OR($R516="Fairy",$S516="Fairy"),4,SUM(IF($R516="Dragon",0-1,IF($R516="Steel",1,0)),IF($S516="Dragon",0-1,IF($S516="Steel",1,0))))</f>
        <v>0</v>
      </c>
      <c r="AF516" s="507" t="n">
        <f aca="false">IF(OR($R516="Ground",$S516="Ground"),4,SUM(IF(OR($R516="Flying",$R516="Water"),0-1,IF(OR($R516="Dragon",$R516="Electric",$R516="Grass"),1,0)),IF(OR($S516="Flying",$S516="Water"),0-1,IF(OR($S516="Dragon",$S516="Electric",$S516="Grass"),1,0))))</f>
        <v>0</v>
      </c>
      <c r="AG516" s="507" t="n">
        <f aca="false">SUM(IF(OR($R516="Dark",$R516="Dragon",$R516="Fighting"),0-1,IF(OR($R516="Steel",$R516="Poison",$R516="Fire"),1,0)),IF(OR($S516="Dark",$S516="Dragon",$S516="Fighting"),0-1,IF(OR($S516="Steel",$S516="Poison",$S516="Fire"),1,0)))</f>
        <v>1</v>
      </c>
      <c r="AH516" s="507" t="n">
        <f aca="false">IF(OR($R516="Ghost",$S516="Ghost"),4,SUM(IF(OR($R516="Dark",$R516="Ice",$R516="Normal",$R516="Rock",$R516="Steel"),0-1,IF(OR($R516="Bug",$R516="Fairy",$R516="Flying",$R516="Poison",$R516="Psychic"),1,0)),IF(OR($S516="Dark",$S516="Ice",$S516="Normal",$S516="Rock",$S516="Steel"),0-1,IF(OR($S516="Bug",$S516="Fairy",$S516="Flying",$S516="Poison",$S516="Psychic"),1,0))))</f>
        <v>1</v>
      </c>
      <c r="AI516" s="507" t="n">
        <f aca="false">SUM(IF(OR($R516="Bug",$R516="Grass",$R516="Ice",$R516="Steel"),0-1,IF(OR($R516="Dragon",$R516="Fire",$R516="Rock",$R516="Water"),1,0)),IF(OR($S516="Bug",$S516="Grass",$S516="Ice",$S516="Steel"),0-1,IF(OR($S516="Dragon",$S516="Fire",$S516="Rock",$S516="Water"),1,0)))</f>
        <v>0</v>
      </c>
      <c r="AJ516" s="507" t="n">
        <f aca="false">SUM(IF(OR($R516="Bug",$R516="Grass",$R516="Fighting"),0-1,IF(OR($R516="Electric",$R516="Rock",$R516="Steel"),1,0)),IF(OR($S516="Bug",$S516="Grass",$S516="Fighting"),0-1,IF(OR($S516="Electric",$S516="Rock",$S516="Steel"),1,0)))</f>
        <v>0</v>
      </c>
      <c r="AK516" s="507" t="n">
        <f aca="false">IF(OR($R516="Normal",$S516="Normal"),4,SUM(IF(OR($R516="Ghost",$R516="Psychic"),0-1,IF($R516="Dark",1,0)),IF(OR($S516="Ghost",$S516="Psychic"),0-1,IF($S516="Dark",1,0))))</f>
        <v>0</v>
      </c>
      <c r="AL516" s="507" t="n">
        <f aca="false">SUM(IF(OR($R516="Ground",$R516="Rock",$R516="Water"),0-1,IF(OR($R516="Bug",$R516="Flying",$R516="Fire",$R516="Dragon",$R516="Poison",$R516="Steel",$R516="Grass"),1,0)),IF(OR($S516="Ground",$S516="Rock",$S516="Water"),0-1,IF(OR($S516="Bug",$S516="Flying",$S516="Fire",$S516="Dragon",$S516="Poison",$S516="Steel",$S516="Grass"),1,0)))</f>
        <v>1</v>
      </c>
      <c r="AM516" s="507" t="n">
        <f aca="false">IF(OR($R516="Flying",$S516="Flying"),4,SUM(IF(OR($R516="Electric",$R516="Fire",$R516="Rock",$R516="Steel",$R516="Poison"),0-1,IF(OR($R516="Bug",$R516="Grass"),1,0)),IF(OR($S516="Electric",$S516="Fire",$S516="Rock",$S516="Steel",$S516="Poison"),0-1,IF(OR($S516="Bug",$S516="Grass"),1,0))))</f>
        <v>-1</v>
      </c>
      <c r="AN516" s="507" t="n">
        <f aca="false">SUM(IF(OR($R516="Flying",$R516="Dragon",$R516="Grass",$R516="Ground"),0-1,IF(OR($R516="Steel",$R516="Ice",$R516="Fire",$R516="Water"),1,0)),IF(OR($S516="Flying",$S516="Dragon",$S516="Grass",$S516="Ground"),0-1,IF(OR($S516="Steel",$S516="Ice",$S516="Fire",$S516="Water"),1,0)))</f>
        <v>0</v>
      </c>
      <c r="AO516" s="507" t="n">
        <f aca="false">IF(OR($R516="Ghost",$S516="Ghost"),4,SUM(IF(OR($R516="Steel",$R516="Rock"),1,0),IF(OR($S516="Steel",$S516="Rock"),1,0)))</f>
        <v>0</v>
      </c>
      <c r="AP516" s="507" t="n">
        <f aca="false">IF(OR($R516="Steel",$S516="Steel"),4,SUM(IF(OR($R516="Fairy",$R516="Grass"),0-1,IF(OR($R516="Ghost",$R516="Rock",$R516="Ground",$R516="Poison"),1,0)),IF(OR($S516="Fairy",$S516="Grass"),0-1,IF(OR($S516="Ghost",$S516="Rock",$S516="Ground",$S516="Poison"),1,0))))</f>
        <v>1</v>
      </c>
      <c r="AQ516" s="507" t="n">
        <f aca="false">IF(OR($R516="Dark",$S516="Dark"),4,SUM(IF(OR($R516="Fighting",$R516="Poison"),0-1,IF(OR($R516="Psychic",$R516="Steel"),1,0)),IF(OR($S516="Fighting",$S516="Poison"),0-1,IF(OR($S516="Psychic",$S516="Steel"),1,0))))</f>
        <v>-1</v>
      </c>
      <c r="AR516" s="507" t="n">
        <f aca="false">SUM(IF(OR($R516="Bug",$R516="Fire",$R516="Flying",$R516="Ice"),0-1,IF(OR($R516="Steel",$R516="Fighting",$R516="Ground"),1,0)),IF(OR($S516="Bug",$S516="Fire",$S516="Flying",$S516="Ice"),0-1,IF(OR($S516="Steel",$S516="Fighting",$S516="Ground"),1,0)))</f>
        <v>0</v>
      </c>
      <c r="AS516" s="507" t="n">
        <f aca="false">SUM(IF(OR($R516="Fairy",$R516="Ice",$R516="Rock"),0-1,IF(OR($R516="Steel",$R516="Electric",$R516="Fire",$R516="Water"),1,0)),IF(OR($S516="Fairy",$S516="Ice",$S516="Rock"),0-1,IF(OR($S516="Steel",$S516="Electric",$S516="Fire",$S516="Water"),1,0)))</f>
        <v>0</v>
      </c>
      <c r="AT516" s="508" t="n">
        <f aca="false">SUM(IF(OR($R516="Fire",$R516="Ground",$R516="Rock"),0-1,IF(OR($R516="Dragon",$R516="Grass",$R516="Water"),1,0)),IF(OR($S516="Fire",$S516="Ground",$S516="Rock"),0-1,IF(OR($S516="Dragon",$S516="Grass",$S516="Water"),1,0)))</f>
        <v>0</v>
      </c>
      <c r="AU516" s="518"/>
    </row>
    <row r="517" customFormat="false" ht="15.75" hidden="false" customHeight="false" outlineLevel="0" collapsed="false">
      <c r="A517" s="515" t="str">
        <f aca="false" t="array" ref="A517:A517">IF(ISNA(INDEX(Source!$U$7:$U$95,MATCH(B517,Source!$V$7:$V$95,0))),"FREE",INDEX(Source!$U$7:$U$95,MATCH(B517,Source!$V$7:$V$95,0)))</f>
        <v>FREE</v>
      </c>
      <c r="B517" s="511" t="s">
        <v>266</v>
      </c>
      <c r="C517" s="511"/>
      <c r="D517" s="511"/>
      <c r="E517" s="499" t="str">
        <f aca="false">IF(SUM($W517:$X517)&gt;0,SUM($W517:$X517),IF($H517&gt;0,0,IF($H517&gt;0,0,"-")))</f>
        <v>-</v>
      </c>
      <c r="F517" s="499" t="str">
        <f aca="false">IF(SUM($Y517:$Z517)&gt;0,SUM($Y517:$Z517),IF($H517&gt;0,0,"-"))</f>
        <v>-</v>
      </c>
      <c r="G517" s="499" t="str">
        <f aca="false">IF($H517&gt;0,minus(E517,F517),"-")</f>
        <v>-</v>
      </c>
      <c r="H517" s="500" t="n">
        <f aca="false">SUM(COUNTIF(MatchSource!$A:$A,$B517),COUNTIF(MatchSource!$H:$H,$B517))</f>
        <v>0</v>
      </c>
      <c r="I517" s="501" t="n">
        <f aca="false">SUM($AA517:$AB517)</f>
        <v>0</v>
      </c>
      <c r="J517" s="501" t="s">
        <v>700</v>
      </c>
      <c r="K517" s="512" t="n">
        <f aca="false" t="array" ref="K517:K517">IF(ISNA(INDEX(DraftRosters!$AA$3:$AA$199,MATCH($B517,DraftRosters!$AB$3:$AB$199,0))),"FA",IF(INDEX(DraftRosters!$AA$3:$AA$199,MATCH($B517,DraftRosters!$AB$3:$AB$199,0))="Franchise","Franch",INDEX(DraftRosters!$AA$3:$AA$199,MATCH($B517,DraftRosters!$AB$3:$AB$199,0))))</f>
        <v>30</v>
      </c>
      <c r="L517" s="507" t="n">
        <v>60</v>
      </c>
      <c r="M517" s="507" t="n">
        <v>67</v>
      </c>
      <c r="N517" s="507" t="n">
        <v>85</v>
      </c>
      <c r="O517" s="507" t="n">
        <v>77</v>
      </c>
      <c r="P517" s="507" t="n">
        <v>75</v>
      </c>
      <c r="Q517" s="508" t="n">
        <v>116</v>
      </c>
      <c r="R517" s="499" t="s">
        <v>798</v>
      </c>
      <c r="S517" s="501" t="s">
        <v>803</v>
      </c>
      <c r="T517" s="513" t="s">
        <v>880</v>
      </c>
      <c r="U517" s="513" t="s">
        <v>872</v>
      </c>
      <c r="V517" s="514" t="s">
        <v>914</v>
      </c>
      <c r="W517" s="500" t="str">
        <f aca="false">IFERROR(__xludf.dummyfunction("if(isna(SUM(FILTER(MatchSource!$A:$D,MatchSource!$A:$A=$B517))),0,SUM(FILTER(MatchSource!$A:$D,MatchSource!$A:$A=$B517)))"),"0")</f>
        <v>0</v>
      </c>
      <c r="X517" s="499" t="str">
        <f aca="false">IFERROR(__xludf.dummyfunction("if(isna(SUM(FILTER(MatchSource!$H:$K,MatchSource!$H:$H=$B517))),0,SUM(FILTER(MatchSource!$H:$K,MatchSource!$H:$H=$B517)))"),"0")</f>
        <v>0</v>
      </c>
      <c r="Y517" s="499" t="str">
        <f aca="false">IFERROR(__xludf.dummyfunction("if(isna(ABS(MINUS(SUM(FILTER(MatchSource!$A:$E,MatchSource!$A:$A=$B517)),SUM($W517)))),0,ABS(MINUS(SUM(FILTER(MatchSource!$A:$E,MatchSource!$A:$A=$B517)),SUM($W517))))"),"0")</f>
        <v>0</v>
      </c>
      <c r="Z517" s="499" t="str">
        <f aca="false">IFERROR(__xludf.dummyfunction("if(isna(ABS(MINUS(SUM(FILTER(MatchSource!$H:$L,MatchSource!$H:$H=$B517)),SUM($X517)))),0,ABS(MINUS(SUM(FILTER(MatchSource!$H:$L,MatchSource!$H:$H=$B517)),SUM($X517))))"),"0")</f>
        <v>0</v>
      </c>
      <c r="AA517" s="499" t="str">
        <f aca="false">IFERROR(__xludf.dummyfunction("if(isna(ABS(MINUS(SUM(FILTER(MatchSource!$A:$F,MatchSource!$A:$A=$B517)),SUM($W517,$Y517)))),0,ABS(MINUS(SUM(FILTER(MatchSource!$A:$F,MatchSource!$A:$A=$B517)),SUM($W517, $Y517,))))"),"0")</f>
        <v>0</v>
      </c>
      <c r="AB517" s="501" t="str">
        <f aca="false">IFERROR(__xludf.dummyfunction("if(isna(ABS(MINUS(SUM(FILTER(MatchSource!$H:$M,MatchSource!$H:$H=$B517)),SUM($X517,$Z517)))),0,ABS(MINUS(SUM(FILTER(MatchSource!$H:$M,MatchSource!$H:$H=$B517)),SUM($X517,$Z517))))"),"0")</f>
        <v>0</v>
      </c>
      <c r="AC517" s="507" t="n">
        <f aca="false">SUM(IF(OR($R517="Grass",$R517="Psychic",$R517="Dark"),0-1,IF(OR($R517="Fighting",$R517="Flying",$R517="Fire",$R517="Ghost",$R517="Poison",$R517="Steel",$R517="Fairy"),1,0)),IF(OR($S517="Grass",$S517="Psychic",$S517="Dark"),0-1,IF(OR($S517="Fighting",$S517="Flying",$S517="Fire",$S517="Ghost",$S517="Poison",$S517="Steel",$S517="Fairy"),1,0)))</f>
        <v>0</v>
      </c>
      <c r="AD517" s="507" t="n">
        <f aca="false">SUM(IF(OR($R517="Ghost",$R517="Psychic"),0-1,IF(OR($R517="Fighting",$R517="Dark",$R517="Fairy"),1,0)),IF(OR($S517="Ghost",$S517="Psychic"),0-1,IF(OR($S517="Fighting",$S517="Dark",$S517="Fairy"),1,0)))</f>
        <v>1</v>
      </c>
      <c r="AE517" s="507" t="n">
        <f aca="false">IF(OR($R517="Fairy",$S517="Fairy"),4,SUM(IF($R517="Dragon",0-1,IF($R517="Steel",1,0)),IF($S517="Dragon",0-1,IF($S517="Steel",1,0))))</f>
        <v>4</v>
      </c>
      <c r="AF517" s="507" t="n">
        <f aca="false">IF(OR($R517="Ground",$S517="Ground"),4,SUM(IF(OR($R517="Flying",$R517="Water"),0-1,IF(OR($R517="Dragon",$R517="Electric",$R517="Grass"),1,0)),IF(OR($S517="Flying",$S517="Water"),0-1,IF(OR($S517="Dragon",$S517="Electric",$S517="Grass"),1,0))))</f>
        <v>1</v>
      </c>
      <c r="AG517" s="507" t="n">
        <f aca="false">SUM(IF(OR($R517="Dark",$R517="Dragon",$R517="Fighting"),0-1,IF(OR($R517="Steel",$R517="Poison",$R517="Fire"),1,0)),IF(OR($S517="Dark",$S517="Dragon",$S517="Fighting"),0-1,IF(OR($S517="Steel",$S517="Poison",$S517="Fire"),1,0)))</f>
        <v>0</v>
      </c>
      <c r="AH517" s="507" t="n">
        <f aca="false">IF(OR($R517="Ghost",$S517="Ghost"),4,SUM(IF(OR($R517="Dark",$R517="Ice",$R517="Normal",$R517="Rock",$R517="Steel"),0-1,IF(OR($R517="Bug",$R517="Fairy",$R517="Flying",$R517="Poison",$R517="Psychic"),1,0)),IF(OR($S517="Dark",$S517="Ice",$S517="Normal",$S517="Rock",$S517="Steel"),0-1,IF(OR($S517="Bug",$S517="Fairy",$S517="Flying",$S517="Poison",$S517="Psychic"),1,0))))</f>
        <v>1</v>
      </c>
      <c r="AI517" s="507" t="n">
        <f aca="false">SUM(IF(OR($R517="Bug",$R517="Grass",$R517="Ice",$R517="Steel"),0-1,IF(OR($R517="Dragon",$R517="Fire",$R517="Rock",$R517="Water"),1,0)),IF(OR($S517="Bug",$S517="Grass",$S517="Ice",$S517="Steel"),0-1,IF(OR($S517="Dragon",$S517="Fire",$S517="Rock",$S517="Water"),1,0)))</f>
        <v>-1</v>
      </c>
      <c r="AJ517" s="507" t="n">
        <f aca="false">SUM(IF(OR($R517="Bug",$R517="Grass",$R517="Fighting"),0-1,IF(OR($R517="Electric",$R517="Rock",$R517="Steel"),1,0)),IF(OR($S517="Bug",$S517="Grass",$S517="Fighting"),0-1,IF(OR($S517="Electric",$S517="Rock",$S517="Steel"),1,0)))</f>
        <v>-1</v>
      </c>
      <c r="AK517" s="507" t="n">
        <f aca="false">IF(OR($R517="Normal",$S517="Normal"),4,SUM(IF(OR($R517="Ghost",$R517="Psychic"),0-1,IF($R517="Dark",1,0)),IF(OR($S517="Ghost",$S517="Psychic"),0-1,IF($S517="Dark",1,0))))</f>
        <v>0</v>
      </c>
      <c r="AL517" s="507" t="n">
        <f aca="false">SUM(IF(OR($R517="Ground",$R517="Rock",$R517="Water"),0-1,IF(OR($R517="Bug",$R517="Flying",$R517="Fire",$R517="Dragon",$R517="Poison",$R517="Steel",$R517="Grass"),1,0)),IF(OR($S517="Ground",$S517="Rock",$S517="Water"),0-1,IF(OR($S517="Bug",$S517="Flying",$S517="Fire",$S517="Dragon",$S517="Poison",$S517="Steel",$S517="Grass"),1,0)))</f>
        <v>1</v>
      </c>
      <c r="AM517" s="507" t="n">
        <f aca="false">IF(OR($R517="Flying",$S517="Flying"),4,SUM(IF(OR($R517="Electric",$R517="Fire",$R517="Rock",$R517="Steel",$R517="Poison"),0-1,IF(OR($R517="Bug",$R517="Grass"),1,0)),IF(OR($S517="Electric",$S517="Fire",$S517="Rock",$S517="Steel",$S517="Poison"),0-1,IF(OR($S517="Bug",$S517="Grass"),1,0))))</f>
        <v>1</v>
      </c>
      <c r="AN517" s="507" t="n">
        <f aca="false">SUM(IF(OR($R517="Flying",$R517="Dragon",$R517="Grass",$R517="Ground"),0-1,IF(OR($R517="Steel",$R517="Ice",$R517="Fire",$R517="Water"),1,0)),IF(OR($S517="Flying",$S517="Dragon",$S517="Grass",$S517="Ground"),0-1,IF(OR($S517="Steel",$S517="Ice",$S517="Fire",$S517="Water"),1,0)))</f>
        <v>-1</v>
      </c>
      <c r="AO517" s="507" t="n">
        <f aca="false">IF(OR($R517="Ghost",$S517="Ghost"),4,SUM(IF(OR($R517="Steel",$R517="Rock"),1,0),IF(OR($S517="Steel",$S517="Rock"),1,0)))</f>
        <v>0</v>
      </c>
      <c r="AP517" s="507" t="n">
        <f aca="false">IF(OR($R517="Steel",$S517="Steel"),4,SUM(IF(OR($R517="Fairy",$R517="Grass"),0-1,IF(OR($R517="Ghost",$R517="Rock",$R517="Ground",$R517="Poison"),1,0)),IF(OR($S517="Fairy",$S517="Grass"),0-1,IF(OR($S517="Ghost",$S517="Rock",$S517="Ground",$S517="Poison"),1,0))))</f>
        <v>-2</v>
      </c>
      <c r="AQ517" s="507" t="n">
        <f aca="false">IF(OR($R517="Dark",$S517="Dark"),4,SUM(IF(OR($R517="Fighting",$R517="Poison"),0-1,IF(OR($R517="Psychic",$R517="Steel"),1,0)),IF(OR($S517="Fighting",$S517="Poison"),0-1,IF(OR($S517="Psychic",$S517="Steel"),1,0))))</f>
        <v>0</v>
      </c>
      <c r="AR517" s="507" t="n">
        <f aca="false">SUM(IF(OR($R517="Bug",$R517="Fire",$R517="Flying",$R517="Ice"),0-1,IF(OR($R517="Steel",$R517="Fighting",$R517="Ground"),1,0)),IF(OR($S517="Bug",$S517="Fire",$S517="Flying",$S517="Ice"),0-1,IF(OR($S517="Steel",$S517="Fighting",$S517="Ground"),1,0)))</f>
        <v>0</v>
      </c>
      <c r="AS517" s="507" t="n">
        <f aca="false">SUM(IF(OR($R517="Fairy",$R517="Ice",$R517="Rock"),0-1,IF(OR($R517="Steel",$R517="Electric",$R517="Fire",$R517="Water"),1,0)),IF(OR($S517="Fairy",$S517="Ice",$S517="Rock"),0-1,IF(OR($S517="Steel",$S517="Electric",$S517="Fire",$S517="Water"),1,0)))</f>
        <v>-1</v>
      </c>
      <c r="AT517" s="508" t="n">
        <f aca="false">SUM(IF(OR($R517="Fire",$R517="Ground",$R517="Rock"),0-1,IF(OR($R517="Dragon",$R517="Grass",$R517="Water"),1,0)),IF(OR($S517="Fire",$S517="Ground",$S517="Rock"),0-1,IF(OR($S517="Dragon",$S517="Grass",$S517="Water"),1,0)))</f>
        <v>1</v>
      </c>
      <c r="AU517" s="518"/>
    </row>
    <row r="518" customFormat="false" ht="15.75" hidden="false" customHeight="false" outlineLevel="0" collapsed="false">
      <c r="A518" s="515" t="str">
        <f aca="false" t="array" ref="A518:A518">IF(ISNA(INDEX(Source!$U$7:$U$95,MATCH(B518,Source!$V$7:$V$95,0))),"FREE",INDEX(Source!$U$7:$U$95,MATCH(B518,Source!$V$7:$V$95,0)))</f>
        <v>FREE</v>
      </c>
      <c r="B518" s="511" t="s">
        <v>684</v>
      </c>
      <c r="C518" s="511"/>
      <c r="D518" s="511"/>
      <c r="E518" s="499" t="str">
        <f aca="false">IF(SUM($W518:$X518)&gt;0,SUM($W518:$X518),IF($H518&gt;0,0,IF($H518&gt;0,0,"-")))</f>
        <v>-</v>
      </c>
      <c r="F518" s="499" t="str">
        <f aca="false">IF(SUM($Y518:$Z518)&gt;0,SUM($Y518:$Z518),IF($H518&gt;0,0,"-"))</f>
        <v>-</v>
      </c>
      <c r="G518" s="499" t="str">
        <f aca="false">IF($H518&gt;0,minus(E518,F518),"-")</f>
        <v>-</v>
      </c>
      <c r="H518" s="500" t="n">
        <f aca="false">SUM(COUNTIF(MatchSource!$A:$A,$B518),COUNTIF(MatchSource!$H:$H,$B518))</f>
        <v>0</v>
      </c>
      <c r="I518" s="501" t="n">
        <f aca="false">SUM($AA518:$AB518)</f>
        <v>0</v>
      </c>
      <c r="J518" s="501" t="s">
        <v>702</v>
      </c>
      <c r="K518" s="512" t="str">
        <f aca="false" t="array" ref="K518:K518">IF(ISNA(INDEX(DraftRosters!$AA$3:$AA$199,MATCH($B518,DraftRosters!$AB$3:$AB$199,0))),"FA",IF(INDEX(DraftRosters!$AA$3:$AA$199,MATCH($B518,DraftRosters!$AB$3:$AB$199,0))="Franchise","Franch",INDEX(DraftRosters!$AA$3:$AA$199,MATCH($B518,DraftRosters!$AB$3:$AB$199,0))))</f>
        <v>FA</v>
      </c>
      <c r="L518" s="499" t="n">
        <v>110</v>
      </c>
      <c r="M518" s="499" t="n">
        <v>78</v>
      </c>
      <c r="N518" s="499" t="n">
        <v>73</v>
      </c>
      <c r="O518" s="499" t="n">
        <v>76</v>
      </c>
      <c r="P518" s="499" t="n">
        <v>71</v>
      </c>
      <c r="Q518" s="501" t="n">
        <v>60</v>
      </c>
      <c r="R518" s="499" t="s">
        <v>907</v>
      </c>
      <c r="S518" s="501" t="s">
        <v>811</v>
      </c>
      <c r="T518" s="513" t="s">
        <v>971</v>
      </c>
      <c r="U518" s="513" t="s">
        <v>1002</v>
      </c>
      <c r="V518" s="514" t="s">
        <v>819</v>
      </c>
      <c r="W518" s="500" t="str">
        <f aca="false">IFERROR(__xludf.dummyfunction("if(isna(SUM(FILTER(MatchSource!$A:$D,MatchSource!$A:$A=$B518))),0,SUM(FILTER(MatchSource!$A:$D,MatchSource!$A:$A=$B518)))"),"0")</f>
        <v>0</v>
      </c>
      <c r="X518" s="499" t="str">
        <f aca="false">IFERROR(__xludf.dummyfunction("if(isna(SUM(FILTER(MatchSource!$H:$K,MatchSource!$H:$H=$B518))),0,SUM(FILTER(MatchSource!$H:$K,MatchSource!$H:$H=$B518)))"),"0")</f>
        <v>0</v>
      </c>
      <c r="Y518" s="499" t="str">
        <f aca="false">IFERROR(__xludf.dummyfunction("if(isna(ABS(MINUS(SUM(FILTER(MatchSource!$A:$E,MatchSource!$A:$A=$B518)),SUM($W518)))),0,ABS(MINUS(SUM(FILTER(MatchSource!$A:$E,MatchSource!$A:$A=$B518)),SUM($W518))))"),"0")</f>
        <v>0</v>
      </c>
      <c r="Z518" s="499" t="str">
        <f aca="false">IFERROR(__xludf.dummyfunction("if(isna(ABS(MINUS(SUM(FILTER(MatchSource!$H:$L,MatchSource!$H:$H=$B518)),SUM($X518)))),0,ABS(MINUS(SUM(FILTER(MatchSource!$H:$L,MatchSource!$H:$H=$B518)),SUM($X518))))"),"0")</f>
        <v>0</v>
      </c>
      <c r="AA518" s="499" t="str">
        <f aca="false">IFERROR(__xludf.dummyfunction("if(isna(ABS(MINUS(SUM(FILTER(MatchSource!$A:$F,MatchSource!$A:$A=$B518)),SUM($W518,$Y518)))),0,ABS(MINUS(SUM(FILTER(MatchSource!$A:$F,MatchSource!$A:$A=$B518)),SUM($W518, $Y518,))))"),"0")</f>
        <v>0</v>
      </c>
      <c r="AB518" s="501" t="str">
        <f aca="false">IFERROR(__xludf.dummyfunction("if(isna(ABS(MINUS(SUM(FILTER(MatchSource!$H:$M,MatchSource!$H:$H=$B518)),SUM($X518,$Z518)))),0,ABS(MINUS(SUM(FILTER(MatchSource!$H:$M,MatchSource!$H:$H=$B518)),SUM($X518,$Z518))))"),"0")</f>
        <v>0</v>
      </c>
      <c r="AC518" s="507" t="n">
        <f aca="false">SUM(IF(OR($R518="Grass",$R518="Psychic",$R518="Dark"),0-1,IF(OR($R518="Fighting",$R518="Flying",$R518="Fire",$R518="Ghost",$R518="Poison",$R518="Steel",$R518="Fairy"),1,0)),IF(OR($S518="Grass",$S518="Psychic",$S518="Dark"),0-1,IF(OR($S518="Fighting",$S518="Flying",$S518="Fire",$S518="Ghost",$S518="Poison",$S518="Steel",$S518="Fairy"),1,0)))</f>
        <v>0</v>
      </c>
      <c r="AD518" s="507" t="n">
        <f aca="false">SUM(IF(OR($R518="Ghost",$R518="Psychic"),0-1,IF(OR($R518="Fighting",$R518="Dark",$R518="Fairy"),1,0)),IF(OR($S518="Ghost",$S518="Psychic"),0-1,IF(OR($S518="Fighting",$S518="Dark",$S518="Fairy"),1,0)))</f>
        <v>0</v>
      </c>
      <c r="AE518" s="507" t="n">
        <f aca="false">IF(OR($R518="Fairy",$S518="Fairy"),4,SUM(IF($R518="Dragon",0-1,IF($R518="Steel",1,0)),IF($S518="Dragon",0-1,IF($S518="Steel",1,0))))</f>
        <v>0</v>
      </c>
      <c r="AF518" s="507" t="n">
        <f aca="false">IF(OR($R518="Ground",$S518="Ground"),4,SUM(IF(OR($R518="Flying",$R518="Water"),0-1,IF(OR($R518="Dragon",$R518="Electric",$R518="Grass"),1,0)),IF(OR($S518="Flying",$S518="Water"),0-1,IF(OR($S518="Dragon",$S518="Electric",$S518="Grass"),1,0))))</f>
        <v>4</v>
      </c>
      <c r="AG518" s="507" t="n">
        <f aca="false">SUM(IF(OR($R518="Dark",$R518="Dragon",$R518="Fighting"),0-1,IF(OR($R518="Steel",$R518="Poison",$R518="Fire"),1,0)),IF(OR($S518="Dark",$S518="Dragon",$S518="Fighting"),0-1,IF(OR($S518="Steel",$S518="Poison",$S518="Fire"),1,0)))</f>
        <v>0</v>
      </c>
      <c r="AH518" s="507" t="n">
        <f aca="false">IF(OR($R518="Ghost",$S518="Ghost"),4,SUM(IF(OR($R518="Dark",$R518="Ice",$R518="Normal",$R518="Rock",$R518="Steel"),0-1,IF(OR($R518="Bug",$R518="Fairy",$R518="Flying",$R518="Poison",$R518="Psychic"),1,0)),IF(OR($S518="Dark",$S518="Ice",$S518="Normal",$S518="Rock",$S518="Steel"),0-1,IF(OR($S518="Bug",$S518="Fairy",$S518="Flying",$S518="Poison",$S518="Psychic"),1,0))))</f>
        <v>0</v>
      </c>
      <c r="AI518" s="507" t="n">
        <f aca="false">SUM(IF(OR($R518="Bug",$R518="Grass",$R518="Ice",$R518="Steel"),0-1,IF(OR($R518="Dragon",$R518="Fire",$R518="Rock",$R518="Water"),1,0)),IF(OR($S518="Bug",$S518="Grass",$S518="Ice",$S518="Steel"),0-1,IF(OR($S518="Dragon",$S518="Fire",$S518="Rock",$S518="Water"),1,0)))</f>
        <v>1</v>
      </c>
      <c r="AJ518" s="507" t="n">
        <f aca="false">SUM(IF(OR($R518="Bug",$R518="Grass",$R518="Fighting"),0-1,IF(OR($R518="Electric",$R518="Rock",$R518="Steel"),1,0)),IF(OR($S518="Bug",$S518="Grass",$S518="Fighting"),0-1,IF(OR($S518="Electric",$S518="Rock",$S518="Steel"),1,0)))</f>
        <v>0</v>
      </c>
      <c r="AK518" s="507" t="n">
        <f aca="false">IF(OR($R518="Normal",$S518="Normal"),4,SUM(IF(OR($R518="Ghost",$R518="Psychic"),0-1,IF($R518="Dark",1,0)),IF(OR($S518="Ghost",$S518="Psychic"),0-1,IF($S518="Dark",1,0))))</f>
        <v>0</v>
      </c>
      <c r="AL518" s="507" t="n">
        <f aca="false">SUM(IF(OR($R518="Ground",$R518="Rock",$R518="Water"),0-1,IF(OR($R518="Bug",$R518="Flying",$R518="Fire",$R518="Dragon",$R518="Poison",$R518="Steel",$R518="Grass"),1,0)),IF(OR($S518="Ground",$S518="Rock",$S518="Water"),0-1,IF(OR($S518="Bug",$S518="Flying",$S518="Fire",$S518="Dragon",$S518="Poison",$S518="Steel",$S518="Grass"),1,0)))</f>
        <v>-2</v>
      </c>
      <c r="AM518" s="507" t="n">
        <f aca="false">IF(OR($R518="Flying",$S518="Flying"),4,SUM(IF(OR($R518="Electric",$R518="Fire",$R518="Rock",$R518="Steel",$R518="Poison"),0-1,IF(OR($R518="Bug",$R518="Grass"),1,0)),IF(OR($S518="Electric",$S518="Fire",$S518="Rock",$S518="Steel",$S518="Poison"),0-1,IF(OR($S518="Bug",$S518="Grass"),1,0))))</f>
        <v>0</v>
      </c>
      <c r="AN518" s="507" t="n">
        <f aca="false">SUM(IF(OR($R518="Flying",$R518="Dragon",$R518="Grass",$R518="Ground"),0-1,IF(OR($R518="Steel",$R518="Ice",$R518="Fire",$R518="Water"),1,0)),IF(OR($S518="Flying",$S518="Dragon",$S518="Grass",$S518="Ground"),0-1,IF(OR($S518="Steel",$S518="Ice",$S518="Fire",$S518="Water"),1,0)))</f>
        <v>0</v>
      </c>
      <c r="AO518" s="507" t="n">
        <f aca="false">IF(OR($R518="Ghost",$S518="Ghost"),4,SUM(IF(OR($R518="Steel",$R518="Rock"),1,0),IF(OR($S518="Steel",$S518="Rock"),1,0)))</f>
        <v>0</v>
      </c>
      <c r="AP518" s="507" t="n">
        <f aca="false">IF(OR($R518="Steel",$S518="Steel"),4,SUM(IF(OR($R518="Fairy",$R518="Grass"),0-1,IF(OR($R518="Ghost",$R518="Rock",$R518="Ground",$R518="Poison"),1,0)),IF(OR($S518="Fairy",$S518="Grass"),0-1,IF(OR($S518="Ghost",$S518="Rock",$S518="Ground",$S518="Poison"),1,0))))</f>
        <v>1</v>
      </c>
      <c r="AQ518" s="507" t="n">
        <f aca="false">IF(OR($R518="Dark",$S518="Dark"),4,SUM(IF(OR($R518="Fighting",$R518="Poison"),0-1,IF(OR($R518="Psychic",$R518="Steel"),1,0)),IF(OR($S518="Fighting",$S518="Poison"),0-1,IF(OR($S518="Psychic",$S518="Steel"),1,0))))</f>
        <v>0</v>
      </c>
      <c r="AR518" s="507" t="n">
        <f aca="false">SUM(IF(OR($R518="Bug",$R518="Fire",$R518="Flying",$R518="Ice"),0-1,IF(OR($R518="Steel",$R518="Fighting",$R518="Ground"),1,0)),IF(OR($S518="Bug",$S518="Fire",$S518="Flying",$S518="Ice"),0-1,IF(OR($S518="Steel",$S518="Fighting",$S518="Ground"),1,0)))</f>
        <v>1</v>
      </c>
      <c r="AS518" s="507" t="n">
        <f aca="false">SUM(IF(OR($R518="Fairy",$R518="Ice",$R518="Rock"),0-1,IF(OR($R518="Steel",$R518="Electric",$R518="Fire",$R518="Water"),1,0)),IF(OR($S518="Fairy",$S518="Ice",$S518="Rock"),0-1,IF(OR($S518="Steel",$S518="Electric",$S518="Fire",$S518="Water"),1,0)))</f>
        <v>1</v>
      </c>
      <c r="AT518" s="508" t="n">
        <f aca="false">SUM(IF(OR($R518="Fire",$R518="Ground",$R518="Rock"),0-1,IF(OR($R518="Dragon",$R518="Grass",$R518="Water"),1,0)),IF(OR($S518="Fire",$S518="Ground",$S518="Rock"),0-1,IF(OR($S518="Dragon",$S518="Grass",$S518="Water"),1,0)))</f>
        <v>0</v>
      </c>
      <c r="AU518" s="518"/>
    </row>
    <row r="519" customFormat="false" ht="15.75" hidden="false" customHeight="false" outlineLevel="0" collapsed="false">
      <c r="A519" s="536" t="str">
        <f aca="false" t="array" ref="A519:A519">IF(ISNA(INDEX(Source!$U$7:$U$95,MATCH(B519,Source!$V$7:$V$95,0))),"FREE",INDEX(Source!$U$7:$U$95,MATCH(B519,Source!$V$7:$V$95,0)))</f>
        <v>FREE</v>
      </c>
      <c r="B519" s="511" t="s">
        <v>687</v>
      </c>
      <c r="C519" s="511"/>
      <c r="D519" s="511"/>
      <c r="E519" s="499" t="str">
        <f aca="false">IF(SUM($W519:$X519)&gt;0,SUM($W519:$X519),IF($H519&gt;0,0,IF($H519&gt;0,0,"-")))</f>
        <v>-</v>
      </c>
      <c r="F519" s="499" t="str">
        <f aca="false">IF(SUM($Y519:$Z519)&gt;0,SUM($Y519:$Z519),IF($H519&gt;0,0,"-"))</f>
        <v>-</v>
      </c>
      <c r="G519" s="499" t="str">
        <f aca="false">IF($H519&gt;0,minus(E519,F519),"-")</f>
        <v>-</v>
      </c>
      <c r="H519" s="500" t="n">
        <f aca="false">SUM(COUNTIF(MatchSource!$A:$A,$B519),COUNTIF(MatchSource!$H:$H,$B519))</f>
        <v>0</v>
      </c>
      <c r="I519" s="501" t="n">
        <f aca="false">SUM($AA519:$AB519)</f>
        <v>0</v>
      </c>
      <c r="J519" s="501" t="s">
        <v>702</v>
      </c>
      <c r="K519" s="512" t="str">
        <f aca="false" t="array" ref="K519:K519">IF(ISNA(INDEX(DraftRosters!$AA$3:$AA$199,MATCH($B519,DraftRosters!$AB$3:$AB$199,0))),"FA",IF(INDEX(DraftRosters!$AA$3:$AA$199,MATCH($B519,DraftRosters!$AB$3:$AB$199,0))="Franchise","Franch",INDEX(DraftRosters!$AA$3:$AA$199,MATCH($B519,DraftRosters!$AB$3:$AB$199,0))))</f>
        <v>FA</v>
      </c>
      <c r="L519" s="499" t="n">
        <v>140</v>
      </c>
      <c r="M519" s="499" t="n">
        <v>70</v>
      </c>
      <c r="N519" s="499" t="n">
        <v>45</v>
      </c>
      <c r="O519" s="499" t="n">
        <v>85</v>
      </c>
      <c r="P519" s="499" t="n">
        <v>50</v>
      </c>
      <c r="Q519" s="501" t="n">
        <v>45</v>
      </c>
      <c r="R519" s="499" t="s">
        <v>798</v>
      </c>
      <c r="S519" s="501" t="s">
        <v>839</v>
      </c>
      <c r="T519" s="513" t="s">
        <v>989</v>
      </c>
      <c r="U519" s="513" t="s">
        <v>871</v>
      </c>
      <c r="V519" s="514" t="s">
        <v>922</v>
      </c>
      <c r="W519" s="500" t="str">
        <f aca="false">IFERROR(__xludf.dummyfunction("if(isna(SUM(FILTER(MatchSource!$A:$D,MatchSource!$A:$A=$B519))),0,SUM(FILTER(MatchSource!$A:$D,MatchSource!$A:$A=$B519)))"),"0")</f>
        <v>0</v>
      </c>
      <c r="X519" s="499" t="str">
        <f aca="false">IFERROR(__xludf.dummyfunction("if(isna(SUM(FILTER(MatchSource!$H:$K,MatchSource!$H:$H=$B519))),0,SUM(FILTER(MatchSource!$H:$K,MatchSource!$H:$H=$B519)))"),"0")</f>
        <v>0</v>
      </c>
      <c r="Y519" s="499" t="str">
        <f aca="false">IFERROR(__xludf.dummyfunction("if(isna(ABS(MINUS(SUM(FILTER(MatchSource!$A:$E,MatchSource!$A:$A=$B519)),SUM($W519)))),0,ABS(MINUS(SUM(FILTER(MatchSource!$A:$E,MatchSource!$A:$A=$B519)),SUM($W519))))"),"0")</f>
        <v>0</v>
      </c>
      <c r="Z519" s="499" t="str">
        <f aca="false">IFERROR(__xludf.dummyfunction("if(isna(ABS(MINUS(SUM(FILTER(MatchSource!$H:$L,MatchSource!$H:$H=$B519)),SUM($X519)))),0,ABS(MINUS(SUM(FILTER(MatchSource!$H:$L,MatchSource!$H:$H=$B519)),SUM($X519))))"),"0")</f>
        <v>0</v>
      </c>
      <c r="AA519" s="499" t="str">
        <f aca="false">IFERROR(__xludf.dummyfunction("if(isna(ABS(MINUS(SUM(FILTER(MatchSource!$A:$F,MatchSource!$A:$A=$B519)),SUM($W519,$Y519)))),0,ABS(MINUS(SUM(FILTER(MatchSource!$A:$F,MatchSource!$A:$A=$B519)),SUM($W519, $Y519,))))"),"0")</f>
        <v>0</v>
      </c>
      <c r="AB519" s="501" t="str">
        <f aca="false">IFERROR(__xludf.dummyfunction("if(isna(ABS(MINUS(SUM(FILTER(MatchSource!$H:$M,MatchSource!$H:$H=$B519)),SUM($X519,$Z519)))),0,ABS(MINUS(SUM(FILTER(MatchSource!$H:$M,MatchSource!$H:$H=$B519)),SUM($X519,$Z519))))"),"0")</f>
        <v>0</v>
      </c>
      <c r="AC519" s="507" t="n">
        <f aca="false">SUM(IF(OR($R519="Grass",$R519="Psychic",$R519="Dark"),0-1,IF(OR($R519="Fighting",$R519="Flying",$R519="Fire",$R519="Ghost",$R519="Poison",$R519="Steel",$R519="Fairy"),1,0)),IF(OR($S519="Grass",$S519="Psychic",$S519="Dark"),0-1,IF(OR($S519="Fighting",$S519="Flying",$S519="Fire",$S519="Ghost",$S519="Poison",$S519="Steel",$S519="Fairy"),1,0)))</f>
        <v>1</v>
      </c>
      <c r="AD519" s="507" t="n">
        <f aca="false">SUM(IF(OR($R519="Ghost",$R519="Psychic"),0-1,IF(OR($R519="Fighting",$R519="Dark",$R519="Fairy"),1,0)),IF(OR($S519="Ghost",$S519="Psychic"),0-1,IF(OR($S519="Fighting",$S519="Dark",$S519="Fairy"),1,0)))</f>
        <v>1</v>
      </c>
      <c r="AE519" s="507" t="n">
        <f aca="false">IF(OR($R519="Fairy",$S519="Fairy"),4,SUM(IF($R519="Dragon",0-1,IF($R519="Steel",1,0)),IF($S519="Dragon",0-1,IF($S519="Steel",1,0))))</f>
        <v>4</v>
      </c>
      <c r="AF519" s="507" t="n">
        <f aca="false">IF(OR($R519="Ground",$S519="Ground"),4,SUM(IF(OR($R519="Flying",$R519="Water"),0-1,IF(OR($R519="Dragon",$R519="Electric",$R519="Grass"),1,0)),IF(OR($S519="Flying",$S519="Water"),0-1,IF(OR($S519="Dragon",$S519="Electric",$S519="Grass"),1,0))))</f>
        <v>0</v>
      </c>
      <c r="AG519" s="507" t="n">
        <f aca="false">SUM(IF(OR($R519="Dark",$R519="Dragon",$R519="Fighting"),0-1,IF(OR($R519="Steel",$R519="Poison",$R519="Fire"),1,0)),IF(OR($S519="Dark",$S519="Dragon",$S519="Fighting"),0-1,IF(OR($S519="Steel",$S519="Poison",$S519="Fire"),1,0)))</f>
        <v>0</v>
      </c>
      <c r="AH519" s="507" t="n">
        <f aca="false">IF(OR($R519="Ghost",$S519="Ghost"),4,SUM(IF(OR($R519="Dark",$R519="Ice",$R519="Normal",$R519="Rock",$R519="Steel"),0-1,IF(OR($R519="Bug",$R519="Fairy",$R519="Flying",$R519="Poison",$R519="Psychic"),1,0)),IF(OR($S519="Dark",$S519="Ice",$S519="Normal",$S519="Rock",$S519="Steel"),0-1,IF(OR($S519="Bug",$S519="Fairy",$S519="Flying",$S519="Poison",$S519="Psychic"),1,0))))</f>
        <v>0</v>
      </c>
      <c r="AI519" s="507" t="n">
        <f aca="false">SUM(IF(OR($R519="Bug",$R519="Grass",$R519="Ice",$R519="Steel"),0-1,IF(OR($R519="Dragon",$R519="Fire",$R519="Rock",$R519="Water"),1,0)),IF(OR($S519="Bug",$S519="Grass",$S519="Ice",$S519="Steel"),0-1,IF(OR($S519="Dragon",$S519="Fire",$S519="Rock",$S519="Water"),1,0)))</f>
        <v>0</v>
      </c>
      <c r="AJ519" s="507" t="n">
        <f aca="false">SUM(IF(OR($R519="Bug",$R519="Grass",$R519="Fighting"),0-1,IF(OR($R519="Electric",$R519="Rock",$R519="Steel"),1,0)),IF(OR($S519="Bug",$S519="Grass",$S519="Fighting"),0-1,IF(OR($S519="Electric",$S519="Rock",$S519="Steel"),1,0)))</f>
        <v>0</v>
      </c>
      <c r="AK519" s="507" t="n">
        <f aca="false">IF(OR($R519="Normal",$S519="Normal"),4,SUM(IF(OR($R519="Ghost",$R519="Psychic"),0-1,IF($R519="Dark",1,0)),IF(OR($S519="Ghost",$S519="Psychic"),0-1,IF($S519="Dark",1,0))))</f>
        <v>4</v>
      </c>
      <c r="AL519" s="507" t="n">
        <f aca="false">SUM(IF(OR($R519="Ground",$R519="Rock",$R519="Water"),0-1,IF(OR($R519="Bug",$R519="Flying",$R519="Fire",$R519="Dragon",$R519="Poison",$R519="Steel",$R519="Grass"),1,0)),IF(OR($S519="Ground",$S519="Rock",$S519="Water"),0-1,IF(OR($S519="Bug",$S519="Flying",$S519="Fire",$S519="Dragon",$S519="Poison",$S519="Steel",$S519="Grass"),1,0)))</f>
        <v>0</v>
      </c>
      <c r="AM519" s="507" t="n">
        <f aca="false">IF(OR($R519="Flying",$S519="Flying"),4,SUM(IF(OR($R519="Electric",$R519="Fire",$R519="Rock",$R519="Steel",$R519="Poison"),0-1,IF(OR($R519="Bug",$R519="Grass"),1,0)),IF(OR($S519="Electric",$S519="Fire",$S519="Rock",$S519="Steel",$S519="Poison"),0-1,IF(OR($S519="Bug",$S519="Grass"),1,0))))</f>
        <v>0</v>
      </c>
      <c r="AN519" s="507" t="n">
        <f aca="false">SUM(IF(OR($R519="Flying",$R519="Dragon",$R519="Grass",$R519="Ground"),0-1,IF(OR($R519="Steel",$R519="Ice",$R519="Fire",$R519="Water"),1,0)),IF(OR($S519="Flying",$S519="Dragon",$S519="Grass",$S519="Ground"),0-1,IF(OR($S519="Steel",$S519="Ice",$S519="Fire",$S519="Water"),1,0)))</f>
        <v>0</v>
      </c>
      <c r="AO519" s="507" t="n">
        <f aca="false">IF(OR($R519="Ghost",$S519="Ghost"),4,SUM(IF(OR($R519="Steel",$R519="Rock"),1,0),IF(OR($S519="Steel",$S519="Rock"),1,0)))</f>
        <v>0</v>
      </c>
      <c r="AP519" s="507" t="n">
        <f aca="false">IF(OR($R519="Steel",$S519="Steel"),4,SUM(IF(OR($R519="Fairy",$R519="Grass"),0-1,IF(OR($R519="Ghost",$R519="Rock",$R519="Ground",$R519="Poison"),1,0)),IF(OR($S519="Fairy",$S519="Grass"),0-1,IF(OR($S519="Ghost",$S519="Rock",$S519="Ground",$S519="Poison"),1,0))))</f>
        <v>-1</v>
      </c>
      <c r="AQ519" s="507" t="n">
        <f aca="false">IF(OR($R519="Dark",$S519="Dark"),4,SUM(IF(OR($R519="Fighting",$R519="Poison"),0-1,IF(OR($R519="Psychic",$R519="Steel"),1,0)),IF(OR($S519="Fighting",$S519="Poison"),0-1,IF(OR($S519="Psychic",$S519="Steel"),1,0))))</f>
        <v>0</v>
      </c>
      <c r="AR519" s="507" t="n">
        <f aca="false">SUM(IF(OR($R519="Bug",$R519="Fire",$R519="Flying",$R519="Ice"),0-1,IF(OR($R519="Steel",$R519="Fighting",$R519="Ground"),1,0)),IF(OR($S519="Bug",$S519="Fire",$S519="Flying",$S519="Ice"),0-1,IF(OR($S519="Steel",$S519="Fighting",$S519="Ground"),1,0)))</f>
        <v>0</v>
      </c>
      <c r="AS519" s="507" t="n">
        <f aca="false">SUM(IF(OR($R519="Fairy",$R519="Ice",$R519="Rock"),0-1,IF(OR($R519="Steel",$R519="Electric",$R519="Fire",$R519="Water"),1,0)),IF(OR($S519="Fairy",$S519="Ice",$S519="Rock"),0-1,IF(OR($S519="Steel",$S519="Electric",$S519="Fire",$S519="Water"),1,0)))</f>
        <v>-1</v>
      </c>
      <c r="AT519" s="508" t="n">
        <f aca="false">SUM(IF(OR($R519="Fire",$R519="Ground",$R519="Rock"),0-1,IF(OR($R519="Dragon",$R519="Grass",$R519="Water"),1,0)),IF(OR($S519="Fire",$S519="Ground",$S519="Rock"),0-1,IF(OR($S519="Dragon",$S519="Grass",$S519="Water"),1,0)))</f>
        <v>0</v>
      </c>
      <c r="AU519" s="518"/>
    </row>
    <row r="520" customFormat="false" ht="15.75" hidden="false" customHeight="false" outlineLevel="0" collapsed="false">
      <c r="A520" s="510" t="str">
        <f aca="false" t="array" ref="A520:A520">IF(ISNA(INDEX(Source!$U$7:$U$95,MATCH(B520,Source!$V$7:$V$95,0))),"FREE",INDEX(Source!$U$7:$U$95,MATCH(B520,Source!$V$7:$V$95,0)))</f>
        <v>FREE</v>
      </c>
      <c r="B520" s="511" t="s">
        <v>756</v>
      </c>
      <c r="C520" s="511"/>
      <c r="D520" s="511"/>
      <c r="E520" s="499" t="str">
        <f aca="false">IF(SUM($W520:$X520)&gt;0,SUM($W520:$X520),IF($H520&gt;0,0,IF($H520&gt;0,0,"-")))</f>
        <v>-</v>
      </c>
      <c r="F520" s="499" t="str">
        <f aca="false">IF(SUM($Y520:$Z520)&gt;0,SUM($Y520:$Z520),IF($H520&gt;0,0,"-"))</f>
        <v>-</v>
      </c>
      <c r="G520" s="499" t="str">
        <f aca="false">IF($H520&gt;0,minus(E520,F520),"-")</f>
        <v>-</v>
      </c>
      <c r="H520" s="500" t="n">
        <f aca="false">SUM(COUNTIF(MatchSource!$A:$A,$B520),COUNTIF(MatchSource!$H:$H,$B520))</f>
        <v>0</v>
      </c>
      <c r="I520" s="501" t="n">
        <f aca="false">SUM($AA520:$AB520)</f>
        <v>0</v>
      </c>
      <c r="J520" s="501" t="s">
        <v>701</v>
      </c>
      <c r="K520" s="512" t="str">
        <f aca="false" t="array" ref="K520:K520">IF(ISNA(INDEX(DraftRosters!$AA$3:$AA$199,MATCH($B520,DraftRosters!$AB$3:$AB$199,0))),"FA",IF(INDEX(DraftRosters!$AA$3:$AA$199,MATCH($B520,DraftRosters!$AB$3:$AB$199,0))="Franchise","Franch",INDEX(DraftRosters!$AA$3:$AA$199,MATCH($B520,DraftRosters!$AB$3:$AB$199,0))))</f>
        <v>FA</v>
      </c>
      <c r="L520" s="499" t="n">
        <v>45</v>
      </c>
      <c r="M520" s="499" t="n">
        <v>140</v>
      </c>
      <c r="N520" s="499" t="n">
        <v>130</v>
      </c>
      <c r="O520" s="499" t="n">
        <v>140</v>
      </c>
      <c r="P520" s="499" t="n">
        <v>145</v>
      </c>
      <c r="Q520" s="501" t="n">
        <v>30</v>
      </c>
      <c r="R520" s="499" t="s">
        <v>811</v>
      </c>
      <c r="S520" s="501"/>
      <c r="T520" s="520" t="s">
        <v>1080</v>
      </c>
      <c r="U520" s="513"/>
      <c r="V520" s="514"/>
      <c r="W520" s="500" t="str">
        <f aca="false">IFERROR(__xludf.dummyfunction("if(isna(SUM(FILTER(MatchSource!$A:$D,MatchSource!$A:$A=$B520))),0,SUM(FILTER(MatchSource!$A:$D,MatchSource!$A:$A=$B520)))"),"0")</f>
        <v>0</v>
      </c>
      <c r="X520" s="499" t="str">
        <f aca="false">IFERROR(__xludf.dummyfunction("if(isna(SUM(FILTER(MatchSource!$H:$K,MatchSource!$H:$H=$B520))),0,SUM(FILTER(MatchSource!$H:$K,MatchSource!$H:$H=$B520)))"),"0")</f>
        <v>0</v>
      </c>
      <c r="Y520" s="499" t="str">
        <f aca="false">IFERROR(__xludf.dummyfunction("if(isna(ABS(MINUS(SUM(FILTER(MatchSource!$A:$E,MatchSource!$A:$A=$B520)),SUM($W520)))),0,ABS(MINUS(SUM(FILTER(MatchSource!$A:$E,MatchSource!$A:$A=$B520)),SUM($W520))))"),"0")</f>
        <v>0</v>
      </c>
      <c r="Z520" s="499" t="str">
        <f aca="false">IFERROR(__xludf.dummyfunction("if(isna(ABS(MINUS(SUM(FILTER(MatchSource!$H:$L,MatchSource!$H:$H=$B520)),SUM($X520)))),0,ABS(MINUS(SUM(FILTER(MatchSource!$H:$L,MatchSource!$H:$H=$B520)),SUM($X520))))"),"0")</f>
        <v>0</v>
      </c>
      <c r="AA520" s="499" t="str">
        <f aca="false">IFERROR(__xludf.dummyfunction("if(isna(ABS(MINUS(SUM(FILTER(MatchSource!$A:$F,MatchSource!$A:$A=$B520)),SUM($W520,$Y520)))),0,ABS(MINUS(SUM(FILTER(MatchSource!$A:$F,MatchSource!$A:$A=$B520)),SUM($W520, $Y520,))))"),"0")</f>
        <v>0</v>
      </c>
      <c r="AB520" s="501" t="str">
        <f aca="false">IFERROR(__xludf.dummyfunction("if(isna(ABS(MINUS(SUM(FILTER(MatchSource!$H:$M,MatchSource!$H:$H=$B520)),SUM($X520,$Z520)))),0,ABS(MINUS(SUM(FILTER(MatchSource!$H:$M,MatchSource!$H:$H=$B520)),SUM($X520,$Z520))))"),"0")</f>
        <v>0</v>
      </c>
      <c r="AC520" s="507" t="n">
        <f aca="false">SUM(IF(OR($R520="Grass",$R520="Psychic",$R520="Dark"),0-1,IF(OR($R520="Fighting",$R520="Flying",$R520="Fire",$R520="Ghost",$R520="Poison",$R520="Steel",$R520="Fairy"),1,0)),IF(OR($S520="Grass",$S520="Psychic",$S520="Dark"),0-1,IF(OR($S520="Fighting",$S520="Flying",$S520="Fire",$S520="Ghost",$S520="Poison",$S520="Steel",$S520="Fairy"),1,0)))</f>
        <v>0</v>
      </c>
      <c r="AD520" s="507" t="n">
        <f aca="false">SUM(IF(OR($R520="Ghost",$R520="Psychic"),0-1,IF(OR($R520="Fighting",$R520="Dark",$R520="Fairy"),1,0)),IF(OR($S520="Ghost",$S520="Psychic"),0-1,IF(OR($S520="Fighting",$S520="Dark",$S520="Fairy"),1,0)))</f>
        <v>0</v>
      </c>
      <c r="AE520" s="507" t="n">
        <f aca="false">IF(OR($R520="Fairy",$S520="Fairy"),4,SUM(IF($R520="Dragon",0-1,IF($R520="Steel",1,0)),IF($S520="Dragon",0-1,IF($S520="Steel",1,0))))</f>
        <v>0</v>
      </c>
      <c r="AF520" s="507" t="n">
        <f aca="false">IF(OR($R520="Ground",$S520="Ground"),4,SUM(IF(OR($R520="Flying",$R520="Water"),0-1,IF(OR($R520="Dragon",$R520="Electric",$R520="Grass"),1,0)),IF(OR($S520="Flying",$S520="Water"),0-1,IF(OR($S520="Dragon",$S520="Electric",$S520="Grass"),1,0))))</f>
        <v>-1</v>
      </c>
      <c r="AG520" s="507" t="n">
        <f aca="false">SUM(IF(OR($R520="Dark",$R520="Dragon",$R520="Fighting"),0-1,IF(OR($R520="Steel",$R520="Poison",$R520="Fire"),1,0)),IF(OR($S520="Dark",$S520="Dragon",$S520="Fighting"),0-1,IF(OR($S520="Steel",$S520="Poison",$S520="Fire"),1,0)))</f>
        <v>0</v>
      </c>
      <c r="AH520" s="507" t="n">
        <f aca="false">IF(OR($R520="Ghost",$S520="Ghost"),4,SUM(IF(OR($R520="Dark",$R520="Ice",$R520="Normal",$R520="Rock",$R520="Steel"),0-1,IF(OR($R520="Bug",$R520="Fairy",$R520="Flying",$R520="Poison",$R520="Psychic"),1,0)),IF(OR($S520="Dark",$S520="Ice",$S520="Normal",$S520="Rock",$S520="Steel"),0-1,IF(OR($S520="Bug",$S520="Fairy",$S520="Flying",$S520="Poison",$S520="Psychic"),1,0))))</f>
        <v>0</v>
      </c>
      <c r="AI520" s="507" t="n">
        <f aca="false">SUM(IF(OR($R520="Bug",$R520="Grass",$R520="Ice",$R520="Steel"),0-1,IF(OR($R520="Dragon",$R520="Fire",$R520="Rock",$R520="Water"),1,0)),IF(OR($S520="Bug",$S520="Grass",$S520="Ice",$S520="Steel"),0-1,IF(OR($S520="Dragon",$S520="Fire",$S520="Rock",$S520="Water"),1,0)))</f>
        <v>1</v>
      </c>
      <c r="AJ520" s="507" t="n">
        <f aca="false">SUM(IF(OR($R520="Bug",$R520="Grass",$R520="Fighting"),0-1,IF(OR($R520="Electric",$R520="Rock",$R520="Steel"),1,0)),IF(OR($S520="Bug",$S520="Grass",$S520="Fighting"),0-1,IF(OR($S520="Electric",$S520="Rock",$S520="Steel"),1,0)))</f>
        <v>0</v>
      </c>
      <c r="AK520" s="507" t="n">
        <f aca="false">IF(OR($R520="Normal",$S520="Normal"),4,SUM(IF(OR($R520="Ghost",$R520="Psychic"),0-1,IF($R520="Dark",1,0)),IF(OR($S520="Ghost",$S520="Psychic"),0-1,IF($S520="Dark",1,0))))</f>
        <v>0</v>
      </c>
      <c r="AL520" s="507" t="n">
        <f aca="false">SUM(IF(OR($R520="Ground",$R520="Rock",$R520="Water"),0-1,IF(OR($R520="Bug",$R520="Flying",$R520="Fire",$R520="Dragon",$R520="Poison",$R520="Steel",$R520="Grass"),1,0)),IF(OR($S520="Ground",$S520="Rock",$S520="Water"),0-1,IF(OR($S520="Bug",$S520="Flying",$S520="Fire",$S520="Dragon",$S520="Poison",$S520="Steel",$S520="Grass"),1,0)))</f>
        <v>-1</v>
      </c>
      <c r="AM520" s="507" t="n">
        <f aca="false">IF(OR($R520="Flying",$S520="Flying"),4,SUM(IF(OR($R520="Electric",$R520="Fire",$R520="Rock",$R520="Steel",$R520="Poison"),0-1,IF(OR($R520="Bug",$R520="Grass"),1,0)),IF(OR($S520="Electric",$S520="Fire",$S520="Rock",$S520="Steel",$S520="Poison"),0-1,IF(OR($S520="Bug",$S520="Grass"),1,0))))</f>
        <v>0</v>
      </c>
      <c r="AN520" s="507" t="n">
        <f aca="false">SUM(IF(OR($R520="Flying",$R520="Dragon",$R520="Grass",$R520="Ground"),0-1,IF(OR($R520="Steel",$R520="Ice",$R520="Fire",$R520="Water"),1,0)),IF(OR($S520="Flying",$S520="Dragon",$S520="Grass",$S520="Ground"),0-1,IF(OR($S520="Steel",$S520="Ice",$S520="Fire",$S520="Water"),1,0)))</f>
        <v>1</v>
      </c>
      <c r="AO520" s="507" t="n">
        <f aca="false">IF(OR($R520="Ghost",$S520="Ghost"),4,SUM(IF(OR($R520="Steel",$R520="Rock"),1,0),IF(OR($S520="Steel",$S520="Rock"),1,0)))</f>
        <v>0</v>
      </c>
      <c r="AP520" s="507" t="n">
        <f aca="false">IF(OR($R520="Steel",$S520="Steel"),4,SUM(IF(OR($R520="Fairy",$R520="Grass"),0-1,IF(OR($R520="Ghost",$R520="Rock",$R520="Ground",$R520="Poison"),1,0)),IF(OR($S520="Fairy",$S520="Grass"),0-1,IF(OR($S520="Ghost",$S520="Rock",$S520="Ground",$S520="Poison"),1,0))))</f>
        <v>0</v>
      </c>
      <c r="AQ520" s="507" t="n">
        <f aca="false">IF(OR($R520="Dark",$S520="Dark"),4,SUM(IF(OR($R520="Fighting",$R520="Poison"),0-1,IF(OR($R520="Psychic",$R520="Steel"),1,0)),IF(OR($S520="Fighting",$S520="Poison"),0-1,IF(OR($S520="Psychic",$S520="Steel"),1,0))))</f>
        <v>0</v>
      </c>
      <c r="AR520" s="507" t="n">
        <f aca="false">SUM(IF(OR($R520="Bug",$R520="Fire",$R520="Flying",$R520="Ice"),0-1,IF(OR($R520="Steel",$R520="Fighting",$R520="Ground"),1,0)),IF(OR($S520="Bug",$S520="Fire",$S520="Flying",$S520="Ice"),0-1,IF(OR($S520="Steel",$S520="Fighting",$S520="Ground"),1,0)))</f>
        <v>0</v>
      </c>
      <c r="AS520" s="507" t="n">
        <f aca="false">SUM(IF(OR($R520="Fairy",$R520="Ice",$R520="Rock"),0-1,IF(OR($R520="Steel",$R520="Electric",$R520="Fire",$R520="Water"),1,0)),IF(OR($S520="Fairy",$S520="Ice",$S520="Rock"),0-1,IF(OR($S520="Steel",$S520="Electric",$S520="Fire",$S520="Water"),1,0)))</f>
        <v>1</v>
      </c>
      <c r="AT520" s="508" t="n">
        <f aca="false">SUM(IF(OR($R520="Fire",$R520="Ground",$R520="Rock"),0-1,IF(OR($R520="Dragon",$R520="Grass",$R520="Water"),1,0)),IF(OR($S520="Fire",$S520="Ground",$S520="Rock"),0-1,IF(OR($S520="Dragon",$S520="Grass",$S520="Water"),1,0)))</f>
        <v>1</v>
      </c>
      <c r="AU520" s="518"/>
    </row>
    <row r="521" customFormat="false" ht="15.75" hidden="false" customHeight="false" outlineLevel="0" collapsed="false">
      <c r="A521" s="510" t="str">
        <f aca="false" t="array" ref="A521:A521">IF(ISNA(INDEX(Source!$U$7:$U$95,MATCH(B521,Source!$V$7:$V$95,0))),"FREE",INDEX(Source!$U$7:$U$95,MATCH(B521,Source!$V$7:$V$95,0)))</f>
        <v>FREE</v>
      </c>
      <c r="B521" s="511" t="s">
        <v>769</v>
      </c>
      <c r="C521" s="511"/>
      <c r="D521" s="511"/>
      <c r="E521" s="499" t="str">
        <f aca="false">IF(SUM($W521:$X521)&gt;0,SUM($W521:$X521),IF($H521&gt;0,0,IF($H521&gt;0,0,"-")))</f>
        <v>-</v>
      </c>
      <c r="F521" s="499" t="str">
        <f aca="false">IF(SUM($Y521:$Z521)&gt;0,SUM($Y521:$Z521),IF($H521&gt;0,0,"-"))</f>
        <v>-</v>
      </c>
      <c r="G521" s="499" t="str">
        <f aca="false">IF($H521&gt;0,minus(E521,F521),"-")</f>
        <v>-</v>
      </c>
      <c r="H521" s="500" t="n">
        <f aca="false">SUM(COUNTIF(MatchSource!$A:$A,$B521),COUNTIF(MatchSource!$H:$H,$B521))</f>
        <v>0</v>
      </c>
      <c r="I521" s="501" t="n">
        <f aca="false">SUM($AA521:$AB521)</f>
        <v>0</v>
      </c>
      <c r="J521" s="501" t="s">
        <v>702</v>
      </c>
      <c r="K521" s="512" t="str">
        <f aca="false" t="array" ref="K521:K521">IF(ISNA(INDEX(DraftRosters!$AA$3:$AA$199,MATCH($B521,DraftRosters!$AB$3:$AB$199,0))),"FA",IF(INDEX(DraftRosters!$AA$3:$AA$199,MATCH($B521,DraftRosters!$AB$3:$AB$199,0))="Franchise","Franch",INDEX(DraftRosters!$AA$3:$AA$199,MATCH($B521,DraftRosters!$AB$3:$AB$199,0))))</f>
        <v>FA</v>
      </c>
      <c r="L521" s="499" t="n">
        <v>190</v>
      </c>
      <c r="M521" s="499" t="n">
        <v>33</v>
      </c>
      <c r="N521" s="499" t="n">
        <v>58</v>
      </c>
      <c r="O521" s="499" t="n">
        <v>33</v>
      </c>
      <c r="P521" s="499" t="n">
        <v>58</v>
      </c>
      <c r="Q521" s="501" t="n">
        <v>33</v>
      </c>
      <c r="R521" s="499" t="s">
        <v>828</v>
      </c>
      <c r="S521" s="501"/>
      <c r="T521" s="513" t="s">
        <v>1081</v>
      </c>
      <c r="U521" s="513" t="s">
        <v>879</v>
      </c>
      <c r="V521" s="514"/>
      <c r="W521" s="500" t="str">
        <f aca="false">IFERROR(__xludf.dummyfunction("if(isna(SUM(FILTER(MatchSource!$A:$D,MatchSource!$A:$A=$B521))),0,SUM(FILTER(MatchSource!$A:$D,MatchSource!$A:$A=$B521)))"),"0")</f>
        <v>0</v>
      </c>
      <c r="X521" s="499" t="str">
        <f aca="false">IFERROR(__xludf.dummyfunction("if(isna(SUM(FILTER(MatchSource!$H:$K,MatchSource!$H:$H=$B521))),0,SUM(FILTER(MatchSource!$H:$K,MatchSource!$H:$H=$B521)))"),"0")</f>
        <v>0</v>
      </c>
      <c r="Y521" s="499" t="str">
        <f aca="false">IFERROR(__xludf.dummyfunction("if(isna(ABS(MINUS(SUM(FILTER(MatchSource!$A:$E,MatchSource!$A:$A=$B521)),SUM($W521)))),0,ABS(MINUS(SUM(FILTER(MatchSource!$A:$E,MatchSource!$A:$A=$B521)),SUM($W521))))"),"0")</f>
        <v>0</v>
      </c>
      <c r="Z521" s="499" t="str">
        <f aca="false">IFERROR(__xludf.dummyfunction("if(isna(ABS(MINUS(SUM(FILTER(MatchSource!$H:$L,MatchSource!$H:$H=$B521)),SUM($X521)))),0,ABS(MINUS(SUM(FILTER(MatchSource!$H:$L,MatchSource!$H:$H=$B521)),SUM($X521))))"),"0")</f>
        <v>0</v>
      </c>
      <c r="AA521" s="499" t="str">
        <f aca="false">IFERROR(__xludf.dummyfunction("if(isna(ABS(MINUS(SUM(FILTER(MatchSource!$A:$F,MatchSource!$A:$A=$B521)),SUM($W521,$Y521)))),0,ABS(MINUS(SUM(FILTER(MatchSource!$A:$F,MatchSource!$A:$A=$B521)),SUM($W521, $Y521,))))"),"0")</f>
        <v>0</v>
      </c>
      <c r="AB521" s="501" t="str">
        <f aca="false">IFERROR(__xludf.dummyfunction("if(isna(ABS(MINUS(SUM(FILTER(MatchSource!$H:$M,MatchSource!$H:$H=$B521)),SUM($X521,$Z521)))),0,ABS(MINUS(SUM(FILTER(MatchSource!$H:$M,MatchSource!$H:$H=$B521)),SUM($X521,$Z521))))"),"0")</f>
        <v>0</v>
      </c>
      <c r="AC521" s="507" t="n">
        <f aca="false">SUM(IF(OR($R521="Grass",$R521="Psychic",$R521="Dark"),0-1,IF(OR($R521="Fighting",$R521="Flying",$R521="Fire",$R521="Ghost",$R521="Poison",$R521="Steel",$R521="Fairy"),1,0)),IF(OR($S521="Grass",$S521="Psychic",$S521="Dark"),0-1,IF(OR($S521="Fighting",$S521="Flying",$S521="Fire",$S521="Ghost",$S521="Poison",$S521="Steel",$S521="Fairy"),1,0)))</f>
        <v>-1</v>
      </c>
      <c r="AD521" s="507" t="n">
        <f aca="false">SUM(IF(OR($R521="Ghost",$R521="Psychic"),0-1,IF(OR($R521="Fighting",$R521="Dark",$R521="Fairy"),1,0)),IF(OR($S521="Ghost",$S521="Psychic"),0-1,IF(OR($S521="Fighting",$S521="Dark",$S521="Fairy"),1,0)))</f>
        <v>-1</v>
      </c>
      <c r="AE521" s="507" t="n">
        <f aca="false">IF(OR($R521="Fairy",$S521="Fairy"),4,SUM(IF($R521="Dragon",0-1,IF($R521="Steel",1,0)),IF($S521="Dragon",0-1,IF($S521="Steel",1,0))))</f>
        <v>0</v>
      </c>
      <c r="AF521" s="507" t="n">
        <f aca="false">IF(OR($R521="Ground",$S521="Ground"),4,SUM(IF(OR($R521="Flying",$R521="Water"),0-1,IF(OR($R521="Dragon",$R521="Electric",$R521="Grass"),1,0)),IF(OR($S521="Flying",$S521="Water"),0-1,IF(OR($S521="Dragon",$S521="Electric",$S521="Grass"),1,0))))</f>
        <v>0</v>
      </c>
      <c r="AG521" s="507" t="n">
        <f aca="false">SUM(IF(OR($R521="Dark",$R521="Dragon",$R521="Fighting"),0-1,IF(OR($R521="Steel",$R521="Poison",$R521="Fire"),1,0)),IF(OR($S521="Dark",$S521="Dragon",$S521="Fighting"),0-1,IF(OR($S521="Steel",$S521="Poison",$S521="Fire"),1,0)))</f>
        <v>0</v>
      </c>
      <c r="AH521" s="507" t="n">
        <f aca="false">IF(OR($R521="Ghost",$S521="Ghost"),4,SUM(IF(OR($R521="Dark",$R521="Ice",$R521="Normal",$R521="Rock",$R521="Steel"),0-1,IF(OR($R521="Bug",$R521="Fairy",$R521="Flying",$R521="Poison",$R521="Psychic"),1,0)),IF(OR($S521="Dark",$S521="Ice",$S521="Normal",$S521="Rock",$S521="Steel"),0-1,IF(OR($S521="Bug",$S521="Fairy",$S521="Flying",$S521="Poison",$S521="Psychic"),1,0))))</f>
        <v>1</v>
      </c>
      <c r="AI521" s="507" t="n">
        <f aca="false">SUM(IF(OR($R521="Bug",$R521="Grass",$R521="Ice",$R521="Steel"),0-1,IF(OR($R521="Dragon",$R521="Fire",$R521="Rock",$R521="Water"),1,0)),IF(OR($S521="Bug",$S521="Grass",$S521="Ice",$S521="Steel"),0-1,IF(OR($S521="Dragon",$S521="Fire",$S521="Rock",$S521="Water"),1,0)))</f>
        <v>0</v>
      </c>
      <c r="AJ521" s="507" t="n">
        <f aca="false">SUM(IF(OR($R521="Bug",$R521="Grass",$R521="Fighting"),0-1,IF(OR($R521="Electric",$R521="Rock",$R521="Steel"),1,0)),IF(OR($S521="Bug",$S521="Grass",$S521="Fighting"),0-1,IF(OR($S521="Electric",$S521="Rock",$S521="Steel"),1,0)))</f>
        <v>0</v>
      </c>
      <c r="AK521" s="507" t="n">
        <f aca="false">IF(OR($R521="Normal",$S521="Normal"),4,SUM(IF(OR($R521="Ghost",$R521="Psychic"),0-1,IF($R521="Dark",1,0)),IF(OR($S521="Ghost",$S521="Psychic"),0-1,IF($S521="Dark",1,0))))</f>
        <v>-1</v>
      </c>
      <c r="AL521" s="507" t="n">
        <f aca="false">SUM(IF(OR($R521="Ground",$R521="Rock",$R521="Water"),0-1,IF(OR($R521="Bug",$R521="Flying",$R521="Fire",$R521="Dragon",$R521="Poison",$R521="Steel",$R521="Grass"),1,0)),IF(OR($S521="Ground",$S521="Rock",$S521="Water"),0-1,IF(OR($S521="Bug",$S521="Flying",$S521="Fire",$S521="Dragon",$S521="Poison",$S521="Steel",$S521="Grass"),1,0)))</f>
        <v>0</v>
      </c>
      <c r="AM521" s="507" t="n">
        <f aca="false">IF(OR($R521="Flying",$S521="Flying"),4,SUM(IF(OR($R521="Electric",$R521="Fire",$R521="Rock",$R521="Steel",$R521="Poison"),0-1,IF(OR($R521="Bug",$R521="Grass"),1,0)),IF(OR($S521="Electric",$S521="Fire",$S521="Rock",$S521="Steel",$S521="Poison"),0-1,IF(OR($S521="Bug",$S521="Grass"),1,0))))</f>
        <v>0</v>
      </c>
      <c r="AN521" s="507" t="n">
        <f aca="false">SUM(IF(OR($R521="Flying",$R521="Dragon",$R521="Grass",$R521="Ground"),0-1,IF(OR($R521="Steel",$R521="Ice",$R521="Fire",$R521="Water"),1,0)),IF(OR($S521="Flying",$S521="Dragon",$S521="Grass",$S521="Ground"),0-1,IF(OR($S521="Steel",$S521="Ice",$S521="Fire",$S521="Water"),1,0)))</f>
        <v>0</v>
      </c>
      <c r="AO521" s="507" t="n">
        <f aca="false">IF(OR($R521="Ghost",$S521="Ghost"),4,SUM(IF(OR($R521="Steel",$R521="Rock"),1,0),IF(OR($S521="Steel",$S521="Rock"),1,0)))</f>
        <v>0</v>
      </c>
      <c r="AP521" s="507" t="n">
        <f aca="false">IF(OR($R521="Steel",$S521="Steel"),4,SUM(IF(OR($R521="Fairy",$R521="Grass"),0-1,IF(OR($R521="Ghost",$R521="Rock",$R521="Ground",$R521="Poison"),1,0)),IF(OR($S521="Fairy",$S521="Grass"),0-1,IF(OR($S521="Ghost",$S521="Rock",$S521="Ground",$S521="Poison"),1,0))))</f>
        <v>0</v>
      </c>
      <c r="AQ521" s="507" t="n">
        <f aca="false">IF(OR($R521="Dark",$S521="Dark"),4,SUM(IF(OR($R521="Fighting",$R521="Poison"),0-1,IF(OR($R521="Psychic",$R521="Steel"),1,0)),IF(OR($S521="Fighting",$S521="Poison"),0-1,IF(OR($S521="Psychic",$S521="Steel"),1,0))))</f>
        <v>1</v>
      </c>
      <c r="AR521" s="507" t="n">
        <f aca="false">SUM(IF(OR($R521="Bug",$R521="Fire",$R521="Flying",$R521="Ice"),0-1,IF(OR($R521="Steel",$R521="Fighting",$R521="Ground"),1,0)),IF(OR($S521="Bug",$S521="Fire",$S521="Flying",$S521="Ice"),0-1,IF(OR($S521="Steel",$S521="Fighting",$S521="Ground"),1,0)))</f>
        <v>0</v>
      </c>
      <c r="AS521" s="507" t="n">
        <f aca="false">SUM(IF(OR($R521="Fairy",$R521="Ice",$R521="Rock"),0-1,IF(OR($R521="Steel",$R521="Electric",$R521="Fire",$R521="Water"),1,0)),IF(OR($S521="Fairy",$S521="Ice",$S521="Rock"),0-1,IF(OR($S521="Steel",$S521="Electric",$S521="Fire",$S521="Water"),1,0)))</f>
        <v>0</v>
      </c>
      <c r="AT521" s="508" t="n">
        <f aca="false">SUM(IF(OR($R521="Fire",$R521="Ground",$R521="Rock"),0-1,IF(OR($R521="Dragon",$R521="Grass",$R521="Water"),1,0)),IF(OR($S521="Fire",$S521="Ground",$S521="Rock"),0-1,IF(OR($S521="Dragon",$S521="Grass",$S521="Water"),1,0)))</f>
        <v>0</v>
      </c>
      <c r="AU521" s="518"/>
    </row>
    <row r="522" customFormat="false" ht="15.75" hidden="false" customHeight="false" outlineLevel="0" collapsed="false">
      <c r="A522" s="510" t="str">
        <f aca="false" t="array" ref="A522:A522">IF(ISNA(INDEX(Source!$U$7:$U$95,MATCH(B522,Source!$V$7:$V$95,0))),"FREE",INDEX(Source!$U$7:$U$95,MATCH(B522,Source!$V$7:$V$95,0)))</f>
        <v>FREE</v>
      </c>
      <c r="B522" s="511" t="s">
        <v>770</v>
      </c>
      <c r="C522" s="511"/>
      <c r="D522" s="511"/>
      <c r="E522" s="499" t="str">
        <f aca="false">IF(SUM($W522:$X522)&gt;0,SUM($W522:$X522),IF($H522&gt;0,0,IF($H522&gt;0,0,"-")))</f>
        <v>-</v>
      </c>
      <c r="F522" s="499" t="str">
        <f aca="false">IF(SUM($Y522:$Z522)&gt;0,SUM($Y522:$Z522),IF($H522&gt;0,0,"-"))</f>
        <v>-</v>
      </c>
      <c r="G522" s="499" t="str">
        <f aca="false">IF($H522&gt;0,minus(E522,F522),"-")</f>
        <v>-</v>
      </c>
      <c r="H522" s="500" t="n">
        <f aca="false">SUM(COUNTIF(MatchSource!$A:$A,$B522),COUNTIF(MatchSource!$H:$H,$B522))</f>
        <v>0</v>
      </c>
      <c r="I522" s="501" t="n">
        <f aca="false">SUM($AA522:$AB522)</f>
        <v>0</v>
      </c>
      <c r="J522" s="501" t="s">
        <v>702</v>
      </c>
      <c r="K522" s="512" t="str">
        <f aca="false" t="array" ref="K522:K522">IF(ISNA(INDEX(DraftRosters!$AA$3:$AA$199,MATCH($B522,DraftRosters!$AB$3:$AB$199,0))),"FA",IF(INDEX(DraftRosters!$AA$3:$AA$199,MATCH($B522,DraftRosters!$AB$3:$AB$199,0))="Franchise","Franch",INDEX(DraftRosters!$AA$3:$AA$199,MATCH($B522,DraftRosters!$AB$3:$AB$199,0))))</f>
        <v>FA</v>
      </c>
      <c r="L522" s="499" t="n">
        <v>60</v>
      </c>
      <c r="M522" s="499" t="n">
        <v>59</v>
      </c>
      <c r="N522" s="499" t="n">
        <v>85</v>
      </c>
      <c r="O522" s="499" t="n">
        <v>79</v>
      </c>
      <c r="P522" s="499" t="n">
        <v>105</v>
      </c>
      <c r="Q522" s="501" t="n">
        <v>36</v>
      </c>
      <c r="R522" s="499" t="s">
        <v>794</v>
      </c>
      <c r="S522" s="501" t="s">
        <v>803</v>
      </c>
      <c r="T522" s="513" t="s">
        <v>971</v>
      </c>
      <c r="U522" s="513" t="s">
        <v>924</v>
      </c>
      <c r="V522" s="514"/>
      <c r="W522" s="500" t="str">
        <f aca="false">IFERROR(__xludf.dummyfunction("if(isna(SUM(FILTER(MatchSource!$A:$D,MatchSource!$A:$A=$B522))),0,SUM(FILTER(MatchSource!$A:$D,MatchSource!$A:$A=$B522)))"),"0")</f>
        <v>0</v>
      </c>
      <c r="X522" s="499" t="str">
        <f aca="false">IFERROR(__xludf.dummyfunction("if(isna(SUM(FILTER(MatchSource!$H:$K,MatchSource!$H:$H=$B522))),0,SUM(FILTER(MatchSource!$H:$K,MatchSource!$H:$H=$B522)))"),"0")</f>
        <v>0</v>
      </c>
      <c r="Y522" s="499" t="str">
        <f aca="false">IFERROR(__xludf.dummyfunction("if(isna(ABS(MINUS(SUM(FILTER(MatchSource!$A:$E,MatchSource!$A:$A=$B522)),SUM($W522)))),0,ABS(MINUS(SUM(FILTER(MatchSource!$A:$E,MatchSource!$A:$A=$B522)),SUM($W522))))"),"0")</f>
        <v>0</v>
      </c>
      <c r="Z522" s="499" t="str">
        <f aca="false">IFERROR(__xludf.dummyfunction("if(isna(ABS(MINUS(SUM(FILTER(MatchSource!$H:$L,MatchSource!$H:$H=$B522)),SUM($X522)))),0,ABS(MINUS(SUM(FILTER(MatchSource!$H:$L,MatchSource!$H:$H=$B522)),SUM($X522))))"),"0")</f>
        <v>0</v>
      </c>
      <c r="AA522" s="499" t="str">
        <f aca="false">IFERROR(__xludf.dummyfunction("if(isna(ABS(MINUS(SUM(FILTER(MatchSource!$A:$F,MatchSource!$A:$A=$B522)),SUM($W522,$Y522)))),0,ABS(MINUS(SUM(FILTER(MatchSource!$A:$F,MatchSource!$A:$A=$B522)),SUM($W522, $Y522,))))"),"0")</f>
        <v>0</v>
      </c>
      <c r="AB522" s="501" t="str">
        <f aca="false">IFERROR(__xludf.dummyfunction("if(isna(ABS(MINUS(SUM(FILTER(MatchSource!$H:$M,MatchSource!$H:$H=$B522)),SUM($X522,$Z522)))),0,ABS(MINUS(SUM(FILTER(MatchSource!$H:$M,MatchSource!$H:$H=$B522)),SUM($X522,$Z522))))"),"0")</f>
        <v>0</v>
      </c>
      <c r="AC522" s="507" t="n">
        <f aca="false">SUM(IF(OR($R522="Grass",$R522="Psychic",$R522="Dark"),0-1,IF(OR($R522="Fighting",$R522="Flying",$R522="Fire",$R522="Ghost",$R522="Poison",$R522="Steel",$R522="Fairy"),1,0)),IF(OR($S522="Grass",$S522="Psychic",$S522="Dark"),0-1,IF(OR($S522="Fighting",$S522="Flying",$S522="Fire",$S522="Ghost",$S522="Poison",$S522="Steel",$S522="Fairy"),1,0)))</f>
        <v>-1</v>
      </c>
      <c r="AD522" s="507" t="n">
        <f aca="false">SUM(IF(OR($R522="Ghost",$R522="Psychic"),0-1,IF(OR($R522="Fighting",$R522="Dark",$R522="Fairy"),1,0)),IF(OR($S522="Ghost",$S522="Psychic"),0-1,IF(OR($S522="Fighting",$S522="Dark",$S522="Fairy"),1,0)))</f>
        <v>0</v>
      </c>
      <c r="AE522" s="507" t="n">
        <f aca="false">IF(OR($R522="Fairy",$S522="Fairy"),4,SUM(IF($R522="Dragon",0-1,IF($R522="Steel",1,0)),IF($S522="Dragon",0-1,IF($S522="Steel",1,0))))</f>
        <v>0</v>
      </c>
      <c r="AF522" s="507" t="n">
        <f aca="false">IF(OR($R522="Ground",$S522="Ground"),4,SUM(IF(OR($R522="Flying",$R522="Water"),0-1,IF(OR($R522="Dragon",$R522="Electric",$R522="Grass"),1,0)),IF(OR($S522="Flying",$S522="Water"),0-1,IF(OR($S522="Dragon",$S522="Electric",$S522="Grass"),1,0))))</f>
        <v>1</v>
      </c>
      <c r="AG522" s="507" t="n">
        <f aca="false">SUM(IF(OR($R522="Dark",$R522="Dragon",$R522="Fighting"),0-1,IF(OR($R522="Steel",$R522="Poison",$R522="Fire"),1,0)),IF(OR($S522="Dark",$S522="Dragon",$S522="Fighting"),0-1,IF(OR($S522="Steel",$S522="Poison",$S522="Fire"),1,0)))</f>
        <v>0</v>
      </c>
      <c r="AH522" s="507" t="n">
        <f aca="false">IF(OR($R522="Ghost",$S522="Ghost"),4,SUM(IF(OR($R522="Dark",$R522="Ice",$R522="Normal",$R522="Rock",$R522="Steel"),0-1,IF(OR($R522="Bug",$R522="Fairy",$R522="Flying",$R522="Poison",$R522="Psychic"),1,0)),IF(OR($S522="Dark",$S522="Ice",$S522="Normal",$S522="Rock",$S522="Steel"),0-1,IF(OR($S522="Bug",$S522="Fairy",$S522="Flying",$S522="Poison",$S522="Psychic"),1,0))))</f>
        <v>1</v>
      </c>
      <c r="AI522" s="507" t="n">
        <f aca="false">SUM(IF(OR($R522="Bug",$R522="Grass",$R522="Ice",$R522="Steel"),0-1,IF(OR($R522="Dragon",$R522="Fire",$R522="Rock",$R522="Water"),1,0)),IF(OR($S522="Bug",$S522="Grass",$S522="Ice",$S522="Steel"),0-1,IF(OR($S522="Dragon",$S522="Fire",$S522="Rock",$S522="Water"),1,0)))</f>
        <v>-2</v>
      </c>
      <c r="AJ522" s="507" t="n">
        <f aca="false">SUM(IF(OR($R522="Bug",$R522="Grass",$R522="Fighting"),0-1,IF(OR($R522="Electric",$R522="Rock",$R522="Steel"),1,0)),IF(OR($S522="Bug",$S522="Grass",$S522="Fighting"),0-1,IF(OR($S522="Electric",$S522="Rock",$S522="Steel"),1,0)))</f>
        <v>-2</v>
      </c>
      <c r="AK522" s="507" t="n">
        <f aca="false">IF(OR($R522="Normal",$S522="Normal"),4,SUM(IF(OR($R522="Ghost",$R522="Psychic"),0-1,IF($R522="Dark",1,0)),IF(OR($S522="Ghost",$S522="Psychic"),0-1,IF($S522="Dark",1,0))))</f>
        <v>0</v>
      </c>
      <c r="AL522" s="507" t="n">
        <f aca="false">SUM(IF(OR($R522="Ground",$R522="Rock",$R522="Water"),0-1,IF(OR($R522="Bug",$R522="Flying",$R522="Fire",$R522="Dragon",$R522="Poison",$R522="Steel",$R522="Grass"),1,0)),IF(OR($S522="Ground",$S522="Rock",$S522="Water"),0-1,IF(OR($S522="Bug",$S522="Flying",$S522="Fire",$S522="Dragon",$S522="Poison",$S522="Steel",$S522="Grass"),1,0)))</f>
        <v>2</v>
      </c>
      <c r="AM522" s="507" t="n">
        <f aca="false">IF(OR($R522="Flying",$S522="Flying"),4,SUM(IF(OR($R522="Electric",$R522="Fire",$R522="Rock",$R522="Steel",$R522="Poison"),0-1,IF(OR($R522="Bug",$R522="Grass"),1,0)),IF(OR($S522="Electric",$S522="Fire",$S522="Rock",$S522="Steel",$S522="Poison"),0-1,IF(OR($S522="Bug",$S522="Grass"),1,0))))</f>
        <v>2</v>
      </c>
      <c r="AN522" s="507" t="n">
        <f aca="false">SUM(IF(OR($R522="Flying",$R522="Dragon",$R522="Grass",$R522="Ground"),0-1,IF(OR($R522="Steel",$R522="Ice",$R522="Fire",$R522="Water"),1,0)),IF(OR($S522="Flying",$S522="Dragon",$S522="Grass",$S522="Ground"),0-1,IF(OR($S522="Steel",$S522="Ice",$S522="Fire",$S522="Water"),1,0)))</f>
        <v>-1</v>
      </c>
      <c r="AO522" s="507" t="n">
        <f aca="false">IF(OR($R522="Ghost",$S522="Ghost"),4,SUM(IF(OR($R522="Steel",$R522="Rock"),1,0),IF(OR($S522="Steel",$S522="Rock"),1,0)))</f>
        <v>0</v>
      </c>
      <c r="AP522" s="507" t="n">
        <f aca="false">IF(OR($R522="Steel",$S522="Steel"),4,SUM(IF(OR($R522="Fairy",$R522="Grass"),0-1,IF(OR($R522="Ghost",$R522="Rock",$R522="Ground",$R522="Poison"),1,0)),IF(OR($S522="Fairy",$S522="Grass"),0-1,IF(OR($S522="Ghost",$S522="Rock",$S522="Ground",$S522="Poison"),1,0))))</f>
        <v>-1</v>
      </c>
      <c r="AQ522" s="507" t="n">
        <f aca="false">IF(OR($R522="Dark",$S522="Dark"),4,SUM(IF(OR($R522="Fighting",$R522="Poison"),0-1,IF(OR($R522="Psychic",$R522="Steel"),1,0)),IF(OR($S522="Fighting",$S522="Poison"),0-1,IF(OR($S522="Psychic",$S522="Steel"),1,0))))</f>
        <v>0</v>
      </c>
      <c r="AR522" s="507" t="n">
        <f aca="false">SUM(IF(OR($R522="Bug",$R522="Fire",$R522="Flying",$R522="Ice"),0-1,IF(OR($R522="Steel",$R522="Fighting",$R522="Ground"),1,0)),IF(OR($S522="Bug",$S522="Fire",$S522="Flying",$S522="Ice"),0-1,IF(OR($S522="Steel",$S522="Fighting",$S522="Ground"),1,0)))</f>
        <v>-1</v>
      </c>
      <c r="AS522" s="507" t="n">
        <f aca="false">SUM(IF(OR($R522="Fairy",$R522="Ice",$R522="Rock"),0-1,IF(OR($R522="Steel",$R522="Electric",$R522="Fire",$R522="Water"),1,0)),IF(OR($S522="Fairy",$S522="Ice",$S522="Rock"),0-1,IF(OR($S522="Steel",$S522="Electric",$S522="Fire",$S522="Water"),1,0)))</f>
        <v>0</v>
      </c>
      <c r="AT522" s="508" t="n">
        <f aca="false">SUM(IF(OR($R522="Fire",$R522="Ground",$R522="Rock"),0-1,IF(OR($R522="Dragon",$R522="Grass",$R522="Water"),1,0)),IF(OR($S522="Fire",$S522="Ground",$S522="Rock"),0-1,IF(OR($S522="Dragon",$S522="Grass",$S522="Water"),1,0)))</f>
        <v>1</v>
      </c>
      <c r="AU522" s="518"/>
    </row>
    <row r="523" customFormat="false" ht="15.75" hidden="false" customHeight="false" outlineLevel="0" collapsed="false">
      <c r="A523" s="510" t="str">
        <f aca="false" t="array" ref="A523:A523">IF(ISNA(INDEX(Source!$U$7:$U$95,MATCH(B523,Source!$V$7:$V$95,0))),"FREE",INDEX(Source!$U$7:$U$95,MATCH(B523,Source!$V$7:$V$95,0)))</f>
        <v>FREE</v>
      </c>
      <c r="B523" s="511" t="s">
        <v>771</v>
      </c>
      <c r="C523" s="511"/>
      <c r="D523" s="511"/>
      <c r="E523" s="499" t="str">
        <f aca="false">IF(SUM($W523:$X523)&gt;0,SUM($W523:$X523),IF($H523&gt;0,0,IF($H523&gt;0,0,"-")))</f>
        <v>-</v>
      </c>
      <c r="F523" s="499" t="str">
        <f aca="false">IF(SUM($Y523:$Z523)&gt;0,SUM($Y523:$Z523),IF($H523&gt;0,0,"-"))</f>
        <v>-</v>
      </c>
      <c r="G523" s="499" t="str">
        <f aca="false">IF($H523&gt;0,minus(E523,F523),"-")</f>
        <v>-</v>
      </c>
      <c r="H523" s="500" t="n">
        <f aca="false">SUM(COUNTIF(MatchSource!$A:$A,$B523),COUNTIF(MatchSource!$H:$H,$B523))</f>
        <v>0</v>
      </c>
      <c r="I523" s="501" t="n">
        <f aca="false">SUM($AA523:$AB523)</f>
        <v>0</v>
      </c>
      <c r="J523" s="501" t="s">
        <v>702</v>
      </c>
      <c r="K523" s="512" t="str">
        <f aca="false" t="array" ref="K523:K523">IF(ISNA(INDEX(DraftRosters!$AA$3:$AA$199,MATCH($B523,DraftRosters!$AB$3:$AB$199,0))),"FA",IF(INDEX(DraftRosters!$AA$3:$AA$199,MATCH($B523,DraftRosters!$AB$3:$AB$199,0))="Franchise","Franch",INDEX(DraftRosters!$AA$3:$AA$199,MATCH($B523,DraftRosters!$AB$3:$AB$199,0))))</f>
        <v>FA</v>
      </c>
      <c r="L523" s="499" t="n">
        <v>60</v>
      </c>
      <c r="M523" s="499" t="n">
        <v>59</v>
      </c>
      <c r="N523" s="499" t="n">
        <v>85</v>
      </c>
      <c r="O523" s="499" t="n">
        <v>79</v>
      </c>
      <c r="P523" s="499" t="n">
        <v>105</v>
      </c>
      <c r="Q523" s="501" t="n">
        <v>36</v>
      </c>
      <c r="R523" s="499" t="s">
        <v>794</v>
      </c>
      <c r="S523" s="501" t="s">
        <v>907</v>
      </c>
      <c r="T523" s="513" t="s">
        <v>971</v>
      </c>
      <c r="U523" s="513" t="s">
        <v>924</v>
      </c>
      <c r="V523" s="514"/>
      <c r="W523" s="500" t="str">
        <f aca="false">IFERROR(__xludf.dummyfunction("if(isna(SUM(FILTER(MatchSource!$A:$D,MatchSource!$A:$A=$B523))),0,SUM(FILTER(MatchSource!$A:$D,MatchSource!$A:$A=$B523)))"),"0")</f>
        <v>0</v>
      </c>
      <c r="X523" s="499" t="str">
        <f aca="false">IFERROR(__xludf.dummyfunction("if(isna(SUM(FILTER(MatchSource!$H:$K,MatchSource!$H:$H=$B523))),0,SUM(FILTER(MatchSource!$H:$K,MatchSource!$H:$H=$B523)))"),"0")</f>
        <v>0</v>
      </c>
      <c r="Y523" s="499" t="str">
        <f aca="false">IFERROR(__xludf.dummyfunction("if(isna(ABS(MINUS(SUM(FILTER(MatchSource!$A:$E,MatchSource!$A:$A=$B523)),SUM($W523)))),0,ABS(MINUS(SUM(FILTER(MatchSource!$A:$E,MatchSource!$A:$A=$B523)),SUM($W523))))"),"0")</f>
        <v>0</v>
      </c>
      <c r="Z523" s="499" t="str">
        <f aca="false">IFERROR(__xludf.dummyfunction("if(isna(ABS(MINUS(SUM(FILTER(MatchSource!$H:$L,MatchSource!$H:$H=$B523)),SUM($X523)))),0,ABS(MINUS(SUM(FILTER(MatchSource!$H:$L,MatchSource!$H:$H=$B523)),SUM($X523))))"),"0")</f>
        <v>0</v>
      </c>
      <c r="AA523" s="499" t="str">
        <f aca="false">IFERROR(__xludf.dummyfunction("if(isna(ABS(MINUS(SUM(FILTER(MatchSource!$A:$F,MatchSource!$A:$A=$B523)),SUM($W523,$Y523)))),0,ABS(MINUS(SUM(FILTER(MatchSource!$A:$F,MatchSource!$A:$A=$B523)),SUM($W523, $Y523,))))"),"0")</f>
        <v>0</v>
      </c>
      <c r="AB523" s="501" t="str">
        <f aca="false">IFERROR(__xludf.dummyfunction("if(isna(ABS(MINUS(SUM(FILTER(MatchSource!$H:$M,MatchSource!$H:$H=$B523)),SUM($X523,$Z523)))),0,ABS(MINUS(SUM(FILTER(MatchSource!$H:$M,MatchSource!$H:$H=$B523)),SUM($X523,$Z523))))"),"0")</f>
        <v>0</v>
      </c>
      <c r="AC523" s="507" t="n">
        <f aca="false">SUM(IF(OR($R523="Grass",$R523="Psychic",$R523="Dark"),0-1,IF(OR($R523="Fighting",$R523="Flying",$R523="Fire",$R523="Ghost",$R523="Poison",$R523="Steel",$R523="Fairy"),1,0)),IF(OR($S523="Grass",$S523="Psychic",$S523="Dark"),0-1,IF(OR($S523="Fighting",$S523="Flying",$S523="Fire",$S523="Ghost",$S523="Poison",$S523="Steel",$S523="Fairy"),1,0)))</f>
        <v>0</v>
      </c>
      <c r="AD523" s="507" t="n">
        <f aca="false">SUM(IF(OR($R523="Ghost",$R523="Psychic"),0-1,IF(OR($R523="Fighting",$R523="Dark",$R523="Fairy"),1,0)),IF(OR($S523="Ghost",$S523="Psychic"),0-1,IF(OR($S523="Fighting",$S523="Dark",$S523="Fairy"),1,0)))</f>
        <v>0</v>
      </c>
      <c r="AE523" s="507" t="n">
        <f aca="false">IF(OR($R523="Fairy",$S523="Fairy"),4,SUM(IF($R523="Dragon",0-1,IF($R523="Steel",1,0)),IF($S523="Dragon",0-1,IF($S523="Steel",1,0))))</f>
        <v>0</v>
      </c>
      <c r="AF523" s="507" t="n">
        <f aca="false">IF(OR($R523="Ground",$S523="Ground"),4,SUM(IF(OR($R523="Flying",$R523="Water"),0-1,IF(OR($R523="Dragon",$R523="Electric",$R523="Grass"),1,0)),IF(OR($S523="Flying",$S523="Water"),0-1,IF(OR($S523="Dragon",$S523="Electric",$S523="Grass"),1,0))))</f>
        <v>4</v>
      </c>
      <c r="AG523" s="507" t="n">
        <f aca="false">SUM(IF(OR($R523="Dark",$R523="Dragon",$R523="Fighting"),0-1,IF(OR($R523="Steel",$R523="Poison",$R523="Fire"),1,0)),IF(OR($S523="Dark",$S523="Dragon",$S523="Fighting"),0-1,IF(OR($S523="Steel",$S523="Poison",$S523="Fire"),1,0)))</f>
        <v>0</v>
      </c>
      <c r="AH523" s="507" t="n">
        <f aca="false">IF(OR($R523="Ghost",$S523="Ghost"),4,SUM(IF(OR($R523="Dark",$R523="Ice",$R523="Normal",$R523="Rock",$R523="Steel"),0-1,IF(OR($R523="Bug",$R523="Fairy",$R523="Flying",$R523="Poison",$R523="Psychic"),1,0)),IF(OR($S523="Dark",$S523="Ice",$S523="Normal",$S523="Rock",$S523="Steel"),0-1,IF(OR($S523="Bug",$S523="Fairy",$S523="Flying",$S523="Poison",$S523="Psychic"),1,0))))</f>
        <v>1</v>
      </c>
      <c r="AI523" s="507" t="n">
        <f aca="false">SUM(IF(OR($R523="Bug",$R523="Grass",$R523="Ice",$R523="Steel"),0-1,IF(OR($R523="Dragon",$R523="Fire",$R523="Rock",$R523="Water"),1,0)),IF(OR($S523="Bug",$S523="Grass",$S523="Ice",$S523="Steel"),0-1,IF(OR($S523="Dragon",$S523="Fire",$S523="Rock",$S523="Water"),1,0)))</f>
        <v>-1</v>
      </c>
      <c r="AJ523" s="507" t="n">
        <f aca="false">SUM(IF(OR($R523="Bug",$R523="Grass",$R523="Fighting"),0-1,IF(OR($R523="Electric",$R523="Rock",$R523="Steel"),1,0)),IF(OR($S523="Bug",$S523="Grass",$S523="Fighting"),0-1,IF(OR($S523="Electric",$S523="Rock",$S523="Steel"),1,0)))</f>
        <v>-1</v>
      </c>
      <c r="AK523" s="507" t="n">
        <f aca="false">IF(OR($R523="Normal",$S523="Normal"),4,SUM(IF(OR($R523="Ghost",$R523="Psychic"),0-1,IF($R523="Dark",1,0)),IF(OR($S523="Ghost",$S523="Psychic"),0-1,IF($S523="Dark",1,0))))</f>
        <v>0</v>
      </c>
      <c r="AL523" s="507" t="n">
        <f aca="false">SUM(IF(OR($R523="Ground",$R523="Rock",$R523="Water"),0-1,IF(OR($R523="Bug",$R523="Flying",$R523="Fire",$R523="Dragon",$R523="Poison",$R523="Steel",$R523="Grass"),1,0)),IF(OR($S523="Ground",$S523="Rock",$S523="Water"),0-1,IF(OR($S523="Bug",$S523="Flying",$S523="Fire",$S523="Dragon",$S523="Poison",$S523="Steel",$S523="Grass"),1,0)))</f>
        <v>0</v>
      </c>
      <c r="AM523" s="507" t="n">
        <f aca="false">IF(OR($R523="Flying",$S523="Flying"),4,SUM(IF(OR($R523="Electric",$R523="Fire",$R523="Rock",$R523="Steel",$R523="Poison"),0-1,IF(OR($R523="Bug",$R523="Grass"),1,0)),IF(OR($S523="Electric",$S523="Fire",$S523="Rock",$S523="Steel",$S523="Poison"),0-1,IF(OR($S523="Bug",$S523="Grass"),1,0))))</f>
        <v>1</v>
      </c>
      <c r="AN523" s="507" t="n">
        <f aca="false">SUM(IF(OR($R523="Flying",$R523="Dragon",$R523="Grass",$R523="Ground"),0-1,IF(OR($R523="Steel",$R523="Ice",$R523="Fire",$R523="Water"),1,0)),IF(OR($S523="Flying",$S523="Dragon",$S523="Grass",$S523="Ground"),0-1,IF(OR($S523="Steel",$S523="Ice",$S523="Fire",$S523="Water"),1,0)))</f>
        <v>-1</v>
      </c>
      <c r="AO523" s="507" t="n">
        <f aca="false">IF(OR($R523="Ghost",$S523="Ghost"),4,SUM(IF(OR($R523="Steel",$R523="Rock"),1,0),IF(OR($S523="Steel",$S523="Rock"),1,0)))</f>
        <v>0</v>
      </c>
      <c r="AP523" s="507" t="n">
        <f aca="false">IF(OR($R523="Steel",$S523="Steel"),4,SUM(IF(OR($R523="Fairy",$R523="Grass"),0-1,IF(OR($R523="Ghost",$R523="Rock",$R523="Ground",$R523="Poison"),1,0)),IF(OR($S523="Fairy",$S523="Grass"),0-1,IF(OR($S523="Ghost",$S523="Rock",$S523="Ground",$S523="Poison"),1,0))))</f>
        <v>1</v>
      </c>
      <c r="AQ523" s="507" t="n">
        <f aca="false">IF(OR($R523="Dark",$S523="Dark"),4,SUM(IF(OR($R523="Fighting",$R523="Poison"),0-1,IF(OR($R523="Psychic",$R523="Steel"),1,0)),IF(OR($S523="Fighting",$S523="Poison"),0-1,IF(OR($S523="Psychic",$S523="Steel"),1,0))))</f>
        <v>0</v>
      </c>
      <c r="AR523" s="507" t="n">
        <f aca="false">SUM(IF(OR($R523="Bug",$R523="Fire",$R523="Flying",$R523="Ice"),0-1,IF(OR($R523="Steel",$R523="Fighting",$R523="Ground"),1,0)),IF(OR($S523="Bug",$S523="Fire",$S523="Flying",$S523="Ice"),0-1,IF(OR($S523="Steel",$S523="Fighting",$S523="Ground"),1,0)))</f>
        <v>0</v>
      </c>
      <c r="AS523" s="507" t="n">
        <f aca="false">SUM(IF(OR($R523="Fairy",$R523="Ice",$R523="Rock"),0-1,IF(OR($R523="Steel",$R523="Electric",$R523="Fire",$R523="Water"),1,0)),IF(OR($S523="Fairy",$S523="Ice",$S523="Rock"),0-1,IF(OR($S523="Steel",$S523="Electric",$S523="Fire",$S523="Water"),1,0)))</f>
        <v>0</v>
      </c>
      <c r="AT523" s="508" t="n">
        <f aca="false">SUM(IF(OR($R523="Fire",$R523="Ground",$R523="Rock"),0-1,IF(OR($R523="Dragon",$R523="Grass",$R523="Water"),1,0)),IF(OR($S523="Fire",$S523="Ground",$S523="Rock"),0-1,IF(OR($S523="Dragon",$S523="Grass",$S523="Water"),1,0)))</f>
        <v>-1</v>
      </c>
      <c r="AU523" s="518"/>
    </row>
    <row r="524" customFormat="false" ht="15.75" hidden="false" customHeight="false" outlineLevel="0" collapsed="false">
      <c r="A524" s="515" t="str">
        <f aca="false" t="array" ref="A524:A524">IF(ISNA(INDEX(Source!$U$7:$U$95,MATCH(B524,Source!$V$7:$V$95,0))),"FREE",INDEX(Source!$U$7:$U$95,MATCH(B524,Source!$V$7:$V$95,0)))</f>
        <v>FREE</v>
      </c>
      <c r="B524" s="551" t="s">
        <v>772</v>
      </c>
      <c r="C524" s="551"/>
      <c r="D524" s="551"/>
      <c r="E524" s="499" t="str">
        <f aca="false">IF(SUM($W524:$X524)&gt;0,SUM($W524:$X524),IF($H524&gt;0,0,IF($H524&gt;0,0,"-")))</f>
        <v>-</v>
      </c>
      <c r="F524" s="499" t="str">
        <f aca="false">IF(SUM($Y524:$Z524)&gt;0,SUM($Y524:$Z524),IF($H524&gt;0,0,"-"))</f>
        <v>-</v>
      </c>
      <c r="G524" s="499" t="str">
        <f aca="false">IF($H524&gt;0,minus(E524,F524),"-")</f>
        <v>-</v>
      </c>
      <c r="H524" s="500" t="n">
        <f aca="false">SUM(COUNTIF(MatchSource!$A:$A,$B524),COUNTIF(MatchSource!$H:$H,$B524))</f>
        <v>0</v>
      </c>
      <c r="I524" s="501" t="n">
        <f aca="false">SUM($AA524:$AB524)</f>
        <v>0</v>
      </c>
      <c r="J524" s="512" t="s">
        <v>1082</v>
      </c>
      <c r="K524" s="501" t="str">
        <f aca="false" t="array" ref="K524:K524">IF(ISNA(INDEX(DraftRosters!$AA$3:$AA$199,MATCH($B524,DraftRosters!$AB$3:$AB$199,0))),"FA",IF(INDEX(DraftRosters!$AA$3:$AA$199,MATCH($B524,DraftRosters!$AB$3:$AB$199,0))="Franchise","Franch",INDEX(DraftRosters!$AA$3:$AA$199,MATCH($B524,DraftRosters!$AB$3:$AB$199,0))))</f>
        <v>FA</v>
      </c>
      <c r="L524" s="499" t="n">
        <v>60</v>
      </c>
      <c r="M524" s="499" t="n">
        <v>59</v>
      </c>
      <c r="N524" s="499" t="n">
        <v>85</v>
      </c>
      <c r="O524" s="499" t="n">
        <v>79</v>
      </c>
      <c r="P524" s="499" t="n">
        <v>105</v>
      </c>
      <c r="Q524" s="499" t="n">
        <v>36</v>
      </c>
      <c r="R524" s="500" t="s">
        <v>794</v>
      </c>
      <c r="S524" s="499" t="s">
        <v>810</v>
      </c>
      <c r="T524" s="520" t="s">
        <v>971</v>
      </c>
      <c r="U524" s="513" t="s">
        <v>924</v>
      </c>
      <c r="V524" s="514"/>
      <c r="W524" s="500" t="str">
        <f aca="false">IFERROR(__xludf.dummyfunction("if(isna(SUM(FILTER(MatchSource!$A:$D,MatchSource!$A:$A=$B524))),0,SUM(FILTER(MatchSource!$A:$D,MatchSource!$A:$A=$B524)))"),"0")</f>
        <v>0</v>
      </c>
      <c r="X524" s="499" t="str">
        <f aca="false">IFERROR(__xludf.dummyfunction("if(isna(SUM(FILTER(MatchSource!$H:$K,MatchSource!$H:$H=$B524))),0,SUM(FILTER(MatchSource!$H:$K,MatchSource!$H:$H=$B524)))"),"0")</f>
        <v>0</v>
      </c>
      <c r="Y524" s="499" t="str">
        <f aca="false">IFERROR(__xludf.dummyfunction("if(isna(ABS(MINUS(SUM(FILTER(MatchSource!$A:$E,MatchSource!$A:$A=$B524)),SUM($W524)))),0,ABS(MINUS(SUM(FILTER(MatchSource!$A:$E,MatchSource!$A:$A=$B524)),SUM($W524))))"),"0")</f>
        <v>0</v>
      </c>
      <c r="Z524" s="499" t="str">
        <f aca="false">IFERROR(__xludf.dummyfunction("if(isna(ABS(MINUS(SUM(FILTER(MatchSource!$H:$L,MatchSource!$H:$H=$B524)),SUM($X524)))),0,ABS(MINUS(SUM(FILTER(MatchSource!$H:$L,MatchSource!$H:$H=$B524)),SUM($X524))))"),"0")</f>
        <v>0</v>
      </c>
      <c r="AA524" s="499" t="str">
        <f aca="false">IFERROR(__xludf.dummyfunction("if(isna(ABS(MINUS(SUM(FILTER(MatchSource!$A:$F,MatchSource!$A:$A=$B524)),SUM($W524,$Y524)))),0,ABS(MINUS(SUM(FILTER(MatchSource!$A:$F,MatchSource!$A:$A=$B524)),SUM($W524, $Y524,))))"),"0")</f>
        <v>0</v>
      </c>
      <c r="AB524" s="501" t="str">
        <f aca="false">IFERROR(__xludf.dummyfunction("if(isna(ABS(MINUS(SUM(FILTER(MatchSource!$H:$M,MatchSource!$H:$H=$B524)),SUM($X524,$Z524)))),0,ABS(MINUS(SUM(FILTER(MatchSource!$H:$M,MatchSource!$H:$H=$B524)),SUM($X524,$Z524))))"),"0")</f>
        <v>0</v>
      </c>
      <c r="AC524" s="507" t="n">
        <f aca="false">SUM(IF(OR($R524="Grass",$R524="Psychic",$R524="Dark"),0-1,IF(OR($R524="Fighting",$R524="Flying",$R524="Fire",$R524="Ghost",$R524="Poison",$R524="Steel",$R524="Fairy"),1,0)),IF(OR($S524="Grass",$S524="Psychic",$S524="Dark"),0-1,IF(OR($S524="Fighting",$S524="Flying",$S524="Fire",$S524="Ghost",$S524="Poison",$S524="Steel",$S524="Fairy"),1,0)))</f>
        <v>1</v>
      </c>
      <c r="AD524" s="507" t="n">
        <f aca="false">SUM(IF(OR($R524="Ghost",$R524="Psychic"),0-1,IF(OR($R524="Fighting",$R524="Dark",$R524="Fairy"),1,0)),IF(OR($S524="Ghost",$S524="Psychic"),0-1,IF(OR($S524="Fighting",$S524="Dark",$S524="Fairy"),1,0)))</f>
        <v>0</v>
      </c>
      <c r="AE524" s="507" t="n">
        <f aca="false">IF(OR($R524="Fairy",$S524="Fairy"),4,SUM(IF($R524="Dragon",0-1,IF($R524="Steel",1,0)),IF($S524="Dragon",0-1,IF($S524="Steel",1,0))))</f>
        <v>1</v>
      </c>
      <c r="AF524" s="507" t="n">
        <f aca="false">IF(OR($R524="Ground",$S524="Ground"),4,SUM(IF(OR($R524="Flying",$R524="Water"),0-1,IF(OR($R524="Dragon",$R524="Electric",$R524="Grass"),1,0)),IF(OR($S524="Flying",$S524="Water"),0-1,IF(OR($S524="Dragon",$S524="Electric",$S524="Grass"),1,0))))</f>
        <v>0</v>
      </c>
      <c r="AG524" s="507" t="n">
        <f aca="false">SUM(IF(OR($R524="Dark",$R524="Dragon",$R524="Fighting"),0-1,IF(OR($R524="Steel",$R524="Poison",$R524="Fire"),1,0)),IF(OR($S524="Dark",$S524="Dragon",$S524="Fighting"),0-1,IF(OR($S524="Steel",$S524="Poison",$S524="Fire"),1,0)))</f>
        <v>1</v>
      </c>
      <c r="AH524" s="507" t="n">
        <f aca="false">IF(OR($R524="Ghost",$S524="Ghost"),4,SUM(IF(OR($R524="Dark",$R524="Ice",$R524="Normal",$R524="Rock",$R524="Steel"),0-1,IF(OR($R524="Bug",$R524="Fairy",$R524="Flying",$R524="Poison",$R524="Psychic"),1,0)),IF(OR($S524="Dark",$S524="Ice",$S524="Normal",$S524="Rock",$S524="Steel"),0-1,IF(OR($S524="Bug",$S524="Fairy",$S524="Flying",$S524="Poison",$S524="Psychic"),1,0))))</f>
        <v>0</v>
      </c>
      <c r="AI524" s="507" t="n">
        <f aca="false">SUM(IF(OR($R524="Bug",$R524="Grass",$R524="Ice",$R524="Steel"),0-1,IF(OR($R524="Dragon",$R524="Fire",$R524="Rock",$R524="Water"),1,0)),IF(OR($S524="Bug",$S524="Grass",$S524="Ice",$S524="Steel"),0-1,IF(OR($S524="Dragon",$S524="Fire",$S524="Rock",$S524="Water"),1,0)))</f>
        <v>-2</v>
      </c>
      <c r="AJ524" s="507" t="n">
        <f aca="false">SUM(IF(OR($R524="Bug",$R524="Grass",$R524="Fighting"),0-1,IF(OR($R524="Electric",$R524="Rock",$R524="Steel"),1,0)),IF(OR($S524="Bug",$S524="Grass",$S524="Fighting"),0-1,IF(OR($S524="Electric",$S524="Rock",$S524="Steel"),1,0)))</f>
        <v>0</v>
      </c>
      <c r="AK524" s="507" t="n">
        <f aca="false">IF(OR($R524="Normal",$S524="Normal"),4,SUM(IF(OR($R524="Ghost",$R524="Psychic"),0-1,IF($R524="Dark",1,0)),IF(OR($S524="Ghost",$S524="Psychic"),0-1,IF($S524="Dark",1,0))))</f>
        <v>0</v>
      </c>
      <c r="AL524" s="507" t="n">
        <f aca="false">SUM(IF(OR($R524="Ground",$R524="Rock",$R524="Water"),0-1,IF(OR($R524="Bug",$R524="Flying",$R524="Fire",$R524="Dragon",$R524="Poison",$R524="Steel",$R524="Grass"),1,0)),IF(OR($S524="Ground",$S524="Rock",$S524="Water"),0-1,IF(OR($S524="Bug",$S524="Flying",$S524="Fire",$S524="Dragon",$S524="Poison",$S524="Steel",$S524="Grass"),1,0)))</f>
        <v>2</v>
      </c>
      <c r="AM524" s="507" t="n">
        <f aca="false">IF(OR($R524="Flying",$S524="Flying"),4,SUM(IF(OR($R524="Electric",$R524="Fire",$R524="Rock",$R524="Steel",$R524="Poison"),0-1,IF(OR($R524="Bug",$R524="Grass"),1,0)),IF(OR($S524="Electric",$S524="Fire",$S524="Rock",$S524="Steel",$S524="Poison"),0-1,IF(OR($S524="Bug",$S524="Grass"),1,0))))</f>
        <v>0</v>
      </c>
      <c r="AN524" s="507" t="n">
        <f aca="false">SUM(IF(OR($R524="Flying",$R524="Dragon",$R524="Grass",$R524="Ground"),0-1,IF(OR($R524="Steel",$R524="Ice",$R524="Fire",$R524="Water"),1,0)),IF(OR($S524="Flying",$S524="Dragon",$S524="Grass",$S524="Ground"),0-1,IF(OR($S524="Steel",$S524="Ice",$S524="Fire",$S524="Water"),1,0)))</f>
        <v>1</v>
      </c>
      <c r="AO524" s="507" t="n">
        <f aca="false">IF(OR($R524="Ghost",$S524="Ghost"),4,SUM(IF(OR($R524="Steel",$R524="Rock"),1,0),IF(OR($S524="Steel",$S524="Rock"),1,0)))</f>
        <v>1</v>
      </c>
      <c r="AP524" s="507" t="n">
        <f aca="false">IF(OR($R524="Steel",$S524="Steel"),4,SUM(IF(OR($R524="Fairy",$R524="Grass"),0-1,IF(OR($R524="Ghost",$R524="Rock",$R524="Ground",$R524="Poison"),1,0)),IF(OR($S524="Fairy",$S524="Grass"),0-1,IF(OR($S524="Ghost",$S524="Rock",$S524="Ground",$S524="Poison"),1,0))))</f>
        <v>4</v>
      </c>
      <c r="AQ524" s="507" t="n">
        <f aca="false">IF(OR($R524="Dark",$S524="Dark"),4,SUM(IF(OR($R524="Fighting",$R524="Poison"),0-1,IF(OR($R524="Psychic",$R524="Steel"),1,0)),IF(OR($S524="Fighting",$S524="Poison"),0-1,IF(OR($S524="Psychic",$S524="Steel"),1,0))))</f>
        <v>1</v>
      </c>
      <c r="AR524" s="507" t="n">
        <f aca="false">SUM(IF(OR($R524="Bug",$R524="Fire",$R524="Flying",$R524="Ice"),0-1,IF(OR($R524="Steel",$R524="Fighting",$R524="Ground"),1,0)),IF(OR($S524="Bug",$S524="Fire",$S524="Flying",$S524="Ice"),0-1,IF(OR($S524="Steel",$S524="Fighting",$S524="Ground"),1,0)))</f>
        <v>0</v>
      </c>
      <c r="AS524" s="507" t="n">
        <f aca="false">SUM(IF(OR($R524="Fairy",$R524="Ice",$R524="Rock"),0-1,IF(OR($R524="Steel",$R524="Electric",$R524="Fire",$R524="Water"),1,0)),IF(OR($S524="Fairy",$S524="Ice",$S524="Rock"),0-1,IF(OR($S524="Steel",$S524="Electric",$S524="Fire",$S524="Water"),1,0)))</f>
        <v>1</v>
      </c>
      <c r="AT524" s="508" t="n">
        <f aca="false">SUM(IF(OR($R524="Fire",$R524="Ground",$R524="Rock"),0-1,IF(OR($R524="Dragon",$R524="Grass",$R524="Water"),1,0)),IF(OR($S524="Fire",$S524="Ground",$S524="Rock"),0-1,IF(OR($S524="Dragon",$S524="Grass",$S524="Water"),1,0)))</f>
        <v>0</v>
      </c>
      <c r="AU524" s="518"/>
    </row>
    <row r="525" customFormat="false" ht="15.75" hidden="false" customHeight="false" outlineLevel="0" collapsed="false">
      <c r="A525" s="515" t="str">
        <f aca="false" t="array" ref="A525:A525">IF(ISNA(INDEX(Source!$U$7:$U$95,MATCH(B525,Source!$V$7:$V$95,0))),"FREE",INDEX(Source!$U$7:$U$95,MATCH(B525,Source!$V$7:$V$95,0)))</f>
        <v>FREE</v>
      </c>
      <c r="B525" s="551" t="s">
        <v>694</v>
      </c>
      <c r="C525" s="551"/>
      <c r="D525" s="551"/>
      <c r="E525" s="499" t="str">
        <f aca="false">IF(SUM($W525:$X525)&gt;0,SUM($W525:$X525),IF($H525&gt;0,0,IF($H525&gt;0,0,"-")))</f>
        <v>-</v>
      </c>
      <c r="F525" s="499" t="str">
        <f aca="false">IF(SUM($Y525:$Z525)&gt;0,SUM($Y525:$Z525),IF($H525&gt;0,0,"-"))</f>
        <v>-</v>
      </c>
      <c r="G525" s="499" t="str">
        <f aca="false">IF($H525&gt;0,minus(E525,F525),"-")</f>
        <v>-</v>
      </c>
      <c r="H525" s="500" t="n">
        <f aca="false">SUM(COUNTIF(MatchSource!$A:$A,$B525),COUNTIF(MatchSource!$H:$H,$B525))</f>
        <v>0</v>
      </c>
      <c r="I525" s="501" t="n">
        <f aca="false">SUM($AA525:$AB525)</f>
        <v>0</v>
      </c>
      <c r="J525" s="512" t="s">
        <v>702</v>
      </c>
      <c r="K525" s="501" t="str">
        <f aca="false" t="array" ref="K525:K525">IF(ISNA(INDEX(DraftRosters!$AA$3:$AA$199,MATCH($B525,DraftRosters!$AB$3:$AB$199,0))),"FA",IF(INDEX(DraftRosters!$AA$3:$AA$199,MATCH($B525,DraftRosters!$AB$3:$AB$199,0))="Franchise","Franch",INDEX(DraftRosters!$AA$3:$AA$199,MATCH($B525,DraftRosters!$AB$3:$AB$199,0))))</f>
        <v>FA</v>
      </c>
      <c r="L525" s="499" t="n">
        <v>65</v>
      </c>
      <c r="M525" s="499" t="n">
        <v>75</v>
      </c>
      <c r="N525" s="499" t="n">
        <v>70</v>
      </c>
      <c r="O525" s="499" t="n">
        <v>95</v>
      </c>
      <c r="P525" s="499" t="n">
        <v>70</v>
      </c>
      <c r="Q525" s="499" t="n">
        <v>95</v>
      </c>
      <c r="R525" s="500" t="s">
        <v>801</v>
      </c>
      <c r="S525" s="499" t="s">
        <v>828</v>
      </c>
      <c r="T525" s="520" t="s">
        <v>948</v>
      </c>
      <c r="U525" s="513" t="s">
        <v>831</v>
      </c>
      <c r="V525" s="514" t="s">
        <v>818</v>
      </c>
      <c r="W525" s="500" t="str">
        <f aca="false">IFERROR(__xludf.dummyfunction("if(isna(SUM(FILTER(MatchSource!$A:$D,MatchSource!$A:$A=$B525))),0,SUM(FILTER(MatchSource!$A:$D,MatchSource!$A:$A=$B525)))"),"0")</f>
        <v>0</v>
      </c>
      <c r="X525" s="499" t="str">
        <f aca="false">IFERROR(__xludf.dummyfunction("if(isna(SUM(FILTER(MatchSource!$H:$K,MatchSource!$H:$H=$B525))),0,SUM(FILTER(MatchSource!$H:$K,MatchSource!$H:$H=$B525)))"),"0")</f>
        <v>0</v>
      </c>
      <c r="Y525" s="499" t="str">
        <f aca="false">IFERROR(__xludf.dummyfunction("if(isna(ABS(MINUS(SUM(FILTER(MatchSource!$A:$E,MatchSource!$A:$A=$B525)),SUM($W525)))),0,ABS(MINUS(SUM(FILTER(MatchSource!$A:$E,MatchSource!$A:$A=$B525)),SUM($W525))))"),"0")</f>
        <v>0</v>
      </c>
      <c r="Z525" s="499" t="str">
        <f aca="false">IFERROR(__xludf.dummyfunction("if(isna(ABS(MINUS(SUM(FILTER(MatchSource!$H:$L,MatchSource!$H:$H=$B525)),SUM($X525)))),0,ABS(MINUS(SUM(FILTER(MatchSource!$H:$L,MatchSource!$H:$H=$B525)),SUM($X525))))"),"0")</f>
        <v>0</v>
      </c>
      <c r="AA525" s="499" t="str">
        <f aca="false">IFERROR(__xludf.dummyfunction("if(isna(ABS(MINUS(SUM(FILTER(MatchSource!$A:$F,MatchSource!$A:$A=$B525)),SUM($W525,$Y525)))),0,ABS(MINUS(SUM(FILTER(MatchSource!$A:$F,MatchSource!$A:$A=$B525)),SUM($W525, $Y525,))))"),"0")</f>
        <v>0</v>
      </c>
      <c r="AB525" s="501" t="str">
        <f aca="false">IFERROR(__xludf.dummyfunction("if(isna(ABS(MINUS(SUM(FILTER(MatchSource!$H:$M,MatchSource!$H:$H=$B525)),SUM($X525,$Z525)))),0,ABS(MINUS(SUM(FILTER(MatchSource!$H:$M,MatchSource!$H:$H=$B525)),SUM($X525,$Z525))))"),"0")</f>
        <v>0</v>
      </c>
      <c r="AC525" s="507" t="n">
        <f aca="false">SUM(IF(OR($R525="Grass",$R525="Psychic",$R525="Dark"),0-1,IF(OR($R525="Fighting",$R525="Flying",$R525="Fire",$R525="Ghost",$R525="Poison",$R525="Steel",$R525="Fairy"),1,0)),IF(OR($S525="Grass",$S525="Psychic",$S525="Dark"),0-1,IF(OR($S525="Fighting",$S525="Flying",$S525="Fire",$S525="Ghost",$S525="Poison",$S525="Steel",$S525="Fairy"),1,0)))</f>
        <v>0</v>
      </c>
      <c r="AD525" s="507" t="n">
        <f aca="false">SUM(IF(OR($R525="Ghost",$R525="Psychic"),0-1,IF(OR($R525="Fighting",$R525="Dark",$R525="Fairy"),1,0)),IF(OR($S525="Ghost",$S525="Psychic"),0-1,IF(OR($S525="Fighting",$S525="Dark",$S525="Fairy"),1,0)))</f>
        <v>-1</v>
      </c>
      <c r="AE525" s="507" t="n">
        <f aca="false">IF(OR($R525="Fairy",$S525="Fairy"),4,SUM(IF($R525="Dragon",0-1,IF($R525="Steel",1,0)),IF($S525="Dragon",0-1,IF($S525="Steel",1,0))))</f>
        <v>0</v>
      </c>
      <c r="AF525" s="507" t="n">
        <f aca="false">IF(OR($R525="Ground",$S525="Ground"),4,SUM(IF(OR($R525="Flying",$R525="Water"),0-1,IF(OR($R525="Dragon",$R525="Electric",$R525="Grass"),1,0)),IF(OR($S525="Flying",$S525="Water"),0-1,IF(OR($S525="Dragon",$S525="Electric",$S525="Grass"),1,0))))</f>
        <v>-1</v>
      </c>
      <c r="AG525" s="507" t="n">
        <f aca="false">SUM(IF(OR($R525="Dark",$R525="Dragon",$R525="Fighting"),0-1,IF(OR($R525="Steel",$R525="Poison",$R525="Fire"),1,0)),IF(OR($S525="Dark",$S525="Dragon",$S525="Fighting"),0-1,IF(OR($S525="Steel",$S525="Poison",$S525="Fire"),1,0)))</f>
        <v>0</v>
      </c>
      <c r="AH525" s="507" t="n">
        <f aca="false">IF(OR($R525="Ghost",$S525="Ghost"),4,SUM(IF(OR($R525="Dark",$R525="Ice",$R525="Normal",$R525="Rock",$R525="Steel"),0-1,IF(OR($R525="Bug",$R525="Fairy",$R525="Flying",$R525="Poison",$R525="Psychic"),1,0)),IF(OR($S525="Dark",$S525="Ice",$S525="Normal",$S525="Rock",$S525="Steel"),0-1,IF(OR($S525="Bug",$S525="Fairy",$S525="Flying",$S525="Poison",$S525="Psychic"),1,0))))</f>
        <v>2</v>
      </c>
      <c r="AI525" s="507" t="n">
        <f aca="false">SUM(IF(OR($R525="Bug",$R525="Grass",$R525="Ice",$R525="Steel"),0-1,IF(OR($R525="Dragon",$R525="Fire",$R525="Rock",$R525="Water"),1,0)),IF(OR($S525="Bug",$S525="Grass",$S525="Ice",$S525="Steel"),0-1,IF(OR($S525="Dragon",$S525="Fire",$S525="Rock",$S525="Water"),1,0)))</f>
        <v>0</v>
      </c>
      <c r="AJ525" s="507" t="n">
        <f aca="false">SUM(IF(OR($R525="Bug",$R525="Grass",$R525="Fighting"),0-1,IF(OR($R525="Electric",$R525="Rock",$R525="Steel"),1,0)),IF(OR($S525="Bug",$S525="Grass",$S525="Fighting"),0-1,IF(OR($S525="Electric",$S525="Rock",$S525="Steel"),1,0)))</f>
        <v>0</v>
      </c>
      <c r="AK525" s="507" t="n">
        <f aca="false">IF(OR($R525="Normal",$S525="Normal"),4,SUM(IF(OR($R525="Ghost",$R525="Psychic"),0-1,IF($R525="Dark",1,0)),IF(OR($S525="Ghost",$S525="Psychic"),0-1,IF($S525="Dark",1,0))))</f>
        <v>-1</v>
      </c>
      <c r="AL525" s="507" t="n">
        <f aca="false">SUM(IF(OR($R525="Ground",$R525="Rock",$R525="Water"),0-1,IF(OR($R525="Bug",$R525="Flying",$R525="Fire",$R525="Dragon",$R525="Poison",$R525="Steel",$R525="Grass"),1,0)),IF(OR($S525="Ground",$S525="Rock",$S525="Water"),0-1,IF(OR($S525="Bug",$S525="Flying",$S525="Fire",$S525="Dragon",$S525="Poison",$S525="Steel",$S525="Grass"),1,0)))</f>
        <v>1</v>
      </c>
      <c r="AM525" s="507" t="n">
        <f aca="false">IF(OR($R525="Flying",$S525="Flying"),4,SUM(IF(OR($R525="Electric",$R525="Fire",$R525="Rock",$R525="Steel",$R525="Poison"),0-1,IF(OR($R525="Bug",$R525="Grass"),1,0)),IF(OR($S525="Electric",$S525="Fire",$S525="Rock",$S525="Steel",$S525="Poison"),0-1,IF(OR($S525="Bug",$S525="Grass"),1,0))))</f>
        <v>4</v>
      </c>
      <c r="AN525" s="507" t="n">
        <f aca="false">SUM(IF(OR($R525="Flying",$R525="Dragon",$R525="Grass",$R525="Ground"),0-1,IF(OR($R525="Steel",$R525="Ice",$R525="Fire",$R525="Water"),1,0)),IF(OR($S525="Flying",$S525="Dragon",$S525="Grass",$S525="Ground"),0-1,IF(OR($S525="Steel",$S525="Ice",$S525="Fire",$S525="Water"),1,0)))</f>
        <v>-1</v>
      </c>
      <c r="AO525" s="507" t="n">
        <f aca="false">IF(OR($R525="Ghost",$S525="Ghost"),4,SUM(IF(OR($R525="Steel",$R525="Rock"),1,0),IF(OR($S525="Steel",$S525="Rock"),1,0)))</f>
        <v>0</v>
      </c>
      <c r="AP525" s="507" t="n">
        <f aca="false">IF(OR($R525="Steel",$S525="Steel"),4,SUM(IF(OR($R525="Fairy",$R525="Grass"),0-1,IF(OR($R525="Ghost",$R525="Rock",$R525="Ground",$R525="Poison"),1,0)),IF(OR($S525="Fairy",$S525="Grass"),0-1,IF(OR($S525="Ghost",$S525="Rock",$S525="Ground",$S525="Poison"),1,0))))</f>
        <v>0</v>
      </c>
      <c r="AQ525" s="507" t="n">
        <f aca="false">IF(OR($R525="Dark",$S525="Dark"),4,SUM(IF(OR($R525="Fighting",$R525="Poison"),0-1,IF(OR($R525="Psychic",$R525="Steel"),1,0)),IF(OR($S525="Fighting",$S525="Poison"),0-1,IF(OR($S525="Psychic",$S525="Steel"),1,0))))</f>
        <v>1</v>
      </c>
      <c r="AR525" s="507" t="n">
        <f aca="false">SUM(IF(OR($R525="Bug",$R525="Fire",$R525="Flying",$R525="Ice"),0-1,IF(OR($R525="Steel",$R525="Fighting",$R525="Ground"),1,0)),IF(OR($S525="Bug",$S525="Fire",$S525="Flying",$S525="Ice"),0-1,IF(OR($S525="Steel",$S525="Fighting",$S525="Ground"),1,0)))</f>
        <v>-1</v>
      </c>
      <c r="AS525" s="507" t="n">
        <f aca="false">SUM(IF(OR($R525="Fairy",$R525="Ice",$R525="Rock"),0-1,IF(OR($R525="Steel",$R525="Electric",$R525="Fire",$R525="Water"),1,0)),IF(OR($S525="Fairy",$S525="Ice",$S525="Rock"),0-1,IF(OR($S525="Steel",$S525="Electric",$S525="Fire",$S525="Water"),1,0)))</f>
        <v>0</v>
      </c>
      <c r="AT525" s="508" t="n">
        <f aca="false">SUM(IF(OR($R525="Fire",$R525="Ground",$R525="Rock"),0-1,IF(OR($R525="Dragon",$R525="Grass",$R525="Water"),1,0)),IF(OR($S525="Fire",$S525="Ground",$S525="Rock"),0-1,IF(OR($S525="Dragon",$S525="Grass",$S525="Water"),1,0)))</f>
        <v>0</v>
      </c>
      <c r="AU525" s="519"/>
    </row>
    <row r="526" customFormat="false" ht="15.75" hidden="false" customHeight="false" outlineLevel="0" collapsed="false">
      <c r="A526" s="510" t="str">
        <f aca="false" t="array" ref="A526:A526">IF(ISNA(INDEX(Source!$U$7:$U$95,MATCH(B526,Source!$V$7:$V$95,0))),"FREE",INDEX(Source!$U$7:$U$95,MATCH(B526,Source!$V$7:$V$95,0)))</f>
        <v>BBG</v>
      </c>
      <c r="B526" s="551" t="s">
        <v>50</v>
      </c>
      <c r="C526" s="551"/>
      <c r="D526" s="551"/>
      <c r="E526" s="499" t="n">
        <f aca="false">IF(SUM($W526:$X526)&gt;0,SUM($W526:$X526),IF($H526&gt;0,0,IF($H526&gt;0,0,"-")))</f>
        <v>0</v>
      </c>
      <c r="F526" s="499" t="n">
        <f aca="false">IF(SUM($Y526:$Z526)&gt;0,SUM($Y526:$Z526),IF($H526&gt;0,0,"-"))</f>
        <v>0</v>
      </c>
      <c r="G526" s="499" t="e">
        <f aca="false">IF($H526&gt;0,minus(E526,F526),"-")</f>
        <v>#NAME?</v>
      </c>
      <c r="H526" s="500" t="n">
        <f aca="false">SUM(COUNTIF(MatchSource!$A:$A,$B526),COUNTIF(MatchSource!$H:$H,$B526))</f>
        <v>2</v>
      </c>
      <c r="I526" s="501" t="n">
        <f aca="false">SUM($AA526:$AB526)</f>
        <v>0</v>
      </c>
      <c r="J526" s="512" t="s">
        <v>699</v>
      </c>
      <c r="K526" s="501" t="n">
        <f aca="false" t="array" ref="K526:K526">IF(ISNA(INDEX(DraftRosters!$AA$3:$AA$199,MATCH($B526,DraftRosters!$AB$3:$AB$199,0))),"FA",IF(INDEX(DraftRosters!$AA$3:$AA$199,MATCH($B526,DraftRosters!$AB$3:$AB$199,0))="Franchise","Franch",INDEX(DraftRosters!$AA$3:$AA$199,MATCH($B526,DraftRosters!$AB$3:$AB$199,0))))</f>
        <v>59</v>
      </c>
      <c r="L526" s="499" t="n">
        <v>83</v>
      </c>
      <c r="M526" s="499" t="n">
        <v>89</v>
      </c>
      <c r="N526" s="499" t="n">
        <v>70</v>
      </c>
      <c r="O526" s="499" t="n">
        <v>173</v>
      </c>
      <c r="P526" s="499" t="n">
        <v>71</v>
      </c>
      <c r="Q526" s="499" t="n">
        <v>83</v>
      </c>
      <c r="R526" s="500" t="s">
        <v>845</v>
      </c>
      <c r="S526" s="499"/>
      <c r="T526" s="520" t="s">
        <v>889</v>
      </c>
      <c r="U526" s="513"/>
      <c r="V526" s="514"/>
      <c r="W526" s="500" t="str">
        <f aca="false">IFERROR(__xludf.dummyfunction("if(isna(SUM(FILTER(MatchSource!$A:$D,MatchSource!$A:$A=$B526))),0,SUM(FILTER(MatchSource!$A:$D,MatchSource!$A:$A=$B526)))"),"0")</f>
        <v>0</v>
      </c>
      <c r="X526" s="499" t="str">
        <f aca="false">IFERROR(__xludf.dummyfunction("if(isna(SUM(FILTER(MatchSource!$H:$K,MatchSource!$H:$H=$B526))),0,SUM(FILTER(MatchSource!$H:$K,MatchSource!$H:$H=$B526)))"),"1")</f>
        <v>1</v>
      </c>
      <c r="Y526" s="499" t="str">
        <f aca="false">IFERROR(__xludf.dummyfunction("if(isna(ABS(MINUS(SUM(FILTER(MatchSource!$A:$E,MatchSource!$A:$A=$B526)),SUM($W526)))),0,ABS(MINUS(SUM(FILTER(MatchSource!$A:$E,MatchSource!$A:$A=$B526)),SUM($W526))))"),"0")</f>
        <v>0</v>
      </c>
      <c r="Z526" s="499" t="str">
        <f aca="false">IFERROR(__xludf.dummyfunction("if(isna(ABS(MINUS(SUM(FILTER(MatchSource!$H:$L,MatchSource!$H:$H=$B526)),SUM($X526)))),0,ABS(MINUS(SUM(FILTER(MatchSource!$H:$L,MatchSource!$H:$H=$B526)),SUM($X526))))"),"2")</f>
        <v>2</v>
      </c>
      <c r="AA526" s="499" t="str">
        <f aca="false">IFERROR(__xludf.dummyfunction("if(isna(ABS(MINUS(SUM(FILTER(MatchSource!$A:$F,MatchSource!$A:$A=$B526)),SUM($W526,$Y526)))),0,ABS(MINUS(SUM(FILTER(MatchSource!$A:$F,MatchSource!$A:$A=$B526)),SUM($W526, $Y526,))))"),"0")</f>
        <v>0</v>
      </c>
      <c r="AB526" s="501" t="str">
        <f aca="false">IFERROR(__xludf.dummyfunction("if(isna(ABS(MINUS(SUM(FILTER(MatchSource!$H:$M,MatchSource!$H:$H=$B526)),SUM($X526,$Z526)))),0,ABS(MINUS(SUM(FILTER(MatchSource!$H:$M,MatchSource!$H:$H=$B526)),SUM($X526,$Z526))))"),"0")</f>
        <v>0</v>
      </c>
      <c r="AC526" s="507" t="n">
        <f aca="false">SUM(IF(OR($R526="Grass",$R526="Psychic",$R526="Dark"),0-1,IF(OR($R526="Fighting",$R526="Flying",$R526="Fire",$R526="Ghost",$R526="Poison",$R526="Steel",$R526="Fairy"),1,0)),IF(OR($S526="Grass",$S526="Psychic",$S526="Dark"),0-1,IF(OR($S526="Fighting",$S526="Flying",$S526="Fire",$S526="Ghost",$S526="Poison",$S526="Steel",$S526="Fairy"),1,0)))</f>
        <v>0</v>
      </c>
      <c r="AD526" s="507" t="n">
        <f aca="false">SUM(IF(OR($R526="Ghost",$R526="Psychic"),0-1,IF(OR($R526="Fighting",$R526="Dark",$R526="Fairy"),1,0)),IF(OR($S526="Ghost",$S526="Psychic"),0-1,IF(OR($S526="Fighting",$S526="Dark",$S526="Fairy"),1,0)))</f>
        <v>0</v>
      </c>
      <c r="AE526" s="507" t="n">
        <f aca="false">IF(OR($R526="Fairy",$S526="Fairy"),4,SUM(IF($R526="Dragon",0-1,IF($R526="Steel",1,0)),IF($S526="Dragon",0-1,IF($S526="Steel",1,0))))</f>
        <v>0</v>
      </c>
      <c r="AF526" s="507" t="n">
        <f aca="false">IF(OR($R526="Ground",$S526="Ground"),4,SUM(IF(OR($R526="Flying",$R526="Water"),0-1,IF(OR($R526="Dragon",$R526="Electric",$R526="Grass"),1,0)),IF(OR($S526="Flying",$S526="Water"),0-1,IF(OR($S526="Dragon",$S526="Electric",$S526="Grass"),1,0))))</f>
        <v>1</v>
      </c>
      <c r="AG526" s="507" t="n">
        <f aca="false">SUM(IF(OR($R526="Dark",$R526="Dragon",$R526="Fighting"),0-1,IF(OR($R526="Steel",$R526="Poison",$R526="Fire"),1,0)),IF(OR($S526="Dark",$S526="Dragon",$S526="Fighting"),0-1,IF(OR($S526="Steel",$S526="Poison",$S526="Fire"),1,0)))</f>
        <v>0</v>
      </c>
      <c r="AH526" s="507" t="n">
        <f aca="false">IF(OR($R526="Ghost",$S526="Ghost"),4,SUM(IF(OR($R526="Dark",$R526="Ice",$R526="Normal",$R526="Rock",$R526="Steel"),0-1,IF(OR($R526="Bug",$R526="Fairy",$R526="Flying",$R526="Poison",$R526="Psychic"),1,0)),IF(OR($S526="Dark",$S526="Ice",$S526="Normal",$S526="Rock",$S526="Steel"),0-1,IF(OR($S526="Bug",$S526="Fairy",$S526="Flying",$S526="Poison",$S526="Psychic"),1,0))))</f>
        <v>0</v>
      </c>
      <c r="AI526" s="507" t="n">
        <f aca="false">SUM(IF(OR($R526="Bug",$R526="Grass",$R526="Ice",$R526="Steel"),0-1,IF(OR($R526="Dragon",$R526="Fire",$R526="Rock",$R526="Water"),1,0)),IF(OR($S526="Bug",$S526="Grass",$S526="Ice",$S526="Steel"),0-1,IF(OR($S526="Dragon",$S526="Fire",$S526="Rock",$S526="Water"),1,0)))</f>
        <v>0</v>
      </c>
      <c r="AJ526" s="507" t="n">
        <f aca="false">SUM(IF(OR($R526="Bug",$R526="Grass",$R526="Fighting"),0-1,IF(OR($R526="Electric",$R526="Rock",$R526="Steel"),1,0)),IF(OR($S526="Bug",$S526="Grass",$S526="Fighting"),0-1,IF(OR($S526="Electric",$S526="Rock",$S526="Steel"),1,0)))</f>
        <v>1</v>
      </c>
      <c r="AK526" s="507" t="n">
        <f aca="false">IF(OR($R526="Normal",$S526="Normal"),4,SUM(IF(OR($R526="Ghost",$R526="Psychic"),0-1,IF($R526="Dark",1,0)),IF(OR($S526="Ghost",$S526="Psychic"),0-1,IF($S526="Dark",1,0))))</f>
        <v>0</v>
      </c>
      <c r="AL526" s="507" t="n">
        <f aca="false">SUM(IF(OR($R526="Ground",$R526="Rock",$R526="Water"),0-1,IF(OR($R526="Bug",$R526="Flying",$R526="Fire",$R526="Dragon",$R526="Poison",$R526="Steel",$R526="Grass"),1,0)),IF(OR($S526="Ground",$S526="Rock",$S526="Water"),0-1,IF(OR($S526="Bug",$S526="Flying",$S526="Fire",$S526="Dragon",$S526="Poison",$S526="Steel",$S526="Grass"),1,0)))</f>
        <v>0</v>
      </c>
      <c r="AM526" s="507" t="n">
        <f aca="false">IF(OR($R526="Flying",$S526="Flying"),4,SUM(IF(OR($R526="Electric",$R526="Fire",$R526="Rock",$R526="Steel",$R526="Poison"),0-1,IF(OR($R526="Bug",$R526="Grass"),1,0)),IF(OR($S526="Electric",$S526="Fire",$S526="Rock",$S526="Steel",$S526="Poison"),0-1,IF(OR($S526="Bug",$S526="Grass"),1,0))))</f>
        <v>-1</v>
      </c>
      <c r="AN526" s="507" t="n">
        <f aca="false">SUM(IF(OR($R526="Flying",$R526="Dragon",$R526="Grass",$R526="Ground"),0-1,IF(OR($R526="Steel",$R526="Ice",$R526="Fire",$R526="Water"),1,0)),IF(OR($S526="Flying",$S526="Dragon",$S526="Grass",$S526="Ground"),0-1,IF(OR($S526="Steel",$S526="Ice",$S526="Fire",$S526="Water"),1,0)))</f>
        <v>0</v>
      </c>
      <c r="AO526" s="507" t="n">
        <f aca="false">IF(OR($R526="Ghost",$S526="Ghost"),4,SUM(IF(OR($R526="Steel",$R526="Rock"),1,0),IF(OR($S526="Steel",$S526="Rock"),1,0)))</f>
        <v>0</v>
      </c>
      <c r="AP526" s="507" t="n">
        <f aca="false">IF(OR($R526="Steel",$S526="Steel"),4,SUM(IF(OR($R526="Fairy",$R526="Grass"),0-1,IF(OR($R526="Ghost",$R526="Rock",$R526="Ground",$R526="Poison"),1,0)),IF(OR($S526="Fairy",$S526="Grass"),0-1,IF(OR($S526="Ghost",$S526="Rock",$S526="Ground",$S526="Poison"),1,0))))</f>
        <v>0</v>
      </c>
      <c r="AQ526" s="507" t="n">
        <f aca="false">IF(OR($R526="Dark",$S526="Dark"),4,SUM(IF(OR($R526="Fighting",$R526="Poison"),0-1,IF(OR($R526="Psychic",$R526="Steel"),1,0)),IF(OR($S526="Fighting",$S526="Poison"),0-1,IF(OR($S526="Psychic",$S526="Steel"),1,0))))</f>
        <v>0</v>
      </c>
      <c r="AR526" s="507" t="n">
        <f aca="false">SUM(IF(OR($R526="Bug",$R526="Fire",$R526="Flying",$R526="Ice"),0-1,IF(OR($R526="Steel",$R526="Fighting",$R526="Ground"),1,0)),IF(OR($S526="Bug",$S526="Fire",$S526="Flying",$S526="Ice"),0-1,IF(OR($S526="Steel",$S526="Fighting",$S526="Ground"),1,0)))</f>
        <v>0</v>
      </c>
      <c r="AS526" s="507" t="n">
        <f aca="false">SUM(IF(OR($R526="Fairy",$R526="Ice",$R526="Rock"),0-1,IF(OR($R526="Steel",$R526="Electric",$R526="Fire",$R526="Water"),1,0)),IF(OR($S526="Fairy",$S526="Ice",$S526="Rock"),0-1,IF(OR($S526="Steel",$S526="Electric",$S526="Fire",$S526="Water"),1,0)))</f>
        <v>1</v>
      </c>
      <c r="AT526" s="508" t="n">
        <f aca="false">SUM(IF(OR($R526="Fire",$R526="Ground",$R526="Rock"),0-1,IF(OR($R526="Dragon",$R526="Grass",$R526="Water"),1,0)),IF(OR($S526="Fire",$S526="Ground",$S526="Rock"),0-1,IF(OR($S526="Dragon",$S526="Grass",$S526="Water"),1,0)))</f>
        <v>0</v>
      </c>
      <c r="AU526" s="518"/>
    </row>
    <row r="527" customFormat="false" ht="15.75" hidden="false" customHeight="false" outlineLevel="0" collapsed="false">
      <c r="A527" s="510" t="str">
        <f aca="false" t="array" ref="A527:A527">IF(ISNA(INDEX(Source!$U$7:$U$95,MATCH(B527,Source!$V$7:$V$95,0))),"FREE",INDEX(Source!$U$7:$U$95,MATCH(B527,Source!$V$7:$V$95,0)))</f>
        <v>FREE</v>
      </c>
      <c r="B527" s="551" t="s">
        <v>691</v>
      </c>
      <c r="C527" s="551"/>
      <c r="D527" s="551"/>
      <c r="E527" s="499" t="str">
        <f aca="false">IF(SUM($W527:$X527)&gt;0,SUM($W527:$X527),IF($H527&gt;0,0,IF($H527&gt;0,0,"-")))</f>
        <v>-</v>
      </c>
      <c r="F527" s="499" t="str">
        <f aca="false">IF(SUM($Y527:$Z527)&gt;0,SUM($Y527:$Z527),IF($H527&gt;0,0,"-"))</f>
        <v>-</v>
      </c>
      <c r="G527" s="499" t="str">
        <f aca="false">IF($H527&gt;0,minus(E527,F527),"-")</f>
        <v>-</v>
      </c>
      <c r="H527" s="500" t="n">
        <f aca="false">SUM(COUNTIF(MatchSource!$A:$A,$B527),COUNTIF(MatchSource!$H:$H,$B527))</f>
        <v>0</v>
      </c>
      <c r="I527" s="501" t="n">
        <f aca="false">SUM($AA527:$AB527)</f>
        <v>0</v>
      </c>
      <c r="J527" s="512" t="s">
        <v>701</v>
      </c>
      <c r="K527" s="501" t="str">
        <f aca="false" t="array" ref="K527:K527">IF(ISNA(INDEX(DraftRosters!$AA$3:$AA$199,MATCH($B527,DraftRosters!$AB$3:$AB$199,0))),"FA",IF(INDEX(DraftRosters!$AA$3:$AA$199,MATCH($B527,DraftRosters!$AB$3:$AB$199,0))="Franchise","Franch",INDEX(DraftRosters!$AA$3:$AA$199,MATCH($B527,DraftRosters!$AB$3:$AB$199,0))))</f>
        <v>FA</v>
      </c>
      <c r="L527" s="499" t="n">
        <v>86</v>
      </c>
      <c r="M527" s="499" t="n">
        <v>76</v>
      </c>
      <c r="N527" s="499" t="n">
        <v>86</v>
      </c>
      <c r="O527" s="499" t="n">
        <v>116</v>
      </c>
      <c r="P527" s="499" t="n">
        <v>56</v>
      </c>
      <c r="Q527" s="499" t="n">
        <v>95</v>
      </c>
      <c r="R527" s="500" t="s">
        <v>794</v>
      </c>
      <c r="S527" s="499" t="s">
        <v>801</v>
      </c>
      <c r="T527" s="520" t="s">
        <v>871</v>
      </c>
      <c r="U527" s="513" t="s">
        <v>905</v>
      </c>
      <c r="V527" s="514" t="s">
        <v>927</v>
      </c>
      <c r="W527" s="500" t="str">
        <f aca="false">IFERROR(__xludf.dummyfunction("if(isna(SUM(FILTER(MatchSource!$A:$D,MatchSource!$A:$A=$B527))),0,SUM(FILTER(MatchSource!$A:$D,MatchSource!$A:$A=$B527)))"),"0")</f>
        <v>0</v>
      </c>
      <c r="X527" s="499" t="str">
        <f aca="false">IFERROR(__xludf.dummyfunction("if(isna(SUM(FILTER(MatchSource!$H:$K,MatchSource!$H:$H=$B527))),0,SUM(FILTER(MatchSource!$H:$K,MatchSource!$H:$H=$B527)))"),"0")</f>
        <v>0</v>
      </c>
      <c r="Y527" s="499" t="str">
        <f aca="false">IFERROR(__xludf.dummyfunction("if(isna(ABS(MINUS(SUM(FILTER(MatchSource!$A:$E,MatchSource!$A:$A=$B527)),SUM($W527)))),0,ABS(MINUS(SUM(FILTER(MatchSource!$A:$E,MatchSource!$A:$A=$B527)),SUM($W527))))"),"0")</f>
        <v>0</v>
      </c>
      <c r="Z527" s="499" t="str">
        <f aca="false">IFERROR(__xludf.dummyfunction("if(isna(ABS(MINUS(SUM(FILTER(MatchSource!$H:$L,MatchSource!$H:$H=$B527)),SUM($X527)))),0,ABS(MINUS(SUM(FILTER(MatchSource!$H:$L,MatchSource!$H:$H=$B527)),SUM($X527))))"),"0")</f>
        <v>0</v>
      </c>
      <c r="AA527" s="499" t="str">
        <f aca="false">IFERROR(__xludf.dummyfunction("if(isna(ABS(MINUS(SUM(FILTER(MatchSource!$A:$F,MatchSource!$A:$A=$B527)),SUM($W527,$Y527)))),0,ABS(MINUS(SUM(FILTER(MatchSource!$A:$F,MatchSource!$A:$A=$B527)),SUM($W527, $Y527,))))"),"0")</f>
        <v>0</v>
      </c>
      <c r="AB527" s="501" t="str">
        <f aca="false">IFERROR(__xludf.dummyfunction("if(isna(ABS(MINUS(SUM(FILTER(MatchSource!$H:$M,MatchSource!$H:$H=$B527)),SUM($X527,$Z527)))),0,ABS(MINUS(SUM(FILTER(MatchSource!$H:$M,MatchSource!$H:$H=$B527)),SUM($X527,$Z527))))"),"0")</f>
        <v>0</v>
      </c>
      <c r="AC527" s="507" t="n">
        <f aca="false">SUM(IF(OR($R527="Grass",$R527="Psychic",$R527="Dark"),0-1,IF(OR($R527="Fighting",$R527="Flying",$R527="Fire",$R527="Ghost",$R527="Poison",$R527="Steel",$R527="Fairy"),1,0)),IF(OR($S527="Grass",$S527="Psychic",$S527="Dark"),0-1,IF(OR($S527="Fighting",$S527="Flying",$S527="Fire",$S527="Ghost",$S527="Poison",$S527="Steel",$S527="Fairy"),1,0)))</f>
        <v>1</v>
      </c>
      <c r="AD527" s="507" t="n">
        <f aca="false">SUM(IF(OR($R527="Ghost",$R527="Psychic"),0-1,IF(OR($R527="Fighting",$R527="Dark",$R527="Fairy"),1,0)),IF(OR($S527="Ghost",$S527="Psychic"),0-1,IF(OR($S527="Fighting",$S527="Dark",$S527="Fairy"),1,0)))</f>
        <v>0</v>
      </c>
      <c r="AE527" s="507" t="n">
        <f aca="false">IF(OR($R527="Fairy",$S527="Fairy"),4,SUM(IF($R527="Dragon",0-1,IF($R527="Steel",1,0)),IF($S527="Dragon",0-1,IF($S527="Steel",1,0))))</f>
        <v>0</v>
      </c>
      <c r="AF527" s="507" t="n">
        <f aca="false">IF(OR($R527="Ground",$S527="Ground"),4,SUM(IF(OR($R527="Flying",$R527="Water"),0-1,IF(OR($R527="Dragon",$R527="Electric",$R527="Grass"),1,0)),IF(OR($S527="Flying",$S527="Water"),0-1,IF(OR($S527="Dragon",$S527="Electric",$S527="Grass"),1,0))))</f>
        <v>-1</v>
      </c>
      <c r="AG527" s="507" t="n">
        <f aca="false">SUM(IF(OR($R527="Dark",$R527="Dragon",$R527="Fighting"),0-1,IF(OR($R527="Steel",$R527="Poison",$R527="Fire"),1,0)),IF(OR($S527="Dark",$S527="Dragon",$S527="Fighting"),0-1,IF(OR($S527="Steel",$S527="Poison",$S527="Fire"),1,0)))</f>
        <v>0</v>
      </c>
      <c r="AH527" s="507" t="n">
        <f aca="false">IF(OR($R527="Ghost",$S527="Ghost"),4,SUM(IF(OR($R527="Dark",$R527="Ice",$R527="Normal",$R527="Rock",$R527="Steel"),0-1,IF(OR($R527="Bug",$R527="Fairy",$R527="Flying",$R527="Poison",$R527="Psychic"),1,0)),IF(OR($S527="Dark",$S527="Ice",$S527="Normal",$S527="Rock",$S527="Steel"),0-1,IF(OR($S527="Bug",$S527="Fairy",$S527="Flying",$S527="Poison",$S527="Psychic"),1,0))))</f>
        <v>2</v>
      </c>
      <c r="AI527" s="507" t="n">
        <f aca="false">SUM(IF(OR($R527="Bug",$R527="Grass",$R527="Ice",$R527="Steel"),0-1,IF(OR($R527="Dragon",$R527="Fire",$R527="Rock",$R527="Water"),1,0)),IF(OR($S527="Bug",$S527="Grass",$S527="Ice",$S527="Steel"),0-1,IF(OR($S527="Dragon",$S527="Fire",$S527="Rock",$S527="Water"),1,0)))</f>
        <v>-1</v>
      </c>
      <c r="AJ527" s="507" t="n">
        <f aca="false">SUM(IF(OR($R527="Bug",$R527="Grass",$R527="Fighting"),0-1,IF(OR($R527="Electric",$R527="Rock",$R527="Steel"),1,0)),IF(OR($S527="Bug",$S527="Grass",$S527="Fighting"),0-1,IF(OR($S527="Electric",$S527="Rock",$S527="Steel"),1,0)))</f>
        <v>-1</v>
      </c>
      <c r="AK527" s="507" t="n">
        <f aca="false">IF(OR($R527="Normal",$S527="Normal"),4,SUM(IF(OR($R527="Ghost",$R527="Psychic"),0-1,IF($R527="Dark",1,0)),IF(OR($S527="Ghost",$S527="Psychic"),0-1,IF($S527="Dark",1,0))))</f>
        <v>0</v>
      </c>
      <c r="AL527" s="507" t="n">
        <f aca="false">SUM(IF(OR($R527="Ground",$R527="Rock",$R527="Water"),0-1,IF(OR($R527="Bug",$R527="Flying",$R527="Fire",$R527="Dragon",$R527="Poison",$R527="Steel",$R527="Grass"),1,0)),IF(OR($S527="Ground",$S527="Rock",$S527="Water"),0-1,IF(OR($S527="Bug",$S527="Flying",$S527="Fire",$S527="Dragon",$S527="Poison",$S527="Steel",$S527="Grass"),1,0)))</f>
        <v>2</v>
      </c>
      <c r="AM527" s="507" t="n">
        <f aca="false">IF(OR($R527="Flying",$S527="Flying"),4,SUM(IF(OR($R527="Electric",$R527="Fire",$R527="Rock",$R527="Steel",$R527="Poison"),0-1,IF(OR($R527="Bug",$R527="Grass"),1,0)),IF(OR($S527="Electric",$S527="Fire",$S527="Rock",$S527="Steel",$S527="Poison"),0-1,IF(OR($S527="Bug",$S527="Grass"),1,0))))</f>
        <v>4</v>
      </c>
      <c r="AN527" s="507" t="n">
        <f aca="false">SUM(IF(OR($R527="Flying",$R527="Dragon",$R527="Grass",$R527="Ground"),0-1,IF(OR($R527="Steel",$R527="Ice",$R527="Fire",$R527="Water"),1,0)),IF(OR($S527="Flying",$S527="Dragon",$S527="Grass",$S527="Ground"),0-1,IF(OR($S527="Steel",$S527="Ice",$S527="Fire",$S527="Water"),1,0)))</f>
        <v>-1</v>
      </c>
      <c r="AO527" s="507" t="n">
        <f aca="false">IF(OR($R527="Ghost",$S527="Ghost"),4,SUM(IF(OR($R527="Steel",$R527="Rock"),1,0),IF(OR($S527="Steel",$S527="Rock"),1,0)))</f>
        <v>0</v>
      </c>
      <c r="AP527" s="507" t="n">
        <f aca="false">IF(OR($R527="Steel",$S527="Steel"),4,SUM(IF(OR($R527="Fairy",$R527="Grass"),0-1,IF(OR($R527="Ghost",$R527="Rock",$R527="Ground",$R527="Poison"),1,0)),IF(OR($S527="Fairy",$S527="Grass"),0-1,IF(OR($S527="Ghost",$S527="Rock",$S527="Ground",$S527="Poison"),1,0))))</f>
        <v>0</v>
      </c>
      <c r="AQ527" s="507" t="n">
        <f aca="false">IF(OR($R527="Dark",$S527="Dark"),4,SUM(IF(OR($R527="Fighting",$R527="Poison"),0-1,IF(OR($R527="Psychic",$R527="Steel"),1,0)),IF(OR($S527="Fighting",$S527="Poison"),0-1,IF(OR($S527="Psychic",$S527="Steel"),1,0))))</f>
        <v>0</v>
      </c>
      <c r="AR527" s="507" t="n">
        <f aca="false">SUM(IF(OR($R527="Bug",$R527="Fire",$R527="Flying",$R527="Ice"),0-1,IF(OR($R527="Steel",$R527="Fighting",$R527="Ground"),1,0)),IF(OR($S527="Bug",$S527="Fire",$S527="Flying",$S527="Ice"),0-1,IF(OR($S527="Steel",$S527="Fighting",$S527="Ground"),1,0)))</f>
        <v>-2</v>
      </c>
      <c r="AS527" s="507" t="n">
        <f aca="false">SUM(IF(OR($R527="Fairy",$R527="Ice",$R527="Rock"),0-1,IF(OR($R527="Steel",$R527="Electric",$R527="Fire",$R527="Water"),1,0)),IF(OR($S527="Fairy",$S527="Ice",$S527="Rock"),0-1,IF(OR($S527="Steel",$S527="Electric",$S527="Fire",$S527="Water"),1,0)))</f>
        <v>0</v>
      </c>
      <c r="AT527" s="508" t="n">
        <f aca="false">SUM(IF(OR($R527="Fire",$R527="Ground",$R527="Rock"),0-1,IF(OR($R527="Dragon",$R527="Grass",$R527="Water"),1,0)),IF(OR($S527="Fire",$S527="Ground",$S527="Rock"),0-1,IF(OR($S527="Dragon",$S527="Grass",$S527="Water"),1,0)))</f>
        <v>0</v>
      </c>
      <c r="AU527" s="518"/>
    </row>
    <row r="528" customFormat="false" ht="15.75" hidden="false" customHeight="false" outlineLevel="0" collapsed="false">
      <c r="A528" s="515" t="str">
        <f aca="false" t="array" ref="A528:A528">IF(ISNA(INDEX(Source!$U$7:$U$95,MATCH(B528,Source!$V$7:$V$95,0))),"FREE",INDEX(Source!$U$7:$U$95,MATCH(B528,Source!$V$7:$V$95,0)))</f>
        <v>FREE</v>
      </c>
      <c r="B528" s="551" t="s">
        <v>696</v>
      </c>
      <c r="C528" s="551"/>
      <c r="D528" s="551"/>
      <c r="E528" s="499" t="str">
        <f aca="false">IF(SUM($W528:$X528)&gt;0,SUM($W528:$X528),IF($H528&gt;0,0,IF($H528&gt;0,0,"-")))</f>
        <v>-</v>
      </c>
      <c r="F528" s="499" t="str">
        <f aca="false">IF(SUM($Y528:$Z528)&gt;0,SUM($Y528:$Z528),IF($H528&gt;0,0,"-"))</f>
        <v>-</v>
      </c>
      <c r="G528" s="499" t="str">
        <f aca="false">IF($H528&gt;0,minus(E528,F528),"-")</f>
        <v>-</v>
      </c>
      <c r="H528" s="500" t="n">
        <f aca="false">SUM(COUNTIF(MatchSource!$A:$A,$B528),COUNTIF(MatchSource!$H:$H,$B528))</f>
        <v>0</v>
      </c>
      <c r="I528" s="501" t="n">
        <f aca="false">SUM($AA528:$AB528)</f>
        <v>0</v>
      </c>
      <c r="J528" s="512" t="s">
        <v>702</v>
      </c>
      <c r="K528" s="501" t="str">
        <f aca="false" t="array" ref="K528:K528">IF(ISNA(INDEX(DraftRosters!$AA$3:$AA$199,MATCH($B528,DraftRosters!$AB$3:$AB$199,0))),"FA",IF(INDEX(DraftRosters!$AA$3:$AA$199,MATCH($B528,DraftRosters!$AB$3:$AB$199,0))="Franchise","Franch",INDEX(DraftRosters!$AA$3:$AA$199,MATCH($B528,DraftRosters!$AB$3:$AB$199,0))))</f>
        <v>FA</v>
      </c>
      <c r="L528" s="499" t="n">
        <v>73</v>
      </c>
      <c r="M528" s="499" t="n">
        <v>115</v>
      </c>
      <c r="N528" s="499" t="n">
        <v>60</v>
      </c>
      <c r="O528" s="499" t="n">
        <v>60</v>
      </c>
      <c r="P528" s="499" t="n">
        <v>60</v>
      </c>
      <c r="Q528" s="499" t="n">
        <v>90</v>
      </c>
      <c r="R528" s="500" t="s">
        <v>839</v>
      </c>
      <c r="S528" s="499"/>
      <c r="T528" s="520" t="s">
        <v>981</v>
      </c>
      <c r="U528" s="513" t="s">
        <v>1083</v>
      </c>
      <c r="V528" s="514"/>
      <c r="W528" s="500" t="str">
        <f aca="false">IFERROR(__xludf.dummyfunction("if(isna(SUM(FILTER(MatchSource!$A:$D,MatchSource!$A:$A=$B528))),0,SUM(FILTER(MatchSource!$A:$D,MatchSource!$A:$A=$B528)))"),"0")</f>
        <v>0</v>
      </c>
      <c r="X528" s="499" t="str">
        <f aca="false">IFERROR(__xludf.dummyfunction("if(isna(SUM(FILTER(MatchSource!$H:$K,MatchSource!$H:$H=$B528))),0,SUM(FILTER(MatchSource!$H:$K,MatchSource!$H:$H=$B528)))"),"0")</f>
        <v>0</v>
      </c>
      <c r="Y528" s="499" t="str">
        <f aca="false">IFERROR(__xludf.dummyfunction("if(isna(ABS(MINUS(SUM(FILTER(MatchSource!$A:$E,MatchSource!$A:$A=$B528)),SUM($W528)))),0,ABS(MINUS(SUM(FILTER(MatchSource!$A:$E,MatchSource!$A:$A=$B528)),SUM($W528))))"),"0")</f>
        <v>0</v>
      </c>
      <c r="Z528" s="499" t="str">
        <f aca="false">IFERROR(__xludf.dummyfunction("if(isna(ABS(MINUS(SUM(FILTER(MatchSource!$H:$L,MatchSource!$H:$H=$B528)),SUM($X528)))),0,ABS(MINUS(SUM(FILTER(MatchSource!$H:$L,MatchSource!$H:$H=$B528)),SUM($X528))))"),"0")</f>
        <v>0</v>
      </c>
      <c r="AA528" s="499" t="str">
        <f aca="false">IFERROR(__xludf.dummyfunction("if(isna(ABS(MINUS(SUM(FILTER(MatchSource!$A:$F,MatchSource!$A:$A=$B528)),SUM($W528,$Y528)))),0,ABS(MINUS(SUM(FILTER(MatchSource!$A:$F,MatchSource!$A:$A=$B528)),SUM($W528, $Y528,))))"),"0")</f>
        <v>0</v>
      </c>
      <c r="AB528" s="501" t="str">
        <f aca="false">IFERROR(__xludf.dummyfunction("if(isna(ABS(MINUS(SUM(FILTER(MatchSource!$H:$M,MatchSource!$H:$H=$B528)),SUM($X528,$Z528)))),0,ABS(MINUS(SUM(FILTER(MatchSource!$H:$M,MatchSource!$H:$H=$B528)),SUM($X528,$Z528))))"),"0")</f>
        <v>0</v>
      </c>
      <c r="AC528" s="507" t="n">
        <f aca="false">SUM(IF(OR($R528="Grass",$R528="Psychic",$R528="Dark"),0-1,IF(OR($R528="Fighting",$R528="Flying",$R528="Fire",$R528="Ghost",$R528="Poison",$R528="Steel",$R528="Fairy"),1,0)),IF(OR($S528="Grass",$S528="Psychic",$S528="Dark"),0-1,IF(OR($S528="Fighting",$S528="Flying",$S528="Fire",$S528="Ghost",$S528="Poison",$S528="Steel",$S528="Fairy"),1,0)))</f>
        <v>0</v>
      </c>
      <c r="AD528" s="507" t="n">
        <f aca="false">SUM(IF(OR($R528="Ghost",$R528="Psychic"),0-1,IF(OR($R528="Fighting",$R528="Dark",$R528="Fairy"),1,0)),IF(OR($S528="Ghost",$S528="Psychic"),0-1,IF(OR($S528="Fighting",$S528="Dark",$S528="Fairy"),1,0)))</f>
        <v>0</v>
      </c>
      <c r="AE528" s="507" t="n">
        <f aca="false">IF(OR($R528="Fairy",$S528="Fairy"),4,SUM(IF($R528="Dragon",0-1,IF($R528="Steel",1,0)),IF($S528="Dragon",0-1,IF($S528="Steel",1,0))))</f>
        <v>0</v>
      </c>
      <c r="AF528" s="507" t="n">
        <f aca="false">IF(OR($R528="Ground",$S528="Ground"),4,SUM(IF(OR($R528="Flying",$R528="Water"),0-1,IF(OR($R528="Dragon",$R528="Electric",$R528="Grass"),1,0)),IF(OR($S528="Flying",$S528="Water"),0-1,IF(OR($S528="Dragon",$S528="Electric",$S528="Grass"),1,0))))</f>
        <v>0</v>
      </c>
      <c r="AG528" s="507" t="n">
        <f aca="false">SUM(IF(OR($R528="Dark",$R528="Dragon",$R528="Fighting"),0-1,IF(OR($R528="Steel",$R528="Poison",$R528="Fire"),1,0)),IF(OR($S528="Dark",$S528="Dragon",$S528="Fighting"),0-1,IF(OR($S528="Steel",$S528="Poison",$S528="Fire"),1,0)))</f>
        <v>0</v>
      </c>
      <c r="AH528" s="507" t="n">
        <f aca="false">IF(OR($R528="Ghost",$S528="Ghost"),4,SUM(IF(OR($R528="Dark",$R528="Ice",$R528="Normal",$R528="Rock",$R528="Steel"),0-1,IF(OR($R528="Bug",$R528="Fairy",$R528="Flying",$R528="Poison",$R528="Psychic"),1,0)),IF(OR($S528="Dark",$S528="Ice",$S528="Normal",$S528="Rock",$S528="Steel"),0-1,IF(OR($S528="Bug",$S528="Fairy",$S528="Flying",$S528="Poison",$S528="Psychic"),1,0))))</f>
        <v>-1</v>
      </c>
      <c r="AI528" s="507" t="n">
        <f aca="false">SUM(IF(OR($R528="Bug",$R528="Grass",$R528="Ice",$R528="Steel"),0-1,IF(OR($R528="Dragon",$R528="Fire",$R528="Rock",$R528="Water"),1,0)),IF(OR($S528="Bug",$S528="Grass",$S528="Ice",$S528="Steel"),0-1,IF(OR($S528="Dragon",$S528="Fire",$S528="Rock",$S528="Water"),1,0)))</f>
        <v>0</v>
      </c>
      <c r="AJ528" s="507" t="n">
        <f aca="false">SUM(IF(OR($R528="Bug",$R528="Grass",$R528="Fighting"),0-1,IF(OR($R528="Electric",$R528="Rock",$R528="Steel"),1,0)),IF(OR($S528="Bug",$S528="Grass",$S528="Fighting"),0-1,IF(OR($S528="Electric",$S528="Rock",$S528="Steel"),1,0)))</f>
        <v>0</v>
      </c>
      <c r="AK528" s="507" t="n">
        <f aca="false">IF(OR($R528="Normal",$S528="Normal"),4,SUM(IF(OR($R528="Ghost",$R528="Psychic"),0-1,IF($R528="Dark",1,0)),IF(OR($S528="Ghost",$S528="Psychic"),0-1,IF($S528="Dark",1,0))))</f>
        <v>4</v>
      </c>
      <c r="AL528" s="507" t="n">
        <f aca="false">SUM(IF(OR($R528="Ground",$R528="Rock",$R528="Water"),0-1,IF(OR($R528="Bug",$R528="Flying",$R528="Fire",$R528="Dragon",$R528="Poison",$R528="Steel",$R528="Grass"),1,0)),IF(OR($S528="Ground",$S528="Rock",$S528="Water"),0-1,IF(OR($S528="Bug",$S528="Flying",$S528="Fire",$S528="Dragon",$S528="Poison",$S528="Steel",$S528="Grass"),1,0)))</f>
        <v>0</v>
      </c>
      <c r="AM528" s="507" t="n">
        <f aca="false">IF(OR($R528="Flying",$S528="Flying"),4,SUM(IF(OR($R528="Electric",$R528="Fire",$R528="Rock",$R528="Steel",$R528="Poison"),0-1,IF(OR($R528="Bug",$R528="Grass"),1,0)),IF(OR($S528="Electric",$S528="Fire",$S528="Rock",$S528="Steel",$S528="Poison"),0-1,IF(OR($S528="Bug",$S528="Grass"),1,0))))</f>
        <v>0</v>
      </c>
      <c r="AN528" s="507" t="n">
        <f aca="false">SUM(IF(OR($R528="Flying",$R528="Dragon",$R528="Grass",$R528="Ground"),0-1,IF(OR($R528="Steel",$R528="Ice",$R528="Fire",$R528="Water"),1,0)),IF(OR($S528="Flying",$S528="Dragon",$S528="Grass",$S528="Ground"),0-1,IF(OR($S528="Steel",$S528="Ice",$S528="Fire",$S528="Water"),1,0)))</f>
        <v>0</v>
      </c>
      <c r="AO528" s="507" t="n">
        <f aca="false">IF(OR($R528="Ghost",$S528="Ghost"),4,SUM(IF(OR($R528="Steel",$R528="Rock"),1,0),IF(OR($S528="Steel",$S528="Rock"),1,0)))</f>
        <v>0</v>
      </c>
      <c r="AP528" s="507" t="n">
        <f aca="false">IF(OR($R528="Steel",$S528="Steel"),4,SUM(IF(OR($R528="Fairy",$R528="Grass"),0-1,IF(OR($R528="Ghost",$R528="Rock",$R528="Ground",$R528="Poison"),1,0)),IF(OR($S528="Fairy",$S528="Grass"),0-1,IF(OR($S528="Ghost",$S528="Rock",$S528="Ground",$S528="Poison"),1,0))))</f>
        <v>0</v>
      </c>
      <c r="AQ528" s="507" t="n">
        <f aca="false">IF(OR($R528="Dark",$S528="Dark"),4,SUM(IF(OR($R528="Fighting",$R528="Poison"),0-1,IF(OR($R528="Psychic",$R528="Steel"),1,0)),IF(OR($S528="Fighting",$S528="Poison"),0-1,IF(OR($S528="Psychic",$S528="Steel"),1,0))))</f>
        <v>0</v>
      </c>
      <c r="AR528" s="507" t="n">
        <f aca="false">SUM(IF(OR($R528="Bug",$R528="Fire",$R528="Flying",$R528="Ice"),0-1,IF(OR($R528="Steel",$R528="Fighting",$R528="Ground"),1,0)),IF(OR($S528="Bug",$S528="Fire",$S528="Flying",$S528="Ice"),0-1,IF(OR($S528="Steel",$S528="Fighting",$S528="Ground"),1,0)))</f>
        <v>0</v>
      </c>
      <c r="AS528" s="507" t="n">
        <f aca="false">SUM(IF(OR($R528="Fairy",$R528="Ice",$R528="Rock"),0-1,IF(OR($R528="Steel",$R528="Electric",$R528="Fire",$R528="Water"),1,0)),IF(OR($S528="Fairy",$S528="Ice",$S528="Rock"),0-1,IF(OR($S528="Steel",$S528="Electric",$S528="Fire",$S528="Water"),1,0)))</f>
        <v>0</v>
      </c>
      <c r="AT528" s="508" t="n">
        <f aca="false">SUM(IF(OR($R528="Fire",$R528="Ground",$R528="Rock"),0-1,IF(OR($R528="Dragon",$R528="Grass",$R528="Water"),1,0)),IF(OR($S528="Fire",$S528="Ground",$S528="Rock"),0-1,IF(OR($S528="Dragon",$S528="Grass",$S528="Water"),1,0)))</f>
        <v>0</v>
      </c>
      <c r="AU528" s="518"/>
    </row>
    <row r="529" customFormat="false" ht="15.75" hidden="false" customHeight="false" outlineLevel="0" collapsed="false">
      <c r="A529" s="515" t="str">
        <f aca="false" t="array" ref="A529:A529">IF(ISNA(INDEX(Source!$U$7:$U$95,MATCH(B529,Source!$V$7:$V$95,0))),"FREE",INDEX(Source!$U$7:$U$95,MATCH(B529,Source!$V$7:$V$95,0)))</f>
        <v>FREE</v>
      </c>
      <c r="B529" s="551" t="s">
        <v>470</v>
      </c>
      <c r="C529" s="551"/>
      <c r="D529" s="551"/>
      <c r="E529" s="499" t="str">
        <f aca="false">IF(SUM($W529:$X529)&gt;0,SUM($W529:$X529),IF($H529&gt;0,0,IF($H529&gt;0,0,"-")))</f>
        <v>-</v>
      </c>
      <c r="F529" s="499" t="str">
        <f aca="false">IF(SUM($Y529:$Z529)&gt;0,SUM($Y529:$Z529),IF($H529&gt;0,0,"-"))</f>
        <v>-</v>
      </c>
      <c r="G529" s="499" t="str">
        <f aca="false">IF($H529&gt;0,minus(E529,F529),"-")</f>
        <v>-</v>
      </c>
      <c r="H529" s="500" t="n">
        <f aca="false">SUM(COUNTIF(MatchSource!$A:$A,$B529),COUNTIF(MatchSource!$H:$H,$B529))</f>
        <v>0</v>
      </c>
      <c r="I529" s="501" t="n">
        <f aca="false">SUM($AA529:$AB529)</f>
        <v>0</v>
      </c>
      <c r="J529" s="512" t="s">
        <v>698</v>
      </c>
      <c r="K529" s="501" t="str">
        <f aca="false" t="array" ref="K529:K529">IF(ISNA(INDEX(DraftRosters!$AA$3:$AA$199,MATCH($B529,DraftRosters!$AB$3:$AB$199,0))),"FA",IF(INDEX(DraftRosters!$AA$3:$AA$199,MATCH($B529,DraftRosters!$AB$3:$AB$199,0))="Franchise","Franch",INDEX(DraftRosters!$AA$3:$AA$199,MATCH($B529,DraftRosters!$AB$3:$AB$199,0))))</f>
        <v>FA</v>
      </c>
      <c r="L529" s="507" t="n">
        <v>90</v>
      </c>
      <c r="M529" s="507" t="n">
        <v>90</v>
      </c>
      <c r="N529" s="507" t="n">
        <v>85</v>
      </c>
      <c r="O529" s="507" t="n">
        <v>125</v>
      </c>
      <c r="P529" s="507" t="n">
        <v>90</v>
      </c>
      <c r="Q529" s="507" t="n">
        <v>100</v>
      </c>
      <c r="R529" s="500" t="s">
        <v>845</v>
      </c>
      <c r="S529" s="499" t="s">
        <v>801</v>
      </c>
      <c r="T529" s="520" t="s">
        <v>816</v>
      </c>
      <c r="U529" s="513" t="s">
        <v>847</v>
      </c>
      <c r="V529" s="514"/>
      <c r="W529" s="500" t="str">
        <f aca="false">IFERROR(__xludf.dummyfunction("if(isna(SUM(FILTER(MatchSource!$A:$D,MatchSource!$A:$A=$B529))),0,SUM(FILTER(MatchSource!$A:$D,MatchSource!$A:$A=$B529)))"),"0")</f>
        <v>0</v>
      </c>
      <c r="X529" s="499" t="str">
        <f aca="false">IFERROR(__xludf.dummyfunction("if(isna(SUM(FILTER(MatchSource!$H:$K,MatchSource!$H:$H=$B529))),0,SUM(FILTER(MatchSource!$H:$K,MatchSource!$H:$H=$B529)))"),"0")</f>
        <v>0</v>
      </c>
      <c r="Y529" s="499" t="str">
        <f aca="false">IFERROR(__xludf.dummyfunction("if(isna(ABS(MINUS(SUM(FILTER(MatchSource!$A:$E,MatchSource!$A:$A=$B529)),SUM($W529)))),0,ABS(MINUS(SUM(FILTER(MatchSource!$A:$E,MatchSource!$A:$A=$B529)),SUM($W529))))"),"0")</f>
        <v>0</v>
      </c>
      <c r="Z529" s="499" t="str">
        <f aca="false">IFERROR(__xludf.dummyfunction("if(isna(ABS(MINUS(SUM(FILTER(MatchSource!$H:$L,MatchSource!$H:$H=$B529)),SUM($X529)))),0,ABS(MINUS(SUM(FILTER(MatchSource!$H:$L,MatchSource!$H:$H=$B529)),SUM($X529))))"),"0")</f>
        <v>0</v>
      </c>
      <c r="AA529" s="499" t="str">
        <f aca="false">IFERROR(__xludf.dummyfunction("if(isna(ABS(MINUS(SUM(FILTER(MatchSource!$A:$F,MatchSource!$A:$A=$B529)),SUM($W529,$Y529)))),0,ABS(MINUS(SUM(FILTER(MatchSource!$A:$F,MatchSource!$A:$A=$B529)),SUM($W529, $Y529,))))"),"0")</f>
        <v>0</v>
      </c>
      <c r="AB529" s="501" t="str">
        <f aca="false">IFERROR(__xludf.dummyfunction("if(isna(ABS(MINUS(SUM(FILTER(MatchSource!$H:$M,MatchSource!$H:$H=$B529)),SUM($X529,$Z529)))),0,ABS(MINUS(SUM(FILTER(MatchSource!$H:$M,MatchSource!$H:$H=$B529)),SUM($X529,$Z529))))"),"0")</f>
        <v>0</v>
      </c>
      <c r="AC529" s="507" t="n">
        <f aca="false">SUM(IF(OR($R529="Grass",$R529="Psychic",$R529="Dark"),0-1,IF(OR($R529="Fighting",$R529="Flying",$R529="Fire",$R529="Ghost",$R529="Poison",$R529="Steel",$R529="Fairy"),1,0)),IF(OR($S529="Grass",$S529="Psychic",$S529="Dark"),0-1,IF(OR($S529="Fighting",$S529="Flying",$S529="Fire",$S529="Ghost",$S529="Poison",$S529="Steel",$S529="Fairy"),1,0)))</f>
        <v>1</v>
      </c>
      <c r="AD529" s="507" t="n">
        <f aca="false">SUM(IF(OR($R529="Ghost",$R529="Psychic"),0-1,IF(OR($R529="Fighting",$R529="Dark",$R529="Fairy"),1,0)),IF(OR($S529="Ghost",$S529="Psychic"),0-1,IF(OR($S529="Fighting",$S529="Dark",$S529="Fairy"),1,0)))</f>
        <v>0</v>
      </c>
      <c r="AE529" s="507" t="n">
        <f aca="false">IF(OR($R529="Fairy",$S529="Fairy"),4,SUM(IF($R529="Dragon",0-1,IF($R529="Steel",1,0)),IF($S529="Dragon",0-1,IF($S529="Steel",1,0))))</f>
        <v>0</v>
      </c>
      <c r="AF529" s="507" t="n">
        <f aca="false">IF(OR($R529="Ground",$S529="Ground"),4,SUM(IF(OR($R529="Flying",$R529="Water"),0-1,IF(OR($R529="Dragon",$R529="Electric",$R529="Grass"),1,0)),IF(OR($S529="Flying",$S529="Water"),0-1,IF(OR($S529="Dragon",$S529="Electric",$S529="Grass"),1,0))))</f>
        <v>0</v>
      </c>
      <c r="AG529" s="507" t="n">
        <f aca="false">SUM(IF(OR($R529="Dark",$R529="Dragon",$R529="Fighting"),0-1,IF(OR($R529="Steel",$R529="Poison",$R529="Fire"),1,0)),IF(OR($S529="Dark",$S529="Dragon",$S529="Fighting"),0-1,IF(OR($S529="Steel",$S529="Poison",$S529="Fire"),1,0)))</f>
        <v>0</v>
      </c>
      <c r="AH529" s="507" t="n">
        <f aca="false">IF(OR($R529="Ghost",$S529="Ghost"),4,SUM(IF(OR($R529="Dark",$R529="Ice",$R529="Normal",$R529="Rock",$R529="Steel"),0-1,IF(OR($R529="Bug",$R529="Fairy",$R529="Flying",$R529="Poison",$R529="Psychic"),1,0)),IF(OR($S529="Dark",$S529="Ice",$S529="Normal",$S529="Rock",$S529="Steel"),0-1,IF(OR($S529="Bug",$S529="Fairy",$S529="Flying",$S529="Poison",$S529="Psychic"),1,0))))</f>
        <v>1</v>
      </c>
      <c r="AI529" s="507" t="n">
        <f aca="false">SUM(IF(OR($R529="Bug",$R529="Grass",$R529="Ice",$R529="Steel"),0-1,IF(OR($R529="Dragon",$R529="Fire",$R529="Rock",$R529="Water"),1,0)),IF(OR($S529="Bug",$S529="Grass",$S529="Ice",$S529="Steel"),0-1,IF(OR($S529="Dragon",$S529="Fire",$S529="Rock",$S529="Water"),1,0)))</f>
        <v>0</v>
      </c>
      <c r="AJ529" s="507" t="n">
        <f aca="false">SUM(IF(OR($R529="Bug",$R529="Grass",$R529="Fighting"),0-1,IF(OR($R529="Electric",$R529="Rock",$R529="Steel"),1,0)),IF(OR($S529="Bug",$S529="Grass",$S529="Fighting"),0-1,IF(OR($S529="Electric",$S529="Rock",$S529="Steel"),1,0)))</f>
        <v>1</v>
      </c>
      <c r="AK529" s="507" t="n">
        <f aca="false">IF(OR($R529="Normal",$S529="Normal"),4,SUM(IF(OR($R529="Ghost",$R529="Psychic"),0-1,IF($R529="Dark",1,0)),IF(OR($S529="Ghost",$S529="Psychic"),0-1,IF($S529="Dark",1,0))))</f>
        <v>0</v>
      </c>
      <c r="AL529" s="507" t="n">
        <f aca="false">SUM(IF(OR($R529="Ground",$R529="Rock",$R529="Water"),0-1,IF(OR($R529="Bug",$R529="Flying",$R529="Fire",$R529="Dragon",$R529="Poison",$R529="Steel",$R529="Grass"),1,0)),IF(OR($S529="Ground",$S529="Rock",$S529="Water"),0-1,IF(OR($S529="Bug",$S529="Flying",$S529="Fire",$S529="Dragon",$S529="Poison",$S529="Steel",$S529="Grass"),1,0)))</f>
        <v>1</v>
      </c>
      <c r="AM529" s="507" t="n">
        <f aca="false">IF(OR($R529="Flying",$S529="Flying"),4,SUM(IF(OR($R529="Electric",$R529="Fire",$R529="Rock",$R529="Steel",$R529="Poison"),0-1,IF(OR($R529="Bug",$R529="Grass"),1,0)),IF(OR($S529="Electric",$S529="Fire",$S529="Rock",$S529="Steel",$S529="Poison"),0-1,IF(OR($S529="Bug",$S529="Grass"),1,0))))</f>
        <v>4</v>
      </c>
      <c r="AN529" s="507" t="n">
        <f aca="false">SUM(IF(OR($R529="Flying",$R529="Dragon",$R529="Grass",$R529="Ground"),0-1,IF(OR($R529="Steel",$R529="Ice",$R529="Fire",$R529="Water"),1,0)),IF(OR($S529="Flying",$S529="Dragon",$S529="Grass",$S529="Ground"),0-1,IF(OR($S529="Steel",$S529="Ice",$S529="Fire",$S529="Water"),1,0)))</f>
        <v>-1</v>
      </c>
      <c r="AO529" s="507" t="n">
        <f aca="false">IF(OR($R529="Ghost",$S529="Ghost"),4,SUM(IF(OR($R529="Steel",$R529="Rock"),1,0),IF(OR($S529="Steel",$S529="Rock"),1,0)))</f>
        <v>0</v>
      </c>
      <c r="AP529" s="507" t="n">
        <f aca="false">IF(OR($R529="Steel",$S529="Steel"),4,SUM(IF(OR($R529="Fairy",$R529="Grass"),0-1,IF(OR($R529="Ghost",$R529="Rock",$R529="Ground",$R529="Poison"),1,0)),IF(OR($S529="Fairy",$S529="Grass"),0-1,IF(OR($S529="Ghost",$S529="Rock",$S529="Ground",$S529="Poison"),1,0))))</f>
        <v>0</v>
      </c>
      <c r="AQ529" s="507" t="n">
        <f aca="false">IF(OR($R529="Dark",$S529="Dark"),4,SUM(IF(OR($R529="Fighting",$R529="Poison"),0-1,IF(OR($R529="Psychic",$R529="Steel"),1,0)),IF(OR($S529="Fighting",$S529="Poison"),0-1,IF(OR($S529="Psychic",$S529="Steel"),1,0))))</f>
        <v>0</v>
      </c>
      <c r="AR529" s="507" t="n">
        <f aca="false">SUM(IF(OR($R529="Bug",$R529="Fire",$R529="Flying",$R529="Ice"),0-1,IF(OR($R529="Steel",$R529="Fighting",$R529="Ground"),1,0)),IF(OR($S529="Bug",$S529="Fire",$S529="Flying",$S529="Ice"),0-1,IF(OR($S529="Steel",$S529="Fighting",$S529="Ground"),1,0)))</f>
        <v>-1</v>
      </c>
      <c r="AS529" s="507" t="n">
        <f aca="false">SUM(IF(OR($R529="Fairy",$R529="Ice",$R529="Rock"),0-1,IF(OR($R529="Steel",$R529="Electric",$R529="Fire",$R529="Water"),1,0)),IF(OR($S529="Fairy",$S529="Ice",$S529="Rock"),0-1,IF(OR($S529="Steel",$S529="Electric",$S529="Fire",$S529="Water"),1,0)))</f>
        <v>1</v>
      </c>
      <c r="AT529" s="508" t="n">
        <f aca="false">SUM(IF(OR($R529="Fire",$R529="Ground",$R529="Rock"),0-1,IF(OR($R529="Dragon",$R529="Grass",$R529="Water"),1,0)),IF(OR($S529="Fire",$S529="Ground",$S529="Rock"),0-1,IF(OR($S529="Dragon",$S529="Grass",$S529="Water"),1,0)))</f>
        <v>0</v>
      </c>
      <c r="AU529" s="518"/>
    </row>
    <row r="530" customFormat="false" ht="15.75" hidden="false" customHeight="false" outlineLevel="0" collapsed="false">
      <c r="A530" s="510" t="str">
        <f aca="false" t="array" ref="A530:A530">IF(ISNA(INDEX(Source!$U$7:$U$95,MATCH(B530,Source!$V$7:$V$95,0))),"FREE",INDEX(Source!$U$7:$U$95,MATCH(B530,Source!$V$7:$V$95,0)))</f>
        <v>FREE</v>
      </c>
      <c r="B530" s="511" t="s">
        <v>697</v>
      </c>
      <c r="C530" s="511"/>
      <c r="D530" s="511"/>
      <c r="E530" s="499" t="str">
        <f aca="false">IF(SUM($W530:$X530)&gt;0,SUM($W530:$X530),IF($H530&gt;0,0,IF($H530&gt;0,0,"-")))</f>
        <v>-</v>
      </c>
      <c r="F530" s="499" t="str">
        <f aca="false">IF(SUM($Y530:$Z530)&gt;0,SUM($Y530:$Z530),IF($H530&gt;0,0,"-"))</f>
        <v>-</v>
      </c>
      <c r="G530" s="499" t="str">
        <f aca="false">IF($H530&gt;0,minus(E530,F530),"-")</f>
        <v>-</v>
      </c>
      <c r="H530" s="500" t="n">
        <f aca="false">SUM(COUNTIF(MatchSource!$A:$A,$B530),COUNTIF(MatchSource!$H:$H,$B530))</f>
        <v>0</v>
      </c>
      <c r="I530" s="501" t="n">
        <f aca="false">SUM($AA530:$AB530)</f>
        <v>0</v>
      </c>
      <c r="J530" s="501" t="s">
        <v>702</v>
      </c>
      <c r="K530" s="501" t="str">
        <f aca="false" t="array" ref="K530:K530">IF(ISNA(INDEX(DraftRosters!$AA$3:$AA$199,MATCH($B530,DraftRosters!$AB$3:$AB$199,0))),"FA",IF(INDEX(DraftRosters!$AA$3:$AA$199,MATCH($B530,DraftRosters!$AB$3:$AB$199,0))="Franchise","Franch",INDEX(DraftRosters!$AA$3:$AA$199,MATCH($B530,DraftRosters!$AB$3:$AB$199,0))))</f>
        <v>FA</v>
      </c>
      <c r="L530" s="499" t="n">
        <v>75</v>
      </c>
      <c r="M530" s="499" t="n">
        <v>100</v>
      </c>
      <c r="N530" s="499" t="n">
        <v>63</v>
      </c>
      <c r="O530" s="499" t="n">
        <v>80</v>
      </c>
      <c r="P530" s="499" t="n">
        <v>63</v>
      </c>
      <c r="Q530" s="501" t="n">
        <v>116</v>
      </c>
      <c r="R530" s="499" t="s">
        <v>845</v>
      </c>
      <c r="S530" s="501"/>
      <c r="T530" s="513" t="s">
        <v>1023</v>
      </c>
      <c r="U530" s="513" t="s">
        <v>964</v>
      </c>
      <c r="V530" s="514" t="s">
        <v>869</v>
      </c>
      <c r="W530" s="500" t="str">
        <f aca="false">IFERROR(__xludf.dummyfunction("if(isna(SUM(FILTER(MatchSource!$A:$D,MatchSource!$A:$A=$B530))),0,SUM(FILTER(MatchSource!$A:$D,MatchSource!$A:$A=$B530)))"),"0")</f>
        <v>0</v>
      </c>
      <c r="X530" s="499" t="str">
        <f aca="false">IFERROR(__xludf.dummyfunction("if(isna(SUM(FILTER(MatchSource!$H:$K,MatchSource!$H:$H=$B530))),0,SUM(FILTER(MatchSource!$H:$K,MatchSource!$H:$H=$B530)))"),"0")</f>
        <v>0</v>
      </c>
      <c r="Y530" s="499" t="str">
        <f aca="false">IFERROR(__xludf.dummyfunction("if(isna(ABS(MINUS(SUM(FILTER(MatchSource!$A:$E,MatchSource!$A:$A=$B530)),SUM($W530)))),0,ABS(MINUS(SUM(FILTER(MatchSource!$A:$E,MatchSource!$A:$A=$B530)),SUM($W530))))"),"0")</f>
        <v>0</v>
      </c>
      <c r="Z530" s="499" t="str">
        <f aca="false">IFERROR(__xludf.dummyfunction("if(isna(ABS(MINUS(SUM(FILTER(MatchSource!$H:$L,MatchSource!$H:$H=$B530)),SUM($X530)))),0,ABS(MINUS(SUM(FILTER(MatchSource!$H:$L,MatchSource!$H:$H=$B530)),SUM($X530))))"),"0")</f>
        <v>0</v>
      </c>
      <c r="AA530" s="499" t="str">
        <f aca="false">IFERROR(__xludf.dummyfunction("if(isna(ABS(MINUS(SUM(FILTER(MatchSource!$A:$F,MatchSource!$A:$A=$B530)),SUM($W530,$Y530)))),0,ABS(MINUS(SUM(FILTER(MatchSource!$A:$F,MatchSource!$A:$A=$B530)),SUM($W530, $Y530,))))"),"0")</f>
        <v>0</v>
      </c>
      <c r="AB530" s="501" t="str">
        <f aca="false">IFERROR(__xludf.dummyfunction("if(isna(ABS(MINUS(SUM(FILTER(MatchSource!$H:$M,MatchSource!$H:$H=$B530)),SUM($X530,$Z530)))),0,ABS(MINUS(SUM(FILTER(MatchSource!$H:$M,MatchSource!$H:$H=$B530)),SUM($X530,$Z530))))"),"0")</f>
        <v>0</v>
      </c>
      <c r="AC530" s="507" t="n">
        <f aca="false">SUM(IF(OR($R530="Grass",$R530="Psychic",$R530="Dark"),0-1,IF(OR($R530="Fighting",$R530="Flying",$R530="Fire",$R530="Ghost",$R530="Poison",$R530="Steel",$R530="Fairy"),1,0)),IF(OR($S530="Grass",$S530="Psychic",$S530="Dark"),0-1,IF(OR($S530="Fighting",$S530="Flying",$S530="Fire",$S530="Ghost",$S530="Poison",$S530="Steel",$S530="Fairy"),1,0)))</f>
        <v>0</v>
      </c>
      <c r="AD530" s="507" t="n">
        <f aca="false">SUM(IF(OR($R530="Ghost",$R530="Psychic"),0-1,IF(OR($R530="Fighting",$R530="Dark",$R530="Fairy"),1,0)),IF(OR($S530="Ghost",$S530="Psychic"),0-1,IF(OR($S530="Fighting",$S530="Dark",$S530="Fairy"),1,0)))</f>
        <v>0</v>
      </c>
      <c r="AE530" s="507" t="n">
        <f aca="false">IF(OR($R530="Fairy",$S530="Fairy"),4,SUM(IF($R530="Dragon",0-1,IF($R530="Steel",1,0)),IF($S530="Dragon",0-1,IF($S530="Steel",1,0))))</f>
        <v>0</v>
      </c>
      <c r="AF530" s="507" t="n">
        <f aca="false">IF(OR($R530="Ground",$S530="Ground"),4,SUM(IF(OR($R530="Flying",$R530="Water"),0-1,IF(OR($R530="Dragon",$R530="Electric",$R530="Grass"),1,0)),IF(OR($S530="Flying",$S530="Water"),0-1,IF(OR($S530="Dragon",$S530="Electric",$S530="Grass"),1,0))))</f>
        <v>1</v>
      </c>
      <c r="AG530" s="507" t="n">
        <f aca="false">SUM(IF(OR($R530="Dark",$R530="Dragon",$R530="Fighting"),0-1,IF(OR($R530="Steel",$R530="Poison",$R530="Fire"),1,0)),IF(OR($S530="Dark",$S530="Dragon",$S530="Fighting"),0-1,IF(OR($S530="Steel",$S530="Poison",$S530="Fire"),1,0)))</f>
        <v>0</v>
      </c>
      <c r="AH530" s="507" t="n">
        <f aca="false">IF(OR($R530="Ghost",$S530="Ghost"),4,SUM(IF(OR($R530="Dark",$R530="Ice",$R530="Normal",$R530="Rock",$R530="Steel"),0-1,IF(OR($R530="Bug",$R530="Fairy",$R530="Flying",$R530="Poison",$R530="Psychic"),1,0)),IF(OR($S530="Dark",$S530="Ice",$S530="Normal",$S530="Rock",$S530="Steel"),0-1,IF(OR($S530="Bug",$S530="Fairy",$S530="Flying",$S530="Poison",$S530="Psychic"),1,0))))</f>
        <v>0</v>
      </c>
      <c r="AI530" s="507" t="n">
        <f aca="false">SUM(IF(OR($R530="Bug",$R530="Grass",$R530="Ice",$R530="Steel"),0-1,IF(OR($R530="Dragon",$R530="Fire",$R530="Rock",$R530="Water"),1,0)),IF(OR($S530="Bug",$S530="Grass",$S530="Ice",$S530="Steel"),0-1,IF(OR($S530="Dragon",$S530="Fire",$S530="Rock",$S530="Water"),1,0)))</f>
        <v>0</v>
      </c>
      <c r="AJ530" s="507" t="n">
        <f aca="false">SUM(IF(OR($R530="Bug",$R530="Grass",$R530="Fighting"),0-1,IF(OR($R530="Electric",$R530="Rock",$R530="Steel"),1,0)),IF(OR($S530="Bug",$S530="Grass",$S530="Fighting"),0-1,IF(OR($S530="Electric",$S530="Rock",$S530="Steel"),1,0)))</f>
        <v>1</v>
      </c>
      <c r="AK530" s="507" t="n">
        <f aca="false">IF(OR($R530="Normal",$S530="Normal"),4,SUM(IF(OR($R530="Ghost",$R530="Psychic"),0-1,IF($R530="Dark",1,0)),IF(OR($S530="Ghost",$S530="Psychic"),0-1,IF($S530="Dark",1,0))))</f>
        <v>0</v>
      </c>
      <c r="AL530" s="507" t="n">
        <f aca="false">SUM(IF(OR($R530="Ground",$R530="Rock",$R530="Water"),0-1,IF(OR($R530="Bug",$R530="Flying",$R530="Fire",$R530="Dragon",$R530="Poison",$R530="Steel",$R530="Grass"),1,0)),IF(OR($S530="Ground",$S530="Rock",$S530="Water"),0-1,IF(OR($S530="Bug",$S530="Flying",$S530="Fire",$S530="Dragon",$S530="Poison",$S530="Steel",$S530="Grass"),1,0)))</f>
        <v>0</v>
      </c>
      <c r="AM530" s="507" t="n">
        <f aca="false">IF(OR($R530="Flying",$S530="Flying"),4,SUM(IF(OR($R530="Electric",$R530="Fire",$R530="Rock",$R530="Steel",$R530="Poison"),0-1,IF(OR($R530="Bug",$R530="Grass"),1,0)),IF(OR($S530="Electric",$S530="Fire",$S530="Rock",$S530="Steel",$S530="Poison"),0-1,IF(OR($S530="Bug",$S530="Grass"),1,0))))</f>
        <v>-1</v>
      </c>
      <c r="AN530" s="507" t="n">
        <f aca="false">SUM(IF(OR($R530="Flying",$R530="Dragon",$R530="Grass",$R530="Ground"),0-1,IF(OR($R530="Steel",$R530="Ice",$R530="Fire",$R530="Water"),1,0)),IF(OR($S530="Flying",$S530="Dragon",$S530="Grass",$S530="Ground"),0-1,IF(OR($S530="Steel",$S530="Ice",$S530="Fire",$S530="Water"),1,0)))</f>
        <v>0</v>
      </c>
      <c r="AO530" s="507" t="n">
        <f aca="false">IF(OR($R530="Ghost",$S530="Ghost"),4,SUM(IF(OR($R530="Steel",$R530="Rock"),1,0),IF(OR($S530="Steel",$S530="Rock"),1,0)))</f>
        <v>0</v>
      </c>
      <c r="AP530" s="507" t="n">
        <f aca="false">IF(OR($R530="Steel",$S530="Steel"),4,SUM(IF(OR($R530="Fairy",$R530="Grass"),0-1,IF(OR($R530="Ghost",$R530="Rock",$R530="Ground",$R530="Poison"),1,0)),IF(OR($S530="Fairy",$S530="Grass"),0-1,IF(OR($S530="Ghost",$S530="Rock",$S530="Ground",$S530="Poison"),1,0))))</f>
        <v>0</v>
      </c>
      <c r="AQ530" s="507" t="n">
        <f aca="false">IF(OR($R530="Dark",$S530="Dark"),4,SUM(IF(OR($R530="Fighting",$R530="Poison"),0-1,IF(OR($R530="Psychic",$R530="Steel"),1,0)),IF(OR($S530="Fighting",$S530="Poison"),0-1,IF(OR($S530="Psychic",$S530="Steel"),1,0))))</f>
        <v>0</v>
      </c>
      <c r="AR530" s="507" t="n">
        <f aca="false">SUM(IF(OR($R530="Bug",$R530="Fire",$R530="Flying",$R530="Ice"),0-1,IF(OR($R530="Steel",$R530="Fighting",$R530="Ground"),1,0)),IF(OR($S530="Bug",$S530="Fire",$S530="Flying",$S530="Ice"),0-1,IF(OR($S530="Steel",$S530="Fighting",$S530="Ground"),1,0)))</f>
        <v>0</v>
      </c>
      <c r="AS530" s="507" t="n">
        <f aca="false">SUM(IF(OR($R530="Fairy",$R530="Ice",$R530="Rock"),0-1,IF(OR($R530="Steel",$R530="Electric",$R530="Fire",$R530="Water"),1,0)),IF(OR($S530="Fairy",$S530="Ice",$S530="Rock"),0-1,IF(OR($S530="Steel",$S530="Electric",$S530="Fire",$S530="Water"),1,0)))</f>
        <v>1</v>
      </c>
      <c r="AT530" s="508" t="n">
        <f aca="false">SUM(IF(OR($R530="Fire",$R530="Ground",$R530="Rock"),0-1,IF(OR($R530="Dragon",$R530="Grass",$R530="Water"),1,0)),IF(OR($S530="Fire",$S530="Ground",$S530="Rock"),0-1,IF(OR($S530="Dragon",$S530="Grass",$S530="Water"),1,0)))</f>
        <v>0</v>
      </c>
      <c r="AU530" s="518"/>
    </row>
    <row r="531" customFormat="false" ht="15.75" hidden="false" customHeight="false" outlineLevel="0" collapsed="false">
      <c r="A531" s="510" t="str">
        <f aca="false" t="array" ref="A531:A531">IF(ISNA(INDEX(Source!$U$7:$U$95,MATCH(B531,Source!$V$7:$V$95,0))),"FREE",INDEX(Source!$U$7:$U$95,MATCH(B531,Source!$V$7:$V$95,0)))</f>
        <v>FREE</v>
      </c>
      <c r="B531" s="511" t="s">
        <v>1084</v>
      </c>
      <c r="C531" s="511"/>
      <c r="D531" s="511"/>
      <c r="E531" s="499" t="str">
        <f aca="false">IF(SUM($W531:$X531)&gt;0,SUM($W531:$X531),IF($H531&gt;0,0,IF($H531&gt;0,0,"-")))</f>
        <v>-</v>
      </c>
      <c r="F531" s="499" t="str">
        <f aca="false">IF(SUM($Y531:$Z531)&gt;0,SUM($Y531:$Z531),IF($H531&gt;0,0,"-"))</f>
        <v>-</v>
      </c>
      <c r="G531" s="499" t="str">
        <f aca="false">IF($H531&gt;0,minus(E531,F531),"-")</f>
        <v>-</v>
      </c>
      <c r="H531" s="500" t="n">
        <f aca="false">SUM(COUNTIF(MatchSource!$A:$A,$B531),COUNTIF(MatchSource!$H:$H,$B531))</f>
        <v>0</v>
      </c>
      <c r="I531" s="501" t="n">
        <f aca="false">SUM($AA531:$AB531)</f>
        <v>0</v>
      </c>
      <c r="J531" s="501" t="s">
        <v>888</v>
      </c>
      <c r="K531" s="501" t="str">
        <f aca="false" t="array" ref="K531:K531">IF(ISNA(INDEX(DraftRosters!$AA$3:$AA$199,MATCH($B531,DraftRosters!$AB$3:$AB$199,0))),"FA",IF(INDEX(DraftRosters!$AA$3:$AA$199,MATCH($B531,DraftRosters!$AB$3:$AB$199,0))="Franchise","Franch",INDEX(DraftRosters!$AA$3:$AA$199,MATCH($B531,DraftRosters!$AB$3:$AB$199,0))))</f>
        <v>FA</v>
      </c>
      <c r="L531" s="499" t="n">
        <v>88</v>
      </c>
      <c r="M531" s="499" t="n">
        <v>112</v>
      </c>
      <c r="N531" s="499" t="n">
        <v>75</v>
      </c>
      <c r="O531" s="499" t="n">
        <v>102</v>
      </c>
      <c r="P531" s="499" t="n">
        <v>80</v>
      </c>
      <c r="Q531" s="501" t="n">
        <v>143</v>
      </c>
      <c r="R531" s="499" t="s">
        <v>845</v>
      </c>
      <c r="S531" s="501"/>
      <c r="T531" s="513" t="s">
        <v>1003</v>
      </c>
      <c r="U531" s="513"/>
      <c r="V531" s="514"/>
      <c r="W531" s="500" t="str">
        <f aca="false">IFERROR(__xludf.dummyfunction("if(isna(SUM(FILTER(MatchSource!$A:$D,MatchSource!$A:$A=$B531))),0,SUM(FILTER(MatchSource!$A:$D,MatchSource!$A:$A=$B531)))"),"0")</f>
        <v>0</v>
      </c>
      <c r="X531" s="499" t="str">
        <f aca="false">IFERROR(__xludf.dummyfunction("if(isna(SUM(FILTER(MatchSource!$H:$K,MatchSource!$H:$H=$B531))),0,SUM(FILTER(MatchSource!$H:$K,MatchSource!$H:$H=$B531)))"),"0")</f>
        <v>0</v>
      </c>
      <c r="Y531" s="499" t="str">
        <f aca="false">IFERROR(__xludf.dummyfunction("if(isna(ABS(MINUS(SUM(FILTER(MatchSource!$A:$E,MatchSource!$A:$A=$B531)),SUM($W531)))),0,ABS(MINUS(SUM(FILTER(MatchSource!$A:$E,MatchSource!$A:$A=$B531)),SUM($W531))))"),"0")</f>
        <v>0</v>
      </c>
      <c r="Z531" s="499" t="str">
        <f aca="false">IFERROR(__xludf.dummyfunction("if(isna(ABS(MINUS(SUM(FILTER(MatchSource!$H:$L,MatchSource!$H:$H=$B531)),SUM($X531)))),0,ABS(MINUS(SUM(FILTER(MatchSource!$H:$L,MatchSource!$H:$H=$B531)),SUM($X531))))"),"0")</f>
        <v>0</v>
      </c>
      <c r="AA531" s="499" t="str">
        <f aca="false">IFERROR(__xludf.dummyfunction("if(isna(ABS(MINUS(SUM(FILTER(MatchSource!$A:$F,MatchSource!$A:$A=$B531)),SUM($W531,$Y531)))),0,ABS(MINUS(SUM(FILTER(MatchSource!$A:$F,MatchSource!$A:$A=$B531)),SUM($W531, $Y531,))))"),"0")</f>
        <v>0</v>
      </c>
      <c r="AB531" s="501" t="str">
        <f aca="false">IFERROR(__xludf.dummyfunction("if(isna(ABS(MINUS(SUM(FILTER(MatchSource!$H:$M,MatchSource!$H:$H=$B531)),SUM($X531,$Z531)))),0,ABS(MINUS(SUM(FILTER(MatchSource!$H:$M,MatchSource!$H:$H=$B531)),SUM($X531,$Z531))))"),"0")</f>
        <v>0</v>
      </c>
      <c r="AC531" s="507" t="n">
        <f aca="false">SUM(IF(OR($R531="Grass",$R531="Psychic",$R531="Dark"),0-1,IF(OR($R531="Fighting",$R531="Flying",$R531="Fire",$R531="Ghost",$R531="Poison",$R531="Steel",$R531="Fairy"),1,0)),IF(OR($S531="Grass",$S531="Psychic",$S531="Dark"),0-1,IF(OR($S531="Fighting",$S531="Flying",$S531="Fire",$S531="Ghost",$S531="Poison",$S531="Steel",$S531="Fairy"),1,0)))</f>
        <v>0</v>
      </c>
      <c r="AD531" s="507" t="n">
        <f aca="false">SUM(IF(OR($R531="Ghost",$R531="Psychic"),0-1,IF(OR($R531="Fighting",$R531="Dark",$R531="Fairy"),1,0)),IF(OR($S531="Ghost",$S531="Psychic"),0-1,IF(OR($S531="Fighting",$S531="Dark",$S531="Fairy"),1,0)))</f>
        <v>0</v>
      </c>
      <c r="AE531" s="507" t="n">
        <f aca="false">IF(OR($R531="Fairy",$S531="Fairy"),4,SUM(IF($R531="Dragon",0-1,IF($R531="Steel",1,0)),IF($S531="Dragon",0-1,IF($S531="Steel",1,0))))</f>
        <v>0</v>
      </c>
      <c r="AF531" s="507" t="n">
        <f aca="false">IF(OR($R531="Ground",$S531="Ground"),4,SUM(IF(OR($R531="Flying",$R531="Water"),0-1,IF(OR($R531="Dragon",$R531="Electric",$R531="Grass"),1,0)),IF(OR($S531="Flying",$S531="Water"),0-1,IF(OR($S531="Dragon",$S531="Electric",$S531="Grass"),1,0))))</f>
        <v>1</v>
      </c>
      <c r="AG531" s="507" t="n">
        <f aca="false">SUM(IF(OR($R531="Dark",$R531="Dragon",$R531="Fighting"),0-1,IF(OR($R531="Steel",$R531="Poison",$R531="Fire"),1,0)),IF(OR($S531="Dark",$S531="Dragon",$S531="Fighting"),0-1,IF(OR($S531="Steel",$S531="Poison",$S531="Fire"),1,0)))</f>
        <v>0</v>
      </c>
      <c r="AH531" s="507" t="n">
        <f aca="false">IF(OR($R531="Ghost",$S531="Ghost"),4,SUM(IF(OR($R531="Dark",$R531="Ice",$R531="Normal",$R531="Rock",$R531="Steel"),0-1,IF(OR($R531="Bug",$R531="Fairy",$R531="Flying",$R531="Poison",$R531="Psychic"),1,0)),IF(OR($S531="Dark",$S531="Ice",$S531="Normal",$S531="Rock",$S531="Steel"),0-1,IF(OR($S531="Bug",$S531="Fairy",$S531="Flying",$S531="Poison",$S531="Psychic"),1,0))))</f>
        <v>0</v>
      </c>
      <c r="AI531" s="507" t="n">
        <f aca="false">SUM(IF(OR($R531="Bug",$R531="Grass",$R531="Ice",$R531="Steel"),0-1,IF(OR($R531="Dragon",$R531="Fire",$R531="Rock",$R531="Water"),1,0)),IF(OR($S531="Bug",$S531="Grass",$S531="Ice",$S531="Steel"),0-1,IF(OR($S531="Dragon",$S531="Fire",$S531="Rock",$S531="Water"),1,0)))</f>
        <v>0</v>
      </c>
      <c r="AJ531" s="507" t="n">
        <f aca="false">SUM(IF(OR($R531="Bug",$R531="Grass",$R531="Fighting"),0-1,IF(OR($R531="Electric",$R531="Rock",$R531="Steel"),1,0)),IF(OR($S531="Bug",$S531="Grass",$S531="Fighting"),0-1,IF(OR($S531="Electric",$S531="Rock",$S531="Steel"),1,0)))</f>
        <v>1</v>
      </c>
      <c r="AK531" s="507" t="n">
        <f aca="false">IF(OR($R531="Normal",$S531="Normal"),4,SUM(IF(OR($R531="Ghost",$R531="Psychic"),0-1,IF($R531="Dark",1,0)),IF(OR($S531="Ghost",$S531="Psychic"),0-1,IF($S531="Dark",1,0))))</f>
        <v>0</v>
      </c>
      <c r="AL531" s="507" t="n">
        <f aca="false">SUM(IF(OR($R531="Ground",$R531="Rock",$R531="Water"),0-1,IF(OR($R531="Bug",$R531="Flying",$R531="Fire",$R531="Dragon",$R531="Poison",$R531="Steel",$R531="Grass"),1,0)),IF(OR($S531="Ground",$S531="Rock",$S531="Water"),0-1,IF(OR($S531="Bug",$S531="Flying",$S531="Fire",$S531="Dragon",$S531="Poison",$S531="Steel",$S531="Grass"),1,0)))</f>
        <v>0</v>
      </c>
      <c r="AM531" s="507" t="n">
        <f aca="false">IF(OR($R531="Flying",$S531="Flying"),4,SUM(IF(OR($R531="Electric",$R531="Fire",$R531="Rock",$R531="Steel",$R531="Poison"),0-1,IF(OR($R531="Bug",$R531="Grass"),1,0)),IF(OR($S531="Electric",$S531="Fire",$S531="Rock",$S531="Steel",$S531="Poison"),0-1,IF(OR($S531="Bug",$S531="Grass"),1,0))))</f>
        <v>-1</v>
      </c>
      <c r="AN531" s="507" t="n">
        <f aca="false">SUM(IF(OR($R531="Flying",$R531="Dragon",$R531="Grass",$R531="Ground"),0-1,IF(OR($R531="Steel",$R531="Ice",$R531="Fire",$R531="Water"),1,0)),IF(OR($S531="Flying",$S531="Dragon",$S531="Grass",$S531="Ground"),0-1,IF(OR($S531="Steel",$S531="Ice",$S531="Fire",$S531="Water"),1,0)))</f>
        <v>0</v>
      </c>
      <c r="AO531" s="507" t="n">
        <f aca="false">IF(OR($R531="Ghost",$S531="Ghost"),4,SUM(IF(OR($R531="Steel",$R531="Rock"),1,0),IF(OR($S531="Steel",$S531="Rock"),1,0)))</f>
        <v>0</v>
      </c>
      <c r="AP531" s="507" t="n">
        <f aca="false">IF(OR($R531="Steel",$S531="Steel"),4,SUM(IF(OR($R531="Fairy",$R531="Grass"),0-1,IF(OR($R531="Ghost",$R531="Rock",$R531="Ground",$R531="Poison"),1,0)),IF(OR($S531="Fairy",$S531="Grass"),0-1,IF(OR($S531="Ghost",$S531="Rock",$S531="Ground",$S531="Poison"),1,0))))</f>
        <v>0</v>
      </c>
      <c r="AQ531" s="507" t="n">
        <f aca="false">IF(OR($R531="Dark",$S531="Dark"),4,SUM(IF(OR($R531="Fighting",$R531="Poison"),0-1,IF(OR($R531="Psychic",$R531="Steel"),1,0)),IF(OR($S531="Fighting",$S531="Poison"),0-1,IF(OR($S531="Psychic",$S531="Steel"),1,0))))</f>
        <v>0</v>
      </c>
      <c r="AR531" s="507" t="n">
        <f aca="false">SUM(IF(OR($R531="Bug",$R531="Fire",$R531="Flying",$R531="Ice"),0-1,IF(OR($R531="Steel",$R531="Fighting",$R531="Ground"),1,0)),IF(OR($S531="Bug",$S531="Fire",$S531="Flying",$S531="Ice"),0-1,IF(OR($S531="Steel",$S531="Fighting",$S531="Ground"),1,0)))</f>
        <v>0</v>
      </c>
      <c r="AS531" s="507" t="n">
        <f aca="false">SUM(IF(OR($R531="Fairy",$R531="Ice",$R531="Rock"),0-1,IF(OR($R531="Steel",$R531="Electric",$R531="Fire",$R531="Water"),1,0)),IF(OR($S531="Fairy",$S531="Ice",$S531="Rock"),0-1,IF(OR($S531="Steel",$S531="Electric",$S531="Fire",$S531="Water"),1,0)))</f>
        <v>1</v>
      </c>
      <c r="AT531" s="508" t="n">
        <f aca="false">SUM(IF(OR($R531="Fire",$R531="Ground",$R531="Rock"),0-1,IF(OR($R531="Dragon",$R531="Grass",$R531="Water"),1,0)),IF(OR($S531="Fire",$S531="Ground",$S531="Rock"),0-1,IF(OR($S531="Dragon",$S531="Grass",$S531="Water"),1,0)))</f>
        <v>0</v>
      </c>
      <c r="AU531" s="518"/>
    </row>
    <row r="532" customFormat="false" ht="15.75" hidden="false" customHeight="false" outlineLevel="0" collapsed="false">
      <c r="A532" s="510" t="str">
        <f aca="false" t="array" ref="A532:A532">IF(ISNA(INDEX(Source!$U$7:$U$95,MATCH(B532,Source!$V$7:$V$95,0))),"FREE",INDEX(Source!$U$7:$U$95,MATCH(B532,Source!$V$7:$V$95,0)))</f>
        <v>FREE</v>
      </c>
      <c r="B532" s="511" t="s">
        <v>617</v>
      </c>
      <c r="C532" s="511"/>
      <c r="D532" s="511"/>
      <c r="E532" s="499" t="str">
        <f aca="false">IF(SUM($W532:$X532)&gt;0,SUM($W532:$X532),IF($H532&gt;0,0,IF($H532&gt;0,0,"-")))</f>
        <v>-</v>
      </c>
      <c r="F532" s="499" t="str">
        <f aca="false">IF(SUM($Y532:$Z532)&gt;0,SUM($Y532:$Z532),IF($H532&gt;0,0,"-"))</f>
        <v>-</v>
      </c>
      <c r="G532" s="499" t="str">
        <f aca="false">IF($H532&gt;0,minus(E532,F532),"-")</f>
        <v>-</v>
      </c>
      <c r="H532" s="500" t="n">
        <f aca="false">SUM(COUNTIF(MatchSource!$A:$A,$B532),COUNTIF(MatchSource!$H:$H,$B532))</f>
        <v>0</v>
      </c>
      <c r="I532" s="501" t="n">
        <f aca="false">SUM($AA532:$AB532)</f>
        <v>0</v>
      </c>
      <c r="J532" s="501" t="s">
        <v>700</v>
      </c>
      <c r="K532" s="512" t="str">
        <f aca="false" t="array" ref="K532:K532">IF(ISNA(INDEX(DraftRosters!$AA$3:$AA$199,MATCH($B532,DraftRosters!$AB$3:$AB$199,0))),"FA",IF(INDEX(DraftRosters!$AA$3:$AA$199,MATCH($B532,DraftRosters!$AB$3:$AB$199,0))="Franchise","Franch",INDEX(DraftRosters!$AA$3:$AA$199,MATCH($B532,DraftRosters!$AB$3:$AB$199,0))))</f>
        <v>FA</v>
      </c>
      <c r="L532" s="507" t="n">
        <v>60</v>
      </c>
      <c r="M532" s="507" t="n">
        <v>105</v>
      </c>
      <c r="N532" s="507" t="n">
        <v>60</v>
      </c>
      <c r="O532" s="507" t="n">
        <v>120</v>
      </c>
      <c r="P532" s="507" t="n">
        <v>60</v>
      </c>
      <c r="Q532" s="508" t="n">
        <v>105</v>
      </c>
      <c r="R532" s="499" t="s">
        <v>795</v>
      </c>
      <c r="S532" s="501"/>
      <c r="T532" s="520" t="s">
        <v>1085</v>
      </c>
      <c r="U532" s="513"/>
      <c r="V532" s="514"/>
      <c r="W532" s="500" t="str">
        <f aca="false">IFERROR(__xludf.dummyfunction("if(isna(SUM(FILTER(MatchSource!$A:$D,MatchSource!$A:$A=$B532))),0,SUM(FILTER(MatchSource!$A:$D,MatchSource!$A:$A=$B532)))"),"0")</f>
        <v>0</v>
      </c>
      <c r="X532" s="499" t="str">
        <f aca="false">IFERROR(__xludf.dummyfunction("if(isna(SUM(FILTER(MatchSource!$H:$K,MatchSource!$H:$H=$B532))),0,SUM(FILTER(MatchSource!$H:$K,MatchSource!$H:$H=$B532)))"),"0")</f>
        <v>0</v>
      </c>
      <c r="Y532" s="499" t="str">
        <f aca="false">IFERROR(__xludf.dummyfunction("if(isna(ABS(MINUS(SUM(FILTER(MatchSource!$A:$E,MatchSource!$A:$A=$B532)),SUM($W532)))),0,ABS(MINUS(SUM(FILTER(MatchSource!$A:$E,MatchSource!$A:$A=$B532)),SUM($W532))))"),"0")</f>
        <v>0</v>
      </c>
      <c r="Z532" s="499" t="str">
        <f aca="false">IFERROR(__xludf.dummyfunction("if(isna(ABS(MINUS(SUM(FILTER(MatchSource!$H:$L,MatchSource!$H:$H=$B532)),SUM($X532)))),0,ABS(MINUS(SUM(FILTER(MatchSource!$H:$L,MatchSource!$H:$H=$B532)),SUM($X532))))"),"0")</f>
        <v>0</v>
      </c>
      <c r="AA532" s="499" t="str">
        <f aca="false">IFERROR(__xludf.dummyfunction("if(isna(ABS(MINUS(SUM(FILTER(MatchSource!$A:$F,MatchSource!$A:$A=$B532)),SUM($W532,$Y532)))),0,ABS(MINUS(SUM(FILTER(MatchSource!$A:$F,MatchSource!$A:$A=$B532)),SUM($W532, $Y532,))))"),"0")</f>
        <v>0</v>
      </c>
      <c r="AB532" s="501" t="str">
        <f aca="false">IFERROR(__xludf.dummyfunction("if(isna(ABS(MINUS(SUM(FILTER(MatchSource!$H:$M,MatchSource!$H:$H=$B532)),SUM($X532,$Z532)))),0,ABS(MINUS(SUM(FILTER(MatchSource!$H:$M,MatchSource!$H:$H=$B532)),SUM($X532,$Z532))))"),"0")</f>
        <v>0</v>
      </c>
      <c r="AC532" s="552" t="n">
        <f aca="false">SUM(IF(OR($R532="Grass",$R532="Psychic",$R532="Dark"),0-1,IF(OR($R532="Fighting",$R532="Flying",$R532="Fire",$R532="Ghost",$R532="Poison",$R532="Steel",$R532="Fairy"),1,0)),IF(OR($S532="Grass",$S532="Psychic",$S532="Dark"),0-1,IF(OR($S532="Fighting",$S532="Flying",$S532="Fire",$S532="Ghost",$S532="Poison",$S532="Steel",$S532="Fairy"),1,0)))</f>
        <v>-1</v>
      </c>
      <c r="AD532" s="552" t="n">
        <f aca="false">SUM(IF(OR($R532="Ghost",$R532="Psychic"),0-1,IF(OR($R532="Fighting",$R532="Dark",$R532="Fairy"),1,0)),IF(OR($S532="Ghost",$S532="Psychic"),0-1,IF(OR($S532="Fighting",$S532="Dark",$S532="Fairy"),1,0)))</f>
        <v>1</v>
      </c>
      <c r="AE532" s="552" t="n">
        <f aca="false">IF(OR($R532="Fairy",$S532="Fairy"),4,SUM(IF($R532="Dragon",0-1,IF($R532="Steel",1,0)),IF($S532="Dragon",0-1,IF($S532="Steel",1,0))))</f>
        <v>0</v>
      </c>
      <c r="AF532" s="552" t="n">
        <f aca="false">IF(OR($R532="Ground",$S532="Ground"),4,SUM(IF(OR($R532="Flying",$R532="Water"),0-1,IF(OR($R532="Dragon",$R532="Electric",$R532="Grass"),1,0)),IF(OR($S532="Flying",$S532="Water"),0-1,IF(OR($S532="Dragon",$S532="Electric",$S532="Grass"),1,0))))</f>
        <v>0</v>
      </c>
      <c r="AG532" s="552" t="n">
        <f aca="false">SUM(IF(OR($R532="Dark",$R532="Dragon",$R532="Fighting"),0-1,IF(OR($R532="Steel",$R532="Poison",$R532="Fire"),1,0)),IF(OR($S532="Dark",$S532="Dragon",$S532="Fighting"),0-1,IF(OR($S532="Steel",$S532="Poison",$S532="Fire"),1,0)))</f>
        <v>-1</v>
      </c>
      <c r="AH532" s="552" t="n">
        <f aca="false">IF(OR($R532="Ghost",$S532="Ghost"),4,SUM(IF(OR($R532="Dark",$R532="Ice",$R532="Normal",$R532="Rock",$R532="Steel"),0-1,IF(OR($R532="Bug",$R532="Fairy",$R532="Flying",$R532="Poison",$R532="Psychic"),1,0)),IF(OR($S532="Dark",$S532="Ice",$S532="Normal",$S532="Rock",$S532="Steel"),0-1,IF(OR($S532="Bug",$S532="Fairy",$S532="Flying",$S532="Poison",$S532="Psychic"),1,0))))</f>
        <v>-1</v>
      </c>
      <c r="AI532" s="552" t="n">
        <f aca="false">SUM(IF(OR($R532="Bug",$R532="Grass",$R532="Ice",$R532="Steel"),0-1,IF(OR($R532="Dragon",$R532="Fire",$R532="Rock",$R532="Water"),1,0)),IF(OR($S532="Bug",$S532="Grass",$S532="Ice",$S532="Steel"),0-1,IF(OR($S532="Dragon",$S532="Fire",$S532="Rock",$S532="Water"),1,0)))</f>
        <v>0</v>
      </c>
      <c r="AJ532" s="552" t="n">
        <f aca="false">SUM(IF(OR($R532="Bug",$R532="Grass",$R532="Fighting"),0-1,IF(OR($R532="Electric",$R532="Rock",$R532="Steel"),1,0)),IF(OR($S532="Bug",$S532="Grass",$S532="Fighting"),0-1,IF(OR($S532="Electric",$S532="Rock",$S532="Steel"),1,0)))</f>
        <v>0</v>
      </c>
      <c r="AK532" s="552" t="n">
        <f aca="false">IF(OR($R532="Normal",$S532="Normal"),4,SUM(IF(OR($R532="Ghost",$R532="Psychic"),0-1,IF($R532="Dark",1,0)),IF(OR($S532="Ghost",$S532="Psychic"),0-1,IF($S532="Dark",1,0))))</f>
        <v>1</v>
      </c>
      <c r="AL532" s="552" t="n">
        <f aca="false">SUM(IF(OR($R532="Ground",$R532="Rock",$R532="Water"),0-1,IF(OR($R532="Bug",$R532="Flying",$R532="Fire",$R532="Dragon",$R532="Poison",$R532="Steel",$R532="Grass"),1,0)),IF(OR($S532="Ground",$S532="Rock",$S532="Water"),0-1,IF(OR($S532="Bug",$S532="Flying",$S532="Fire",$S532="Dragon",$S532="Poison",$S532="Steel",$S532="Grass"),1,0)))</f>
        <v>0</v>
      </c>
      <c r="AM532" s="552" t="n">
        <f aca="false">IF(OR($R532="Flying",$S532="Flying"),4,SUM(IF(OR($R532="Electric",$R532="Fire",$R532="Rock",$R532="Steel",$R532="Poison"),0-1,IF(OR($R532="Bug",$R532="Grass"),1,0)),IF(OR($S532="Electric",$S532="Fire",$S532="Rock",$S532="Steel",$S532="Poison"),0-1,IF(OR($S532="Bug",$S532="Grass"),1,0))))</f>
        <v>0</v>
      </c>
      <c r="AN532" s="552" t="n">
        <f aca="false">SUM(IF(OR($R532="Flying",$R532="Dragon",$R532="Grass",$R532="Ground"),0-1,IF(OR($R532="Steel",$R532="Ice",$R532="Fire",$R532="Water"),1,0)),IF(OR($S532="Flying",$S532="Dragon",$S532="Grass",$S532="Ground"),0-1,IF(OR($S532="Steel",$S532="Ice",$S532="Fire",$S532="Water"),1,0)))</f>
        <v>0</v>
      </c>
      <c r="AO532" s="552" t="n">
        <f aca="false">IF(OR($R532="Ghost",$S532="Ghost"),4,SUM(IF(OR($R532="Steel",$R532="Rock"),1,0),IF(OR($S532="Steel",$S532="Rock"),1,0)))</f>
        <v>0</v>
      </c>
      <c r="AP532" s="552" t="n">
        <f aca="false">IF(OR($R532="Steel",$S532="Steel"),4,SUM(IF(OR($R532="Fairy",$R532="Grass"),0-1,IF(OR($R532="Ghost",$R532="Rock",$R532="Ground",$R532="Poison"),1,0)),IF(OR($S532="Fairy",$S532="Grass"),0-1,IF(OR($S532="Ghost",$S532="Rock",$S532="Ground",$S532="Poison"),1,0))))</f>
        <v>0</v>
      </c>
      <c r="AQ532" s="552" t="n">
        <f aca="false">IF(OR($R532="Dark",$S532="Dark"),4,SUM(IF(OR($R532="Fighting",$R532="Poison"),0-1,IF(OR($R532="Psychic",$R532="Steel"),1,0)),IF(OR($S532="Fighting",$S532="Poison"),0-1,IF(OR($S532="Psychic",$S532="Steel"),1,0))))</f>
        <v>4</v>
      </c>
      <c r="AR532" s="552" t="n">
        <f aca="false">SUM(IF(OR($R532="Bug",$R532="Fire",$R532="Flying",$R532="Ice"),0-1,IF(OR($R532="Steel",$R532="Fighting",$R532="Ground"),1,0)),IF(OR($S532="Bug",$S532="Fire",$S532="Flying",$S532="Ice"),0-1,IF(OR($S532="Steel",$S532="Fighting",$S532="Ground"),1,0)))</f>
        <v>0</v>
      </c>
      <c r="AS532" s="552" t="n">
        <f aca="false">SUM(IF(OR($R532="Fairy",$R532="Ice",$R532="Rock"),0-1,IF(OR($R532="Steel",$R532="Electric",$R532="Fire",$R532="Water"),1,0)),IF(OR($S532="Fairy",$S532="Ice",$S532="Rock"),0-1,IF(OR($S532="Steel",$S532="Electric",$S532="Fire",$S532="Water"),1,0)))</f>
        <v>0</v>
      </c>
      <c r="AT532" s="553" t="n">
        <f aca="false">SUM(IF(OR($R532="Fire",$R532="Ground",$R532="Rock"),0-1,IF(OR($R532="Dragon",$R532="Grass",$R532="Water"),1,0)),IF(OR($S532="Fire",$S532="Ground",$S532="Rock"),0-1,IF(OR($S532="Dragon",$S532="Grass",$S532="Water"),1,0)))</f>
        <v>0</v>
      </c>
      <c r="AU532" s="518"/>
    </row>
    <row r="533" customFormat="false" ht="15.75" hidden="false" customHeight="false" outlineLevel="0" collapsed="false">
      <c r="A533" s="554" t="str">
        <f aca="false" t="array" ref="A533:A533">IF(ISNA(INDEX(Source!$U$7:$U$95,MATCH(B533,Source!$V$7:$V$95,0))),"FREE",INDEX(Source!$U$7:$U$95,MATCH(B533,Source!$V$7:$V$95,0)))</f>
        <v>FTT</v>
      </c>
      <c r="B533" s="555" t="s">
        <v>249</v>
      </c>
      <c r="C533" s="555"/>
      <c r="D533" s="555"/>
      <c r="E533" s="499" t="str">
        <f aca="false">IF(SUM($W533:$X533)&gt;0,SUM($W533:$X533),IF($H533&gt;0,0,IF($H533&gt;0,0,"-")))</f>
        <v>-</v>
      </c>
      <c r="F533" s="499" t="str">
        <f aca="false">IF(SUM($Y533:$Z533)&gt;0,SUM($Y533:$Z533),IF($H533&gt;0,0,"-"))</f>
        <v>-</v>
      </c>
      <c r="G533" s="499" t="str">
        <f aca="false">IF($H533&gt;0,minus(E533,F533),"-")</f>
        <v>-</v>
      </c>
      <c r="H533" s="500" t="n">
        <f aca="false">SUM(COUNTIF(MatchSource!$A:$A,$B533),COUNTIF(MatchSource!$H:$H,$B533))</f>
        <v>0</v>
      </c>
      <c r="I533" s="501" t="n">
        <f aca="false">SUM($AA533:$AB533)</f>
        <v>0</v>
      </c>
      <c r="J533" s="500" t="s">
        <v>700</v>
      </c>
      <c r="K533" s="500" t="n">
        <f aca="false" t="array" ref="K533:K533">IF(ISNA(INDEX(DraftRosters!$AA$3:$AA$199,MATCH($B533,DraftRosters!$AB$3:$AB$199,0))),"FA",IF(INDEX(DraftRosters!$AA$3:$AA$199,MATCH($B533,DraftRosters!$AB$3:$AB$199,0))="Franchise","Franch",INDEX(DraftRosters!$AA$3:$AA$199,MATCH($B533,DraftRosters!$AB$3:$AB$199,0))))</f>
        <v>83</v>
      </c>
      <c r="L533" s="500" t="n">
        <v>54</v>
      </c>
      <c r="M533" s="499" t="n">
        <v>100</v>
      </c>
      <c r="N533" s="499" t="n">
        <v>71</v>
      </c>
      <c r="O533" s="499" t="n">
        <v>61</v>
      </c>
      <c r="P533" s="499" t="n">
        <v>85</v>
      </c>
      <c r="Q533" s="499" t="n">
        <v>115</v>
      </c>
      <c r="R533" s="500" t="s">
        <v>835</v>
      </c>
      <c r="S533" s="499" t="s">
        <v>907</v>
      </c>
      <c r="T533" s="520" t="s">
        <v>1086</v>
      </c>
      <c r="U533" s="513" t="s">
        <v>1087</v>
      </c>
      <c r="V533" s="514"/>
      <c r="W533" s="500" t="str">
        <f aca="false">IFERROR(__xludf.dummyfunction("if(isna(SUM(FILTER(MatchSource!$A:$D,MatchSource!$A:$A=$B533))),0,SUM(FILTER(MatchSource!$A:$D,MatchSource!$A:$A=$B533)))"),"0")</f>
        <v>0</v>
      </c>
      <c r="X533" s="499" t="str">
        <f aca="false">IFERROR(__xludf.dummyfunction("if(isna(SUM(FILTER(MatchSource!$H:$K,MatchSource!$H:$H=$B533))),0,SUM(FILTER(MatchSource!$H:$K,MatchSource!$H:$H=$B533)))"),"0")</f>
        <v>0</v>
      </c>
      <c r="Y533" s="499" t="str">
        <f aca="false">IFERROR(__xludf.dummyfunction("if(isna(ABS(MINUS(SUM(FILTER(MatchSource!$A:$E,MatchSource!$A:$A=$B533)),SUM($W533)))),0,ABS(MINUS(SUM(FILTER(MatchSource!$A:$E,MatchSource!$A:$A=$B533)),SUM($W533))))"),"0")</f>
        <v>0</v>
      </c>
      <c r="Z533" s="499" t="str">
        <f aca="false">IFERROR(__xludf.dummyfunction("if(isna(ABS(MINUS(SUM(FILTER(MatchSource!$H:$L,MatchSource!$H:$H=$B533)),SUM($X533)))),0,ABS(MINUS(SUM(FILTER(MatchSource!$H:$L,MatchSource!$H:$H=$B533)),SUM($X533))))"),"0")</f>
        <v>0</v>
      </c>
      <c r="AA533" s="499" t="str">
        <f aca="false">IFERROR(__xludf.dummyfunction("if(isna(ABS(MINUS(SUM(FILTER(MatchSource!$A:$F,MatchSource!$A:$A=$B533)),SUM($W533,$Y533)))),0,ABS(MINUS(SUM(FILTER(MatchSource!$A:$F,MatchSource!$A:$A=$B533)),SUM($W533, $Y533,))))"),"0")</f>
        <v>0</v>
      </c>
      <c r="AB533" s="501" t="str">
        <f aca="false">IFERROR(__xludf.dummyfunction("if(isna(ABS(MINUS(SUM(FILTER(MatchSource!$H:$M,MatchSource!$H:$H=$B533)),SUM($X533,$Z533)))),0,ABS(MINUS(SUM(FILTER(MatchSource!$H:$M,MatchSource!$H:$H=$B533)),SUM($X533,$Z533))))"),"0")</f>
        <v>0</v>
      </c>
      <c r="AC533" s="507" t="n">
        <f aca="false">SUM(IF(OR($R533="Grass",$R533="Psychic",$R533="Dark"),0-1,IF(OR($R533="Fighting",$R533="Flying",$R533="Fire",$R533="Ghost",$R533="Poison",$R533="Steel",$R533="Fairy"),1,0)),IF(OR($S533="Grass",$S533="Psychic",$S533="Dark"),0-1,IF(OR($S533="Fighting",$S533="Flying",$S533="Fire",$S533="Ghost",$S533="Poison",$S533="Steel",$S533="Fairy"),1,0)))</f>
        <v>0</v>
      </c>
      <c r="AD533" s="507" t="n">
        <f aca="false">SUM(IF(OR($R533="Ghost",$R533="Psychic"),0-1,IF(OR($R533="Fighting",$R533="Dark",$R533="Fairy"),1,0)),IF(OR($S533="Ghost",$S533="Psychic"),0-1,IF(OR($S533="Fighting",$S533="Dark",$S533="Fairy"),1,0)))</f>
        <v>0</v>
      </c>
      <c r="AE533" s="507" t="n">
        <f aca="false">IF(OR($R533="Fairy",$S533="Fairy"),4,SUM(IF($R533="Dragon",0-1,IF($R533="Steel",1,0)),IF($S533="Dragon",0-1,IF($S533="Steel",1,0))))</f>
        <v>-1</v>
      </c>
      <c r="AF533" s="507" t="n">
        <f aca="false">IF(OR($R533="Ground",$S533="Ground"),4,SUM(IF(OR($R533="Flying",$R533="Water"),0-1,IF(OR($R533="Dragon",$R533="Electric",$R533="Grass"),1,0)),IF(OR($S533="Flying",$S533="Water"),0-1,IF(OR($S533="Dragon",$S533="Electric",$S533="Grass"),1,0))))</f>
        <v>4</v>
      </c>
      <c r="AG533" s="507" t="n">
        <f aca="false">SUM(IF(OR($R533="Dark",$R533="Dragon",$R533="Fighting"),0-1,IF(OR($R533="Steel",$R533="Poison",$R533="Fire"),1,0)),IF(OR($S533="Dark",$S533="Dragon",$S533="Fighting"),0-1,IF(OR($S533="Steel",$S533="Poison",$S533="Fire"),1,0)))</f>
        <v>-1</v>
      </c>
      <c r="AH533" s="507" t="n">
        <f aca="false">IF(OR($R533="Ghost",$S533="Ghost"),4,SUM(IF(OR($R533="Dark",$R533="Ice",$R533="Normal",$R533="Rock",$R533="Steel"),0-1,IF(OR($R533="Bug",$R533="Fairy",$R533="Flying",$R533="Poison",$R533="Psychic"),1,0)),IF(OR($S533="Dark",$S533="Ice",$S533="Normal",$S533="Rock",$S533="Steel"),0-1,IF(OR($S533="Bug",$S533="Fairy",$S533="Flying",$S533="Poison",$S533="Psychic"),1,0))))</f>
        <v>0</v>
      </c>
      <c r="AI533" s="507" t="n">
        <f aca="false">SUM(IF(OR($R533="Bug",$R533="Grass",$R533="Ice",$R533="Steel"),0-1,IF(OR($R533="Dragon",$R533="Fire",$R533="Rock",$R533="Water"),1,0)),IF(OR($S533="Bug",$S533="Grass",$S533="Ice",$S533="Steel"),0-1,IF(OR($S533="Dragon",$S533="Fire",$S533="Rock",$S533="Water"),1,0)))</f>
        <v>1</v>
      </c>
      <c r="AJ533" s="507" t="n">
        <f aca="false">SUM(IF(OR($R533="Bug",$R533="Grass",$R533="Fighting"),0-1,IF(OR($R533="Electric",$R533="Rock",$R533="Steel"),1,0)),IF(OR($S533="Bug",$S533="Grass",$S533="Fighting"),0-1,IF(OR($S533="Electric",$S533="Rock",$S533="Steel"),1,0)))</f>
        <v>0</v>
      </c>
      <c r="AK533" s="507" t="n">
        <f aca="false">IF(OR($R533="Normal",$S533="Normal"),4,SUM(IF(OR($R533="Ghost",$R533="Psychic"),0-1,IF($R533="Dark",1,0)),IF(OR($S533="Ghost",$S533="Psychic"),0-1,IF($S533="Dark",1,0))))</f>
        <v>0</v>
      </c>
      <c r="AL533" s="507" t="n">
        <f aca="false">SUM(IF(OR($R533="Ground",$R533="Rock",$R533="Water"),0-1,IF(OR($R533="Bug",$R533="Flying",$R533="Fire",$R533="Dragon",$R533="Poison",$R533="Steel",$R533="Grass"),1,0)),IF(OR($S533="Ground",$S533="Rock",$S533="Water"),0-1,IF(OR($S533="Bug",$S533="Flying",$S533="Fire",$S533="Dragon",$S533="Poison",$S533="Steel",$S533="Grass"),1,0)))</f>
        <v>0</v>
      </c>
      <c r="AM533" s="507" t="n">
        <f aca="false">IF(OR($R533="Flying",$S533="Flying"),4,SUM(IF(OR($R533="Electric",$R533="Fire",$R533="Rock",$R533="Steel",$R533="Poison"),0-1,IF(OR($R533="Bug",$R533="Grass"),1,0)),IF(OR($S533="Electric",$S533="Fire",$S533="Rock",$S533="Steel",$S533="Poison"),0-1,IF(OR($S533="Bug",$S533="Grass"),1,0))))</f>
        <v>0</v>
      </c>
      <c r="AN533" s="507" t="n">
        <f aca="false">SUM(IF(OR($R533="Flying",$R533="Dragon",$R533="Grass",$R533="Ground"),0-1,IF(OR($R533="Steel",$R533="Ice",$R533="Fire",$R533="Water"),1,0)),IF(OR($S533="Flying",$S533="Dragon",$S533="Grass",$S533="Ground"),0-1,IF(OR($S533="Steel",$S533="Ice",$S533="Fire",$S533="Water"),1,0)))</f>
        <v>-2</v>
      </c>
      <c r="AO533" s="507" t="n">
        <f aca="false">IF(OR($R533="Ghost",$S533="Ghost"),4,SUM(IF(OR($R533="Steel",$R533="Rock"),1,0),IF(OR($S533="Steel",$S533="Rock"),1,0)))</f>
        <v>0</v>
      </c>
      <c r="AP533" s="507" t="n">
        <f aca="false">IF(OR($R533="Steel",$S533="Steel"),4,SUM(IF(OR($R533="Fairy",$R533="Grass"),0-1,IF(OR($R533="Ghost",$R533="Rock",$R533="Ground",$R533="Poison"),1,0)),IF(OR($S533="Fairy",$S533="Grass"),0-1,IF(OR($S533="Ghost",$S533="Rock",$S533="Ground",$S533="Poison"),1,0))))</f>
        <v>1</v>
      </c>
      <c r="AQ533" s="507" t="n">
        <f aca="false">IF(OR($R533="Dark",$S533="Dark"),4,SUM(IF(OR($R533="Fighting",$R533="Poison"),0-1,IF(OR($R533="Psychic",$R533="Steel"),1,0)),IF(OR($S533="Fighting",$S533="Poison"),0-1,IF(OR($S533="Psychic",$S533="Steel"),1,0))))</f>
        <v>0</v>
      </c>
      <c r="AR533" s="507" t="n">
        <f aca="false">SUM(IF(OR($R533="Bug",$R533="Fire",$R533="Flying",$R533="Ice"),0-1,IF(OR($R533="Steel",$R533="Fighting",$R533="Ground"),1,0)),IF(OR($S533="Bug",$S533="Fire",$S533="Flying",$S533="Ice"),0-1,IF(OR($S533="Steel",$S533="Fighting",$S533="Ground"),1,0)))</f>
        <v>1</v>
      </c>
      <c r="AS533" s="507" t="n">
        <f aca="false">SUM(IF(OR($R533="Fairy",$R533="Ice",$R533="Rock"),0-1,IF(OR($R533="Steel",$R533="Electric",$R533="Fire",$R533="Water"),1,0)),IF(OR($S533="Fairy",$S533="Ice",$S533="Rock"),0-1,IF(OR($S533="Steel",$S533="Electric",$S533="Fire",$S533="Water"),1,0)))</f>
        <v>0</v>
      </c>
      <c r="AT533" s="508" t="n">
        <f aca="false">SUM(IF(OR($R533="Fire",$R533="Ground",$R533="Rock"),0-1,IF(OR($R533="Dragon",$R533="Grass",$R533="Water"),1,0)),IF(OR($S533="Fire",$S533="Ground",$S533="Rock"),0-1,IF(OR($S533="Dragon",$S533="Grass",$S533="Water"),1,0)))</f>
        <v>0</v>
      </c>
      <c r="AU533" s="518"/>
    </row>
    <row r="534" customFormat="false" ht="15.75" hidden="false" customHeight="false" outlineLevel="0" collapsed="false">
      <c r="A534" s="556" t="str">
        <f aca="false" t="array" ref="A534:A534">IF(ISNA(INDEX(Source!$U$7:$U$95,MATCH(B534,Source!$V$7:$V$95,0))),"FREE",INDEX(Source!$U$7:$U$95,MATCH(B534,Source!$V$7:$V$95,0)))</f>
        <v>FREE</v>
      </c>
      <c r="B534" s="557" t="s">
        <v>746</v>
      </c>
      <c r="C534" s="557"/>
      <c r="D534" s="557"/>
      <c r="E534" s="499" t="str">
        <f aca="false">IF(SUM($W534:$X534)&gt;0,SUM($W534:$X534),IF($H534&gt;0,0,IF($H534&gt;0,0,"-")))</f>
        <v>-</v>
      </c>
      <c r="F534" s="499" t="str">
        <f aca="false">IF(SUM($Y534:$Z534)&gt;0,SUM($Y534:$Z534),IF($H534&gt;0,0,"-"))</f>
        <v>-</v>
      </c>
      <c r="G534" s="499" t="str">
        <f aca="false">IF($H534&gt;0,minus(E534,F534),"-")</f>
        <v>-</v>
      </c>
      <c r="H534" s="500" t="n">
        <f aca="false">SUM(COUNTIF(MatchSource!$A:$A,$B534),COUNTIF(MatchSource!$H:$H,$B534))</f>
        <v>0</v>
      </c>
      <c r="I534" s="501" t="n">
        <f aca="false">SUM($AA534:$AB534)</f>
        <v>0</v>
      </c>
      <c r="J534" s="548" t="s">
        <v>698</v>
      </c>
      <c r="K534" s="548" t="str">
        <f aca="false" t="array" ref="K534:K534">IF(ISNA(INDEX(DraftRosters!$AA$3:$AA$199,MATCH($B534,DraftRosters!$AB$3:$AB$199,0))),"FA",IF(INDEX(DraftRosters!$AA$3:$AA$199,MATCH($B534,DraftRosters!$AB$3:$AB$199,0))="Franchise","Franch",INDEX(DraftRosters!$AA$3:$AA$199,MATCH($B534,DraftRosters!$AB$3:$AB$199,0))))</f>
        <v>FA</v>
      </c>
      <c r="L534" s="558" t="n">
        <v>108</v>
      </c>
      <c r="M534" s="549" t="n">
        <v>100</v>
      </c>
      <c r="N534" s="549" t="n">
        <v>121</v>
      </c>
      <c r="O534" s="549" t="n">
        <v>81</v>
      </c>
      <c r="P534" s="549" t="n">
        <v>95</v>
      </c>
      <c r="Q534" s="547" t="n">
        <v>95</v>
      </c>
      <c r="R534" s="558" t="s">
        <v>835</v>
      </c>
      <c r="S534" s="547" t="s">
        <v>907</v>
      </c>
      <c r="T534" s="559" t="s">
        <v>1086</v>
      </c>
      <c r="U534" s="550" t="s">
        <v>1087</v>
      </c>
      <c r="V534" s="560"/>
      <c r="W534" s="500" t="str">
        <f aca="false">IFERROR(__xludf.dummyfunction("if(isna(SUM(FILTER(MatchSource!$A:$D,MatchSource!$A:$A=$B534))),0,SUM(FILTER(MatchSource!$A:$D,MatchSource!$A:$A=$B534)))"),"0")</f>
        <v>0</v>
      </c>
      <c r="X534" s="499" t="str">
        <f aca="false">IFERROR(__xludf.dummyfunction("if(isna(SUM(FILTER(MatchSource!$H:$K,MatchSource!$H:$H=$B534))),0,SUM(FILTER(MatchSource!$H:$K,MatchSource!$H:$H=$B534)))"),"0")</f>
        <v>0</v>
      </c>
      <c r="Y534" s="499" t="str">
        <f aca="false">IFERROR(__xludf.dummyfunction("if(isna(ABS(MINUS(SUM(FILTER(MatchSource!$A:$E,MatchSource!$A:$A=$B534)),SUM($W534)))),0,ABS(MINUS(SUM(FILTER(MatchSource!$A:$E,MatchSource!$A:$A=$B534)),SUM($W534))))"),"0")</f>
        <v>0</v>
      </c>
      <c r="Z534" s="499" t="str">
        <f aca="false">IFERROR(__xludf.dummyfunction("if(isna(ABS(MINUS(SUM(FILTER(MatchSource!$H:$L,MatchSource!$H:$H=$B534)),SUM($X534)))),0,ABS(MINUS(SUM(FILTER(MatchSource!$H:$L,MatchSource!$H:$H=$B534)),SUM($X534))))"),"0")</f>
        <v>0</v>
      </c>
      <c r="AA534" s="499" t="str">
        <f aca="false">IFERROR(__xludf.dummyfunction("if(isna(ABS(MINUS(SUM(FILTER(MatchSource!$A:$F,MatchSource!$A:$A=$B534)),SUM($W534,$Y534)))),0,ABS(MINUS(SUM(FILTER(MatchSource!$A:$F,MatchSource!$A:$A=$B534)),SUM($W534, $Y534,))))"),"0")</f>
        <v>0</v>
      </c>
      <c r="AB534" s="501" t="str">
        <f aca="false">IFERROR(__xludf.dummyfunction("if(isna(ABS(MINUS(SUM(FILTER(MatchSource!$H:$M,MatchSource!$H:$H=$B534)),SUM($X534,$Z534)))),0,ABS(MINUS(SUM(FILTER(MatchSource!$H:$M,MatchSource!$H:$H=$B534)),SUM($X534,$Z534))))"),"0")</f>
        <v>0</v>
      </c>
      <c r="AC534" s="507" t="n">
        <f aca="false">SUM(IF(OR($R534="Grass",$R534="Psychic",$R534="Dark"),0-1,IF(OR($R534="Fighting",$R534="Flying",$R534="Fire",$R534="Ghost",$R534="Poison",$R534="Steel",$R534="Fairy"),1,0)),IF(OR($S534="Grass",$S534="Psychic",$S534="Dark"),0-1,IF(OR($S534="Fighting",$S534="Flying",$S534="Fire",$S534="Ghost",$S534="Poison",$S534="Steel",$S534="Fairy"),1,0)))</f>
        <v>0</v>
      </c>
      <c r="AD534" s="507" t="n">
        <f aca="false">SUM(IF(OR($R534="Ghost",$R534="Psychic"),0-1,IF(OR($R534="Fighting",$R534="Dark",$R534="Fairy"),1,0)),IF(OR($S534="Ghost",$S534="Psychic"),0-1,IF(OR($S534="Fighting",$S534="Dark",$S534="Fairy"),1,0)))</f>
        <v>0</v>
      </c>
      <c r="AE534" s="507" t="n">
        <f aca="false">IF(OR($R534="Fairy",$S534="Fairy"),4,SUM(IF($R534="Dragon",0-1,IF($R534="Steel",1,0)),IF($S534="Dragon",0-1,IF($S534="Steel",1,0))))</f>
        <v>-1</v>
      </c>
      <c r="AF534" s="507" t="n">
        <f aca="false">IF(OR($R534="Ground",$S534="Ground"),4,SUM(IF(OR($R534="Flying",$R534="Water"),0-1,IF(OR($R534="Dragon",$R534="Electric",$R534="Grass"),1,0)),IF(OR($S534="Flying",$S534="Water"),0-1,IF(OR($S534="Dragon",$S534="Electric",$S534="Grass"),1,0))))</f>
        <v>4</v>
      </c>
      <c r="AG534" s="507" t="n">
        <f aca="false">SUM(IF(OR($R534="Dark",$R534="Dragon",$R534="Fighting"),0-1,IF(OR($R534="Steel",$R534="Poison",$R534="Fire"),1,0)),IF(OR($S534="Dark",$S534="Dragon",$S534="Fighting"),0-1,IF(OR($S534="Steel",$S534="Poison",$S534="Fire"),1,0)))</f>
        <v>-1</v>
      </c>
      <c r="AH534" s="507" t="n">
        <f aca="false">IF(OR($R534="Ghost",$S534="Ghost"),4,SUM(IF(OR($R534="Dark",$R534="Ice",$R534="Normal",$R534="Rock",$R534="Steel"),0-1,IF(OR($R534="Bug",$R534="Fairy",$R534="Flying",$R534="Poison",$R534="Psychic"),1,0)),IF(OR($S534="Dark",$S534="Ice",$S534="Normal",$S534="Rock",$S534="Steel"),0-1,IF(OR($S534="Bug",$S534="Fairy",$S534="Flying",$S534="Poison",$S534="Psychic"),1,0))))</f>
        <v>0</v>
      </c>
      <c r="AI534" s="507" t="n">
        <f aca="false">SUM(IF(OR($R534="Bug",$R534="Grass",$R534="Ice",$R534="Steel"),0-1,IF(OR($R534="Dragon",$R534="Fire",$R534="Rock",$R534="Water"),1,0)),IF(OR($S534="Bug",$S534="Grass",$S534="Ice",$S534="Steel"),0-1,IF(OR($S534="Dragon",$S534="Fire",$S534="Rock",$S534="Water"),1,0)))</f>
        <v>1</v>
      </c>
      <c r="AJ534" s="507" t="n">
        <f aca="false">SUM(IF(OR($R534="Bug",$R534="Grass",$R534="Fighting"),0-1,IF(OR($R534="Electric",$R534="Rock",$R534="Steel"),1,0)),IF(OR($S534="Bug",$S534="Grass",$S534="Fighting"),0-1,IF(OR($S534="Electric",$S534="Rock",$S534="Steel"),1,0)))</f>
        <v>0</v>
      </c>
      <c r="AK534" s="507" t="n">
        <f aca="false">IF(OR($R534="Normal",$S534="Normal"),4,SUM(IF(OR($R534="Ghost",$R534="Psychic"),0-1,IF($R534="Dark",1,0)),IF(OR($S534="Ghost",$S534="Psychic"),0-1,IF($S534="Dark",1,0))))</f>
        <v>0</v>
      </c>
      <c r="AL534" s="507" t="n">
        <f aca="false">SUM(IF(OR($R534="Ground",$R534="Rock",$R534="Water"),0-1,IF(OR($R534="Bug",$R534="Flying",$R534="Fire",$R534="Dragon",$R534="Poison",$R534="Steel",$R534="Grass"),1,0)),IF(OR($S534="Ground",$S534="Rock",$S534="Water"),0-1,IF(OR($S534="Bug",$S534="Flying",$S534="Fire",$S534="Dragon",$S534="Poison",$S534="Steel",$S534="Grass"),1,0)))</f>
        <v>0</v>
      </c>
      <c r="AM534" s="507" t="n">
        <f aca="false">IF(OR($R534="Flying",$S534="Flying"),4,SUM(IF(OR($R534="Electric",$R534="Fire",$R534="Rock",$R534="Steel",$R534="Poison"),0-1,IF(OR($R534="Bug",$R534="Grass"),1,0)),IF(OR($S534="Electric",$S534="Fire",$S534="Rock",$S534="Steel",$S534="Poison"),0-1,IF(OR($S534="Bug",$S534="Grass"),1,0))))</f>
        <v>0</v>
      </c>
      <c r="AN534" s="507" t="n">
        <f aca="false">SUM(IF(OR($R534="Flying",$R534="Dragon",$R534="Grass",$R534="Ground"),0-1,IF(OR($R534="Steel",$R534="Ice",$R534="Fire",$R534="Water"),1,0)),IF(OR($S534="Flying",$S534="Dragon",$S534="Grass",$S534="Ground"),0-1,IF(OR($S534="Steel",$S534="Ice",$S534="Fire",$S534="Water"),1,0)))</f>
        <v>-2</v>
      </c>
      <c r="AO534" s="507" t="n">
        <f aca="false">IF(OR($R534="Ghost",$S534="Ghost"),4,SUM(IF(OR($R534="Steel",$R534="Rock"),1,0),IF(OR($S534="Steel",$S534="Rock"),1,0)))</f>
        <v>0</v>
      </c>
      <c r="AP534" s="507" t="n">
        <f aca="false">IF(OR($R534="Steel",$S534="Steel"),4,SUM(IF(OR($R534="Fairy",$R534="Grass"),0-1,IF(OR($R534="Ghost",$R534="Rock",$R534="Ground",$R534="Poison"),1,0)),IF(OR($S534="Fairy",$S534="Grass"),0-1,IF(OR($S534="Ghost",$S534="Rock",$S534="Ground",$S534="Poison"),1,0))))</f>
        <v>1</v>
      </c>
      <c r="AQ534" s="507" t="n">
        <f aca="false">IF(OR($R534="Dark",$S534="Dark"),4,SUM(IF(OR($R534="Fighting",$R534="Poison"),0-1,IF(OR($R534="Psychic",$R534="Steel"),1,0)),IF(OR($S534="Fighting",$S534="Poison"),0-1,IF(OR($S534="Psychic",$S534="Steel"),1,0))))</f>
        <v>0</v>
      </c>
      <c r="AR534" s="507" t="n">
        <f aca="false">SUM(IF(OR($R534="Bug",$R534="Fire",$R534="Flying",$R534="Ice"),0-1,IF(OR($R534="Steel",$R534="Fighting",$R534="Ground"),1,0)),IF(OR($S534="Bug",$S534="Fire",$S534="Flying",$S534="Ice"),0-1,IF(OR($S534="Steel",$S534="Fighting",$S534="Ground"),1,0)))</f>
        <v>1</v>
      </c>
      <c r="AS534" s="507" t="n">
        <f aca="false">SUM(IF(OR($R534="Fairy",$R534="Ice",$R534="Rock"),0-1,IF(OR($R534="Steel",$R534="Electric",$R534="Fire",$R534="Water"),1,0)),IF(OR($S534="Fairy",$S534="Ice",$S534="Rock"),0-1,IF(OR($S534="Steel",$S534="Electric",$S534="Fire",$S534="Water"),1,0)))</f>
        <v>0</v>
      </c>
      <c r="AT534" s="508" t="n">
        <f aca="false">SUM(IF(OR($R534="Fire",$R534="Ground",$R534="Rock"),0-1,IF(OR($R534="Dragon",$R534="Grass",$R534="Water"),1,0)),IF(OR($S534="Fire",$S534="Ground",$S534="Rock"),0-1,IF(OR($S534="Dragon",$S534="Grass",$S534="Water"),1,0)))</f>
        <v>0</v>
      </c>
      <c r="AU534" s="518"/>
    </row>
  </sheetData>
  <mergeCells count="534">
    <mergeCell ref="B1:D1"/>
    <mergeCell ref="B2:D2"/>
    <mergeCell ref="B3:D3"/>
    <mergeCell ref="B4:D4"/>
    <mergeCell ref="B5:D5"/>
    <mergeCell ref="B6:D6"/>
    <mergeCell ref="B7:D7"/>
    <mergeCell ref="B8:D8"/>
    <mergeCell ref="B9:D9"/>
    <mergeCell ref="B10:D10"/>
    <mergeCell ref="B11:D11"/>
    <mergeCell ref="B12:D12"/>
    <mergeCell ref="B13:D13"/>
    <mergeCell ref="B14:D14"/>
    <mergeCell ref="B15:D15"/>
    <mergeCell ref="B16:D16"/>
    <mergeCell ref="B17:D17"/>
    <mergeCell ref="B18:D18"/>
    <mergeCell ref="B19:D19"/>
    <mergeCell ref="B20:D20"/>
    <mergeCell ref="B21:D21"/>
    <mergeCell ref="B22:D22"/>
    <mergeCell ref="B23:D23"/>
    <mergeCell ref="B24:D24"/>
    <mergeCell ref="B25:D25"/>
    <mergeCell ref="B26:D26"/>
    <mergeCell ref="B27:D27"/>
    <mergeCell ref="B28:D28"/>
    <mergeCell ref="B29:D29"/>
    <mergeCell ref="B30:D30"/>
    <mergeCell ref="B31:D31"/>
    <mergeCell ref="B32:D32"/>
    <mergeCell ref="B33:D33"/>
    <mergeCell ref="B34:D34"/>
    <mergeCell ref="B35:D35"/>
    <mergeCell ref="B36:D36"/>
    <mergeCell ref="B37:D37"/>
    <mergeCell ref="B38:D38"/>
    <mergeCell ref="B39:D39"/>
    <mergeCell ref="B40:D40"/>
    <mergeCell ref="B41:D41"/>
    <mergeCell ref="B42:D42"/>
    <mergeCell ref="B43:D43"/>
    <mergeCell ref="B44:D44"/>
    <mergeCell ref="B45:D45"/>
    <mergeCell ref="B46:D46"/>
    <mergeCell ref="B47:D47"/>
    <mergeCell ref="B48:D48"/>
    <mergeCell ref="B49:D49"/>
    <mergeCell ref="B50:D50"/>
    <mergeCell ref="B51:D51"/>
    <mergeCell ref="B52:D52"/>
    <mergeCell ref="B53:D53"/>
    <mergeCell ref="B54:D54"/>
    <mergeCell ref="B55:D55"/>
    <mergeCell ref="B56:D56"/>
    <mergeCell ref="B57:D57"/>
    <mergeCell ref="B58:D58"/>
    <mergeCell ref="B59:D59"/>
    <mergeCell ref="B60:D60"/>
    <mergeCell ref="B61:D61"/>
    <mergeCell ref="B62:D62"/>
    <mergeCell ref="B63:D63"/>
    <mergeCell ref="B64:D64"/>
    <mergeCell ref="B65:D65"/>
    <mergeCell ref="B66:D66"/>
    <mergeCell ref="B67:D67"/>
    <mergeCell ref="B68:D68"/>
    <mergeCell ref="B69:D69"/>
    <mergeCell ref="B70:D70"/>
    <mergeCell ref="B71:D71"/>
    <mergeCell ref="B72:D72"/>
    <mergeCell ref="B73:D73"/>
    <mergeCell ref="B74:D74"/>
    <mergeCell ref="B75:D75"/>
    <mergeCell ref="B76:D76"/>
    <mergeCell ref="B77:D77"/>
    <mergeCell ref="B78:D78"/>
    <mergeCell ref="B79:D79"/>
    <mergeCell ref="B80:D80"/>
    <mergeCell ref="B81:D81"/>
    <mergeCell ref="B82:D82"/>
    <mergeCell ref="B83:D83"/>
    <mergeCell ref="B84:D84"/>
    <mergeCell ref="B85:D85"/>
    <mergeCell ref="B86:D86"/>
    <mergeCell ref="B87:D87"/>
    <mergeCell ref="B88:D88"/>
    <mergeCell ref="B89:D89"/>
    <mergeCell ref="B90:D90"/>
    <mergeCell ref="B91:D91"/>
    <mergeCell ref="B92:D92"/>
    <mergeCell ref="B93:D93"/>
    <mergeCell ref="B94:D94"/>
    <mergeCell ref="B95:D95"/>
    <mergeCell ref="B96:D96"/>
    <mergeCell ref="B97:D97"/>
    <mergeCell ref="B98:D98"/>
    <mergeCell ref="B99:D99"/>
    <mergeCell ref="B100:D100"/>
    <mergeCell ref="B101:D101"/>
    <mergeCell ref="B102:D102"/>
    <mergeCell ref="B103:D103"/>
    <mergeCell ref="B104:D104"/>
    <mergeCell ref="B105:D105"/>
    <mergeCell ref="B106:D106"/>
    <mergeCell ref="B107:D107"/>
    <mergeCell ref="B108:D108"/>
    <mergeCell ref="B109:D109"/>
    <mergeCell ref="B110:D110"/>
    <mergeCell ref="B111:D111"/>
    <mergeCell ref="B112:D112"/>
    <mergeCell ref="B113:D113"/>
    <mergeCell ref="B114:D114"/>
    <mergeCell ref="B115:D115"/>
    <mergeCell ref="B116:D116"/>
    <mergeCell ref="B117:D117"/>
    <mergeCell ref="B118:D118"/>
    <mergeCell ref="B119:D119"/>
    <mergeCell ref="B120:D120"/>
    <mergeCell ref="B121:D121"/>
    <mergeCell ref="B122:D122"/>
    <mergeCell ref="B123:D123"/>
    <mergeCell ref="B124:D124"/>
    <mergeCell ref="B125:D125"/>
    <mergeCell ref="B126:D126"/>
    <mergeCell ref="B127:D127"/>
    <mergeCell ref="B128:D128"/>
    <mergeCell ref="B129:D129"/>
    <mergeCell ref="B130:D130"/>
    <mergeCell ref="B131:D131"/>
    <mergeCell ref="B132:D132"/>
    <mergeCell ref="B133:D133"/>
    <mergeCell ref="B134:D134"/>
    <mergeCell ref="B135:D135"/>
    <mergeCell ref="B136:D136"/>
    <mergeCell ref="B137:D137"/>
    <mergeCell ref="B138:D138"/>
    <mergeCell ref="B139:D139"/>
    <mergeCell ref="B140:D140"/>
    <mergeCell ref="B141:D141"/>
    <mergeCell ref="B142:D142"/>
    <mergeCell ref="B143:D143"/>
    <mergeCell ref="B144:D144"/>
    <mergeCell ref="B145:D145"/>
    <mergeCell ref="B146:D146"/>
    <mergeCell ref="B147:D147"/>
    <mergeCell ref="B148:D148"/>
    <mergeCell ref="B149:D149"/>
    <mergeCell ref="B150:D150"/>
    <mergeCell ref="B151:D151"/>
    <mergeCell ref="B152:D152"/>
    <mergeCell ref="B153:D153"/>
    <mergeCell ref="B154:D154"/>
    <mergeCell ref="B155:D155"/>
    <mergeCell ref="B156:D156"/>
    <mergeCell ref="B157:D157"/>
    <mergeCell ref="B158:D158"/>
    <mergeCell ref="B159:D159"/>
    <mergeCell ref="B160:D160"/>
    <mergeCell ref="B161:D161"/>
    <mergeCell ref="B162:D162"/>
    <mergeCell ref="B163:D163"/>
    <mergeCell ref="B164:D164"/>
    <mergeCell ref="B165:D165"/>
    <mergeCell ref="B166:D166"/>
    <mergeCell ref="B167:D167"/>
    <mergeCell ref="B168:D168"/>
    <mergeCell ref="B169:D169"/>
    <mergeCell ref="B170:D170"/>
    <mergeCell ref="B171:D171"/>
    <mergeCell ref="B172:D172"/>
    <mergeCell ref="B173:D173"/>
    <mergeCell ref="B174:D174"/>
    <mergeCell ref="B175:D175"/>
    <mergeCell ref="B176:D176"/>
    <mergeCell ref="B177:D177"/>
    <mergeCell ref="B178:D178"/>
    <mergeCell ref="B179:D179"/>
    <mergeCell ref="B180:D180"/>
    <mergeCell ref="B181:D181"/>
    <mergeCell ref="B182:D182"/>
    <mergeCell ref="B183:D183"/>
    <mergeCell ref="B184:D184"/>
    <mergeCell ref="B185:D185"/>
    <mergeCell ref="B186:D186"/>
    <mergeCell ref="B187:D187"/>
    <mergeCell ref="B188:D188"/>
    <mergeCell ref="B189:D189"/>
    <mergeCell ref="B190:D190"/>
    <mergeCell ref="B191:D191"/>
    <mergeCell ref="B192:D192"/>
    <mergeCell ref="B193:D193"/>
    <mergeCell ref="B194:D194"/>
    <mergeCell ref="B195:D195"/>
    <mergeCell ref="B196:D196"/>
    <mergeCell ref="B197:D197"/>
    <mergeCell ref="B198:D198"/>
    <mergeCell ref="B199:D199"/>
    <mergeCell ref="B200:D200"/>
    <mergeCell ref="B201:D201"/>
    <mergeCell ref="B202:D202"/>
    <mergeCell ref="B203:D203"/>
    <mergeCell ref="B204:D204"/>
    <mergeCell ref="B205:D205"/>
    <mergeCell ref="B206:D206"/>
    <mergeCell ref="B207:D207"/>
    <mergeCell ref="B208:D208"/>
    <mergeCell ref="B209:D209"/>
    <mergeCell ref="B210:D210"/>
    <mergeCell ref="B211:D211"/>
    <mergeCell ref="B212:D212"/>
    <mergeCell ref="B213:D213"/>
    <mergeCell ref="B214:D214"/>
    <mergeCell ref="B215:D215"/>
    <mergeCell ref="B216:D216"/>
    <mergeCell ref="B217:D217"/>
    <mergeCell ref="B218:D218"/>
    <mergeCell ref="B219:D219"/>
    <mergeCell ref="B220:D220"/>
    <mergeCell ref="B221:D221"/>
    <mergeCell ref="B222:D222"/>
    <mergeCell ref="B223:D223"/>
    <mergeCell ref="B224:D224"/>
    <mergeCell ref="B225:D225"/>
    <mergeCell ref="B226:D226"/>
    <mergeCell ref="B227:D227"/>
    <mergeCell ref="B228:D228"/>
    <mergeCell ref="B229:D229"/>
    <mergeCell ref="B230:D230"/>
    <mergeCell ref="B231:D231"/>
    <mergeCell ref="B232:D232"/>
    <mergeCell ref="B233:D233"/>
    <mergeCell ref="B234:D234"/>
    <mergeCell ref="B235:D235"/>
    <mergeCell ref="B236:D236"/>
    <mergeCell ref="B237:D237"/>
    <mergeCell ref="B238:D238"/>
    <mergeCell ref="B239:D239"/>
    <mergeCell ref="B240:D240"/>
    <mergeCell ref="B241:D241"/>
    <mergeCell ref="B242:D242"/>
    <mergeCell ref="B243:D243"/>
    <mergeCell ref="B244:D244"/>
    <mergeCell ref="B245:D245"/>
    <mergeCell ref="B246:D246"/>
    <mergeCell ref="B247:D247"/>
    <mergeCell ref="B248:D248"/>
    <mergeCell ref="B249:D249"/>
    <mergeCell ref="B250:D250"/>
    <mergeCell ref="B251:D251"/>
    <mergeCell ref="B252:D252"/>
    <mergeCell ref="B253:D253"/>
    <mergeCell ref="B254:D254"/>
    <mergeCell ref="B255:D255"/>
    <mergeCell ref="B256:D256"/>
    <mergeCell ref="B257:D257"/>
    <mergeCell ref="B258:D258"/>
    <mergeCell ref="B259:D259"/>
    <mergeCell ref="B260:D260"/>
    <mergeCell ref="B261:D261"/>
    <mergeCell ref="B262:D262"/>
    <mergeCell ref="B263:D263"/>
    <mergeCell ref="B264:D264"/>
    <mergeCell ref="B265:D265"/>
    <mergeCell ref="B266:D266"/>
    <mergeCell ref="B267:D267"/>
    <mergeCell ref="B268:D268"/>
    <mergeCell ref="B269:D269"/>
    <mergeCell ref="B270:D270"/>
    <mergeCell ref="B271:D271"/>
    <mergeCell ref="B272:D272"/>
    <mergeCell ref="B273:D273"/>
    <mergeCell ref="B274:D274"/>
    <mergeCell ref="B275:D275"/>
    <mergeCell ref="B276:D276"/>
    <mergeCell ref="B277:D277"/>
    <mergeCell ref="B278:D278"/>
    <mergeCell ref="B279:D279"/>
    <mergeCell ref="B280:D280"/>
    <mergeCell ref="B281:D281"/>
    <mergeCell ref="B282:D282"/>
    <mergeCell ref="B283:D283"/>
    <mergeCell ref="B284:D284"/>
    <mergeCell ref="B285:D285"/>
    <mergeCell ref="B286:D286"/>
    <mergeCell ref="B287:D287"/>
    <mergeCell ref="B288:D288"/>
    <mergeCell ref="B289:D289"/>
    <mergeCell ref="B290:D290"/>
    <mergeCell ref="B291:D291"/>
    <mergeCell ref="B292:D292"/>
    <mergeCell ref="B293:D293"/>
    <mergeCell ref="B294:D294"/>
    <mergeCell ref="B295:D295"/>
    <mergeCell ref="B296:D296"/>
    <mergeCell ref="B297:D297"/>
    <mergeCell ref="B298:D298"/>
    <mergeCell ref="B299:D299"/>
    <mergeCell ref="B300:D300"/>
    <mergeCell ref="B301:D301"/>
    <mergeCell ref="B302:D302"/>
    <mergeCell ref="B303:D303"/>
    <mergeCell ref="B304:D304"/>
    <mergeCell ref="B305:D305"/>
    <mergeCell ref="B306:D306"/>
    <mergeCell ref="B307:D307"/>
    <mergeCell ref="B308:D308"/>
    <mergeCell ref="B309:D309"/>
    <mergeCell ref="B310:D310"/>
    <mergeCell ref="B311:D311"/>
    <mergeCell ref="B312:D312"/>
    <mergeCell ref="B313:D313"/>
    <mergeCell ref="B314:D314"/>
    <mergeCell ref="B315:D315"/>
    <mergeCell ref="B316:D316"/>
    <mergeCell ref="B317:D317"/>
    <mergeCell ref="B318:D318"/>
    <mergeCell ref="B319:D319"/>
    <mergeCell ref="B320:D320"/>
    <mergeCell ref="B321:D321"/>
    <mergeCell ref="B322:D322"/>
    <mergeCell ref="B323:D323"/>
    <mergeCell ref="B324:D324"/>
    <mergeCell ref="B325:D325"/>
    <mergeCell ref="B326:D326"/>
    <mergeCell ref="B327:D327"/>
    <mergeCell ref="B328:D328"/>
    <mergeCell ref="B329:D329"/>
    <mergeCell ref="B330:D330"/>
    <mergeCell ref="B331:D331"/>
    <mergeCell ref="B332:D332"/>
    <mergeCell ref="B333:D333"/>
    <mergeCell ref="B334:D334"/>
    <mergeCell ref="B335:D335"/>
    <mergeCell ref="B336:D336"/>
    <mergeCell ref="B337:D337"/>
    <mergeCell ref="B338:D338"/>
    <mergeCell ref="B339:D339"/>
    <mergeCell ref="B340:D340"/>
    <mergeCell ref="B341:D341"/>
    <mergeCell ref="B342:D342"/>
    <mergeCell ref="B343:D343"/>
    <mergeCell ref="B344:D344"/>
    <mergeCell ref="B345:D345"/>
    <mergeCell ref="B346:D346"/>
    <mergeCell ref="B347:D347"/>
    <mergeCell ref="B348:D348"/>
    <mergeCell ref="B349:D349"/>
    <mergeCell ref="B350:D350"/>
    <mergeCell ref="B351:D351"/>
    <mergeCell ref="B352:D352"/>
    <mergeCell ref="B353:D353"/>
    <mergeCell ref="B354:D354"/>
    <mergeCell ref="B355:D355"/>
    <mergeCell ref="B356:D356"/>
    <mergeCell ref="B357:D357"/>
    <mergeCell ref="B358:D358"/>
    <mergeCell ref="B359:D359"/>
    <mergeCell ref="B360:D360"/>
    <mergeCell ref="B361:D361"/>
    <mergeCell ref="B362:D362"/>
    <mergeCell ref="B363:D363"/>
    <mergeCell ref="B364:D364"/>
    <mergeCell ref="B365:D365"/>
    <mergeCell ref="B366:D366"/>
    <mergeCell ref="B367:D367"/>
    <mergeCell ref="B368:D368"/>
    <mergeCell ref="B369:D369"/>
    <mergeCell ref="B370:D370"/>
    <mergeCell ref="B371:D371"/>
    <mergeCell ref="B372:D372"/>
    <mergeCell ref="B373:D373"/>
    <mergeCell ref="B374:D374"/>
    <mergeCell ref="B375:D375"/>
    <mergeCell ref="B376:D376"/>
    <mergeCell ref="B377:D377"/>
    <mergeCell ref="B378:D378"/>
    <mergeCell ref="B379:D379"/>
    <mergeCell ref="B380:D380"/>
    <mergeCell ref="B381:D381"/>
    <mergeCell ref="B382:D382"/>
    <mergeCell ref="B383:D383"/>
    <mergeCell ref="B384:D384"/>
    <mergeCell ref="B385:D385"/>
    <mergeCell ref="B386:D386"/>
    <mergeCell ref="B387:D387"/>
    <mergeCell ref="B388:D388"/>
    <mergeCell ref="B389:D389"/>
    <mergeCell ref="B390:D390"/>
    <mergeCell ref="B391:D391"/>
    <mergeCell ref="B392:D392"/>
    <mergeCell ref="B393:D393"/>
    <mergeCell ref="B394:D394"/>
    <mergeCell ref="B395:D395"/>
    <mergeCell ref="B396:D396"/>
    <mergeCell ref="B397:D397"/>
    <mergeCell ref="B398:D398"/>
    <mergeCell ref="B399:D399"/>
    <mergeCell ref="B400:D400"/>
    <mergeCell ref="B401:D401"/>
    <mergeCell ref="B402:D402"/>
    <mergeCell ref="B403:D403"/>
    <mergeCell ref="B404:D404"/>
    <mergeCell ref="B405:D405"/>
    <mergeCell ref="B406:D406"/>
    <mergeCell ref="B407:D407"/>
    <mergeCell ref="B408:D408"/>
    <mergeCell ref="B409:D409"/>
    <mergeCell ref="B410:D410"/>
    <mergeCell ref="B411:D411"/>
    <mergeCell ref="B412:D412"/>
    <mergeCell ref="B413:D413"/>
    <mergeCell ref="B414:D414"/>
    <mergeCell ref="B415:D415"/>
    <mergeCell ref="B416:D416"/>
    <mergeCell ref="B417:D417"/>
    <mergeCell ref="B418:D418"/>
    <mergeCell ref="B419:D419"/>
    <mergeCell ref="B420:D420"/>
    <mergeCell ref="B421:D421"/>
    <mergeCell ref="B422:D422"/>
    <mergeCell ref="B423:D423"/>
    <mergeCell ref="B424:D424"/>
    <mergeCell ref="B425:D425"/>
    <mergeCell ref="B426:D426"/>
    <mergeCell ref="B427:D427"/>
    <mergeCell ref="B428:D428"/>
    <mergeCell ref="B429:D429"/>
    <mergeCell ref="B430:D430"/>
    <mergeCell ref="B431:D431"/>
    <mergeCell ref="B432:D432"/>
    <mergeCell ref="B433:D433"/>
    <mergeCell ref="B434:D434"/>
    <mergeCell ref="B435:D435"/>
    <mergeCell ref="B436:D436"/>
    <mergeCell ref="B437:D437"/>
    <mergeCell ref="B438:D438"/>
    <mergeCell ref="B439:D439"/>
    <mergeCell ref="B440:D440"/>
    <mergeCell ref="B441:D441"/>
    <mergeCell ref="B442:D442"/>
    <mergeCell ref="B443:D443"/>
    <mergeCell ref="B444:D444"/>
    <mergeCell ref="B445:D445"/>
    <mergeCell ref="B446:D446"/>
    <mergeCell ref="B447:D447"/>
    <mergeCell ref="B448:D448"/>
    <mergeCell ref="B449:D449"/>
    <mergeCell ref="B450:D450"/>
    <mergeCell ref="B451:D451"/>
    <mergeCell ref="B452:D452"/>
    <mergeCell ref="B453:D453"/>
    <mergeCell ref="B454:D454"/>
    <mergeCell ref="B455:D455"/>
    <mergeCell ref="B456:D456"/>
    <mergeCell ref="B457:D457"/>
    <mergeCell ref="B458:D458"/>
    <mergeCell ref="B459:D459"/>
    <mergeCell ref="B460:D460"/>
    <mergeCell ref="B461:D461"/>
    <mergeCell ref="B462:D462"/>
    <mergeCell ref="B463:D463"/>
    <mergeCell ref="B464:D464"/>
    <mergeCell ref="B465:D465"/>
    <mergeCell ref="B466:D466"/>
    <mergeCell ref="B467:D467"/>
    <mergeCell ref="B468:D468"/>
    <mergeCell ref="B469:D469"/>
    <mergeCell ref="B470:D470"/>
    <mergeCell ref="B471:D471"/>
    <mergeCell ref="B472:D472"/>
    <mergeCell ref="B473:D473"/>
    <mergeCell ref="B474:D474"/>
    <mergeCell ref="B475:D475"/>
    <mergeCell ref="B476:D476"/>
    <mergeCell ref="B477:D477"/>
    <mergeCell ref="B478:D478"/>
    <mergeCell ref="B479:D479"/>
    <mergeCell ref="B480:D480"/>
    <mergeCell ref="B481:D481"/>
    <mergeCell ref="B482:D482"/>
    <mergeCell ref="B483:D483"/>
    <mergeCell ref="B484:D484"/>
    <mergeCell ref="B485:D485"/>
    <mergeCell ref="B486:D486"/>
    <mergeCell ref="B487:D487"/>
    <mergeCell ref="B488:D488"/>
    <mergeCell ref="B489:D489"/>
    <mergeCell ref="B490:D490"/>
    <mergeCell ref="B491:D491"/>
    <mergeCell ref="B492:D492"/>
    <mergeCell ref="B493:D493"/>
    <mergeCell ref="B494:D494"/>
    <mergeCell ref="B495:D495"/>
    <mergeCell ref="B496:D496"/>
    <mergeCell ref="B497:D497"/>
    <mergeCell ref="B498:D498"/>
    <mergeCell ref="B499:D499"/>
    <mergeCell ref="B500:D500"/>
    <mergeCell ref="B501:D501"/>
    <mergeCell ref="B502:D502"/>
    <mergeCell ref="B503:D503"/>
    <mergeCell ref="B504:D504"/>
    <mergeCell ref="B505:D505"/>
    <mergeCell ref="B506:D506"/>
    <mergeCell ref="B507:D507"/>
    <mergeCell ref="B508:D508"/>
    <mergeCell ref="B509:D509"/>
    <mergeCell ref="B510:D510"/>
    <mergeCell ref="B511:D511"/>
    <mergeCell ref="B512:D512"/>
    <mergeCell ref="B513:D513"/>
    <mergeCell ref="B514:D514"/>
    <mergeCell ref="B515:D515"/>
    <mergeCell ref="B516:D516"/>
    <mergeCell ref="B517:D517"/>
    <mergeCell ref="B518:D518"/>
    <mergeCell ref="B519:D519"/>
    <mergeCell ref="B520:D520"/>
    <mergeCell ref="B521:D521"/>
    <mergeCell ref="B522:D522"/>
    <mergeCell ref="B523:D523"/>
    <mergeCell ref="B524:D524"/>
    <mergeCell ref="B525:D525"/>
    <mergeCell ref="B526:D526"/>
    <mergeCell ref="B527:D527"/>
    <mergeCell ref="B528:D528"/>
    <mergeCell ref="B529:D529"/>
    <mergeCell ref="B530:D530"/>
    <mergeCell ref="B531:D531"/>
    <mergeCell ref="B532:D532"/>
    <mergeCell ref="B533:D533"/>
    <mergeCell ref="B534:D534"/>
  </mergeCells>
  <conditionalFormatting sqref="A1:AT610">
    <cfRule type="expression" priority="2" aboveAverage="0" equalAverage="0" bottom="0" percent="0" rank="0" text="" dxfId="3">
      <formula>$A:$A="FREE"</formula>
    </cfRule>
  </conditionalFormatting>
  <conditionalFormatting sqref="A1:AT610">
    <cfRule type="expression" priority="3" aboveAverage="0" equalAverage="0" bottom="0" percent="0" rank="0" text="" dxfId="6">
      <formula>$A:$A=$AU$2</formula>
    </cfRule>
  </conditionalFormatting>
  <conditionalFormatting sqref="A1:AT610">
    <cfRule type="expression" priority="4" aboveAverage="0" equalAverage="0" bottom="0" percent="0" rank="0" text="" dxfId="6">
      <formula>$A:$A=$AU$3</formula>
    </cfRule>
  </conditionalFormatting>
  <conditionalFormatting sqref="A1:AT610">
    <cfRule type="expression" priority="5" aboveAverage="0" equalAverage="0" bottom="0" percent="0" rank="0" text="" dxfId="6">
      <formula>$A:$A=$AU$4</formula>
    </cfRule>
  </conditionalFormatting>
  <conditionalFormatting sqref="A1:AT610">
    <cfRule type="expression" priority="6" aboveAverage="0" equalAverage="0" bottom="0" percent="0" rank="0" text="" dxfId="6">
      <formula>$A:$A=$AU$5</formula>
    </cfRule>
  </conditionalFormatting>
  <conditionalFormatting sqref="A1:AT610">
    <cfRule type="expression" priority="7" aboveAverage="0" equalAverage="0" bottom="0" percent="0" rank="0" text="" dxfId="7">
      <formula>$A:$A=$AU$6</formula>
    </cfRule>
  </conditionalFormatting>
  <conditionalFormatting sqref="A1:AT610">
    <cfRule type="expression" priority="8" aboveAverage="0" equalAverage="0" bottom="0" percent="0" rank="0" text="" dxfId="7">
      <formula>$A:$A=$AU$7</formula>
    </cfRule>
  </conditionalFormatting>
  <conditionalFormatting sqref="A1:AT610">
    <cfRule type="expression" priority="9" aboveAverage="0" equalAverage="0" bottom="0" percent="0" rank="0" text="" dxfId="7">
      <formula>$A:$A=$AU$8</formula>
    </cfRule>
  </conditionalFormatting>
  <conditionalFormatting sqref="A1:AT610">
    <cfRule type="expression" priority="10" aboveAverage="0" equalAverage="0" bottom="0" percent="0" rank="0" text="" dxfId="7">
      <formula>$A:$A=$AU$9</formula>
    </cfRule>
  </conditionalFormatting>
  <printOptions headings="false" gridLines="false" gridLinesSet="true" horizontalCentered="false" verticalCentered="false"/>
  <pageMargins left="0.747916666666667" right="0.747916666666667" top="0.984027777777778" bottom="0.984027777777778" header="0.511805555555555" footer="0.511805555555555"/>
  <pageSetup paperSize="1" scale="100" firstPageNumber="0" fitToWidth="1" fitToHeight="1" pageOrder="downThenOver" orientation="portrait" usePrinterDefaults="false" blackAndWhite="false" draft="false" cellComments="none" useFirstPageNumber="false" horizontalDpi="300" verticalDpi="300" copies="1"/>
  <headerFooter differentFirst="false" differentOddEven="false">
    <oddHeader/>
    <oddFooter/>
  </headerFooter>
</worksheet>
</file>

<file path=xl/worksheets/sheet9.xml><?xml version="1.0" encoding="utf-8"?>
<worksheet xmlns="http://schemas.openxmlformats.org/spreadsheetml/2006/main" xmlns:r="http://schemas.openxmlformats.org/officeDocument/2006/relationships">
  <sheetPr filterMode="false">
    <pageSetUpPr fitToPage="false"/>
  </sheetPr>
  <dimension ref="A1:BD475"/>
  <sheetViews>
    <sheetView windowProtection="false"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A1" activeCellId="0" sqref="A1"/>
    </sheetView>
  </sheetViews>
  <sheetFormatPr defaultRowHeight="15.75"/>
  <cols>
    <col collapsed="false" hidden="false" max="8" min="1" style="0" width="7.1530612244898"/>
    <col collapsed="false" hidden="false" max="9" min="9" style="0" width="0.811224489795918"/>
    <col collapsed="false" hidden="false" max="15" min="10" style="0" width="7.1530612244898"/>
    <col collapsed="false" hidden="false" max="16" min="16" style="0" width="7.83163265306122"/>
    <col collapsed="false" hidden="false" max="18" min="17" style="0" width="0.811224489795918"/>
    <col collapsed="false" hidden="false" max="19" min="19" style="0" width="7.1530612244898"/>
    <col collapsed="false" hidden="false" max="21" min="20" style="0" width="14.1734693877551"/>
    <col collapsed="false" hidden="false" max="22" min="22" style="0" width="0.811224489795918"/>
    <col collapsed="false" hidden="false" max="23" min="23" style="0" width="7.1530612244898"/>
    <col collapsed="false" hidden="false" max="25" min="24" style="0" width="14.1734693877551"/>
    <col collapsed="false" hidden="false" max="26" min="26" style="0" width="0.811224489795918"/>
    <col collapsed="false" hidden="false" max="27" min="27" style="0" width="7.1530612244898"/>
    <col collapsed="false" hidden="false" max="29" min="28" style="0" width="14.1734693877551"/>
    <col collapsed="false" hidden="false" max="30" min="30" style="0" width="0.811224489795918"/>
    <col collapsed="false" hidden="false" max="31" min="31" style="0" width="7.1530612244898"/>
    <col collapsed="false" hidden="false" max="33" min="32" style="0" width="14.1734693877551"/>
    <col collapsed="false" hidden="false" max="34" min="34" style="0" width="0.811224489795918"/>
    <col collapsed="false" hidden="false" max="35" min="35" style="0" width="7.1530612244898"/>
    <col collapsed="false" hidden="false" max="37" min="36" style="0" width="14.1734693877551"/>
    <col collapsed="false" hidden="false" max="38" min="38" style="0" width="0.811224489795918"/>
    <col collapsed="false" hidden="false" max="39" min="39" style="0" width="7.1530612244898"/>
    <col collapsed="false" hidden="false" max="41" min="40" style="0" width="14.1734693877551"/>
    <col collapsed="false" hidden="false" max="42" min="42" style="0" width="0.811224489795918"/>
    <col collapsed="false" hidden="false" max="43" min="43" style="0" width="7.1530612244898"/>
    <col collapsed="false" hidden="false" max="45" min="44" style="0" width="14.1734693877551"/>
    <col collapsed="false" hidden="false" max="46" min="46" style="0" width="0.811224489795918"/>
    <col collapsed="false" hidden="false" max="47" min="47" style="0" width="7.1530612244898"/>
    <col collapsed="false" hidden="false" max="49" min="48" style="0" width="14.1734693877551"/>
    <col collapsed="false" hidden="false" max="50" min="50" style="0" width="0.811224489795918"/>
    <col collapsed="false" hidden="false" max="51" min="51" style="0" width="7.1530612244898"/>
    <col collapsed="false" hidden="false" max="53" min="52" style="0" width="14.1734693877551"/>
    <col collapsed="false" hidden="false" max="55" min="54" style="0" width="0.811224489795918"/>
    <col collapsed="false" hidden="false" max="56" min="56" style="0" width="7.1530612244898"/>
    <col collapsed="false" hidden="false" max="1025" min="57" style="0" width="14.1734693877551"/>
  </cols>
  <sheetData>
    <row r="1" customFormat="false" ht="15.75" hidden="false" customHeight="false" outlineLevel="0" collapsed="false">
      <c r="A1" s="363" t="s">
        <v>1088</v>
      </c>
      <c r="B1" s="363"/>
      <c r="C1" s="363"/>
      <c r="D1" s="363"/>
      <c r="E1" s="363"/>
      <c r="F1" s="363"/>
      <c r="G1" s="363"/>
      <c r="H1" s="363"/>
      <c r="I1" s="44"/>
      <c r="J1" s="561" t="s">
        <v>1089</v>
      </c>
      <c r="K1" s="561"/>
      <c r="L1" s="561"/>
      <c r="M1" s="561"/>
      <c r="N1" s="561"/>
      <c r="O1" s="561"/>
      <c r="P1" s="561"/>
      <c r="Q1" s="44"/>
      <c r="R1" s="44"/>
      <c r="S1" s="562" t="s">
        <v>1090</v>
      </c>
      <c r="T1" s="562"/>
      <c r="U1" s="562"/>
      <c r="V1" s="44"/>
      <c r="W1" s="562" t="s">
        <v>1091</v>
      </c>
      <c r="X1" s="562"/>
      <c r="Y1" s="562"/>
      <c r="Z1" s="44"/>
      <c r="AA1" s="90" t="s">
        <v>1092</v>
      </c>
      <c r="AB1" s="90"/>
      <c r="AC1" s="90"/>
      <c r="AD1" s="44"/>
      <c r="AE1" s="90" t="s">
        <v>1093</v>
      </c>
      <c r="AF1" s="90"/>
      <c r="AG1" s="90"/>
      <c r="AH1" s="44"/>
      <c r="AI1" s="562" t="s">
        <v>1094</v>
      </c>
      <c r="AJ1" s="562"/>
      <c r="AK1" s="562"/>
      <c r="AL1" s="44"/>
      <c r="AM1" s="562" t="s">
        <v>1095</v>
      </c>
      <c r="AN1" s="562"/>
      <c r="AO1" s="562"/>
      <c r="AP1" s="44"/>
      <c r="AQ1" s="562" t="s">
        <v>1096</v>
      </c>
      <c r="AR1" s="562"/>
      <c r="AS1" s="562"/>
      <c r="AT1" s="44"/>
      <c r="AU1" s="562" t="s">
        <v>1097</v>
      </c>
      <c r="AV1" s="562"/>
      <c r="AW1" s="562"/>
      <c r="AX1" s="44"/>
      <c r="AY1" s="562" t="s">
        <v>1098</v>
      </c>
      <c r="AZ1" s="562"/>
      <c r="BA1" s="562"/>
      <c r="BB1" s="563"/>
      <c r="BC1" s="563"/>
      <c r="BD1" s="564" t="e">
        <f aca="false">flg!$l$1</f>
        <v>#NAME?</v>
      </c>
    </row>
    <row r="2" customFormat="false" ht="15.75" hidden="false" customHeight="false" outlineLevel="0" collapsed="false">
      <c r="A2" s="565" t="s">
        <v>1099</v>
      </c>
      <c r="B2" s="565"/>
      <c r="C2" s="565"/>
      <c r="D2" s="566" t="s">
        <v>1100</v>
      </c>
      <c r="E2" s="566" t="s">
        <v>1101</v>
      </c>
      <c r="F2" s="566" t="s">
        <v>1102</v>
      </c>
      <c r="G2" s="566" t="s">
        <v>1103</v>
      </c>
      <c r="H2" s="567" t="s">
        <v>1104</v>
      </c>
      <c r="I2" s="44"/>
      <c r="J2" s="565" t="s">
        <v>1099</v>
      </c>
      <c r="K2" s="565"/>
      <c r="L2" s="565"/>
      <c r="M2" s="568" t="s">
        <v>1100</v>
      </c>
      <c r="N2" s="566" t="s">
        <v>1105</v>
      </c>
      <c r="O2" s="566" t="s">
        <v>1102</v>
      </c>
      <c r="P2" s="567" t="s">
        <v>1104</v>
      </c>
      <c r="Q2" s="44"/>
      <c r="R2" s="44"/>
      <c r="S2" s="569" t="str">
        <f aca="false" t="array" ref="S2:S2">IF(ISNA(INDEX(Source!$U$7:$U$95,MATCH(T2,Source!$V$7:$V$95,0))),"-",INDEX(Source!$U$7:$U$95,MATCH(T2,Source!$V$7:$V$95,0)))</f>
        <v>-</v>
      </c>
      <c r="T2" s="570" t="s">
        <v>282</v>
      </c>
      <c r="U2" s="217" t="s">
        <v>1106</v>
      </c>
      <c r="V2" s="44"/>
      <c r="W2" s="569" t="str">
        <f aca="false" t="array" ref="W2:W2">IF(ISNA(INDEX(Source!$U$7:$U$95,MATCH(X2,Source!$V$7:$V$95,0))),"-",INDEX(Source!$U$7:$U$95,MATCH(X2,Source!$V$7:$V$95,0)))</f>
        <v>JVJ</v>
      </c>
      <c r="X2" s="570" t="s">
        <v>24</v>
      </c>
      <c r="Y2" s="217" t="s">
        <v>1107</v>
      </c>
      <c r="Z2" s="44"/>
      <c r="AA2" s="569" t="str">
        <f aca="false" t="array" ref="AA2:AA2">IF(ISNA(INDEX(Source!$U$7:$U$95,MATCH(AB2,Source!$V$7:$V$95,0))),"-",INDEX(Source!$U$7:$U$95,MATCH(AB2,Source!$V$7:$V$95,0)))</f>
        <v>JVJ</v>
      </c>
      <c r="AB2" s="570" t="s">
        <v>24</v>
      </c>
      <c r="AC2" s="217" t="s">
        <v>1108</v>
      </c>
      <c r="AD2" s="44"/>
      <c r="AE2" s="569" t="str">
        <f aca="false" t="array" ref="AE2:AE2">IF(ISNA(INDEX(Source!$U$7:$U$95,MATCH(AF2,Source!$V$7:$V$95,0))),"-",INDEX(Source!$U$7:$U$95,MATCH(AF2,Source!$V$7:$V$95,0)))</f>
        <v>BTB</v>
      </c>
      <c r="AF2" s="570" t="s">
        <v>251</v>
      </c>
      <c r="AG2" s="571" t="s">
        <v>1109</v>
      </c>
      <c r="AH2" s="44"/>
      <c r="AI2" s="569" t="str">
        <f aca="false" t="array" ref="AI2:AI2">IF(ISNA(INDEX(Source!$U$7:$U$95,MATCH(AJ2,Source!$V$7:$V$95,0))),"-",INDEX(Source!$U$7:$U$95,MATCH(AJ2,Source!$V$7:$V$95,0)))</f>
        <v>-</v>
      </c>
      <c r="AJ2" s="570" t="s">
        <v>282</v>
      </c>
      <c r="AK2" s="217" t="s">
        <v>1110</v>
      </c>
      <c r="AL2" s="44"/>
      <c r="AM2" s="569" t="str">
        <f aca="false" t="array" ref="AM2:AM2">IF(ISNA(INDEX(Source!$U$7:$U$95,MATCH(AN2,Source!$V$7:$V$95,0))),"-",INDEX(Source!$U$7:$U$95,MATCH(AN2,Source!$V$7:$V$95,0)))</f>
        <v>-</v>
      </c>
      <c r="AN2" s="570" t="s">
        <v>1111</v>
      </c>
      <c r="AO2" s="217" t="s">
        <v>1112</v>
      </c>
      <c r="AP2" s="44"/>
      <c r="AQ2" s="569" t="str">
        <f aca="false" t="array" ref="AQ2:AQ2">IF(ISNA(INDEX(Source!$U$7:$U$95,MATCH(AR2,Source!$V$7:$V$95,0))),"-",INDEX(Source!$U$7:$U$95,MATCH(AR2,Source!$V$7:$V$95,0)))</f>
        <v>-</v>
      </c>
      <c r="AR2" s="570" t="s">
        <v>364</v>
      </c>
      <c r="AS2" s="217" t="s">
        <v>1113</v>
      </c>
      <c r="AT2" s="44"/>
      <c r="AU2" s="569" t="str">
        <f aca="false" t="array" ref="AU2:AU2">IF(ISNA(INDEX(Source!$U$7:$U$95,MATCH(AV2,Source!$V$7:$V$95,0))),"-",INDEX(Source!$U$7:$U$95,MATCH(AV2,Source!$V$7:$V$95,0)))</f>
        <v>LVC</v>
      </c>
      <c r="AV2" s="570" t="s">
        <v>261</v>
      </c>
      <c r="AW2" s="217" t="s">
        <v>1114</v>
      </c>
      <c r="AX2" s="44"/>
      <c r="AY2" s="569" t="str">
        <f aca="false" t="array" ref="AY2:AY2">IF(ISNA(INDEX(Source!$U$7:$U$95,MATCH(AZ2,Source!$V$7:$V$95,0))),"-",INDEX(Source!$U$7:$U$95,MATCH(AZ2,Source!$V$7:$V$95,0)))</f>
        <v>-</v>
      </c>
      <c r="AZ2" s="570" t="s">
        <v>290</v>
      </c>
      <c r="BA2" s="217" t="s">
        <v>1115</v>
      </c>
      <c r="BB2" s="507"/>
      <c r="BC2" s="507"/>
      <c r="BD2" s="572" t="e">
        <f aca="false">fst!$l$1</f>
        <v>#NAME?</v>
      </c>
    </row>
    <row r="3" customFormat="false" ht="15.75" hidden="false" customHeight="false" outlineLevel="0" collapsed="false">
      <c r="A3" s="573" t="s">
        <v>1116</v>
      </c>
      <c r="B3" s="573"/>
      <c r="C3" s="573"/>
      <c r="D3" s="574" t="s">
        <v>809</v>
      </c>
      <c r="E3" s="575" t="s">
        <v>1117</v>
      </c>
      <c r="F3" s="576" t="n">
        <v>20</v>
      </c>
      <c r="G3" s="576" t="n">
        <v>40</v>
      </c>
      <c r="H3" s="577" t="n">
        <v>1</v>
      </c>
      <c r="I3" s="578"/>
      <c r="J3" s="579" t="s">
        <v>1118</v>
      </c>
      <c r="K3" s="579"/>
      <c r="L3" s="579"/>
      <c r="M3" s="580" t="s">
        <v>843</v>
      </c>
      <c r="N3" s="581" t="s">
        <v>1119</v>
      </c>
      <c r="O3" s="582" t="n">
        <v>20</v>
      </c>
      <c r="P3" s="583" t="s">
        <v>1120</v>
      </c>
      <c r="Q3" s="584"/>
      <c r="R3" s="93"/>
      <c r="S3" s="585" t="str">
        <f aca="false" t="array" ref="S3:S3">IF(ISNA(INDEX(Source!$U$7:$U$95,MATCH(T3,Source!$V$7:$V$95,0))),"-",INDEX(Source!$U$7:$U$95,MATCH(T3,Source!$V$7:$V$95,0)))</f>
        <v>JVJ</v>
      </c>
      <c r="T3" s="586" t="s">
        <v>32</v>
      </c>
      <c r="U3" s="182" t="s">
        <v>1106</v>
      </c>
      <c r="V3" s="93"/>
      <c r="W3" s="585" t="str">
        <f aca="false" t="array" ref="W3:W3">IF(ISNA(INDEX(Source!$U$7:$U$95,MATCH(X3,Source!$V$7:$V$95,0))),"-",INDEX(Source!$U$7:$U$95,MATCH(X3,Source!$V$7:$V$95,0)))</f>
        <v>-</v>
      </c>
      <c r="X3" s="586" t="s">
        <v>1121</v>
      </c>
      <c r="Y3" s="182" t="s">
        <v>1107</v>
      </c>
      <c r="Z3" s="93"/>
      <c r="AA3" s="585" t="str">
        <f aca="false" t="array" ref="AA3:AA3">IF(ISNA(INDEX(Source!$U$7:$U$95,MATCH(AB3,Source!$V$7:$V$95,0))),"-",INDEX(Source!$U$7:$U$95,MATCH(AB3,Source!$V$7:$V$95,0)))</f>
        <v>-</v>
      </c>
      <c r="AB3" s="586" t="s">
        <v>337</v>
      </c>
      <c r="AC3" s="182" t="s">
        <v>1108</v>
      </c>
      <c r="AD3" s="93"/>
      <c r="AE3" s="585" t="str">
        <f aca="false" t="array" ref="AE3:AE3">IF(ISNA(INDEX(Source!$U$7:$U$95,MATCH(AF3,Source!$V$7:$V$95,0))),"-",INDEX(Source!$U$7:$U$95,MATCH(AF3,Source!$V$7:$V$95,0)))</f>
        <v>-</v>
      </c>
      <c r="AF3" s="587" t="s">
        <v>337</v>
      </c>
      <c r="AG3" s="588" t="s">
        <v>1109</v>
      </c>
      <c r="AH3" s="93"/>
      <c r="AI3" s="585" t="str">
        <f aca="false" t="array" ref="AI3:AI3">IF(ISNA(INDEX(Source!$U$7:$U$95,MATCH(AJ3,Source!$V$7:$V$95,0))),"-",INDEX(Source!$U$7:$U$95,MATCH(AJ3,Source!$V$7:$V$95,0)))</f>
        <v>JVJ</v>
      </c>
      <c r="AJ3" s="586" t="s">
        <v>32</v>
      </c>
      <c r="AK3" s="182" t="s">
        <v>1110</v>
      </c>
      <c r="AL3" s="93"/>
      <c r="AM3" s="585" t="str">
        <f aca="false" t="array" ref="AM3:AM3">IF(ISNA(INDEX(Source!$U$7:$U$95,MATCH(AN3,Source!$V$7:$V$95,0))),"-",INDEX(Source!$U$7:$U$95,MATCH(AN3,Source!$V$7:$V$95,0)))</f>
        <v>-</v>
      </c>
      <c r="AN3" s="586" t="s">
        <v>344</v>
      </c>
      <c r="AO3" s="182" t="s">
        <v>1112</v>
      </c>
      <c r="AP3" s="93"/>
      <c r="AQ3" s="585" t="str">
        <f aca="false" t="array" ref="AQ3:AQ3">IF(ISNA(INDEX(Source!$U$7:$U$95,MATCH(AR3,Source!$V$7:$V$95,0))),"-",INDEX(Source!$U$7:$U$95,MATCH(AR3,Source!$V$7:$V$95,0)))</f>
        <v>-</v>
      </c>
      <c r="AR3" s="586" t="s">
        <v>1122</v>
      </c>
      <c r="AS3" s="182" t="s">
        <v>1113</v>
      </c>
      <c r="AT3" s="93"/>
      <c r="AU3" s="585" t="str">
        <f aca="false" t="array" ref="AU3:AU3">IF(ISNA(INDEX(Source!$U$7:$U$95,MATCH(AV3,Source!$V$7:$V$95,0))),"-",INDEX(Source!$U$7:$U$95,MATCH(AV3,Source!$V$7:$V$95,0)))</f>
        <v>-</v>
      </c>
      <c r="AV3" s="586" t="s">
        <v>293</v>
      </c>
      <c r="AW3" s="182" t="s">
        <v>1114</v>
      </c>
      <c r="AX3" s="93"/>
      <c r="AY3" s="585" t="str">
        <f aca="false" t="array" ref="AY3:AY3">IF(ISNA(INDEX(Source!$U$7:$U$95,MATCH(AZ3,Source!$V$7:$V$95,0))),"-",INDEX(Source!$U$7:$U$95,MATCH(AZ3,Source!$V$7:$V$95,0)))</f>
        <v>FTT</v>
      </c>
      <c r="AZ3" s="586" t="s">
        <v>80</v>
      </c>
      <c r="BA3" s="182" t="s">
        <v>1115</v>
      </c>
      <c r="BB3" s="507"/>
      <c r="BC3" s="507"/>
      <c r="BD3" s="572" t="e">
        <f aca="false">phi!$l$1</f>
        <v>#NAME?</v>
      </c>
    </row>
    <row r="4" customFormat="false" ht="15.75" hidden="false" customHeight="false" outlineLevel="0" collapsed="false">
      <c r="A4" s="589" t="s">
        <v>1123</v>
      </c>
      <c r="B4" s="589"/>
      <c r="C4" s="589"/>
      <c r="D4" s="590" t="s">
        <v>801</v>
      </c>
      <c r="E4" s="591" t="s">
        <v>1117</v>
      </c>
      <c r="F4" s="582" t="n">
        <v>15</v>
      </c>
      <c r="G4" s="582" t="n">
        <v>55</v>
      </c>
      <c r="H4" s="592" t="n">
        <v>1</v>
      </c>
      <c r="I4" s="593"/>
      <c r="J4" s="589" t="s">
        <v>1124</v>
      </c>
      <c r="K4" s="589"/>
      <c r="L4" s="589"/>
      <c r="M4" s="594" t="s">
        <v>839</v>
      </c>
      <c r="N4" s="581" t="s">
        <v>1119</v>
      </c>
      <c r="O4" s="582" t="n">
        <v>30</v>
      </c>
      <c r="P4" s="583" t="s">
        <v>1120</v>
      </c>
      <c r="Q4" s="595"/>
      <c r="R4" s="93"/>
      <c r="S4" s="585" t="str">
        <f aca="false" t="array" ref="S4:S4">IF(ISNA(INDEX(Source!$U$7:$U$95,MATCH(T4,Source!$V$7:$V$95,0))),"-",INDEX(Source!$U$7:$U$95,MATCH(T4,Source!$V$7:$V$95,0)))</f>
        <v>-</v>
      </c>
      <c r="T4" s="586" t="s">
        <v>306</v>
      </c>
      <c r="U4" s="182" t="s">
        <v>1106</v>
      </c>
      <c r="V4" s="93"/>
      <c r="W4" s="585" t="str">
        <f aca="false" t="array" ref="W4:W4">IF(ISNA(INDEX(Source!$U$7:$U$95,MATCH(X4,Source!$V$7:$V$95,0))),"-",INDEX(Source!$U$7:$U$95,MATCH(X4,Source!$V$7:$V$95,0)))</f>
        <v>-</v>
      </c>
      <c r="X4" s="586" t="s">
        <v>1125</v>
      </c>
      <c r="Y4" s="182" t="s">
        <v>1107</v>
      </c>
      <c r="Z4" s="93"/>
      <c r="AA4" s="585" t="str">
        <f aca="false" t="array" ref="AA4:AA4">IF(ISNA(INDEX(Source!$U$7:$U$95,MATCH(AB4,Source!$V$7:$V$95,0))),"-",INDEX(Source!$U$7:$U$95,MATCH(AB4,Source!$V$7:$V$95,0)))</f>
        <v>-</v>
      </c>
      <c r="AB4" s="586" t="s">
        <v>741</v>
      </c>
      <c r="AC4" s="182" t="s">
        <v>1108</v>
      </c>
      <c r="AD4" s="93"/>
      <c r="AE4" s="585" t="str">
        <f aca="false" t="array" ref="AE4:AE4">IF(ISNA(INDEX(Source!$U$7:$U$95,MATCH(AF4,Source!$V$7:$V$95,0))),"-",INDEX(Source!$U$7:$U$95,MATCH(AF4,Source!$V$7:$V$95,0)))</f>
        <v>-</v>
      </c>
      <c r="AF4" s="587" t="s">
        <v>1126</v>
      </c>
      <c r="AG4" s="588" t="s">
        <v>1109</v>
      </c>
      <c r="AH4" s="93"/>
      <c r="AI4" s="585" t="str">
        <f aca="false" t="array" ref="AI4:AI4">IF(ISNA(INDEX(Source!$U$7:$U$95,MATCH(AJ4,Source!$V$7:$V$95,0))),"-",INDEX(Source!$U$7:$U$95,MATCH(AJ4,Source!$V$7:$V$95,0)))</f>
        <v>LVC</v>
      </c>
      <c r="AJ4" s="586" t="s">
        <v>261</v>
      </c>
      <c r="AK4" s="182" t="s">
        <v>1110</v>
      </c>
      <c r="AL4" s="93"/>
      <c r="AM4" s="585" t="str">
        <f aca="false" t="array" ref="AM4:AM4">IF(ISNA(INDEX(Source!$U$7:$U$95,MATCH(AN4,Source!$V$7:$V$95,0))),"-",INDEX(Source!$U$7:$U$95,MATCH(AN4,Source!$V$7:$V$95,0)))</f>
        <v>-</v>
      </c>
      <c r="AN4" s="586" t="s">
        <v>370</v>
      </c>
      <c r="AO4" s="182" t="s">
        <v>1112</v>
      </c>
      <c r="AP4" s="93"/>
      <c r="AQ4" s="585" t="str">
        <f aca="false" t="array" ref="AQ4:AQ4">IF(ISNA(INDEX(Source!$U$7:$U$95,MATCH(AR4,Source!$V$7:$V$95,0))),"-",INDEX(Source!$U$7:$U$95,MATCH(AR4,Source!$V$7:$V$95,0)))</f>
        <v>-</v>
      </c>
      <c r="AR4" s="586" t="s">
        <v>313</v>
      </c>
      <c r="AS4" s="182" t="s">
        <v>1113</v>
      </c>
      <c r="AT4" s="93"/>
      <c r="AU4" s="585" t="str">
        <f aca="false" t="array" ref="AU4:AU4">IF(ISNA(INDEX(Source!$U$7:$U$95,MATCH(AV4,Source!$V$7:$V$95,0))),"-",INDEX(Source!$U$7:$U$95,MATCH(AV4,Source!$V$7:$V$95,0)))</f>
        <v>-</v>
      </c>
      <c r="AV4" s="586" t="s">
        <v>322</v>
      </c>
      <c r="AW4" s="182" t="s">
        <v>1114</v>
      </c>
      <c r="AX4" s="93"/>
      <c r="AY4" s="585" t="str">
        <f aca="false" t="array" ref="AY4:AY4">IF(ISNA(INDEX(Source!$U$7:$U$95,MATCH(AZ4,Source!$V$7:$V$95,0))),"-",INDEX(Source!$U$7:$U$95,MATCH(AZ4,Source!$V$7:$V$95,0)))</f>
        <v>JVJ</v>
      </c>
      <c r="AZ4" s="586" t="s">
        <v>24</v>
      </c>
      <c r="BA4" s="182" t="s">
        <v>1115</v>
      </c>
      <c r="BB4" s="507"/>
      <c r="BC4" s="507"/>
      <c r="BD4" s="572" t="e">
        <f aca="false">stl!$l$1</f>
        <v>#NAME?</v>
      </c>
    </row>
    <row r="5" customFormat="false" ht="15.75" hidden="false" customHeight="false" outlineLevel="0" collapsed="false">
      <c r="A5" s="589" t="s">
        <v>1127</v>
      </c>
      <c r="B5" s="589"/>
      <c r="C5" s="589"/>
      <c r="D5" s="590" t="s">
        <v>801</v>
      </c>
      <c r="E5" s="591" t="s">
        <v>1117</v>
      </c>
      <c r="F5" s="582" t="n">
        <v>20</v>
      </c>
      <c r="G5" s="582" t="n">
        <v>60</v>
      </c>
      <c r="H5" s="583" t="s">
        <v>1120</v>
      </c>
      <c r="I5" s="593"/>
      <c r="J5" s="589" t="s">
        <v>1128</v>
      </c>
      <c r="K5" s="589"/>
      <c r="L5" s="589"/>
      <c r="M5" s="594" t="s">
        <v>839</v>
      </c>
      <c r="N5" s="581" t="s">
        <v>1129</v>
      </c>
      <c r="O5" s="582" t="n">
        <v>15</v>
      </c>
      <c r="P5" s="583" t="s">
        <v>1120</v>
      </c>
      <c r="Q5" s="595"/>
      <c r="R5" s="93"/>
      <c r="S5" s="585" t="str">
        <f aca="false" t="array" ref="S5:S5">IF(ISNA(INDEX(Source!$U$7:$U$95,MATCH(T5,Source!$V$7:$V$95,0))),"-",INDEX(Source!$U$7:$U$95,MATCH(T5,Source!$V$7:$V$95,0)))</f>
        <v>-</v>
      </c>
      <c r="T5" s="586" t="s">
        <v>295</v>
      </c>
      <c r="U5" s="182" t="s">
        <v>1106</v>
      </c>
      <c r="V5" s="93"/>
      <c r="W5" s="585" t="str">
        <f aca="false" t="array" ref="W5:W5">IF(ISNA(INDEX(Source!$U$7:$U$95,MATCH(X5,Source!$V$7:$V$95,0))),"-",INDEX(Source!$U$7:$U$95,MATCH(X5,Source!$V$7:$V$95,0)))</f>
        <v>-</v>
      </c>
      <c r="X5" s="586" t="s">
        <v>1130</v>
      </c>
      <c r="Y5" s="182" t="s">
        <v>1107</v>
      </c>
      <c r="Z5" s="93"/>
      <c r="AA5" s="585" t="str">
        <f aca="false" t="array" ref="AA5:AA5">IF(ISNA(INDEX(Source!$U$7:$U$95,MATCH(AB5,Source!$V$7:$V$95,0))),"-",INDEX(Source!$U$7:$U$95,MATCH(AB5,Source!$V$7:$V$95,0)))</f>
        <v>BBG</v>
      </c>
      <c r="AB5" s="586" t="s">
        <v>101</v>
      </c>
      <c r="AC5" s="182" t="s">
        <v>1108</v>
      </c>
      <c r="AD5" s="93"/>
      <c r="AE5" s="585" t="str">
        <f aca="false" t="array" ref="AE5:AE5">IF(ISNA(INDEX(Source!$U$7:$U$95,MATCH(AF5,Source!$V$7:$V$95,0))),"-",INDEX(Source!$U$7:$U$95,MATCH(AF5,Source!$V$7:$V$95,0)))</f>
        <v>-</v>
      </c>
      <c r="AF5" s="587" t="s">
        <v>1131</v>
      </c>
      <c r="AG5" s="588" t="s">
        <v>1109</v>
      </c>
      <c r="AH5" s="93"/>
      <c r="AI5" s="585" t="str">
        <f aca="false" t="array" ref="AI5:AI5">IF(ISNA(INDEX(Source!$U$7:$U$95,MATCH(AJ5,Source!$V$7:$V$95,0))),"-",INDEX(Source!$U$7:$U$95,MATCH(AJ5,Source!$V$7:$V$95,0)))</f>
        <v>-</v>
      </c>
      <c r="AJ5" s="586" t="s">
        <v>293</v>
      </c>
      <c r="AK5" s="182" t="s">
        <v>1110</v>
      </c>
      <c r="AL5" s="93"/>
      <c r="AM5" s="585" t="str">
        <f aca="false" t="array" ref="AM5:AM5">IF(ISNA(INDEX(Source!$U$7:$U$95,MATCH(AN5,Source!$V$7:$V$95,0))),"-",INDEX(Source!$U$7:$U$95,MATCH(AN5,Source!$V$7:$V$95,0)))</f>
        <v>-</v>
      </c>
      <c r="AN5" s="586" t="s">
        <v>1132</v>
      </c>
      <c r="AO5" s="182" t="s">
        <v>1112</v>
      </c>
      <c r="AP5" s="93"/>
      <c r="AQ5" s="585" t="str">
        <f aca="false" t="array" ref="AQ5:AQ5">IF(ISNA(INDEX(Source!$U$7:$U$95,MATCH(AR5,Source!$V$7:$V$95,0))),"-",INDEX(Source!$U$7:$U$95,MATCH(AR5,Source!$V$7:$V$95,0)))</f>
        <v>-</v>
      </c>
      <c r="AR5" s="586" t="s">
        <v>296</v>
      </c>
      <c r="AS5" s="182" t="s">
        <v>1113</v>
      </c>
      <c r="AT5" s="93"/>
      <c r="AU5" s="585" t="str">
        <f aca="false" t="array" ref="AU5:AU5">IF(ISNA(INDEX(Source!$U$7:$U$95,MATCH(AV5,Source!$V$7:$V$95,0))),"-",INDEX(Source!$U$7:$U$95,MATCH(AV5,Source!$V$7:$V$95,0)))</f>
        <v>-</v>
      </c>
      <c r="AV5" s="586" t="s">
        <v>709</v>
      </c>
      <c r="AW5" s="182" t="s">
        <v>1114</v>
      </c>
      <c r="AX5" s="93"/>
      <c r="AY5" s="585" t="str">
        <f aca="false" t="array" ref="AY5:AY5">IF(ISNA(INDEX(Source!$U$7:$U$95,MATCH(AZ5,Source!$V$7:$V$95,0))),"-",INDEX(Source!$U$7:$U$95,MATCH(AZ5,Source!$V$7:$V$95,0)))</f>
        <v>-</v>
      </c>
      <c r="AZ5" s="586" t="s">
        <v>1133</v>
      </c>
      <c r="BA5" s="182" t="s">
        <v>1115</v>
      </c>
      <c r="BB5" s="507"/>
      <c r="BC5" s="507"/>
      <c r="BD5" s="596" t="e">
        <f aca="false">bor!$l$1</f>
        <v>#NAME?</v>
      </c>
    </row>
    <row r="6" customFormat="false" ht="15.75" hidden="false" customHeight="false" outlineLevel="0" collapsed="false">
      <c r="A6" s="589" t="s">
        <v>1134</v>
      </c>
      <c r="B6" s="589"/>
      <c r="C6" s="589"/>
      <c r="D6" s="597" t="s">
        <v>810</v>
      </c>
      <c r="E6" s="591" t="s">
        <v>1117</v>
      </c>
      <c r="F6" s="582" t="n">
        <v>20</v>
      </c>
      <c r="G6" s="582" t="n">
        <v>80</v>
      </c>
      <c r="H6" s="592" t="n">
        <v>1</v>
      </c>
      <c r="I6" s="593"/>
      <c r="J6" s="589" t="s">
        <v>1135</v>
      </c>
      <c r="K6" s="589"/>
      <c r="L6" s="589"/>
      <c r="M6" s="598" t="s">
        <v>828</v>
      </c>
      <c r="N6" s="581" t="s">
        <v>1119</v>
      </c>
      <c r="O6" s="582" t="n">
        <v>30</v>
      </c>
      <c r="P6" s="583" t="s">
        <v>1120</v>
      </c>
      <c r="Q6" s="595"/>
      <c r="R6" s="93"/>
      <c r="S6" s="585" t="str">
        <f aca="false" t="array" ref="S6:S6">IF(ISNA(INDEX(Source!$U$7:$U$95,MATCH(T6,Source!$V$7:$V$95,0))),"-",INDEX(Source!$U$7:$U$95,MATCH(T6,Source!$V$7:$V$95,0)))</f>
        <v>-</v>
      </c>
      <c r="T6" s="586" t="s">
        <v>1136</v>
      </c>
      <c r="U6" s="182" t="s">
        <v>1106</v>
      </c>
      <c r="V6" s="93"/>
      <c r="W6" s="585" t="str">
        <f aca="false" t="array" ref="W6:W6">IF(ISNA(INDEX(Source!$U$7:$U$95,MATCH(X6,Source!$V$7:$V$95,0))),"-",INDEX(Source!$U$7:$U$95,MATCH(X6,Source!$V$7:$V$95,0)))</f>
        <v>-</v>
      </c>
      <c r="X6" s="586" t="s">
        <v>420</v>
      </c>
      <c r="Y6" s="182" t="s">
        <v>1107</v>
      </c>
      <c r="Z6" s="93"/>
      <c r="AA6" s="585" t="str">
        <f aca="false" t="array" ref="AA6:AA6">IF(ISNA(INDEX(Source!$U$7:$U$95,MATCH(AB6,Source!$V$7:$V$95,0))),"-",INDEX(Source!$U$7:$U$95,MATCH(AB6,Source!$V$7:$V$95,0)))</f>
        <v>BTB</v>
      </c>
      <c r="AB6" s="586" t="s">
        <v>247</v>
      </c>
      <c r="AC6" s="182" t="s">
        <v>1108</v>
      </c>
      <c r="AD6" s="93"/>
      <c r="AE6" s="585" t="str">
        <f aca="false" t="array" ref="AE6:AE6">IF(ISNA(INDEX(Source!$U$7:$U$95,MATCH(AF6,Source!$V$7:$V$95,0))),"-",INDEX(Source!$U$7:$U$95,MATCH(AF6,Source!$V$7:$V$95,0)))</f>
        <v>KKS</v>
      </c>
      <c r="AF6" s="587" t="s">
        <v>19</v>
      </c>
      <c r="AG6" s="588" t="s">
        <v>1109</v>
      </c>
      <c r="AH6" s="93"/>
      <c r="AI6" s="585" t="str">
        <f aca="false" t="array" ref="AI6:AI6">IF(ISNA(INDEX(Source!$U$7:$U$95,MATCH(AJ6,Source!$V$7:$V$95,0))),"-",INDEX(Source!$U$7:$U$95,MATCH(AJ6,Source!$V$7:$V$95,0)))</f>
        <v>-</v>
      </c>
      <c r="AJ6" s="586" t="s">
        <v>1137</v>
      </c>
      <c r="AK6" s="182" t="s">
        <v>1110</v>
      </c>
      <c r="AL6" s="93"/>
      <c r="AM6" s="585" t="str">
        <f aca="false" t="array" ref="AM6:AM6">IF(ISNA(INDEX(Source!$U$7:$U$95,MATCH(AN6,Source!$V$7:$V$95,0))),"-",INDEX(Source!$U$7:$U$95,MATCH(AN6,Source!$V$7:$V$95,0)))</f>
        <v>-</v>
      </c>
      <c r="AN6" s="586" t="s">
        <v>1138</v>
      </c>
      <c r="AO6" s="182" t="s">
        <v>1112</v>
      </c>
      <c r="AP6" s="93"/>
      <c r="AQ6" s="585" t="str">
        <f aca="false" t="array" ref="AQ6:AQ6">IF(ISNA(INDEX(Source!$U$7:$U$95,MATCH(AR6,Source!$V$7:$V$95,0))),"-",INDEX(Source!$U$7:$U$95,MATCH(AR6,Source!$V$7:$V$95,0)))</f>
        <v>-</v>
      </c>
      <c r="AR6" s="586" t="s">
        <v>457</v>
      </c>
      <c r="AS6" s="182" t="s">
        <v>1113</v>
      </c>
      <c r="AT6" s="93"/>
      <c r="AU6" s="585" t="str">
        <f aca="false" t="array" ref="AU6:AU6">IF(ISNA(INDEX(Source!$U$7:$U$95,MATCH(AV6,Source!$V$7:$V$95,0))),"-",INDEX(Source!$U$7:$U$95,MATCH(AV6,Source!$V$7:$V$95,0)))</f>
        <v>-</v>
      </c>
      <c r="AV6" s="586" t="s">
        <v>352</v>
      </c>
      <c r="AW6" s="182" t="s">
        <v>1114</v>
      </c>
      <c r="AX6" s="93"/>
      <c r="AY6" s="585" t="str">
        <f aca="false" t="array" ref="AY6:AY6">IF(ISNA(INDEX(Source!$U$7:$U$95,MATCH(AZ6,Source!$V$7:$V$95,0))),"-",INDEX(Source!$U$7:$U$95,MATCH(AZ6,Source!$V$7:$V$95,0)))</f>
        <v>LVC</v>
      </c>
      <c r="AZ6" s="586" t="s">
        <v>64</v>
      </c>
      <c r="BA6" s="182" t="s">
        <v>1115</v>
      </c>
      <c r="BB6" s="507"/>
      <c r="BC6" s="507"/>
      <c r="BD6" s="596" t="e">
        <f aca="false">pit!$l$1</f>
        <v>#NAME?</v>
      </c>
    </row>
    <row r="7" customFormat="false" ht="15.75" hidden="false" customHeight="false" outlineLevel="0" collapsed="false">
      <c r="A7" s="589" t="s">
        <v>1139</v>
      </c>
      <c r="B7" s="589"/>
      <c r="C7" s="589"/>
      <c r="D7" s="599" t="s">
        <v>811</v>
      </c>
      <c r="E7" s="591" t="s">
        <v>1117</v>
      </c>
      <c r="F7" s="582" t="n">
        <v>20</v>
      </c>
      <c r="G7" s="582" t="n">
        <v>40</v>
      </c>
      <c r="H7" s="592" t="n">
        <v>1</v>
      </c>
      <c r="I7" s="593"/>
      <c r="J7" s="589" t="s">
        <v>1140</v>
      </c>
      <c r="K7" s="589"/>
      <c r="L7" s="589"/>
      <c r="M7" s="598" t="s">
        <v>828</v>
      </c>
      <c r="N7" s="581" t="s">
        <v>1129</v>
      </c>
      <c r="O7" s="582" t="n">
        <v>15</v>
      </c>
      <c r="P7" s="583" t="s">
        <v>1120</v>
      </c>
      <c r="Q7" s="595"/>
      <c r="R7" s="93"/>
      <c r="S7" s="585" t="str">
        <f aca="false" t="array" ref="S7:S7">IF(ISNA(INDEX(Source!$U$7:$U$95,MATCH(T7,Source!$V$7:$V$95, 0))),"-",INDEX(Source!$U$7:$U$95,MATCH(T7,Source!$V$7:$V$95,0)))</f>
        <v>-</v>
      </c>
      <c r="T7" s="586" t="s">
        <v>1111</v>
      </c>
      <c r="U7" s="182" t="s">
        <v>1106</v>
      </c>
      <c r="V7" s="93"/>
      <c r="W7" s="585" t="str">
        <f aca="false" t="array" ref="W7:W7">IF(ISNA(INDEX(Source!$U$7:$U$95,MATCH(X7,Source!$V$7:$V$95,0))),"-",INDEX(Source!$U$7:$U$95,MATCH(X7,Source!$V$7:$V$95,0)))</f>
        <v>-</v>
      </c>
      <c r="X7" s="586" t="s">
        <v>335</v>
      </c>
      <c r="Y7" s="182" t="s">
        <v>1107</v>
      </c>
      <c r="Z7" s="93"/>
      <c r="AA7" s="585" t="str">
        <f aca="false" t="array" ref="AA7:AA7">IF(ISNA(INDEX(Source!$U$7:$U$95,MATCH(AB7,Source!$V$7:$V$95,0))),"-",INDEX(Source!$U$7:$U$95,MATCH(AB7,Source!$V$7:$V$95,0)))</f>
        <v>-</v>
      </c>
      <c r="AB7" s="586" t="s">
        <v>401</v>
      </c>
      <c r="AC7" s="182" t="s">
        <v>1108</v>
      </c>
      <c r="AD7" s="93"/>
      <c r="AE7" s="585" t="str">
        <f aca="false" t="array" ref="AE7:AE7">IF(ISNA(INDEX(Source!$U$7:$U$95,MATCH(AF7,Source!$V$7:$V$95,0))),"-",INDEX(Source!$U$7:$U$95,MATCH(AF7,Source!$V$7:$V$95,0)))</f>
        <v>-</v>
      </c>
      <c r="AF7" s="587" t="s">
        <v>660</v>
      </c>
      <c r="AG7" s="588" t="s">
        <v>1109</v>
      </c>
      <c r="AH7" s="93"/>
      <c r="AI7" s="585" t="str">
        <f aca="false" t="array" ref="AI7:AI7">IF(ISNA(INDEX(Source!$U$7:$U$95,MATCH(AJ7,Source!$V$7:$V$95,0))),"-",INDEX(Source!$U$7:$U$95,MATCH(AJ7,Source!$V$7:$V$95,0)))</f>
        <v>-</v>
      </c>
      <c r="AJ7" s="586" t="s">
        <v>1141</v>
      </c>
      <c r="AK7" s="182" t="s">
        <v>1110</v>
      </c>
      <c r="AL7" s="93"/>
      <c r="AM7" s="585" t="str">
        <f aca="false" t="array" ref="AM7:AM7">IF(ISNA(INDEX(Source!$U$7:$U$95,MATCH(AN7,Source!$V$7:$V$95,0))),"-",INDEX(Source!$U$7:$U$95,MATCH(AN7,Source!$V$7:$V$95,0)))</f>
        <v>KKS</v>
      </c>
      <c r="AN7" s="586" t="s">
        <v>87</v>
      </c>
      <c r="AO7" s="182" t="s">
        <v>1112</v>
      </c>
      <c r="AP7" s="93"/>
      <c r="AQ7" s="585" t="str">
        <f aca="false" t="array" ref="AQ7:AQ7">IF(ISNA(INDEX(Source!$U$7:$U$95,MATCH(AR7,Source!$V$7:$V$95,0))),"-",INDEX(Source!$U$7:$U$95,MATCH(AR7,Source!$V$7:$V$95,0)))</f>
        <v>-</v>
      </c>
      <c r="AR7" s="586" t="s">
        <v>1142</v>
      </c>
      <c r="AS7" s="182" t="s">
        <v>1113</v>
      </c>
      <c r="AT7" s="93"/>
      <c r="AU7" s="585" t="str">
        <f aca="false" t="array" ref="AU7:AU7">IF(ISNA(INDEX(Source!$U$7:$U$95,MATCH(AV7,Source!$V$7:$V$95,0))),"-",INDEX(Source!$U$7:$U$95,MATCH(AV7,Source!$V$7:$V$95,0)))</f>
        <v>-</v>
      </c>
      <c r="AV7" s="586" t="s">
        <v>359</v>
      </c>
      <c r="AW7" s="182" t="s">
        <v>1114</v>
      </c>
      <c r="AX7" s="93"/>
      <c r="AY7" s="585" t="str">
        <f aca="false" t="array" ref="AY7:AY7">IF(ISNA(INDEX(Source!$U$7:$U$95,MATCH(AZ7,Source!$V$7:$V$95,0))),"-",INDEX(Source!$U$7:$U$95,MATCH(AZ7,Source!$V$7:$V$95,0)))</f>
        <v>-</v>
      </c>
      <c r="AZ7" s="586" t="s">
        <v>337</v>
      </c>
      <c r="BA7" s="182" t="s">
        <v>1115</v>
      </c>
      <c r="BB7" s="507"/>
      <c r="BC7" s="507"/>
      <c r="BD7" s="596" t="e">
        <f aca="false">sfa!$l$1</f>
        <v>#NAME?</v>
      </c>
    </row>
    <row r="8" customFormat="false" ht="15.75" hidden="false" customHeight="false" outlineLevel="0" collapsed="false">
      <c r="A8" s="589" t="s">
        <v>1143</v>
      </c>
      <c r="B8" s="589"/>
      <c r="C8" s="589"/>
      <c r="D8" s="599" t="s">
        <v>811</v>
      </c>
      <c r="E8" s="591" t="s">
        <v>1117</v>
      </c>
      <c r="F8" s="582" t="n">
        <v>10</v>
      </c>
      <c r="G8" s="582" t="n">
        <v>90</v>
      </c>
      <c r="H8" s="592" t="n">
        <v>0.9</v>
      </c>
      <c r="I8" s="593"/>
      <c r="J8" s="589" t="s">
        <v>1144</v>
      </c>
      <c r="K8" s="589"/>
      <c r="L8" s="589"/>
      <c r="M8" s="598" t="s">
        <v>828</v>
      </c>
      <c r="N8" s="581" t="s">
        <v>1119</v>
      </c>
      <c r="O8" s="582" t="n">
        <v>20</v>
      </c>
      <c r="P8" s="583" t="s">
        <v>1120</v>
      </c>
      <c r="Q8" s="595"/>
      <c r="R8" s="93"/>
      <c r="S8" s="585" t="str">
        <f aca="false" t="array" ref="S8:S8">IF(ISNA(INDEX(Source!$U$7:$U$95,MATCH(T8,Source!$V$7:$V$95,0))),"-",INDEX(Source!$U$7:$U$95,MATCH(T8,Source!$V$7:$V$95,0)))</f>
        <v>-</v>
      </c>
      <c r="T8" s="586" t="s">
        <v>1137</v>
      </c>
      <c r="U8" s="182" t="s">
        <v>1106</v>
      </c>
      <c r="V8" s="93"/>
      <c r="W8" s="585" t="str">
        <f aca="false" t="array" ref="W8:W8">IF(ISNA(INDEX(Source!$U$7:$U$95,MATCH(X8,Source!$V$7:$V$95,0))),"-",INDEX(Source!$U$7:$U$95,MATCH(X8,Source!$V$7:$V$95,0)))</f>
        <v>-</v>
      </c>
      <c r="X8" s="586" t="s">
        <v>1145</v>
      </c>
      <c r="Y8" s="182" t="s">
        <v>1107</v>
      </c>
      <c r="Z8" s="93"/>
      <c r="AA8" s="585" t="str">
        <f aca="false" t="array" ref="AA8:AA8">IF(ISNA(INDEX(Source!$U$7:$U$95,MATCH(AB8,Source!$V$7:$V$95,0))),"-",INDEX(Source!$U$7:$U$95,MATCH(AB8,Source!$V$7:$V$95,0)))</f>
        <v>-</v>
      </c>
      <c r="AB8" s="586" t="s">
        <v>389</v>
      </c>
      <c r="AC8" s="182" t="s">
        <v>1108</v>
      </c>
      <c r="AD8" s="93"/>
      <c r="AE8" s="585" t="str">
        <f aca="false" t="array" ref="AE8:AE8">IF(ISNA(INDEX(Source!$U$7:$U$95,MATCH(AF8,Source!$V$7:$V$95,0))),"-",INDEX(Source!$U$7:$U$95,MATCH(AF8,Source!$V$7:$V$95,0)))</f>
        <v>-</v>
      </c>
      <c r="AF8" s="587" t="s">
        <v>671</v>
      </c>
      <c r="AG8" s="588" t="s">
        <v>1109</v>
      </c>
      <c r="AH8" s="93"/>
      <c r="AI8" s="585" t="str">
        <f aca="false" t="array" ref="AI8:AI8">IF(ISNA(INDEX(Source!$U$7:$U$95,MATCH(AJ8,Source!$V$7:$V$95,0))),"-",INDEX(Source!$U$7:$U$95,MATCH(AJ8,Source!$V$7:$V$95,0)))</f>
        <v>-</v>
      </c>
      <c r="AJ8" s="586" t="s">
        <v>358</v>
      </c>
      <c r="AK8" s="182" t="s">
        <v>1110</v>
      </c>
      <c r="AL8" s="93"/>
      <c r="AM8" s="585" t="str">
        <f aca="false" t="array" ref="AM8:AM8">IF(ISNA(INDEX(Source!$U$7:$U$95,MATCH(AN8,Source!$V$7:$V$95,0))),"-",INDEX(Source!$U$7:$U$95,MATCH(AN8,Source!$V$7:$V$95,0)))</f>
        <v>-</v>
      </c>
      <c r="AN8" s="586" t="s">
        <v>717</v>
      </c>
      <c r="AO8" s="182" t="s">
        <v>1112</v>
      </c>
      <c r="AP8" s="93"/>
      <c r="AQ8" s="585" t="str">
        <f aca="false" t="array" ref="AQ8:AQ8">IF(ISNA(INDEX(Source!$U$7:$U$95,MATCH(AR8,Source!$V$7:$V$95,0))),"-",INDEX(Source!$U$7:$U$95,MATCH(AR8,Source!$V$7:$V$95,0)))</f>
        <v>-</v>
      </c>
      <c r="AR8" s="586" t="s">
        <v>1146</v>
      </c>
      <c r="AS8" s="182" t="s">
        <v>1113</v>
      </c>
      <c r="AT8" s="93"/>
      <c r="AU8" s="585" t="str">
        <f aca="false" t="array" ref="AU8:AU8">IF(ISNA(INDEX(Source!$U$7:$U$95,MATCH(AV8,Source!$V$7:$V$95,0))),"-",INDEX(Source!$U$7:$U$95,MATCH(AV8,Source!$V$7:$V$95,0)))</f>
        <v>-</v>
      </c>
      <c r="AV8" s="586" t="s">
        <v>710</v>
      </c>
      <c r="AW8" s="182" t="s">
        <v>1114</v>
      </c>
      <c r="AX8" s="93"/>
      <c r="AY8" s="585" t="str">
        <f aca="false" t="array" ref="AY8:AY8">IF(ISNA(INDEX(Source!$U$7:$U$95,MATCH(AZ8,Source!$V$7:$V$95,0))),"-",INDEX(Source!$U$7:$U$95,MATCH(AZ8,Source!$V$7:$V$95,0)))</f>
        <v>-</v>
      </c>
      <c r="AZ8" s="586" t="s">
        <v>741</v>
      </c>
      <c r="BA8" s="182" t="s">
        <v>1115</v>
      </c>
      <c r="BB8" s="507"/>
      <c r="BC8" s="507"/>
      <c r="BD8" s="596" t="e">
        <f aca="false">tbl!$l$1</f>
        <v>#NAME?</v>
      </c>
    </row>
    <row r="9" customFormat="false" ht="15.75" hidden="false" customHeight="false" outlineLevel="0" collapsed="false">
      <c r="A9" s="589" t="s">
        <v>1147</v>
      </c>
      <c r="B9" s="589"/>
      <c r="C9" s="589"/>
      <c r="D9" s="600" t="s">
        <v>881</v>
      </c>
      <c r="E9" s="591" t="s">
        <v>1117</v>
      </c>
      <c r="F9" s="582" t="n">
        <v>20</v>
      </c>
      <c r="G9" s="582" t="n">
        <v>15</v>
      </c>
      <c r="H9" s="592" t="n">
        <v>1</v>
      </c>
      <c r="I9" s="593"/>
      <c r="J9" s="589" t="s">
        <v>1148</v>
      </c>
      <c r="K9" s="589"/>
      <c r="L9" s="589"/>
      <c r="M9" s="601" t="s">
        <v>811</v>
      </c>
      <c r="N9" s="581" t="s">
        <v>1149</v>
      </c>
      <c r="O9" s="582" t="n">
        <v>20</v>
      </c>
      <c r="P9" s="583" t="s">
        <v>1120</v>
      </c>
      <c r="Q9" s="595"/>
      <c r="R9" s="93"/>
      <c r="S9" s="585" t="str">
        <f aca="false" t="array" ref="S9:S9">IF(ISNA(INDEX(Source!$U$7:$U$95,MATCH(T9,Source!$V$7:$V$95,0))),"-",INDEX(Source!$U$7:$U$95,MATCH(T9,Source!$V$7:$V$95,0)))</f>
        <v>-</v>
      </c>
      <c r="T9" s="586" t="s">
        <v>1141</v>
      </c>
      <c r="U9" s="182" t="s">
        <v>1106</v>
      </c>
      <c r="V9" s="93"/>
      <c r="W9" s="585" t="str">
        <f aca="false" t="array" ref="W9:W9">IF(ISNA(INDEX(Source!$U$7:$U$95,MATCH(X9,Source!$V$7:$V$95,0))),"-",INDEX(Source!$U$7:$U$95,MATCH(X9,Source!$V$7:$V$95,0)))</f>
        <v>BTB</v>
      </c>
      <c r="X9" s="586" t="s">
        <v>247</v>
      </c>
      <c r="Y9" s="182" t="s">
        <v>1107</v>
      </c>
      <c r="Z9" s="93"/>
      <c r="AA9" s="585" t="str">
        <f aca="false" t="array" ref="AA9:AA9">IF(ISNA(INDEX(Source!$U$7:$U$95,MATCH(AB9,Source!$V$7:$V$95,0))),"-",INDEX(Source!$U$7:$U$95,MATCH(AB9,Source!$V$7:$V$95,0)))</f>
        <v>SEA</v>
      </c>
      <c r="AB9" s="586" t="s">
        <v>89</v>
      </c>
      <c r="AC9" s="182" t="s">
        <v>1108</v>
      </c>
      <c r="AD9" s="93"/>
      <c r="AE9" s="585" t="str">
        <f aca="false" t="array" ref="AE9:AE9">IF(ISNA(INDEX(Source!$U$7:$U$95,MATCH(AF9,Source!$V$7:$V$95,0))),"-",INDEX(Source!$U$7:$U$95,MATCH(AF9,Source!$V$7:$V$95,0)))</f>
        <v>-</v>
      </c>
      <c r="AF9" s="587" t="s">
        <v>575</v>
      </c>
      <c r="AG9" s="588" t="s">
        <v>1109</v>
      </c>
      <c r="AH9" s="93"/>
      <c r="AI9" s="585" t="str">
        <f aca="false" t="array" ref="AI9:AI9">IF(ISNA(INDEX(Source!$U$7:$U$95,MATCH(AJ9,Source!$V$7:$V$95,0))),"-",INDEX(Source!$U$7:$U$95,MATCH(AJ9,Source!$V$7:$V$95,0)))</f>
        <v>-</v>
      </c>
      <c r="AJ9" s="586" t="s">
        <v>352</v>
      </c>
      <c r="AK9" s="182" t="s">
        <v>1110</v>
      </c>
      <c r="AL9" s="93"/>
      <c r="AM9" s="585" t="str">
        <f aca="false" t="array" ref="AM9:AM9">IF(ISNA(INDEX(Source!$U$7:$U$95,MATCH(AN9,Source!$V$7:$V$95,0))),"-",INDEX(Source!$U$7:$U$95,MATCH(AN9,Source!$V$7:$V$95,0)))</f>
        <v>-</v>
      </c>
      <c r="AN9" s="586" t="s">
        <v>1150</v>
      </c>
      <c r="AO9" s="182" t="s">
        <v>1112</v>
      </c>
      <c r="AP9" s="93"/>
      <c r="AQ9" s="585" t="str">
        <f aca="false" t="array" ref="AQ9:AQ9">IF(ISNA(INDEX(Source!$U$7:$U$95,MATCH(AR9,Source!$V$7:$V$95,0))),"-",INDEX(Source!$U$7:$U$95,MATCH(AR9,Source!$V$7:$V$95,0)))</f>
        <v>-</v>
      </c>
      <c r="AR9" s="586" t="s">
        <v>303</v>
      </c>
      <c r="AS9" s="182" t="s">
        <v>1113</v>
      </c>
      <c r="AT9" s="93"/>
      <c r="AU9" s="585" t="str">
        <f aca="false" t="array" ref="AU9:AU9">IF(ISNA(INDEX(Source!$U$7:$U$95,MATCH(AV9,Source!$V$7:$V$95,0))),"-",INDEX(Source!$U$7:$U$95,MATCH(AV9,Source!$V$7:$V$95,0)))</f>
        <v>-</v>
      </c>
      <c r="AV9" s="586" t="s">
        <v>313</v>
      </c>
      <c r="AW9" s="182" t="s">
        <v>1114</v>
      </c>
      <c r="AX9" s="93"/>
      <c r="AY9" s="585" t="str">
        <f aca="false" t="array" ref="AY9:AY9">IF(ISNA(INDEX(Source!$U$7:$U$95,MATCH(AZ9,Source!$V$7:$V$95,0))),"-",INDEX(Source!$U$7:$U$95,MATCH(AZ9,Source!$V$7:$V$95,0)))</f>
        <v>BBG</v>
      </c>
      <c r="AZ9" s="586" t="s">
        <v>101</v>
      </c>
      <c r="BA9" s="182" t="s">
        <v>1115</v>
      </c>
      <c r="BB9" s="507"/>
      <c r="BC9" s="507"/>
      <c r="BD9" s="602" t="str">
        <f aca="false">BBG!$L$1</f>
        <v>BBG</v>
      </c>
    </row>
    <row r="10" customFormat="false" ht="15.75" hidden="false" customHeight="false" outlineLevel="0" collapsed="false">
      <c r="A10" s="589" t="s">
        <v>1151</v>
      </c>
      <c r="B10" s="589"/>
      <c r="C10" s="589"/>
      <c r="D10" s="603" t="s">
        <v>795</v>
      </c>
      <c r="E10" s="591" t="s">
        <v>1117</v>
      </c>
      <c r="F10" s="582" t="n">
        <v>10</v>
      </c>
      <c r="G10" s="582" t="n">
        <v>60</v>
      </c>
      <c r="H10" s="592" t="n">
        <v>1</v>
      </c>
      <c r="I10" s="593"/>
      <c r="J10" s="589" t="s">
        <v>1113</v>
      </c>
      <c r="K10" s="589"/>
      <c r="L10" s="589"/>
      <c r="M10" s="604" t="s">
        <v>803</v>
      </c>
      <c r="N10" s="581" t="s">
        <v>1149</v>
      </c>
      <c r="O10" s="582" t="n">
        <v>5</v>
      </c>
      <c r="P10" s="583" t="s">
        <v>1120</v>
      </c>
      <c r="Q10" s="595"/>
      <c r="R10" s="93"/>
      <c r="S10" s="585" t="str">
        <f aca="false" t="array" ref="S10:S10">IF(ISNA(INDEX(Source!$U$7:$U$95,MATCH(T10,Source!$V$7:$V$95,0))),"-",INDEX(Source!$U$7:$U$95,MATCH(T10,Source!$V$7:$V$95,0)))</f>
        <v>-</v>
      </c>
      <c r="T10" s="586" t="s">
        <v>358</v>
      </c>
      <c r="U10" s="182" t="s">
        <v>1106</v>
      </c>
      <c r="V10" s="93"/>
      <c r="W10" s="585" t="str">
        <f aca="false" t="array" ref="W10:W10">IF(ISNA(INDEX(Source!$U$7:$U$95,MATCH(X10,Source!$V$7:$V$95,0))),"-",INDEX(Source!$U$7:$U$95,MATCH(X10,Source!$V$7:$V$95,0)))</f>
        <v>-</v>
      </c>
      <c r="X10" s="586" t="s">
        <v>491</v>
      </c>
      <c r="Y10" s="182" t="s">
        <v>1107</v>
      </c>
      <c r="Z10" s="93"/>
      <c r="AA10" s="585" t="str">
        <f aca="false" t="array" ref="AA10:AA10">IF(ISNA(INDEX(Source!$U$7:$U$95,MATCH(AB10,Source!$V$7:$V$95,0))),"-",INDEX(Source!$U$7:$U$95,MATCH(AB10,Source!$V$7:$V$95,0)))</f>
        <v>LVC</v>
      </c>
      <c r="AB10" s="586" t="s">
        <v>68</v>
      </c>
      <c r="AC10" s="182" t="s">
        <v>1108</v>
      </c>
      <c r="AD10" s="93"/>
      <c r="AE10" s="585" t="str">
        <f aca="false" t="array" ref="AE10:AE10">IF(ISNA(INDEX(Source!$U$7:$U$95,MATCH(AF10,Source!$V$7:$V$95,0))),"-",INDEX(Source!$U$7:$U$95,MATCH(AF10,Source!$V$7:$V$95,0)))</f>
        <v>SGP</v>
      </c>
      <c r="AF10" s="587" t="s">
        <v>93</v>
      </c>
      <c r="AG10" s="588" t="s">
        <v>1109</v>
      </c>
      <c r="AH10" s="93"/>
      <c r="AI10" s="585" t="str">
        <f aca="false" t="array" ref="AI10:AI10">IF(ISNA(INDEX(Source!$U$7:$U$95,MATCH(AJ10,Source!$V$7:$V$95,0))),"-",INDEX(Source!$U$7:$U$95,MATCH(AJ10,Source!$V$7:$V$95,0)))</f>
        <v>-</v>
      </c>
      <c r="AJ10" s="586" t="s">
        <v>393</v>
      </c>
      <c r="AK10" s="182" t="s">
        <v>1110</v>
      </c>
      <c r="AL10" s="93"/>
      <c r="AM10" s="585" t="str">
        <f aca="false" t="array" ref="AM10:AM10">IF(ISNA(INDEX(Source!$U$7:$U$95,MATCH(AN10,Source!$V$7:$V$95,0))),"-",INDEX(Source!$U$7:$U$95,MATCH(AN10,Source!$V$7:$V$95,0)))</f>
        <v>-</v>
      </c>
      <c r="AN10" s="586" t="s">
        <v>468</v>
      </c>
      <c r="AO10" s="182" t="s">
        <v>1112</v>
      </c>
      <c r="AP10" s="93"/>
      <c r="AQ10" s="585" t="str">
        <f aca="false" t="array" ref="AQ10:AQ10">IF(ISNA(INDEX(Source!$U$7:$U$95,MATCH(AR10,Source!$V$7:$V$95,0))),"-",INDEX(Source!$U$7:$U$95,MATCH(AR10,Source!$V$7:$V$95,0)))</f>
        <v>-</v>
      </c>
      <c r="AR10" s="586" t="s">
        <v>744</v>
      </c>
      <c r="AS10" s="182" t="s">
        <v>1113</v>
      </c>
      <c r="AT10" s="93"/>
      <c r="AU10" s="585" t="str">
        <f aca="false" t="array" ref="AU10:AU10">IF(ISNA(INDEX(Source!$U$7:$U$95,MATCH(AV10,Source!$V$7:$V$95,0))),"-",INDEX(Source!$U$7:$U$95,MATCH(AV10,Source!$V$7:$V$95,0)))</f>
        <v>-</v>
      </c>
      <c r="AV10" s="586" t="s">
        <v>1152</v>
      </c>
      <c r="AW10" s="182" t="s">
        <v>1114</v>
      </c>
      <c r="AX10" s="93"/>
      <c r="AY10" s="585" t="str">
        <f aca="false" t="array" ref="AY10:AY10">IF(ISNA(INDEX(Source!$U$7:$U$95,MATCH(AZ10,Source!$V$7:$V$95,0))),"-",INDEX(Source!$U$7:$U$95,MATCH(AZ10,Source!$V$7:$V$95,0)))</f>
        <v>-</v>
      </c>
      <c r="AZ10" s="586" t="s">
        <v>731</v>
      </c>
      <c r="BA10" s="182" t="s">
        <v>1115</v>
      </c>
      <c r="BB10" s="507"/>
      <c r="BC10" s="507"/>
      <c r="BD10" s="602" t="str">
        <f aca="false">SEA!$L$1</f>
        <v>SEA</v>
      </c>
    </row>
    <row r="11" customFormat="false" ht="15.75" hidden="false" customHeight="false" outlineLevel="0" collapsed="false">
      <c r="A11" s="589" t="s">
        <v>1153</v>
      </c>
      <c r="B11" s="589"/>
      <c r="C11" s="589"/>
      <c r="D11" s="605" t="s">
        <v>802</v>
      </c>
      <c r="E11" s="591" t="s">
        <v>1117</v>
      </c>
      <c r="F11" s="582" t="n">
        <v>15</v>
      </c>
      <c r="G11" s="582" t="n">
        <v>30</v>
      </c>
      <c r="H11" s="592" t="n">
        <v>1</v>
      </c>
      <c r="I11" s="593"/>
      <c r="J11" s="589" t="s">
        <v>1154</v>
      </c>
      <c r="K11" s="589"/>
      <c r="L11" s="589"/>
      <c r="M11" s="606" t="s">
        <v>798</v>
      </c>
      <c r="N11" s="581" t="s">
        <v>1119</v>
      </c>
      <c r="O11" s="582" t="n">
        <v>20</v>
      </c>
      <c r="P11" s="583" t="s">
        <v>1120</v>
      </c>
      <c r="Q11" s="595"/>
      <c r="R11" s="93"/>
      <c r="S11" s="585" t="str">
        <f aca="false" t="array" ref="S11:S11">IF(ISNA(INDEX(Source!$U$7:$U$95,MATCH(T11,Source!$V$7:$V$95,0))),"-",INDEX(Source!$U$7:$U$95,MATCH(T11,Source!$V$7:$V$95,0)))</f>
        <v>-</v>
      </c>
      <c r="T11" s="586" t="s">
        <v>344</v>
      </c>
      <c r="U11" s="182" t="s">
        <v>1106</v>
      </c>
      <c r="V11" s="93"/>
      <c r="W11" s="585" t="str">
        <f aca="false" t="array" ref="W11:W11">IF(ISNA(INDEX(Source!$U$7:$U$95,MATCH(X11,Source!$V$7:$V$95,0))),"-",INDEX(Source!$U$7:$U$95,MATCH(X11,Source!$V$7:$V$95,0)))</f>
        <v>-</v>
      </c>
      <c r="X11" s="586" t="s">
        <v>509</v>
      </c>
      <c r="Y11" s="182" t="s">
        <v>1107</v>
      </c>
      <c r="Z11" s="93"/>
      <c r="AA11" s="585" t="str">
        <f aca="false" t="array" ref="AA11:AA11">IF(ISNA(INDEX(Source!$U$7:$U$95,MATCH(AB11,Source!$V$7:$V$95,0))),"-",INDEX(Source!$U$7:$U$95,MATCH(AB11,Source!$V$7:$V$95,0)))</f>
        <v>-</v>
      </c>
      <c r="AB11" s="586" t="s">
        <v>1155</v>
      </c>
      <c r="AC11" s="182" t="s">
        <v>1108</v>
      </c>
      <c r="AD11" s="93"/>
      <c r="AE11" s="585" t="str">
        <f aca="false" t="array" ref="AE11:AE11">IF(ISNA(INDEX(Source!$U$7:$U$95,MATCH(AF11,Source!$V$7:$V$95,0))),"-",INDEX(Source!$U$7:$U$95,MATCH(AF11,Source!$V$7:$V$95,0)))</f>
        <v>-</v>
      </c>
      <c r="AF11" s="587" t="s">
        <v>1156</v>
      </c>
      <c r="AG11" s="588" t="s">
        <v>1109</v>
      </c>
      <c r="AH11" s="93"/>
      <c r="AI11" s="585" t="str">
        <f aca="false" t="array" ref="AI11:AI11">IF(ISNA(INDEX(Source!$U$7:$U$95,MATCH(AJ11,Source!$V$7:$V$95,0))),"-",INDEX(Source!$U$7:$U$95,MATCH(AJ11,Source!$V$7:$V$95,0)))</f>
        <v>-</v>
      </c>
      <c r="AJ11" s="586" t="s">
        <v>741</v>
      </c>
      <c r="AK11" s="182" t="s">
        <v>1110</v>
      </c>
      <c r="AL11" s="93"/>
      <c r="AM11" s="585" t="str">
        <f aca="false" t="array" ref="AM11:AM11">IF(ISNA(INDEX(Source!$U$7:$U$95,MATCH(AN11,Source!$V$7:$V$95,0))),"-",INDEX(Source!$U$7:$U$95,MATCH(AN11,Source!$V$7:$V$95,0)))</f>
        <v>BTB</v>
      </c>
      <c r="AN11" s="586" t="s">
        <v>247</v>
      </c>
      <c r="AO11" s="182" t="s">
        <v>1112</v>
      </c>
      <c r="AP11" s="93"/>
      <c r="AQ11" s="585" t="str">
        <f aca="false" t="array" ref="AQ11:AQ11">IF(ISNA(INDEX(Source!$U$7:$U$95,MATCH(AR11,Source!$V$7:$V$95,0))),"-",INDEX(Source!$U$7:$U$95,MATCH(AR11,Source!$V$7:$V$95,0)))</f>
        <v>-</v>
      </c>
      <c r="AR11" s="586" t="s">
        <v>1157</v>
      </c>
      <c r="AS11" s="182" t="s">
        <v>1113</v>
      </c>
      <c r="AT11" s="93"/>
      <c r="AU11" s="585" t="str">
        <f aca="false" t="array" ref="AU11:AU11">IF(ISNA(INDEX(Source!$U$7:$U$95,MATCH(AV11,Source!$V$7:$V$95,0))),"-",INDEX(Source!$U$7:$U$95,MATCH(AV11,Source!$V$7:$V$95,0)))</f>
        <v>-</v>
      </c>
      <c r="AV11" s="586" t="s">
        <v>334</v>
      </c>
      <c r="AW11" s="182" t="s">
        <v>1114</v>
      </c>
      <c r="AX11" s="93"/>
      <c r="AY11" s="585" t="str">
        <f aca="false" t="array" ref="AY11:AY11">IF(ISNA(INDEX(Source!$U$7:$U$95,MATCH(AZ11,Source!$V$7:$V$95,0))),"-",INDEX(Source!$U$7:$U$95,MATCH(AZ11,Source!$V$7:$V$95,0)))</f>
        <v>-</v>
      </c>
      <c r="AZ11" s="586" t="s">
        <v>1158</v>
      </c>
      <c r="BA11" s="182" t="s">
        <v>1115</v>
      </c>
      <c r="BB11" s="507"/>
      <c r="BC11" s="507"/>
      <c r="BD11" s="602" t="str">
        <f aca="false">JVJ!$L$1</f>
        <v>JVJ</v>
      </c>
    </row>
    <row r="12" customFormat="false" ht="15.75" hidden="false" customHeight="false" outlineLevel="0" collapsed="false">
      <c r="A12" s="589" t="s">
        <v>1159</v>
      </c>
      <c r="B12" s="589"/>
      <c r="C12" s="589"/>
      <c r="D12" s="607" t="s">
        <v>794</v>
      </c>
      <c r="E12" s="591" t="s">
        <v>1117</v>
      </c>
      <c r="F12" s="582" t="n">
        <v>15</v>
      </c>
      <c r="G12" s="582" t="n">
        <v>90</v>
      </c>
      <c r="H12" s="592" t="n">
        <v>1</v>
      </c>
      <c r="I12" s="593"/>
      <c r="J12" s="589" t="s">
        <v>1160</v>
      </c>
      <c r="K12" s="589"/>
      <c r="L12" s="589"/>
      <c r="M12" s="594" t="s">
        <v>839</v>
      </c>
      <c r="N12" s="581" t="s">
        <v>1129</v>
      </c>
      <c r="O12" s="582" t="n">
        <v>20</v>
      </c>
      <c r="P12" s="583" t="s">
        <v>1120</v>
      </c>
      <c r="Q12" s="595"/>
      <c r="R12" s="93"/>
      <c r="S12" s="585" t="str">
        <f aca="false" t="array" ref="S12:S12">IF(ISNA(INDEX(Source!$U$7:$U$95,MATCH(T12,Source!$V$7:$V$95,0))),"-",INDEX(Source!$U$7:$U$95,MATCH(T12,Source!$V$7:$V$95,0)))</f>
        <v>-</v>
      </c>
      <c r="T12" s="586" t="s">
        <v>1161</v>
      </c>
      <c r="U12" s="182" t="s">
        <v>1106</v>
      </c>
      <c r="V12" s="93"/>
      <c r="W12" s="585" t="str">
        <f aca="false" t="array" ref="W12:W12">IF(ISNA(INDEX(Source!$U$7:$U$95,MATCH(X12,Source!$V$7:$V$95,0))),"-",INDEX(Source!$U$7:$U$95,MATCH(X12,Source!$V$7:$V$95,0)))</f>
        <v>-</v>
      </c>
      <c r="X12" s="586" t="s">
        <v>1162</v>
      </c>
      <c r="Y12" s="182" t="s">
        <v>1107</v>
      </c>
      <c r="Z12" s="93"/>
      <c r="AA12" s="585" t="str">
        <f aca="false" t="array" ref="AA12:AA12">IF(ISNA(INDEX(Source!$U$7:$U$95,MATCH(AB12,Source!$V$7:$V$95,0))),"-",INDEX(Source!$U$7:$U$95,MATCH(AB12,Source!$V$7:$V$95,0)))</f>
        <v>-</v>
      </c>
      <c r="AB12" s="586" t="s">
        <v>576</v>
      </c>
      <c r="AC12" s="182" t="s">
        <v>1108</v>
      </c>
      <c r="AD12" s="93"/>
      <c r="AE12" s="585" t="str">
        <f aca="false" t="array" ref="AE12:AE12">IF(ISNA(INDEX(Source!$U$7:$U$95,MATCH(AF12,Source!$V$7:$V$95,0))),"-",INDEX(Source!$U$7:$U$95,MATCH(AF12,Source!$V$7:$V$95,0)))</f>
        <v>-</v>
      </c>
      <c r="AF12" s="587" t="s">
        <v>639</v>
      </c>
      <c r="AG12" s="588" t="s">
        <v>1109</v>
      </c>
      <c r="AH12" s="93"/>
      <c r="AI12" s="585" t="str">
        <f aca="false" t="array" ref="AI12:AI12">IF(ISNA(INDEX(Source!$U$7:$U$95,MATCH(AJ12,Source!$V$7:$V$95,0))),"-",INDEX(Source!$U$7:$U$95,MATCH(AJ12,Source!$V$7:$V$95,0)))</f>
        <v>BBG</v>
      </c>
      <c r="AJ12" s="586" t="s">
        <v>101</v>
      </c>
      <c r="AK12" s="182" t="s">
        <v>1110</v>
      </c>
      <c r="AL12" s="93"/>
      <c r="AM12" s="585" t="str">
        <f aca="false" t="array" ref="AM12:AM12">IF(ISNA(INDEX(Source!$U$7:$U$95,MATCH(AN12,Source!$V$7:$V$95,0))),"-",INDEX(Source!$U$7:$U$95,MATCH(AN12,Source!$V$7:$V$95,0)))</f>
        <v>-</v>
      </c>
      <c r="AN12" s="586" t="s">
        <v>496</v>
      </c>
      <c r="AO12" s="182" t="s">
        <v>1112</v>
      </c>
      <c r="AP12" s="93"/>
      <c r="AQ12" s="585" t="str">
        <f aca="false" t="array" ref="AQ12:AQ12">IF(ISNA(INDEX(Source!$U$7:$U$95,MATCH(AR12,Source!$V$7:$V$95,0))),"-",INDEX(Source!$U$7:$U$95,MATCH(AR12,Source!$V$7:$V$95,0)))</f>
        <v>-</v>
      </c>
      <c r="AR12" s="586" t="s">
        <v>406</v>
      </c>
      <c r="AS12" s="182" t="s">
        <v>1113</v>
      </c>
      <c r="AT12" s="93"/>
      <c r="AU12" s="585" t="str">
        <f aca="false" t="array" ref="AU12:AU12">IF(ISNA(INDEX(Source!$U$7:$U$95,MATCH(AV12,Source!$V$7:$V$95,0))),"-",INDEX(Source!$U$7:$U$95,MATCH(AV12,Source!$V$7:$V$95,0)))</f>
        <v>-</v>
      </c>
      <c r="AV12" s="586" t="s">
        <v>296</v>
      </c>
      <c r="AW12" s="182" t="s">
        <v>1114</v>
      </c>
      <c r="AX12" s="93"/>
      <c r="AY12" s="585" t="str">
        <f aca="false" t="array" ref="AY12:AY12">IF(ISNA(INDEX(Source!$U$7:$U$95,MATCH(AZ12,Source!$V$7:$V$95,0))),"-",INDEX(Source!$U$7:$U$95,MATCH(AZ12,Source!$V$7:$V$95,0)))</f>
        <v>-</v>
      </c>
      <c r="AZ12" s="586" t="s">
        <v>1163</v>
      </c>
      <c r="BA12" s="182" t="s">
        <v>1115</v>
      </c>
      <c r="BB12" s="507"/>
      <c r="BC12" s="507"/>
      <c r="BD12" s="602" t="str">
        <f aca="false">KKS!$L$1</f>
        <v>KKS</v>
      </c>
    </row>
    <row r="13" customFormat="false" ht="15.75" hidden="false" customHeight="false" outlineLevel="0" collapsed="false">
      <c r="A13" s="589" t="s">
        <v>1164</v>
      </c>
      <c r="B13" s="589"/>
      <c r="C13" s="589"/>
      <c r="D13" s="608" t="s">
        <v>805</v>
      </c>
      <c r="E13" s="591" t="s">
        <v>1117</v>
      </c>
      <c r="F13" s="582" t="n">
        <v>10</v>
      </c>
      <c r="G13" s="582" t="n">
        <v>60</v>
      </c>
      <c r="H13" s="592" t="n">
        <v>1</v>
      </c>
      <c r="I13" s="593"/>
      <c r="J13" s="589" t="s">
        <v>1165</v>
      </c>
      <c r="K13" s="589"/>
      <c r="L13" s="589"/>
      <c r="M13" s="594" t="s">
        <v>839</v>
      </c>
      <c r="N13" s="581" t="s">
        <v>1166</v>
      </c>
      <c r="O13" s="582" t="n">
        <v>15</v>
      </c>
      <c r="P13" s="592" t="n">
        <v>1</v>
      </c>
      <c r="Q13" s="595"/>
      <c r="R13" s="93"/>
      <c r="S13" s="585" t="str">
        <f aca="false" t="array" ref="S13:S13">IF(ISNA(INDEX(Source!$U$7:$U$95,MATCH(T13,Source!$V$7:$V$95,0))),"-",INDEX(Source!$U$7:$U$95,MATCH(T13,Source!$V$7:$V$95,0)))</f>
        <v>FTT</v>
      </c>
      <c r="T13" s="586" t="s">
        <v>253</v>
      </c>
      <c r="U13" s="182" t="s">
        <v>1106</v>
      </c>
      <c r="V13" s="93"/>
      <c r="W13" s="585" t="str">
        <f aca="false" t="array" ref="W13:W13">IF(ISNA(INDEX(Source!$U$7:$U$95,MATCH(X13,Source!$V$7:$V$95,0))),"-",INDEX(Source!$U$7:$U$95,MATCH(X13,Source!$V$7:$V$95,0)))</f>
        <v>-</v>
      </c>
      <c r="X13" s="586" t="s">
        <v>1167</v>
      </c>
      <c r="Y13" s="182" t="s">
        <v>1107</v>
      </c>
      <c r="Z13" s="93"/>
      <c r="AA13" s="585" t="str">
        <f aca="false" t="array" ref="AA13:AA13">IF(ISNA(INDEX(Source!$U$7:$U$95,MATCH(AB13,Source!$V$7:$V$95,0))),"-",INDEX(Source!$U$7:$U$95,MATCH(AB13,Source!$V$7:$V$95,0)))</f>
        <v>-</v>
      </c>
      <c r="AB13" s="586" t="s">
        <v>482</v>
      </c>
      <c r="AC13" s="182" t="s">
        <v>1108</v>
      </c>
      <c r="AD13" s="93"/>
      <c r="AE13" s="585" t="str">
        <f aca="false" t="array" ref="AE13:AE13">IF(ISNA(INDEX(Source!$U$7:$U$95,MATCH(AF13,Source!$V$7:$V$95,0))),"-",INDEX(Source!$U$7:$U$95,MATCH(AF13,Source!$V$7:$V$95,0)))</f>
        <v>-</v>
      </c>
      <c r="AF13" s="587" t="s">
        <v>647</v>
      </c>
      <c r="AG13" s="588" t="s">
        <v>1109</v>
      </c>
      <c r="AH13" s="93"/>
      <c r="AI13" s="585" t="str">
        <f aca="false" t="array" ref="AI13:AI13">IF(ISNA(INDEX(Source!$U$7:$U$95,MATCH(AJ13,Source!$V$7:$V$95,0))),"-",INDEX(Source!$U$7:$U$95,MATCH(AJ13,Source!$V$7:$V$95,0)))</f>
        <v>-</v>
      </c>
      <c r="AJ13" s="586" t="s">
        <v>731</v>
      </c>
      <c r="AK13" s="182" t="s">
        <v>1110</v>
      </c>
      <c r="AL13" s="93"/>
      <c r="AM13" s="585" t="str">
        <f aca="false" t="array" ref="AM13:AM13">IF(ISNA(INDEX(Source!$U$7:$U$95,MATCH(AN13,Source!$V$7:$V$95,0))),"-",INDEX(Source!$U$7:$U$95,MATCH(AN13,Source!$V$7:$V$95,0)))</f>
        <v>-</v>
      </c>
      <c r="AN13" s="586" t="s">
        <v>509</v>
      </c>
      <c r="AO13" s="182" t="s">
        <v>1112</v>
      </c>
      <c r="AP13" s="93"/>
      <c r="AQ13" s="585" t="str">
        <f aca="false" t="array" ref="AQ13:AQ13">IF(ISNA(INDEX(Source!$U$7:$U$95,MATCH(AR13,Source!$V$7:$V$95,0))),"-",INDEX(Source!$U$7:$U$95,MATCH(AR13,Source!$V$7:$V$95,0)))</f>
        <v>-</v>
      </c>
      <c r="AR13" s="586" t="s">
        <v>1126</v>
      </c>
      <c r="AS13" s="182" t="s">
        <v>1113</v>
      </c>
      <c r="AT13" s="93"/>
      <c r="AU13" s="585" t="str">
        <f aca="false" t="array" ref="AU13:AU13">IF(ISNA(INDEX(Source!$U$7:$U$95,MATCH(AV13,Source!$V$7:$V$95,0))),"-",INDEX(Source!$U$7:$U$95,MATCH(AV13,Source!$V$7:$V$95,0)))</f>
        <v>-</v>
      </c>
      <c r="AV13" s="586" t="s">
        <v>462</v>
      </c>
      <c r="AW13" s="182" t="s">
        <v>1114</v>
      </c>
      <c r="AX13" s="93"/>
      <c r="AY13" s="585" t="str">
        <f aca="false" t="array" ref="AY13:AY13">IF(ISNA(INDEX(Source!$U$7:$U$95,MATCH(AZ13,Source!$V$7:$V$95,0))),"-",INDEX(Source!$U$7:$U$95,MATCH(AZ13,Source!$V$7:$V$95,0)))</f>
        <v>-</v>
      </c>
      <c r="AZ13" s="586" t="s">
        <v>1152</v>
      </c>
      <c r="BA13" s="182" t="s">
        <v>1115</v>
      </c>
      <c r="BB13" s="507"/>
      <c r="BC13" s="507"/>
      <c r="BD13" s="609" t="str">
        <f aca="false">LVC!$L$1</f>
        <v>LVC</v>
      </c>
    </row>
    <row r="14" customFormat="false" ht="15.75" hidden="false" customHeight="false" outlineLevel="0" collapsed="false">
      <c r="A14" s="589" t="s">
        <v>1168</v>
      </c>
      <c r="B14" s="589"/>
      <c r="C14" s="589"/>
      <c r="D14" s="610" t="s">
        <v>839</v>
      </c>
      <c r="E14" s="591" t="s">
        <v>1117</v>
      </c>
      <c r="F14" s="582" t="n">
        <v>20</v>
      </c>
      <c r="G14" s="582" t="n">
        <v>15</v>
      </c>
      <c r="H14" s="592" t="n">
        <v>0.85</v>
      </c>
      <c r="I14" s="593"/>
      <c r="J14" s="589" t="s">
        <v>1169</v>
      </c>
      <c r="K14" s="589"/>
      <c r="L14" s="589"/>
      <c r="M14" s="608" t="s">
        <v>805</v>
      </c>
      <c r="N14" s="581" t="s">
        <v>1170</v>
      </c>
      <c r="O14" s="582" t="n">
        <v>20</v>
      </c>
      <c r="P14" s="583" t="s">
        <v>1120</v>
      </c>
      <c r="Q14" s="595"/>
      <c r="R14" s="93"/>
      <c r="S14" s="585" t="str">
        <f aca="false" t="array" ref="S14:S14">IF(ISNA(INDEX(Source!$U$7:$U$95,MATCH(T14,Source!$V$7:$V$95,0))),"-",INDEX(Source!$U$7:$U$95,MATCH(T14,Source!$V$7:$V$95,0)))</f>
        <v>-</v>
      </c>
      <c r="T14" s="586" t="s">
        <v>297</v>
      </c>
      <c r="U14" s="182" t="s">
        <v>1106</v>
      </c>
      <c r="V14" s="93"/>
      <c r="W14" s="585" t="str">
        <f aca="false" t="array" ref="W14:W14">IF(ISNA(INDEX(Source!$U$7:$U$95,MATCH(X14,Source!$V$7:$V$95,0))),"-",INDEX(Source!$U$7:$U$95,MATCH(X14,Source!$V$7:$V$95,0)))</f>
        <v>-</v>
      </c>
      <c r="X14" s="586" t="s">
        <v>1171</v>
      </c>
      <c r="Y14" s="182" t="s">
        <v>1107</v>
      </c>
      <c r="Z14" s="93"/>
      <c r="AA14" s="585" t="str">
        <f aca="false" t="array" ref="AA14:AA14">IF(ISNA(INDEX(Source!$U$7:$U$95,MATCH(AB14,Source!$V$7:$V$95,0))),"-",INDEX(Source!$U$7:$U$95,MATCH(AB14,Source!$V$7:$V$95,0)))</f>
        <v>-</v>
      </c>
      <c r="AB14" s="586" t="s">
        <v>743</v>
      </c>
      <c r="AC14" s="182" t="s">
        <v>1108</v>
      </c>
      <c r="AD14" s="93"/>
      <c r="AE14" s="585" t="str">
        <f aca="false" t="array" ref="AE14:AE14">IF(ISNA(INDEX(Source!$U$7:$U$95,MATCH(AF14,Source!$V$7:$V$95,0))),"-",INDEX(Source!$U$7:$U$95,MATCH(AF14,Source!$V$7:$V$95,0)))</f>
        <v>-</v>
      </c>
      <c r="AF14" s="587" t="s">
        <v>1172</v>
      </c>
      <c r="AG14" s="588" t="s">
        <v>1109</v>
      </c>
      <c r="AH14" s="93"/>
      <c r="AI14" s="585" t="str">
        <f aca="false" t="array" ref="AI14:AI14">IF(ISNA(INDEX(Source!$U$7:$U$95,MATCH(AJ14,Source!$V$7:$V$95,0))),"-",INDEX(Source!$U$7:$U$95,MATCH(AJ14,Source!$V$7:$V$95,0)))</f>
        <v>-</v>
      </c>
      <c r="AJ14" s="586" t="s">
        <v>1158</v>
      </c>
      <c r="AK14" s="182" t="s">
        <v>1110</v>
      </c>
      <c r="AL14" s="93"/>
      <c r="AM14" s="585" t="str">
        <f aca="false" t="array" ref="AM14:AM14">IF(ISNA(INDEX(Source!$U$7:$U$95,MATCH(AN14,Source!$V$7:$V$95,0))),"-",INDEX(Source!$U$7:$U$95,MATCH(AN14,Source!$V$7:$V$95,0)))</f>
        <v>SGP</v>
      </c>
      <c r="AN14" s="586" t="s">
        <v>97</v>
      </c>
      <c r="AO14" s="182" t="s">
        <v>1112</v>
      </c>
      <c r="AP14" s="93"/>
      <c r="AQ14" s="585" t="str">
        <f aca="false" t="array" ref="AQ14:AQ14">IF(ISNA(INDEX(Source!$U$7:$U$95,MATCH(AR14,Source!$V$7:$V$95,0))),"-",INDEX(Source!$U$7:$U$95,MATCH(AR14,Source!$V$7:$V$95,0)))</f>
        <v>-</v>
      </c>
      <c r="AR14" s="586" t="s">
        <v>1173</v>
      </c>
      <c r="AS14" s="182" t="s">
        <v>1113</v>
      </c>
      <c r="AT14" s="93"/>
      <c r="AU14" s="585" t="str">
        <f aca="false" t="array" ref="AU14:AU14">IF(ISNA(INDEX(Source!$U$7:$U$95,MATCH(AV14,Source!$V$7:$V$95,0))),"-",INDEX(Source!$U$7:$U$95,MATCH(AV14,Source!$V$7:$V$95,0)))</f>
        <v>-</v>
      </c>
      <c r="AV14" s="586" t="s">
        <v>1174</v>
      </c>
      <c r="AW14" s="182" t="s">
        <v>1114</v>
      </c>
      <c r="AX14" s="93"/>
      <c r="AY14" s="585" t="str">
        <f aca="false" t="array" ref="AY14:AY14">IF(ISNA(INDEX(Source!$U$7:$U$95,MATCH(AZ14,Source!$V$7:$V$95,0))),"-",INDEX(Source!$U$7:$U$95,MATCH(AZ14,Source!$V$7:$V$95,0)))</f>
        <v>-</v>
      </c>
      <c r="AZ14" s="586" t="s">
        <v>334</v>
      </c>
      <c r="BA14" s="182" t="s">
        <v>1115</v>
      </c>
      <c r="BB14" s="507"/>
      <c r="BC14" s="507"/>
      <c r="BD14" s="609" t="str">
        <f aca="false">BTB!$L$1</f>
        <v>BTB</v>
      </c>
    </row>
    <row r="15" customFormat="false" ht="15.75" hidden="false" customHeight="false" outlineLevel="0" collapsed="false">
      <c r="A15" s="589" t="s">
        <v>1175</v>
      </c>
      <c r="B15" s="589"/>
      <c r="C15" s="589"/>
      <c r="D15" s="590" t="s">
        <v>801</v>
      </c>
      <c r="E15" s="591" t="s">
        <v>1117</v>
      </c>
      <c r="F15" s="582" t="n">
        <v>15</v>
      </c>
      <c r="G15" s="582" t="n">
        <v>100</v>
      </c>
      <c r="H15" s="592" t="n">
        <v>1</v>
      </c>
      <c r="I15" s="593"/>
      <c r="J15" s="589" t="s">
        <v>1176</v>
      </c>
      <c r="K15" s="589"/>
      <c r="L15" s="589"/>
      <c r="M15" s="611" t="s">
        <v>810</v>
      </c>
      <c r="N15" s="581" t="s">
        <v>1119</v>
      </c>
      <c r="O15" s="582" t="n">
        <v>15</v>
      </c>
      <c r="P15" s="583" t="s">
        <v>1120</v>
      </c>
      <c r="Q15" s="595"/>
      <c r="R15" s="93"/>
      <c r="S15" s="585" t="str">
        <f aca="false" t="array" ref="S15:S15">IF(ISNA(INDEX(Source!$U$7:$U$95,MATCH(T15,Source!$V$7:$V$95,0))),"-",INDEX(Source!$U$7:$U$95,MATCH(T15,Source!$V$7:$V$95,0)))</f>
        <v>-</v>
      </c>
      <c r="T15" s="586" t="s">
        <v>1132</v>
      </c>
      <c r="U15" s="182" t="s">
        <v>1106</v>
      </c>
      <c r="V15" s="93"/>
      <c r="W15" s="585" t="str">
        <f aca="false" t="array" ref="W15:W15">IF(ISNA(INDEX(Source!$U$7:$U$95,MATCH(X15,Source!$V$7:$V$95,0))),"-",INDEX(Source!$U$7:$U$95,MATCH(X15,Source!$V$7:$V$95,0)))</f>
        <v>-</v>
      </c>
      <c r="X15" s="586" t="s">
        <v>1177</v>
      </c>
      <c r="Y15" s="182" t="s">
        <v>1107</v>
      </c>
      <c r="Z15" s="93"/>
      <c r="AA15" s="585" t="str">
        <f aca="false" t="array" ref="AA15:AA15">IF(ISNA(INDEX(Source!$U$7:$U$95,MATCH(AB15,Source!$V$7:$V$95,0))),"-",INDEX(Source!$U$7:$U$95,MATCH(AB15,Source!$V$7:$V$95,0)))</f>
        <v>-</v>
      </c>
      <c r="AB15" s="586" t="s">
        <v>1178</v>
      </c>
      <c r="AC15" s="182" t="s">
        <v>1108</v>
      </c>
      <c r="AD15" s="93"/>
      <c r="AE15" s="585" t="str">
        <f aca="false" t="array" ref="AE15:AE15">IF(ISNA(INDEX(Source!$U$7:$U$95,MATCH(AF15,Source!$V$7:$V$95,0))),"-",INDEX(Source!$U$7:$U$95,MATCH(AF15,Source!$V$7:$V$95,0)))</f>
        <v>-</v>
      </c>
      <c r="AF15" s="587" t="s">
        <v>1179</v>
      </c>
      <c r="AG15" s="588" t="s">
        <v>1109</v>
      </c>
      <c r="AH15" s="93"/>
      <c r="AI15" s="585" t="str">
        <f aca="false" t="array" ref="AI15:AI15">IF(ISNA(INDEX(Source!$U$7:$U$95,MATCH(AJ15,Source!$V$7:$V$95,0))),"-",INDEX(Source!$U$7:$U$95,MATCH(AJ15,Source!$V$7:$V$95,0)))</f>
        <v>-</v>
      </c>
      <c r="AJ15" s="586" t="s">
        <v>380</v>
      </c>
      <c r="AK15" s="182" t="s">
        <v>1110</v>
      </c>
      <c r="AL15" s="93"/>
      <c r="AM15" s="585" t="str">
        <f aca="false" t="array" ref="AM15:AM15">IF(ISNA(INDEX(Source!$U$7:$U$95,MATCH(AN15,Source!$V$7:$V$95,0))),"-",INDEX(Source!$U$7:$U$95,MATCH(AN15,Source!$V$7:$V$95,0)))</f>
        <v>SEA</v>
      </c>
      <c r="AN15" s="586" t="s">
        <v>91</v>
      </c>
      <c r="AO15" s="182" t="s">
        <v>1112</v>
      </c>
      <c r="AP15" s="93"/>
      <c r="AQ15" s="585" t="str">
        <f aca="false" t="array" ref="AQ15:AQ15">IF(ISNA(INDEX(Source!$U$7:$U$95,MATCH(AR15,Source!$V$7:$V$95,0))),"-",INDEX(Source!$U$7:$U$95,MATCH(AR15,Source!$V$7:$V$95,0)))</f>
        <v>-</v>
      </c>
      <c r="AR15" s="586" t="s">
        <v>1180</v>
      </c>
      <c r="AS15" s="182" t="s">
        <v>1113</v>
      </c>
      <c r="AT15" s="93"/>
      <c r="AU15" s="585" t="str">
        <f aca="false" t="array" ref="AU15:AU15">IF(ISNA(INDEX(Source!$U$7:$U$95,MATCH(AV15,Source!$V$7:$V$95,0))),"-",INDEX(Source!$U$7:$U$95,MATCH(AV15,Source!$V$7:$V$95,0)))</f>
        <v>-</v>
      </c>
      <c r="AV15" s="586" t="s">
        <v>1181</v>
      </c>
      <c r="AW15" s="182" t="s">
        <v>1114</v>
      </c>
      <c r="AX15" s="93"/>
      <c r="AY15" s="585" t="str">
        <f aca="false" t="array" ref="AY15:AY15">IF(ISNA(INDEX(Source!$U$7:$U$95,MATCH(AZ15,Source!$V$7:$V$95,0))),"-",INDEX(Source!$U$7:$U$95,MATCH(AZ15,Source!$V$7:$V$95,0)))</f>
        <v>-</v>
      </c>
      <c r="AZ15" s="586" t="s">
        <v>473</v>
      </c>
      <c r="BA15" s="182" t="s">
        <v>1115</v>
      </c>
      <c r="BB15" s="507"/>
      <c r="BC15" s="507"/>
      <c r="BD15" s="609" t="str">
        <f aca="false">SGP!$L$1</f>
        <v>SGP</v>
      </c>
    </row>
    <row r="16" customFormat="false" ht="15.75" hidden="false" customHeight="false" outlineLevel="0" collapsed="false">
      <c r="A16" s="589" t="s">
        <v>1182</v>
      </c>
      <c r="B16" s="589"/>
      <c r="C16" s="589"/>
      <c r="D16" s="603" t="s">
        <v>795</v>
      </c>
      <c r="E16" s="591" t="s">
        <v>1117</v>
      </c>
      <c r="F16" s="582" t="n">
        <v>10</v>
      </c>
      <c r="G16" s="582" t="s">
        <v>1183</v>
      </c>
      <c r="H16" s="592" t="n">
        <v>1</v>
      </c>
      <c r="I16" s="593"/>
      <c r="J16" s="589" t="s">
        <v>1184</v>
      </c>
      <c r="K16" s="589"/>
      <c r="L16" s="589"/>
      <c r="M16" s="606" t="s">
        <v>798</v>
      </c>
      <c r="N16" s="581" t="s">
        <v>1185</v>
      </c>
      <c r="O16" s="582" t="n">
        <v>30</v>
      </c>
      <c r="P16" s="592" t="n">
        <v>1</v>
      </c>
      <c r="Q16" s="595"/>
      <c r="R16" s="93"/>
      <c r="S16" s="585" t="str">
        <f aca="false" t="array" ref="S16:S16">IF(ISNA(INDEX(Source!$U$7:$U$95,MATCH(T16,Source!$V$7:$V$95,0))),"-",INDEX(Source!$U$7:$U$95,MATCH(T16,Source!$V$7:$V$95,0)))</f>
        <v>-</v>
      </c>
      <c r="T16" s="586" t="s">
        <v>375</v>
      </c>
      <c r="U16" s="182" t="s">
        <v>1106</v>
      </c>
      <c r="V16" s="93"/>
      <c r="W16" s="585" t="str">
        <f aca="false" t="array" ref="W16:W16">IF(ISNA(INDEX(Source!$U$7:$U$95,MATCH(X16,Source!$V$7:$V$95,0))),"-",INDEX(Source!$U$7:$U$95,MATCH(X16,Source!$V$7:$V$95,0)))</f>
        <v>-</v>
      </c>
      <c r="X16" s="586" t="s">
        <v>357</v>
      </c>
      <c r="Y16" s="182" t="s">
        <v>1107</v>
      </c>
      <c r="Z16" s="93"/>
      <c r="AA16" s="585" t="str">
        <f aca="false" t="array" ref="AA16:AA16">IF(ISNA(INDEX(Source!$U$7:$U$95,MATCH(AB16,Source!$V$7:$V$95,0))),"-",INDEX(Source!$U$7:$U$95,MATCH(AB16,Source!$V$7:$V$95,0)))</f>
        <v>-</v>
      </c>
      <c r="AB16" s="586" t="s">
        <v>1186</v>
      </c>
      <c r="AC16" s="182" t="s">
        <v>1108</v>
      </c>
      <c r="AD16" s="93"/>
      <c r="AE16" s="585" t="str">
        <f aca="false" t="array" ref="AE16:AE16">IF(ISNA(INDEX(Source!$U$7:$U$95,MATCH(AF16,Source!$V$7:$V$95,0))),"-",INDEX(Source!$U$7:$U$95,MATCH(AF16,Source!$V$7:$V$95,0)))</f>
        <v>-</v>
      </c>
      <c r="AF16" s="586" t="s">
        <v>1187</v>
      </c>
      <c r="AG16" s="182" t="s">
        <v>1109</v>
      </c>
      <c r="AH16" s="93"/>
      <c r="AI16" s="585" t="str">
        <f aca="false" t="array" ref="AI16:AI16">IF(ISNA(INDEX(Source!$U$7:$U$95,MATCH(AJ16,Source!$V$7:$V$95,0))),"-",INDEX(Source!$U$7:$U$95,MATCH(AJ16,Source!$V$7:$V$95,0)))</f>
        <v>-</v>
      </c>
      <c r="AJ16" s="586" t="s">
        <v>417</v>
      </c>
      <c r="AK16" s="182" t="s">
        <v>1110</v>
      </c>
      <c r="AL16" s="93"/>
      <c r="AM16" s="585" t="str">
        <f aca="false" t="array" ref="AM16:AM16">IF(ISNA(INDEX(Source!$U$7:$U$95,MATCH(AN16,Source!$V$7:$V$95,0))),"-",INDEX(Source!$U$7:$U$95,MATCH(AN16,Source!$V$7:$V$95,0)))</f>
        <v>-</v>
      </c>
      <c r="AN16" s="586" t="s">
        <v>1188</v>
      </c>
      <c r="AO16" s="182" t="s">
        <v>1112</v>
      </c>
      <c r="AP16" s="93"/>
      <c r="AQ16" s="585" t="str">
        <f aca="false" t="array" ref="AQ16:AQ16">IF(ISNA(INDEX(Source!$U$7:$U$95,MATCH(AR16,Source!$V$7:$V$95,0))),"-",INDEX(Source!$U$7:$U$95,MATCH(AR16,Source!$V$7:$V$95,0)))</f>
        <v>-</v>
      </c>
      <c r="AR16" s="586" t="s">
        <v>1189</v>
      </c>
      <c r="AS16" s="182" t="s">
        <v>1113</v>
      </c>
      <c r="AT16" s="93"/>
      <c r="AU16" s="585" t="str">
        <f aca="false" t="array" ref="AU16:AU16">IF(ISNA(INDEX(Source!$U$7:$U$95,MATCH(AV16,Source!$V$7:$V$95,0))),"-",INDEX(Source!$U$7:$U$95,MATCH(AV16,Source!$V$7:$V$95,0)))</f>
        <v>-</v>
      </c>
      <c r="AV16" s="586" t="s">
        <v>303</v>
      </c>
      <c r="AW16" s="182" t="s">
        <v>1114</v>
      </c>
      <c r="AX16" s="93"/>
      <c r="AY16" s="585" t="str">
        <f aca="false" t="array" ref="AY16:AY16">IF(ISNA(INDEX(Source!$U$7:$U$95,MATCH(AZ16,Source!$V$7:$V$95,0))),"-",INDEX(Source!$U$7:$U$95,MATCH(AZ16,Source!$V$7:$V$95,0)))</f>
        <v>-</v>
      </c>
      <c r="AZ16" s="586" t="s">
        <v>1126</v>
      </c>
      <c r="BA16" s="182" t="s">
        <v>1115</v>
      </c>
      <c r="BB16" s="507"/>
      <c r="BC16" s="507"/>
      <c r="BD16" s="612" t="str">
        <f aca="false">FTT!$L$1</f>
        <v>FTT</v>
      </c>
    </row>
    <row r="17" customFormat="false" ht="15.75" hidden="false" customHeight="false" outlineLevel="0" collapsed="false">
      <c r="A17" s="589" t="s">
        <v>1190</v>
      </c>
      <c r="B17" s="589"/>
      <c r="C17" s="589"/>
      <c r="D17" s="610" t="s">
        <v>839</v>
      </c>
      <c r="E17" s="591" t="s">
        <v>1117</v>
      </c>
      <c r="F17" s="582" t="n">
        <v>10</v>
      </c>
      <c r="G17" s="582" t="s">
        <v>1191</v>
      </c>
      <c r="H17" s="592" t="n">
        <v>1</v>
      </c>
      <c r="I17" s="593"/>
      <c r="J17" s="589" t="s">
        <v>1192</v>
      </c>
      <c r="K17" s="589"/>
      <c r="L17" s="589"/>
      <c r="M17" s="580" t="s">
        <v>843</v>
      </c>
      <c r="N17" s="581" t="s">
        <v>1170</v>
      </c>
      <c r="O17" s="582" t="n">
        <v>10</v>
      </c>
      <c r="P17" s="583" t="s">
        <v>1120</v>
      </c>
      <c r="Q17" s="595"/>
      <c r="R17" s="93"/>
      <c r="S17" s="585" t="str">
        <f aca="false" t="array" ref="S17:S17">IF(ISNA(INDEX(Source!$U$7:$U$95,MATCH(T17,Source!$V$7:$V$95,0))),"-",INDEX(Source!$U$7:$U$95,MATCH(T17,Source!$V$7:$V$95,0)))</f>
        <v>-</v>
      </c>
      <c r="T17" s="586" t="s">
        <v>386</v>
      </c>
      <c r="U17" s="182" t="s">
        <v>1106</v>
      </c>
      <c r="V17" s="93"/>
      <c r="W17" s="585" t="str">
        <f aca="false" t="array" ref="W17:W17">IF(ISNA(INDEX(Source!$U$7:$U$95,MATCH(X17,Source!$V$7:$V$95,0))),"-",INDEX(Source!$U$7:$U$95,MATCH(X17,Source!$V$7:$V$95,0)))</f>
        <v>-</v>
      </c>
      <c r="X17" s="586" t="s">
        <v>1193</v>
      </c>
      <c r="Y17" s="182" t="s">
        <v>1107</v>
      </c>
      <c r="Z17" s="93"/>
      <c r="AA17" s="585" t="str">
        <f aca="false" t="array" ref="AA17:AA17">IF(ISNA(INDEX(Source!$U$7:$U$95,MATCH(AB17,Source!$V$7:$V$95,0))),"-",INDEX(Source!$U$7:$U$95,MATCH(AB17,Source!$V$7:$V$95,0)))</f>
        <v>-</v>
      </c>
      <c r="AB17" s="586" t="s">
        <v>514</v>
      </c>
      <c r="AC17" s="182" t="s">
        <v>1108</v>
      </c>
      <c r="AD17" s="93"/>
      <c r="AE17" s="613" t="str">
        <f aca="false" t="array" ref="AE17:AE17">IF(ISNA(INDEX(Source!$U$7:$U$95,MATCH(AF17,Source!$V$7:$V$95,0))),"-",INDEX(Source!$U$7:$U$95,MATCH(AF17,Source!$V$7:$V$95,0)))</f>
        <v>-</v>
      </c>
      <c r="AF17" s="614" t="s">
        <v>1194</v>
      </c>
      <c r="AG17" s="615" t="s">
        <v>1109</v>
      </c>
      <c r="AH17" s="93"/>
      <c r="AI17" s="585" t="str">
        <f aca="false" t="array" ref="AI17:AI17">IF(ISNA(INDEX(Source!$U$7:$U$95,MATCH(AJ17,Source!$V$7:$V$95,0))),"-",INDEX(Source!$U$7:$U$95,MATCH(AJ17,Source!$V$7:$V$95,0)))</f>
        <v>-</v>
      </c>
      <c r="AJ17" s="586" t="s">
        <v>435</v>
      </c>
      <c r="AK17" s="182" t="s">
        <v>1110</v>
      </c>
      <c r="AL17" s="93"/>
      <c r="AM17" s="585" t="str">
        <f aca="false" t="array" ref="AM17:AM17">IF(ISNA(INDEX(Source!$U$7:$U$95,MATCH(AN17,Source!$V$7:$V$95,0))),"-",INDEX(Source!$U$7:$U$95,MATCH(AN17,Source!$V$7:$V$95,0)))</f>
        <v>KKS</v>
      </c>
      <c r="AN17" s="586" t="s">
        <v>88</v>
      </c>
      <c r="AO17" s="182" t="s">
        <v>1112</v>
      </c>
      <c r="AP17" s="93"/>
      <c r="AQ17" s="585" t="str">
        <f aca="false" t="array" ref="AQ17:AQ17">IF(ISNA(INDEX(Source!$U$7:$U$95,MATCH(AR17,Source!$V$7:$V$95,0))),"-",INDEX(Source!$U$7:$U$95,MATCH(AR17,Source!$V$7:$V$95,0)))</f>
        <v>-</v>
      </c>
      <c r="AR17" s="586" t="s">
        <v>1195</v>
      </c>
      <c r="AS17" s="182" t="s">
        <v>1113</v>
      </c>
      <c r="AT17" s="93"/>
      <c r="AU17" s="585" t="str">
        <f aca="false" t="array" ref="AU17:AU17">IF(ISNA(INDEX(Source!$U$7:$U$95,MATCH(AV17,Source!$V$7:$V$95,0))),"-",INDEX(Source!$U$7:$U$95,MATCH(AV17,Source!$V$7:$V$95,0)))</f>
        <v>-</v>
      </c>
      <c r="AV17" s="586" t="s">
        <v>744</v>
      </c>
      <c r="AW17" s="182" t="s">
        <v>1114</v>
      </c>
      <c r="AX17" s="93"/>
      <c r="AY17" s="585" t="str">
        <f aca="false" t="array" ref="AY17:AY17">IF(ISNA(INDEX(Source!$U$7:$U$95,MATCH(AZ17,Source!$V$7:$V$95,0))),"-",INDEX(Source!$U$7:$U$95,MATCH(AZ17,Source!$V$7:$V$95,0)))</f>
        <v>-</v>
      </c>
      <c r="AZ17" s="586" t="s">
        <v>1196</v>
      </c>
      <c r="BA17" s="182" t="s">
        <v>1115</v>
      </c>
      <c r="BB17" s="507"/>
      <c r="BC17" s="507"/>
      <c r="BD17" s="507"/>
    </row>
    <row r="18" customFormat="false" ht="15.75" hidden="false" customHeight="false" outlineLevel="0" collapsed="false">
      <c r="A18" s="589" t="s">
        <v>1197</v>
      </c>
      <c r="B18" s="589"/>
      <c r="C18" s="589"/>
      <c r="D18" s="610" t="s">
        <v>839</v>
      </c>
      <c r="E18" s="591" t="s">
        <v>1117</v>
      </c>
      <c r="F18" s="582" t="n">
        <v>20</v>
      </c>
      <c r="G18" s="582" t="n">
        <v>15</v>
      </c>
      <c r="H18" s="592" t="n">
        <v>0.85</v>
      </c>
      <c r="I18" s="593"/>
      <c r="J18" s="589" t="s">
        <v>1198</v>
      </c>
      <c r="K18" s="589"/>
      <c r="L18" s="589"/>
      <c r="M18" s="598" t="s">
        <v>828</v>
      </c>
      <c r="N18" s="581" t="s">
        <v>1119</v>
      </c>
      <c r="O18" s="582" t="n">
        <v>20</v>
      </c>
      <c r="P18" s="583" t="s">
        <v>1120</v>
      </c>
      <c r="Q18" s="595"/>
      <c r="R18" s="93"/>
      <c r="S18" s="585" t="str">
        <f aca="false" t="array" ref="S18:S18">IF(ISNA(INDEX(Source!$U$7:$U$95,MATCH(T18,Source!$V$7:$V$95,0))),"-",INDEX(Source!$U$7:$U$95,MATCH(T18,Source!$V$7:$V$95,0)))</f>
        <v>-</v>
      </c>
      <c r="T18" s="586" t="s">
        <v>407</v>
      </c>
      <c r="U18" s="182" t="s">
        <v>1106</v>
      </c>
      <c r="V18" s="93"/>
      <c r="W18" s="585" t="str">
        <f aca="false" t="array" ref="W18:W18">IF(ISNA(INDEX(Source!$U$7:$U$95,MATCH(X18,Source!$V$7:$V$95,0))),"-",INDEX(Source!$U$7:$U$95,MATCH(X18,Source!$V$7:$V$95,0)))</f>
        <v>-</v>
      </c>
      <c r="X18" s="586" t="s">
        <v>556</v>
      </c>
      <c r="Y18" s="182" t="s">
        <v>1107</v>
      </c>
      <c r="Z18" s="93"/>
      <c r="AA18" s="585" t="str">
        <f aca="false" t="array" ref="AA18:AA18">IF(ISNA(INDEX(Source!$U$7:$U$95,MATCH(AB18,Source!$V$7:$V$95,0))),"-",INDEX(Source!$U$7:$U$95,MATCH(AB18,Source!$V$7:$V$95,0)))</f>
        <v>FTT</v>
      </c>
      <c r="AB18" s="586" t="s">
        <v>82</v>
      </c>
      <c r="AC18" s="182" t="s">
        <v>1108</v>
      </c>
      <c r="AD18" s="93"/>
      <c r="AE18" s="93"/>
      <c r="AF18" s="616"/>
      <c r="AG18" s="93"/>
      <c r="AH18" s="93"/>
      <c r="AI18" s="585" t="str">
        <f aca="false" t="array" ref="AI18:AI18">IF(ISNA(INDEX(Source!$U$7:$U$95,MATCH(AJ18,Source!$V$7:$V$95,0))),"-",INDEX(Source!$U$7:$U$95,MATCH(AJ18,Source!$V$7:$V$95,0)))</f>
        <v>-</v>
      </c>
      <c r="AJ18" s="586" t="s">
        <v>444</v>
      </c>
      <c r="AK18" s="182" t="s">
        <v>1110</v>
      </c>
      <c r="AL18" s="93"/>
      <c r="AM18" s="585" t="str">
        <f aca="false" t="array" ref="AM18:AM18">IF(ISNA(INDEX(Source!$U$7:$U$95,MATCH(AN18,Source!$V$7:$V$95,0))),"-",INDEX(Source!$U$7:$U$95,MATCH(AN18,Source!$V$7:$V$95,0)))</f>
        <v>LVC</v>
      </c>
      <c r="AN18" s="586" t="s">
        <v>68</v>
      </c>
      <c r="AO18" s="182" t="s">
        <v>1112</v>
      </c>
      <c r="AP18" s="93"/>
      <c r="AQ18" s="585" t="str">
        <f aca="false" t="array" ref="AQ18:AQ18">IF(ISNA(INDEX(Source!$U$7:$U$95,MATCH(AR18,Source!$V$7:$V$95,0))),"-",INDEX(Source!$U$7:$U$95,MATCH(AR18,Source!$V$7:$V$95,0)))</f>
        <v>SEA</v>
      </c>
      <c r="AR18" s="586" t="s">
        <v>49</v>
      </c>
      <c r="AS18" s="182" t="s">
        <v>1113</v>
      </c>
      <c r="AT18" s="93"/>
      <c r="AU18" s="585" t="str">
        <f aca="false" t="array" ref="AU18:AU18">IF(ISNA(INDEX(Source!$U$7:$U$95,MATCH(AV18,Source!$V$7:$V$95,0))),"-",INDEX(Source!$U$7:$U$95,MATCH(AV18,Source!$V$7:$V$95,0)))</f>
        <v>-</v>
      </c>
      <c r="AV18" s="586" t="s">
        <v>406</v>
      </c>
      <c r="AW18" s="182" t="s">
        <v>1114</v>
      </c>
      <c r="AX18" s="93"/>
      <c r="AY18" s="585" t="str">
        <f aca="false" t="array" ref="AY18:AY18">IF(ISNA(INDEX(Source!$U$7:$U$95,MATCH(AZ18,Source!$V$7:$V$95,0))),"-",INDEX(Source!$U$7:$U$95,MATCH(AZ18,Source!$V$7:$V$95,0)))</f>
        <v>BTB</v>
      </c>
      <c r="AZ18" s="586" t="s">
        <v>65</v>
      </c>
      <c r="BA18" s="182" t="s">
        <v>1115</v>
      </c>
      <c r="BB18" s="507"/>
      <c r="BC18" s="507"/>
      <c r="BD18" s="507"/>
    </row>
    <row r="19" customFormat="false" ht="15.75" hidden="false" customHeight="false" outlineLevel="0" collapsed="false">
      <c r="A19" s="589" t="s">
        <v>1199</v>
      </c>
      <c r="B19" s="589"/>
      <c r="C19" s="589"/>
      <c r="D19" s="603" t="s">
        <v>795</v>
      </c>
      <c r="E19" s="591" t="s">
        <v>1117</v>
      </c>
      <c r="F19" s="582" t="n">
        <v>25</v>
      </c>
      <c r="G19" s="582" t="n">
        <v>60</v>
      </c>
      <c r="H19" s="592" t="n">
        <v>1</v>
      </c>
      <c r="I19" s="593"/>
      <c r="J19" s="589" t="s">
        <v>1115</v>
      </c>
      <c r="K19" s="589"/>
      <c r="L19" s="589"/>
      <c r="M19" s="594" t="s">
        <v>839</v>
      </c>
      <c r="N19" s="581" t="s">
        <v>1200</v>
      </c>
      <c r="O19" s="582" t="n">
        <v>40</v>
      </c>
      <c r="P19" s="583" t="s">
        <v>1120</v>
      </c>
      <c r="Q19" s="595"/>
      <c r="R19" s="93"/>
      <c r="S19" s="585" t="str">
        <f aca="false" t="array" ref="S19:S19">IF(ISNA(INDEX(Source!$U$7:$U$95,MATCH(T19,Source!$V$7:$V$95,0))),"-",INDEX(Source!$U$7:$U$95,MATCH(T19,Source!$V$7:$V$95,0)))</f>
        <v>-</v>
      </c>
      <c r="T19" s="586" t="s">
        <v>1201</v>
      </c>
      <c r="U19" s="182" t="s">
        <v>1106</v>
      </c>
      <c r="V19" s="93"/>
      <c r="W19" s="585" t="str">
        <f aca="false" t="array" ref="W19:W19">IF(ISNA(INDEX(Source!$U$7:$U$95,MATCH(X19,Source!$V$7:$V$95,0))),"-",INDEX(Source!$U$7:$U$95,MATCH(X19,Source!$V$7:$V$95,0)))</f>
        <v>-</v>
      </c>
      <c r="X19" s="586" t="s">
        <v>379</v>
      </c>
      <c r="Y19" s="182" t="s">
        <v>1107</v>
      </c>
      <c r="Z19" s="93"/>
      <c r="AA19" s="585" t="str">
        <f aca="false" t="array" ref="AA19:AA19">IF(ISNA(INDEX(Source!$U$7:$U$95,MATCH(AB19,Source!$V$7:$V$95,0))),"-",INDEX(Source!$U$7:$U$95,MATCH(AB19,Source!$V$7:$V$95,0)))</f>
        <v>-</v>
      </c>
      <c r="AB19" s="586" t="s">
        <v>1202</v>
      </c>
      <c r="AC19" s="182" t="s">
        <v>1108</v>
      </c>
      <c r="AD19" s="93"/>
      <c r="AE19" s="93"/>
      <c r="AF19" s="616"/>
      <c r="AG19" s="93"/>
      <c r="AH19" s="93"/>
      <c r="AI19" s="585" t="str">
        <f aca="false" t="array" ref="AI19:AI19">IF(ISNA(INDEX(Source!$U$7:$U$95,MATCH(AJ19,Source!$V$7:$V$95,0))),"-",INDEX(Source!$U$7:$U$95,MATCH(AJ19,Source!$V$7:$V$95,0)))</f>
        <v>SEA</v>
      </c>
      <c r="AJ19" s="586" t="s">
        <v>92</v>
      </c>
      <c r="AK19" s="182" t="s">
        <v>1110</v>
      </c>
      <c r="AL19" s="93"/>
      <c r="AM19" s="585" t="str">
        <f aca="false" t="array" ref="AM19:AM19">IF(ISNA(INDEX(Source!$U$7:$U$95,MATCH(AN19,Source!$V$7:$V$95,0))),"-",INDEX(Source!$U$7:$U$95,MATCH(AN19,Source!$V$7:$V$95,0)))</f>
        <v>-</v>
      </c>
      <c r="AN19" s="586" t="s">
        <v>511</v>
      </c>
      <c r="AO19" s="182" t="s">
        <v>1112</v>
      </c>
      <c r="AP19" s="93"/>
      <c r="AQ19" s="585" t="str">
        <f aca="false" t="array" ref="AQ19:AQ19">IF(ISNA(INDEX(Source!$U$7:$U$95,MATCH(AR19,Source!$V$7:$V$95,0))),"-",INDEX(Source!$U$7:$U$95,MATCH(AR19,Source!$V$7:$V$95,0)))</f>
        <v>-</v>
      </c>
      <c r="AR19" s="586" t="s">
        <v>1203</v>
      </c>
      <c r="AS19" s="182" t="s">
        <v>1113</v>
      </c>
      <c r="AT19" s="93"/>
      <c r="AU19" s="585" t="str">
        <f aca="false" t="array" ref="AU19:AU19">IF(ISNA(INDEX(Source!$U$7:$U$95,MATCH(AV19,Source!$V$7:$V$95,0))),"-",INDEX(Source!$U$7:$U$95,MATCH(AV19,Source!$V$7:$V$95,0)))</f>
        <v>-</v>
      </c>
      <c r="AV19" s="586" t="s">
        <v>505</v>
      </c>
      <c r="AW19" s="182" t="s">
        <v>1114</v>
      </c>
      <c r="AX19" s="93"/>
      <c r="AY19" s="585" t="str">
        <f aca="false" t="array" ref="AY19:AY19">IF(ISNA(INDEX(Source!$U$7:$U$95,MATCH(AZ19,Source!$V$7:$V$95,0))),"-",INDEX(Source!$U$7:$U$95,MATCH(AZ19,Source!$V$7:$V$95,0)))</f>
        <v>-</v>
      </c>
      <c r="AZ19" s="617" t="s">
        <v>1173</v>
      </c>
      <c r="BA19" s="182" t="s">
        <v>1115</v>
      </c>
      <c r="BB19" s="507"/>
      <c r="BC19" s="507"/>
      <c r="BD19" s="507"/>
    </row>
    <row r="20" customFormat="false" ht="15.75" hidden="false" customHeight="false" outlineLevel="0" collapsed="false">
      <c r="A20" s="589" t="s">
        <v>1204</v>
      </c>
      <c r="B20" s="589"/>
      <c r="C20" s="589"/>
      <c r="D20" s="618" t="s">
        <v>800</v>
      </c>
      <c r="E20" s="591" t="s">
        <v>1117</v>
      </c>
      <c r="F20" s="582" t="n">
        <v>10</v>
      </c>
      <c r="G20" s="582" t="n">
        <v>85</v>
      </c>
      <c r="H20" s="592" t="n">
        <v>0.9</v>
      </c>
      <c r="I20" s="593"/>
      <c r="J20" s="589" t="s">
        <v>1205</v>
      </c>
      <c r="K20" s="589"/>
      <c r="L20" s="589"/>
      <c r="M20" s="594" t="s">
        <v>839</v>
      </c>
      <c r="N20" s="581" t="s">
        <v>1119</v>
      </c>
      <c r="O20" s="582" t="n">
        <v>10</v>
      </c>
      <c r="P20" s="583" t="s">
        <v>1120</v>
      </c>
      <c r="Q20" s="595"/>
      <c r="R20" s="93"/>
      <c r="S20" s="585" t="str">
        <f aca="false" t="array" ref="S20:S20">IF(ISNA(INDEX(Source!$U$7:$U$95,MATCH(T20,Source!$V$7:$V$95,0))),"-",INDEX(Source!$U$7:$U$95,MATCH(T20,Source!$V$7:$V$95,0)))</f>
        <v>-</v>
      </c>
      <c r="T20" s="586" t="s">
        <v>1206</v>
      </c>
      <c r="U20" s="182" t="s">
        <v>1106</v>
      </c>
      <c r="V20" s="93"/>
      <c r="W20" s="585" t="str">
        <f aca="false" t="array" ref="W20:W20">IF(ISNA(INDEX(Source!$U$7:$U$95,MATCH(X20,Source!$V$7:$V$95,0))),"-",INDEX(Source!$U$7:$U$95,MATCH(X20,Source!$V$7:$V$95,0)))</f>
        <v>LVC</v>
      </c>
      <c r="X20" s="586" t="s">
        <v>68</v>
      </c>
      <c r="Y20" s="182" t="s">
        <v>1107</v>
      </c>
      <c r="Z20" s="93"/>
      <c r="AA20" s="585" t="str">
        <f aca="false" t="array" ref="AA20:AA20">IF(ISNA(INDEX(Source!$U$7:$U$95,MATCH(AB20,Source!$V$7:$V$95,0))),"-",INDEX(Source!$U$7:$U$95,MATCH(AB20,Source!$V$7:$V$95,0)))</f>
        <v>-</v>
      </c>
      <c r="AB20" s="586" t="s">
        <v>1207</v>
      </c>
      <c r="AC20" s="182" t="s">
        <v>1108</v>
      </c>
      <c r="AD20" s="93"/>
      <c r="AE20" s="93"/>
      <c r="AF20" s="616"/>
      <c r="AG20" s="93"/>
      <c r="AH20" s="93"/>
      <c r="AI20" s="585" t="str">
        <f aca="false" t="array" ref="AI20:AI20">IF(ISNA(INDEX(Source!$U$7:$U$95,MATCH(AJ20,Source!$V$7:$V$95,0))),"-",INDEX(Source!$U$7:$U$95,MATCH(AJ20,Source!$V$7:$V$95,0)))</f>
        <v>-</v>
      </c>
      <c r="AJ20" s="586" t="s">
        <v>708</v>
      </c>
      <c r="AK20" s="182" t="s">
        <v>1110</v>
      </c>
      <c r="AL20" s="93"/>
      <c r="AM20" s="585" t="str">
        <f aca="false" t="array" ref="AM20:AM20">IF(ISNA(INDEX(Source!$U$7:$U$95,MATCH(AN20,Source!$V$7:$V$95,0))),"-",INDEX(Source!$U$7:$U$95,MATCH(AN20,Source!$V$7:$V$95,0)))</f>
        <v>-</v>
      </c>
      <c r="AN20" s="586" t="s">
        <v>515</v>
      </c>
      <c r="AO20" s="182" t="s">
        <v>1112</v>
      </c>
      <c r="AP20" s="93"/>
      <c r="AQ20" s="585" t="str">
        <f aca="false" t="array" ref="AQ20:AQ20">IF(ISNA(INDEX(Source!$U$7:$U$95,MATCH(AR20,Source!$V$7:$V$95,0))),"-",INDEX(Source!$U$7:$U$95,MATCH(AR20,Source!$V$7:$V$95,0)))</f>
        <v>-</v>
      </c>
      <c r="AR20" s="586" t="s">
        <v>1208</v>
      </c>
      <c r="AS20" s="182" t="s">
        <v>1113</v>
      </c>
      <c r="AT20" s="93"/>
      <c r="AU20" s="585" t="str">
        <f aca="false" t="array" ref="AU20:AU20">IF(ISNA(INDEX(Source!$U$7:$U$95,MATCH(AV20,Source!$V$7:$V$95,0))),"-",INDEX(Source!$U$7:$U$95,MATCH(AV20,Source!$V$7:$V$95,0)))</f>
        <v>-</v>
      </c>
      <c r="AV20" s="617" t="s">
        <v>416</v>
      </c>
      <c r="AW20" s="182" t="s">
        <v>1114</v>
      </c>
      <c r="AX20" s="93"/>
      <c r="AY20" s="585" t="str">
        <f aca="false" t="array" ref="AY20:AY20">IF(ISNA(INDEX(Source!$U$7:$U$95,MATCH(AZ20,Source!$V$7:$V$95,0))),"-",INDEX(Source!$U$7:$U$95,MATCH(AZ20,Source!$V$7:$V$95,0)))</f>
        <v>-</v>
      </c>
      <c r="AZ20" s="617" t="s">
        <v>505</v>
      </c>
      <c r="BA20" s="182" t="s">
        <v>1115</v>
      </c>
      <c r="BB20" s="507"/>
      <c r="BC20" s="507"/>
      <c r="BD20" s="507"/>
    </row>
    <row r="21" customFormat="false" ht="15.75" hidden="false" customHeight="false" outlineLevel="0" collapsed="false">
      <c r="A21" s="589" t="s">
        <v>1209</v>
      </c>
      <c r="B21" s="589"/>
      <c r="C21" s="589"/>
      <c r="D21" s="610" t="s">
        <v>839</v>
      </c>
      <c r="E21" s="591" t="s">
        <v>1117</v>
      </c>
      <c r="F21" s="582" t="n">
        <v>15</v>
      </c>
      <c r="G21" s="582" t="n">
        <v>85</v>
      </c>
      <c r="H21" s="592" t="n">
        <v>1</v>
      </c>
      <c r="I21" s="593"/>
      <c r="J21" s="589" t="s">
        <v>1210</v>
      </c>
      <c r="K21" s="589"/>
      <c r="L21" s="589"/>
      <c r="M21" s="594" t="s">
        <v>839</v>
      </c>
      <c r="N21" s="581" t="s">
        <v>1200</v>
      </c>
      <c r="O21" s="582" t="n">
        <v>15</v>
      </c>
      <c r="P21" s="583" t="s">
        <v>1120</v>
      </c>
      <c r="Q21" s="595"/>
      <c r="R21" s="93"/>
      <c r="S21" s="585" t="str">
        <f aca="false" t="array" ref="S21:S21">IF(ISNA(INDEX(Source!$U$7:$U$95,MATCH(T21,Source!$V$7:$V$95,0))),"-",INDEX(Source!$U$7:$U$95,MATCH(T21,Source!$V$7:$V$95,0)))</f>
        <v>-</v>
      </c>
      <c r="T21" s="586" t="s">
        <v>304</v>
      </c>
      <c r="U21" s="182" t="s">
        <v>1106</v>
      </c>
      <c r="V21" s="93"/>
      <c r="W21" s="585" t="str">
        <f aca="false" t="array" ref="W21:W21">IF(ISNA(INDEX(Source!$U$7:$U$95,MATCH(X21,Source!$V$7:$V$95,0))),"-",INDEX(Source!$U$7:$U$95,MATCH(X21,Source!$V$7:$V$95,0)))</f>
        <v>-</v>
      </c>
      <c r="X21" s="586" t="s">
        <v>268</v>
      </c>
      <c r="Y21" s="182" t="s">
        <v>1107</v>
      </c>
      <c r="Z21" s="93"/>
      <c r="AA21" s="585" t="str">
        <f aca="false" t="array" ref="AA21:AA21">IF(ISNA(INDEX(Source!$U$7:$U$95,MATCH(AB21,Source!$V$7:$V$95,0))),"-",INDEX(Source!$U$7:$U$95,MATCH(AB21,Source!$V$7:$V$95,0)))</f>
        <v>-</v>
      </c>
      <c r="AB21" s="586" t="s">
        <v>1211</v>
      </c>
      <c r="AC21" s="182" t="s">
        <v>1108</v>
      </c>
      <c r="AD21" s="93"/>
      <c r="AE21" s="93"/>
      <c r="AF21" s="616"/>
      <c r="AG21" s="93"/>
      <c r="AH21" s="93"/>
      <c r="AI21" s="585" t="str">
        <f aca="false" t="array" ref="AI21:AI21">IF(ISNA(INDEX(Source!$U$7:$U$95,MATCH(AJ21,Source!$V$7:$V$95,0))),"-",INDEX(Source!$U$7:$U$95,MATCH(AJ21,Source!$V$7:$V$95,0)))</f>
        <v>-</v>
      </c>
      <c r="AJ21" s="586" t="s">
        <v>712</v>
      </c>
      <c r="AK21" s="182" t="s">
        <v>1110</v>
      </c>
      <c r="AL21" s="93"/>
      <c r="AM21" s="585" t="str">
        <f aca="false" t="array" ref="AM21:AM21">IF(ISNA(INDEX(Source!$U$7:$U$95,MATCH(AN21,Source!$V$7:$V$95,0))),"-",INDEX(Source!$U$7:$U$95,MATCH(AN21,Source!$V$7:$V$95,0)))</f>
        <v>-</v>
      </c>
      <c r="AN21" s="586" t="s">
        <v>520</v>
      </c>
      <c r="AO21" s="182" t="s">
        <v>1112</v>
      </c>
      <c r="AP21" s="93"/>
      <c r="AQ21" s="585" t="str">
        <f aca="false" t="array" ref="AQ21:AQ21">IF(ISNA(INDEX(Source!$U$7:$U$95,MATCH(AR21,Source!$V$7:$V$95,0))),"-",INDEX(Source!$U$7:$U$95,MATCH(AR21,Source!$V$7:$V$95,0)))</f>
        <v>-</v>
      </c>
      <c r="AR21" s="586" t="s">
        <v>1212</v>
      </c>
      <c r="AS21" s="182" t="s">
        <v>1113</v>
      </c>
      <c r="AT21" s="93"/>
      <c r="AU21" s="585" t="str">
        <f aca="false" t="array" ref="AU21:AU21">IF(ISNA(INDEX(Source!$U$7:$U$95,MATCH(AV21,Source!$V$7:$V$95,0))),"-",INDEX(Source!$U$7:$U$95,MATCH(AV21,Source!$V$7:$V$95,0)))</f>
        <v>-</v>
      </c>
      <c r="AV21" s="617" t="s">
        <v>1213</v>
      </c>
      <c r="AW21" s="182" t="s">
        <v>1114</v>
      </c>
      <c r="AX21" s="93"/>
      <c r="AY21" s="585" t="str">
        <f aca="false" t="array" ref="AY21:AY21">IF(ISNA(INDEX(Source!$U$7:$U$95,MATCH(AZ21,Source!$V$7:$V$95,0))),"-",INDEX(Source!$U$7:$U$95,MATCH(AZ21,Source!$V$7:$V$95,0)))</f>
        <v>-</v>
      </c>
      <c r="AZ21" s="586" t="s">
        <v>423</v>
      </c>
      <c r="BA21" s="182" t="s">
        <v>1115</v>
      </c>
      <c r="BB21" s="507"/>
      <c r="BC21" s="507"/>
      <c r="BD21" s="507"/>
    </row>
    <row r="22" customFormat="false" ht="15.75" hidden="false" customHeight="false" outlineLevel="0" collapsed="false">
      <c r="A22" s="589" t="s">
        <v>1214</v>
      </c>
      <c r="B22" s="589"/>
      <c r="C22" s="589"/>
      <c r="D22" s="619" t="s">
        <v>845</v>
      </c>
      <c r="E22" s="591" t="s">
        <v>1117</v>
      </c>
      <c r="F22" s="582" t="n">
        <v>5</v>
      </c>
      <c r="G22" s="582" t="n">
        <v>130</v>
      </c>
      <c r="H22" s="592" t="n">
        <v>0.85</v>
      </c>
      <c r="I22" s="593"/>
      <c r="J22" s="589" t="s">
        <v>1215</v>
      </c>
      <c r="K22" s="589"/>
      <c r="L22" s="589"/>
      <c r="M22" s="594" t="s">
        <v>839</v>
      </c>
      <c r="N22" s="581" t="s">
        <v>1200</v>
      </c>
      <c r="O22" s="582" t="n">
        <v>5</v>
      </c>
      <c r="P22" s="592" t="n">
        <v>1</v>
      </c>
      <c r="Q22" s="595"/>
      <c r="R22" s="93"/>
      <c r="S22" s="585" t="str">
        <f aca="false" t="array" ref="S22:S22">IF(ISNA(INDEX(Source!$U$7:$U$95,MATCH(T22,Source!$V$7:$V$95,0))),"-",INDEX(Source!$U$7:$U$95,MATCH(T22,Source!$V$7:$V$95,0)))</f>
        <v>-</v>
      </c>
      <c r="T22" s="586" t="s">
        <v>313</v>
      </c>
      <c r="U22" s="182" t="s">
        <v>1106</v>
      </c>
      <c r="V22" s="93"/>
      <c r="W22" s="585" t="str">
        <f aca="false" t="array" ref="W22:W22">IF(ISNA(INDEX(Source!$U$7:$U$95,MATCH(X22,Source!$V$7:$V$95,0))),"-",INDEX(Source!$U$7:$U$95,MATCH(X22,Source!$V$7:$V$95,0)))</f>
        <v>-</v>
      </c>
      <c r="X22" s="586" t="s">
        <v>482</v>
      </c>
      <c r="Y22" s="182" t="s">
        <v>1107</v>
      </c>
      <c r="Z22" s="93"/>
      <c r="AA22" s="585" t="str">
        <f aca="false" t="array" ref="AA22:AA22">IF(ISNA(INDEX(Source!$U$7:$U$95,MATCH(AB22,Source!$V$7:$V$95,0))),"-",INDEX(Source!$U$7:$U$95,MATCH(AB22,Source!$V$7:$V$95,0)))</f>
        <v>-</v>
      </c>
      <c r="AB22" s="586" t="s">
        <v>1216</v>
      </c>
      <c r="AC22" s="182" t="s">
        <v>1108</v>
      </c>
      <c r="AD22" s="93"/>
      <c r="AE22" s="93"/>
      <c r="AF22" s="616"/>
      <c r="AG22" s="93"/>
      <c r="AH22" s="93"/>
      <c r="AI22" s="585" t="str">
        <f aca="false" t="array" ref="AI22:AI22">IF(ISNA(INDEX(Source!$U$7:$U$95,MATCH(AJ22,Source!$V$7:$V$95,0))),"-",INDEX(Source!$U$7:$U$95,MATCH(AJ22,Source!$V$7:$V$95,0)))</f>
        <v>-</v>
      </c>
      <c r="AJ22" s="586" t="s">
        <v>452</v>
      </c>
      <c r="AK22" s="182" t="s">
        <v>1110</v>
      </c>
      <c r="AL22" s="93"/>
      <c r="AM22" s="585" t="str">
        <f aca="false" t="array" ref="AM22:AM22">IF(ISNA(INDEX(Source!$U$7:$U$95,MATCH(AN22,Source!$V$7:$V$95,0))),"-",INDEX(Source!$U$7:$U$95,MATCH(AN22,Source!$V$7:$V$95,0)))</f>
        <v>-</v>
      </c>
      <c r="AN22" s="586" t="s">
        <v>1217</v>
      </c>
      <c r="AO22" s="182" t="s">
        <v>1112</v>
      </c>
      <c r="AP22" s="93"/>
      <c r="AQ22" s="585" t="str">
        <f aca="false" t="array" ref="AQ22:AQ22">IF(ISNA(INDEX(Source!$U$7:$U$95,MATCH(AR22,Source!$V$7:$V$95,0))),"-",INDEX(Source!$U$7:$U$95,MATCH(AR22,Source!$V$7:$V$95,0)))</f>
        <v>-</v>
      </c>
      <c r="AR22" s="586" t="s">
        <v>640</v>
      </c>
      <c r="AS22" s="182" t="s">
        <v>1113</v>
      </c>
      <c r="AT22" s="93"/>
      <c r="AU22" s="585" t="str">
        <f aca="false" t="array" ref="AU22:AU22">IF(ISNA(INDEX(Source!$U$7:$U$95,MATCH(AV22,Source!$V$7:$V$95,0))),"-",INDEX(Source!$U$7:$U$95,MATCH(AV22,Source!$V$7:$V$95,0)))</f>
        <v>-</v>
      </c>
      <c r="AV22" s="586" t="s">
        <v>320</v>
      </c>
      <c r="AW22" s="182" t="s">
        <v>1114</v>
      </c>
      <c r="AX22" s="93"/>
      <c r="AY22" s="585" t="str">
        <f aca="false" t="array" ref="AY22:AY22">IF(ISNA(INDEX(Source!$U$7:$U$95,MATCH(AZ22,Source!$V$7:$V$95,0))),"-",INDEX(Source!$U$7:$U$95,MATCH(AZ22,Source!$V$7:$V$95,0)))</f>
        <v>BTB</v>
      </c>
      <c r="AZ22" s="586" t="s">
        <v>259</v>
      </c>
      <c r="BA22" s="182" t="s">
        <v>1115</v>
      </c>
      <c r="BB22" s="507"/>
      <c r="BC22" s="507"/>
      <c r="BD22" s="507"/>
    </row>
    <row r="23" customFormat="false" ht="15.75" hidden="false" customHeight="false" outlineLevel="0" collapsed="false">
      <c r="A23" s="589" t="s">
        <v>1218</v>
      </c>
      <c r="B23" s="589"/>
      <c r="C23" s="589"/>
      <c r="D23" s="620" t="s">
        <v>907</v>
      </c>
      <c r="E23" s="591" t="s">
        <v>1117</v>
      </c>
      <c r="F23" s="582" t="n">
        <v>20</v>
      </c>
      <c r="G23" s="582" t="n">
        <v>65</v>
      </c>
      <c r="H23" s="592" t="n">
        <v>0.85</v>
      </c>
      <c r="I23" s="593"/>
      <c r="J23" s="589" t="s">
        <v>1219</v>
      </c>
      <c r="K23" s="589"/>
      <c r="L23" s="589"/>
      <c r="M23" s="621" t="s">
        <v>881</v>
      </c>
      <c r="N23" s="581" t="s">
        <v>1119</v>
      </c>
      <c r="O23" s="582" t="n">
        <v>20</v>
      </c>
      <c r="P23" s="583" t="s">
        <v>1120</v>
      </c>
      <c r="Q23" s="595"/>
      <c r="R23" s="93"/>
      <c r="S23" s="585" t="str">
        <f aca="false" t="array" ref="S23:S23">IF(ISNA(INDEX(Source!$U$7:$U$95,MATCH(T23,Source!$V$7:$V$95,0))),"-",INDEX(Source!$U$7:$U$95,MATCH(T23,Source!$V$7:$V$95,0)))</f>
        <v>-</v>
      </c>
      <c r="T23" s="586" t="s">
        <v>1220</v>
      </c>
      <c r="U23" s="182" t="s">
        <v>1106</v>
      </c>
      <c r="V23" s="93"/>
      <c r="W23" s="585" t="str">
        <f aca="false" t="array" ref="W23:W23">IF(ISNA(INDEX(Source!$U$7:$U$95,MATCH(X23,Source!$V$7:$V$95,0))),"-",INDEX(Source!$U$7:$U$95,MATCH(X23,Source!$V$7:$V$95,0)))</f>
        <v>-</v>
      </c>
      <c r="X23" s="586" t="s">
        <v>750</v>
      </c>
      <c r="Y23" s="182" t="s">
        <v>1107</v>
      </c>
      <c r="Z23" s="93"/>
      <c r="AA23" s="585" t="str">
        <f aca="false" t="array" ref="AA23:AA23">IF(ISNA(INDEX(Source!$U$7:$U$95,MATCH(AB23,Source!$V$7:$V$95,0))),"-",INDEX(Source!$U$7:$U$95,MATCH(AB23,Source!$V$7:$V$95,0)))</f>
        <v>-</v>
      </c>
      <c r="AB23" s="586" t="s">
        <v>471</v>
      </c>
      <c r="AC23" s="182" t="s">
        <v>1108</v>
      </c>
      <c r="AD23" s="93"/>
      <c r="AE23" s="93"/>
      <c r="AF23" s="616"/>
      <c r="AG23" s="93"/>
      <c r="AH23" s="93"/>
      <c r="AI23" s="585" t="str">
        <f aca="false" t="array" ref="AI23:AI23">IF(ISNA(INDEX(Source!$U$7:$U$95,MATCH(AJ23,Source!$V$7:$V$95,0))),"-",INDEX(Source!$U$7:$U$95,MATCH(AJ23,Source!$V$7:$V$95,0)))</f>
        <v>-</v>
      </c>
      <c r="AJ23" s="586" t="s">
        <v>462</v>
      </c>
      <c r="AK23" s="182" t="s">
        <v>1110</v>
      </c>
      <c r="AL23" s="93"/>
      <c r="AM23" s="585" t="str">
        <f aca="false" t="array" ref="AM23:AM23">IF(ISNA(INDEX(Source!$U$7:$U$95,MATCH(AN23,Source!$V$7:$V$95,0))),"-",INDEX(Source!$U$7:$U$95,MATCH(AN23,Source!$V$7:$V$95,0)))</f>
        <v>-</v>
      </c>
      <c r="AN23" s="586" t="s">
        <v>533</v>
      </c>
      <c r="AO23" s="182" t="s">
        <v>1112</v>
      </c>
      <c r="AP23" s="93"/>
      <c r="AQ23" s="585" t="str">
        <f aca="false" t="array" ref="AQ23:AQ23">IF(ISNA(INDEX(Source!$U$7:$U$95,MATCH(AR23,Source!$V$7:$V$95,0))),"-",INDEX(Source!$U$7:$U$95,MATCH(AR23,Source!$V$7:$V$95,0)))</f>
        <v>-</v>
      </c>
      <c r="AR23" s="586" t="s">
        <v>642</v>
      </c>
      <c r="AS23" s="182" t="s">
        <v>1113</v>
      </c>
      <c r="AT23" s="93"/>
      <c r="AU23" s="585" t="str">
        <f aca="false" t="array" ref="AU23:AU23">IF(ISNA(INDEX(Source!$U$7:$U$95,MATCH(AV23,Source!$V$7:$V$95,0))),"-",INDEX(Source!$U$7:$U$95,MATCH(AV23,Source!$V$7:$V$95,0)))</f>
        <v>-</v>
      </c>
      <c r="AV23" s="586" t="s">
        <v>1221</v>
      </c>
      <c r="AW23" s="182" t="s">
        <v>1114</v>
      </c>
      <c r="AX23" s="93"/>
      <c r="AY23" s="585" t="str">
        <f aca="false" t="array" ref="AY23:AY23">IF(ISNA(INDEX(Source!$U$7:$U$95,MATCH(AZ23,Source!$V$7:$V$95,0))),"-",INDEX(Source!$U$7:$U$95,MATCH(AZ23,Source!$V$7:$V$95,0)))</f>
        <v>-</v>
      </c>
      <c r="AZ23" s="586" t="s">
        <v>1222</v>
      </c>
      <c r="BA23" s="182" t="s">
        <v>1115</v>
      </c>
      <c r="BB23" s="507"/>
      <c r="BC23" s="507"/>
      <c r="BD23" s="507"/>
    </row>
    <row r="24" customFormat="false" ht="15.75" hidden="false" customHeight="false" outlineLevel="0" collapsed="false">
      <c r="A24" s="589" t="s">
        <v>1223</v>
      </c>
      <c r="B24" s="589"/>
      <c r="C24" s="589"/>
      <c r="D24" s="620" t="s">
        <v>907</v>
      </c>
      <c r="E24" s="591" t="s">
        <v>1117</v>
      </c>
      <c r="F24" s="582" t="n">
        <v>10</v>
      </c>
      <c r="G24" s="582" t="n">
        <v>25</v>
      </c>
      <c r="H24" s="592" t="n">
        <v>0.9</v>
      </c>
      <c r="I24" s="593"/>
      <c r="J24" s="589" t="s">
        <v>1224</v>
      </c>
      <c r="K24" s="589"/>
      <c r="L24" s="589"/>
      <c r="M24" s="598" t="s">
        <v>828</v>
      </c>
      <c r="N24" s="581" t="s">
        <v>1119</v>
      </c>
      <c r="O24" s="582" t="n">
        <v>20</v>
      </c>
      <c r="P24" s="583" t="s">
        <v>1120</v>
      </c>
      <c r="Q24" s="595"/>
      <c r="R24" s="93"/>
      <c r="S24" s="585" t="str">
        <f aca="false" t="array" ref="S24:S24">IF(ISNA(INDEX(Source!$U$7:$U$95,MATCH(T24,Source!$V$7:$V$95,0))),"-",INDEX(Source!$U$7:$U$95,MATCH(T24,Source!$V$7:$V$95,0)))</f>
        <v>-</v>
      </c>
      <c r="T24" s="586" t="s">
        <v>1225</v>
      </c>
      <c r="U24" s="182" t="s">
        <v>1106</v>
      </c>
      <c r="V24" s="93"/>
      <c r="W24" s="585" t="str">
        <f aca="false" t="array" ref="W24:W24">IF(ISNA(INDEX(Source!$U$7:$U$95,MATCH(X24,Source!$V$7:$V$95,0))),"-",INDEX(Source!$U$7:$U$95,MATCH(X24,Source!$V$7:$V$95,0)))</f>
        <v>-</v>
      </c>
      <c r="X24" s="586" t="s">
        <v>721</v>
      </c>
      <c r="Y24" s="182" t="s">
        <v>1107</v>
      </c>
      <c r="Z24" s="93"/>
      <c r="AA24" s="585" t="str">
        <f aca="false" t="array" ref="AA24:AA24">IF(ISNA(INDEX(Source!$U$7:$U$95,MATCH(AB24,Source!$V$7:$V$95,0))),"-",INDEX(Source!$U$7:$U$95,MATCH(AB24,Source!$V$7:$V$95,0)))</f>
        <v>-</v>
      </c>
      <c r="AB24" s="586" t="s">
        <v>1226</v>
      </c>
      <c r="AC24" s="182" t="s">
        <v>1108</v>
      </c>
      <c r="AD24" s="93"/>
      <c r="AE24" s="93"/>
      <c r="AF24" s="616"/>
      <c r="AG24" s="93"/>
      <c r="AH24" s="93"/>
      <c r="AI24" s="585" t="str">
        <f aca="false" t="array" ref="AI24:AI24">IF(ISNA(INDEX(Source!$U$7:$U$95,MATCH(AJ24,Source!$V$7:$V$95,0))),"-",INDEX(Source!$U$7:$U$95,MATCH(AJ24,Source!$V$7:$V$95,0)))</f>
        <v>-</v>
      </c>
      <c r="AJ24" s="586" t="s">
        <v>473</v>
      </c>
      <c r="AK24" s="182" t="s">
        <v>1110</v>
      </c>
      <c r="AL24" s="93"/>
      <c r="AM24" s="585" t="str">
        <f aca="false" t="array" ref="AM24:AM24">IF(ISNA(INDEX(Source!$U$7:$U$95,MATCH(AN24,Source!$V$7:$V$95,0))),"-",INDEX(Source!$U$7:$U$95,MATCH(AN24,Source!$V$7:$V$95,0)))</f>
        <v>-</v>
      </c>
      <c r="AN24" s="586" t="s">
        <v>537</v>
      </c>
      <c r="AO24" s="182" t="s">
        <v>1112</v>
      </c>
      <c r="AP24" s="93"/>
      <c r="AQ24" s="585" t="str">
        <f aca="false" t="array" ref="AQ24:AQ24">IF(ISNA(INDEX(Source!$U$7:$U$95,MATCH(AR24,Source!$V$7:$V$95,0))),"-",INDEX(Source!$U$7:$U$95,MATCH(AR24,Source!$V$7:$V$95,0)))</f>
        <v>-</v>
      </c>
      <c r="AR24" s="586" t="s">
        <v>680</v>
      </c>
      <c r="AS24" s="182" t="s">
        <v>1113</v>
      </c>
      <c r="AT24" s="93"/>
      <c r="AU24" s="585" t="str">
        <f aca="false" t="array" ref="AU24:AU24">IF(ISNA(INDEX(Source!$U$7:$U$95,MATCH(AV24,Source!$V$7:$V$95,0))),"-",INDEX(Source!$U$7:$U$95,MATCH(AV24,Source!$V$7:$V$95,0)))</f>
        <v>-</v>
      </c>
      <c r="AV24" s="586" t="s">
        <v>405</v>
      </c>
      <c r="AW24" s="182" t="s">
        <v>1114</v>
      </c>
      <c r="AX24" s="93"/>
      <c r="AY24" s="585" t="str">
        <f aca="false" t="array" ref="AY24:AY24">IF(ISNA(INDEX(Source!$U$7:$U$95,MATCH(AZ24,Source!$V$7:$V$95,0))),"-",INDEX(Source!$U$7:$U$95,MATCH(AZ24,Source!$V$7:$V$95,0)))</f>
        <v>-</v>
      </c>
      <c r="AZ24" s="586" t="s">
        <v>439</v>
      </c>
      <c r="BA24" s="182" t="s">
        <v>1115</v>
      </c>
      <c r="BB24" s="507"/>
      <c r="BC24" s="507"/>
      <c r="BD24" s="507"/>
    </row>
    <row r="25" customFormat="false" ht="15.75" hidden="false" customHeight="false" outlineLevel="0" collapsed="false">
      <c r="A25" s="589" t="s">
        <v>1227</v>
      </c>
      <c r="B25" s="589"/>
      <c r="C25" s="589"/>
      <c r="D25" s="620" t="s">
        <v>907</v>
      </c>
      <c r="E25" s="591" t="s">
        <v>1117</v>
      </c>
      <c r="F25" s="582" t="n">
        <v>10</v>
      </c>
      <c r="G25" s="582" t="n">
        <v>50</v>
      </c>
      <c r="H25" s="592" t="n">
        <v>0.9</v>
      </c>
      <c r="I25" s="593"/>
      <c r="J25" s="589" t="s">
        <v>1228</v>
      </c>
      <c r="K25" s="589"/>
      <c r="L25" s="589"/>
      <c r="M25" s="594" t="s">
        <v>839</v>
      </c>
      <c r="N25" s="581" t="s">
        <v>1200</v>
      </c>
      <c r="O25" s="582" t="n">
        <v>20</v>
      </c>
      <c r="P25" s="592" t="n">
        <v>1</v>
      </c>
      <c r="Q25" s="595"/>
      <c r="R25" s="93"/>
      <c r="S25" s="585" t="str">
        <f aca="false" t="array" ref="S25:S25">IF(ISNA(INDEX(Source!$U$7:$U$95,MATCH(T25,Source!$V$7:$V$95,0))),"-",INDEX(Source!$U$7:$U$95,MATCH(T25,Source!$V$7:$V$95,0)))</f>
        <v>-</v>
      </c>
      <c r="T25" s="586" t="s">
        <v>385</v>
      </c>
      <c r="U25" s="182" t="s">
        <v>1106</v>
      </c>
      <c r="V25" s="93"/>
      <c r="W25" s="585" t="str">
        <f aca="false" t="array" ref="W25:W25">IF(ISNA(INDEX(Source!$U$7:$U$95,MATCH(X25,Source!$V$7:$V$95,0))),"-",INDEX(Source!$U$7:$U$95,MATCH(X25,Source!$V$7:$V$95,0)))</f>
        <v>-</v>
      </c>
      <c r="X25" s="586" t="s">
        <v>495</v>
      </c>
      <c r="Y25" s="182" t="s">
        <v>1107</v>
      </c>
      <c r="Z25" s="93"/>
      <c r="AA25" s="585" t="str">
        <f aca="false" t="array" ref="AA25:AA25">IF(ISNA(INDEX(Source!$U$7:$U$95,MATCH(AB25,Source!$V$7:$V$95,0))),"-",INDEX(Source!$U$7:$U$95,MATCH(AB25,Source!$V$7:$V$95,0)))</f>
        <v>-</v>
      </c>
      <c r="AB25" s="586" t="s">
        <v>597</v>
      </c>
      <c r="AC25" s="182" t="s">
        <v>1108</v>
      </c>
      <c r="AD25" s="93"/>
      <c r="AE25" s="93"/>
      <c r="AF25" s="616"/>
      <c r="AG25" s="93"/>
      <c r="AH25" s="93"/>
      <c r="AI25" s="585" t="str">
        <f aca="false" t="array" ref="AI25:AI25">IF(ISNA(INDEX(Source!$U$7:$U$95,MATCH(AJ25,Source!$V$7:$V$95,0))),"-",INDEX(Source!$U$7:$U$95,MATCH(AJ25,Source!$V$7:$V$95,0)))</f>
        <v>-</v>
      </c>
      <c r="AJ25" s="586" t="s">
        <v>406</v>
      </c>
      <c r="AK25" s="182" t="s">
        <v>1110</v>
      </c>
      <c r="AL25" s="93"/>
      <c r="AM25" s="585" t="str">
        <f aca="false" t="array" ref="AM25:AM25">IF(ISNA(INDEX(Source!$U$7:$U$95,MATCH(AN25,Source!$V$7:$V$95,0))),"-",INDEX(Source!$U$7:$U$95,MATCH(AN25,Source!$V$7:$V$95,0)))</f>
        <v>-</v>
      </c>
      <c r="AN25" s="586" t="s">
        <v>1052</v>
      </c>
      <c r="AO25" s="182" t="s">
        <v>1112</v>
      </c>
      <c r="AP25" s="93"/>
      <c r="AQ25" s="585" t="str">
        <f aca="false" t="array" ref="AQ25:AQ25">IF(ISNA(INDEX(Source!$U$7:$U$95,MATCH(AR25,Source!$V$7:$V$95,0))),"-",INDEX(Source!$U$7:$U$95,MATCH(AR25,Source!$V$7:$V$95,0)))</f>
        <v>-</v>
      </c>
      <c r="AR25" s="586" t="s">
        <v>552</v>
      </c>
      <c r="AS25" s="182" t="s">
        <v>1113</v>
      </c>
      <c r="AT25" s="93"/>
      <c r="AU25" s="585" t="str">
        <f aca="false" t="array" ref="AU25:AU25">IF(ISNA(INDEX(Source!$U$7:$U$95,MATCH(AV25,Source!$V$7:$V$95,0))),"-",INDEX(Source!$U$7:$U$95,MATCH(AV25,Source!$V$7:$V$95,0)))</f>
        <v>-</v>
      </c>
      <c r="AV25" s="586" t="s">
        <v>1229</v>
      </c>
      <c r="AW25" s="182" t="s">
        <v>1114</v>
      </c>
      <c r="AX25" s="93"/>
      <c r="AY25" s="585" t="str">
        <f aca="false" t="array" ref="AY25:AY25">IF(ISNA(INDEX(Source!$U$7:$U$95,MATCH(AZ25,Source!$V$7:$V$95,0))),"-",INDEX(Source!$U$7:$U$95,MATCH(AZ25,Source!$V$7:$V$95,0)))</f>
        <v>-</v>
      </c>
      <c r="AZ25" s="617" t="s">
        <v>1221</v>
      </c>
      <c r="BA25" s="182" t="s">
        <v>1115</v>
      </c>
      <c r="BB25" s="507"/>
      <c r="BC25" s="507"/>
      <c r="BD25" s="507"/>
    </row>
    <row r="26" customFormat="false" ht="15.75" hidden="false" customHeight="false" outlineLevel="0" collapsed="false">
      <c r="A26" s="589" t="s">
        <v>1230</v>
      </c>
      <c r="B26" s="589"/>
      <c r="C26" s="589"/>
      <c r="D26" s="590" t="s">
        <v>801</v>
      </c>
      <c r="E26" s="591" t="s">
        <v>1117</v>
      </c>
      <c r="F26" s="582" t="n">
        <v>5</v>
      </c>
      <c r="G26" s="582" t="n">
        <v>85</v>
      </c>
      <c r="H26" s="592" t="n">
        <v>0.85</v>
      </c>
      <c r="I26" s="593"/>
      <c r="J26" s="589" t="s">
        <v>1231</v>
      </c>
      <c r="K26" s="589"/>
      <c r="L26" s="589"/>
      <c r="M26" s="594" t="s">
        <v>839</v>
      </c>
      <c r="N26" s="581" t="s">
        <v>1185</v>
      </c>
      <c r="O26" s="582" t="n">
        <v>20</v>
      </c>
      <c r="P26" s="592" t="n">
        <v>1</v>
      </c>
      <c r="Q26" s="595"/>
      <c r="R26" s="93"/>
      <c r="S26" s="585" t="str">
        <f aca="false" t="array" ref="S26:S26">IF(ISNA(INDEX(Source!$U$7:$U$95,MATCH(T26,Source!$V$7:$V$95,0))),"-",INDEX(Source!$U$7:$U$95,MATCH(T26,Source!$V$7:$V$95,0)))</f>
        <v>-</v>
      </c>
      <c r="T26" s="586" t="s">
        <v>1232</v>
      </c>
      <c r="U26" s="182" t="s">
        <v>1106</v>
      </c>
      <c r="V26" s="93"/>
      <c r="W26" s="585" t="str">
        <f aca="false" t="array" ref="W26:W26">IF(ISNA(INDEX(Source!$U$7:$U$95,MATCH(X26,Source!$V$7:$V$95,0))),"-",INDEX(Source!$U$7:$U$95,MATCH(X26,Source!$V$7:$V$95,0)))</f>
        <v>-</v>
      </c>
      <c r="X26" s="586" t="s">
        <v>743</v>
      </c>
      <c r="Y26" s="182" t="s">
        <v>1107</v>
      </c>
      <c r="Z26" s="93"/>
      <c r="AA26" s="585" t="str">
        <f aca="false" t="array" ref="AA26:AA26">IF(ISNA(INDEX(Source!$U$7:$U$95,MATCH(AB26,Source!$V$7:$V$95,0))),"-",INDEX(Source!$U$7:$U$95,MATCH(AB26,Source!$V$7:$V$95,0)))</f>
        <v>-</v>
      </c>
      <c r="AB26" s="586" t="s">
        <v>1233</v>
      </c>
      <c r="AC26" s="182" t="s">
        <v>1108</v>
      </c>
      <c r="AD26" s="93"/>
      <c r="AE26" s="93"/>
      <c r="AF26" s="616"/>
      <c r="AG26" s="93"/>
      <c r="AH26" s="93"/>
      <c r="AI26" s="585" t="str">
        <f aca="false" t="array" ref="AI26:AI26">IF(ISNA(INDEX(Source!$U$7:$U$95,MATCH(AJ26,Source!$V$7:$V$95,0))),"-",INDEX(Source!$U$7:$U$95,MATCH(AJ26,Source!$V$7:$V$95,0)))</f>
        <v>-</v>
      </c>
      <c r="AJ26" s="586" t="s">
        <v>1234</v>
      </c>
      <c r="AK26" s="182" t="s">
        <v>1110</v>
      </c>
      <c r="AL26" s="93"/>
      <c r="AM26" s="585" t="str">
        <f aca="false" t="array" ref="AM26:AM26">IF(ISNA(INDEX(Source!$U$7:$U$95,MATCH(AN26,Source!$V$7:$V$95,0))),"-",INDEX(Source!$U$7:$U$95,MATCH(AN26,Source!$V$7:$V$95,0)))</f>
        <v>-</v>
      </c>
      <c r="AN26" s="586" t="s">
        <v>1233</v>
      </c>
      <c r="AO26" s="182" t="s">
        <v>1112</v>
      </c>
      <c r="AP26" s="93"/>
      <c r="AQ26" s="585" t="str">
        <f aca="false" t="array" ref="AQ26:AQ26">IF(ISNA(INDEX(Source!$U$7:$U$95,MATCH(AR26,Source!$V$7:$V$95,0))),"-",INDEX(Source!$U$7:$U$95,MATCH(AR26,Source!$V$7:$V$95,0)))</f>
        <v>-</v>
      </c>
      <c r="AR26" s="586" t="s">
        <v>338</v>
      </c>
      <c r="AS26" s="182" t="s">
        <v>1113</v>
      </c>
      <c r="AT26" s="93"/>
      <c r="AU26" s="585" t="str">
        <f aca="false" t="array" ref="AU26:AU26">IF(ISNA(INDEX(Source!$U$7:$U$95,MATCH(AV26,Source!$V$7:$V$95,0))),"-",INDEX(Source!$U$7:$U$95,MATCH(AV26,Source!$V$7:$V$95,0)))</f>
        <v>-</v>
      </c>
      <c r="AV26" s="586" t="s">
        <v>1235</v>
      </c>
      <c r="AW26" s="182" t="s">
        <v>1114</v>
      </c>
      <c r="AX26" s="93"/>
      <c r="AY26" s="585" t="str">
        <f aca="false" t="array" ref="AY26:AY26">IF(ISNA(INDEX(Source!$U$7:$U$95,MATCH(AZ26,Source!$V$7:$V$95,0))),"-",INDEX(Source!$U$7:$U$95,MATCH(AZ26,Source!$V$7:$V$95,0)))</f>
        <v>-</v>
      </c>
      <c r="AZ26" s="586" t="s">
        <v>542</v>
      </c>
      <c r="BA26" s="182" t="s">
        <v>1115</v>
      </c>
      <c r="BB26" s="507"/>
      <c r="BC26" s="507"/>
      <c r="BD26" s="507"/>
    </row>
    <row r="27" customFormat="false" ht="15.75" hidden="false" customHeight="false" outlineLevel="0" collapsed="false">
      <c r="A27" s="589" t="s">
        <v>1236</v>
      </c>
      <c r="B27" s="589"/>
      <c r="C27" s="589"/>
      <c r="D27" s="590" t="s">
        <v>801</v>
      </c>
      <c r="E27" s="591" t="s">
        <v>1117</v>
      </c>
      <c r="F27" s="582" t="n">
        <v>15</v>
      </c>
      <c r="G27" s="582" t="n">
        <v>120</v>
      </c>
      <c r="H27" s="592" t="n">
        <v>1</v>
      </c>
      <c r="I27" s="593"/>
      <c r="J27" s="589" t="s">
        <v>1237</v>
      </c>
      <c r="K27" s="589"/>
      <c r="L27" s="589"/>
      <c r="M27" s="594" t="s">
        <v>839</v>
      </c>
      <c r="N27" s="581" t="s">
        <v>1200</v>
      </c>
      <c r="O27" s="582" t="n">
        <v>40</v>
      </c>
      <c r="P27" s="583" t="s">
        <v>1120</v>
      </c>
      <c r="Q27" s="595"/>
      <c r="R27" s="93"/>
      <c r="S27" s="585" t="str">
        <f aca="false" t="array" ref="S27:S27">IF(ISNA(INDEX(Source!$U$7:$U$95,MATCH(T27,Source!$V$7:$V$95,0))),"-",INDEX(Source!$U$7:$U$95,MATCH(T27,Source!$V$7:$V$95,0)))</f>
        <v>-</v>
      </c>
      <c r="T27" s="586" t="s">
        <v>424</v>
      </c>
      <c r="U27" s="182" t="s">
        <v>1106</v>
      </c>
      <c r="V27" s="93"/>
      <c r="W27" s="585" t="str">
        <f aca="false" t="array" ref="W27:W27">IF(ISNA(INDEX(Source!$U$7:$U$95,MATCH(X27,Source!$V$7:$V$95,0))),"-",INDEX(Source!$U$7:$U$95,MATCH(X27,Source!$V$7:$V$95,0)))</f>
        <v>-</v>
      </c>
      <c r="X27" s="586" t="s">
        <v>993</v>
      </c>
      <c r="Y27" s="182" t="s">
        <v>1107</v>
      </c>
      <c r="Z27" s="93"/>
      <c r="AA27" s="585" t="str">
        <f aca="false" t="array" ref="AA27:AA27">IF(ISNA(INDEX(Source!$U$7:$U$95,MATCH(AB27,Source!$V$7:$V$95,0))),"-",INDEX(Source!$U$7:$U$95,MATCH(AB27,Source!$V$7:$V$95,0)))</f>
        <v>-</v>
      </c>
      <c r="AB27" s="586" t="s">
        <v>611</v>
      </c>
      <c r="AC27" s="182" t="s">
        <v>1108</v>
      </c>
      <c r="AD27" s="93"/>
      <c r="AE27" s="93"/>
      <c r="AF27" s="616"/>
      <c r="AG27" s="93"/>
      <c r="AH27" s="93"/>
      <c r="AI27" s="585" t="str">
        <f aca="false" t="array" ref="AI27:AI27">IF(ISNA(INDEX(Source!$U$7:$U$95,MATCH(AJ27,Source!$V$7:$V$95,0))),"-",INDEX(Source!$U$7:$U$95,MATCH(AJ27,Source!$V$7:$V$95,0)))</f>
        <v>LVC</v>
      </c>
      <c r="AJ27" s="586" t="s">
        <v>246</v>
      </c>
      <c r="AK27" s="182" t="s">
        <v>1110</v>
      </c>
      <c r="AL27" s="93"/>
      <c r="AM27" s="585" t="str">
        <f aca="false" t="array" ref="AM27:AM27">IF(ISNA(INDEX(Source!$U$7:$U$95,MATCH(AN27,Source!$V$7:$V$95,0))),"-",INDEX(Source!$U$7:$U$95,MATCH(AN27,Source!$V$7:$V$95,0)))</f>
        <v>-</v>
      </c>
      <c r="AN27" s="586" t="s">
        <v>1238</v>
      </c>
      <c r="AO27" s="182" t="s">
        <v>1112</v>
      </c>
      <c r="AP27" s="93"/>
      <c r="AQ27" s="585" t="str">
        <f aca="false" t="array" ref="AQ27:AQ27">IF(ISNA(INDEX(Source!$U$7:$U$95,MATCH(AR27,Source!$V$7:$V$95,0))),"-",INDEX(Source!$U$7:$U$95,MATCH(AR27,Source!$V$7:$V$95,0)))</f>
        <v>-</v>
      </c>
      <c r="AR27" s="586" t="s">
        <v>1239</v>
      </c>
      <c r="AS27" s="182" t="s">
        <v>1113</v>
      </c>
      <c r="AT27" s="93"/>
      <c r="AU27" s="585" t="str">
        <f aca="false" t="array" ref="AU27:AU27">IF(ISNA(INDEX(Source!$U$7:$U$95,MATCH(AV27,Source!$V$7:$V$95,0))),"-",INDEX(Source!$U$7:$U$95,MATCH(AV27,Source!$V$7:$V$95,0)))</f>
        <v>-</v>
      </c>
      <c r="AV27" s="617" t="s">
        <v>1180</v>
      </c>
      <c r="AW27" s="182" t="s">
        <v>1114</v>
      </c>
      <c r="AX27" s="93"/>
      <c r="AY27" s="585" t="str">
        <f aca="false" t="array" ref="AY27:AY27">IF(ISNA(INDEX(Source!$U$7:$U$95,MATCH(AZ27,Source!$V$7:$V$95,0))),"-",INDEX(Source!$U$7:$U$95,MATCH(AZ27,Source!$V$7:$V$95,0)))</f>
        <v>-</v>
      </c>
      <c r="AZ27" s="617" t="s">
        <v>405</v>
      </c>
      <c r="BA27" s="182" t="s">
        <v>1115</v>
      </c>
      <c r="BB27" s="507"/>
      <c r="BC27" s="507"/>
      <c r="BD27" s="507"/>
    </row>
    <row r="28" customFormat="false" ht="15.75" hidden="false" customHeight="false" outlineLevel="0" collapsed="false">
      <c r="A28" s="589" t="s">
        <v>1240</v>
      </c>
      <c r="B28" s="589"/>
      <c r="C28" s="589"/>
      <c r="D28" s="600" t="s">
        <v>881</v>
      </c>
      <c r="E28" s="591" t="s">
        <v>1117</v>
      </c>
      <c r="F28" s="582" t="n">
        <v>15</v>
      </c>
      <c r="G28" s="582" t="n">
        <v>75</v>
      </c>
      <c r="H28" s="592" t="n">
        <v>1</v>
      </c>
      <c r="I28" s="593"/>
      <c r="J28" s="589" t="s">
        <v>1241</v>
      </c>
      <c r="K28" s="589"/>
      <c r="L28" s="589"/>
      <c r="M28" s="622" t="s">
        <v>845</v>
      </c>
      <c r="N28" s="581" t="s">
        <v>1119</v>
      </c>
      <c r="O28" s="582" t="n">
        <v>20</v>
      </c>
      <c r="P28" s="583" t="s">
        <v>1120</v>
      </c>
      <c r="Q28" s="595"/>
      <c r="R28" s="93"/>
      <c r="S28" s="585" t="str">
        <f aca="false" t="array" ref="S28:S28">IF(ISNA(INDEX(Source!$U$7:$U$95,MATCH(T28,Source!$V$7:$V$95,0))),"-",INDEX(Source!$U$7:$U$95,MATCH(T28,Source!$V$7:$V$95,0)))</f>
        <v>LVC</v>
      </c>
      <c r="T28" s="586" t="s">
        <v>62</v>
      </c>
      <c r="U28" s="182" t="s">
        <v>1106</v>
      </c>
      <c r="V28" s="93"/>
      <c r="W28" s="585" t="str">
        <f aca="false" t="array" ref="W28:W28">IF(ISNA(INDEX(Source!$U$7:$U$95,MATCH(X28,Source!$V$7:$V$95,0))),"-",INDEX(Source!$U$7:$U$95,MATCH(X28,Source!$V$7:$V$95,0)))</f>
        <v>-</v>
      </c>
      <c r="X28" s="586" t="s">
        <v>421</v>
      </c>
      <c r="Y28" s="182" t="s">
        <v>1107</v>
      </c>
      <c r="Z28" s="93"/>
      <c r="AA28" s="585" t="str">
        <f aca="false" t="array" ref="AA28:AA28">IF(ISNA(INDEX(Source!$U$7:$U$95,MATCH(AB28,Source!$V$7:$V$95,0))),"-",INDEX(Source!$U$7:$U$95,MATCH(AB28,Source!$V$7:$V$95,0)))</f>
        <v>-</v>
      </c>
      <c r="AB28" s="586" t="s">
        <v>528</v>
      </c>
      <c r="AC28" s="182" t="s">
        <v>1108</v>
      </c>
      <c r="AD28" s="93"/>
      <c r="AE28" s="93"/>
      <c r="AF28" s="616"/>
      <c r="AG28" s="93"/>
      <c r="AH28" s="93"/>
      <c r="AI28" s="585" t="str">
        <f aca="false" t="array" ref="AI28:AI28">IF(ISNA(INDEX(Source!$U$7:$U$95,MATCH(AJ28,Source!$V$7:$V$95,0))),"-",INDEX(Source!$U$7:$U$95,MATCH(AJ28,Source!$V$7:$V$95,0)))</f>
        <v>-</v>
      </c>
      <c r="AJ28" s="586" t="s">
        <v>496</v>
      </c>
      <c r="AK28" s="182" t="s">
        <v>1110</v>
      </c>
      <c r="AL28" s="93"/>
      <c r="AM28" s="585" t="str">
        <f aca="false" t="array" ref="AM28:AM28">IF(ISNA(INDEX(Source!$U$7:$U$95,MATCH(AN28,Source!$V$7:$V$95,0))),"-",INDEX(Source!$U$7:$U$95,MATCH(AN28,Source!$V$7:$V$95,0)))</f>
        <v>-</v>
      </c>
      <c r="AN28" s="586" t="s">
        <v>1242</v>
      </c>
      <c r="AO28" s="182" t="s">
        <v>1112</v>
      </c>
      <c r="AP28" s="93"/>
      <c r="AQ28" s="585" t="str">
        <f aca="false" t="array" ref="AQ28:AQ28">IF(ISNA(INDEX(Source!$U$7:$U$95,MATCH(AR28,Source!$V$7:$V$95,0))),"-",INDEX(Source!$U$7:$U$95,MATCH(AR28,Source!$V$7:$V$95,0)))</f>
        <v>-</v>
      </c>
      <c r="AR28" s="586" t="s">
        <v>425</v>
      </c>
      <c r="AS28" s="182" t="s">
        <v>1113</v>
      </c>
      <c r="AT28" s="93"/>
      <c r="AU28" s="585" t="str">
        <f aca="false" t="array" ref="AU28:AU28">IF(ISNA(INDEX(Source!$U$7:$U$95,MATCH(AV28,Source!$V$7:$V$95,0))),"-",INDEX(Source!$U$7:$U$95,MATCH(AV28,Source!$V$7:$V$95,0)))</f>
        <v>-</v>
      </c>
      <c r="AV28" s="586" t="s">
        <v>560</v>
      </c>
      <c r="AW28" s="182" t="s">
        <v>1114</v>
      </c>
      <c r="AX28" s="93"/>
      <c r="AY28" s="585" t="str">
        <f aca="false" t="array" ref="AY28:AY28">IF(ISNA(INDEX(Source!$U$7:$U$95,MATCH(AZ28,Source!$V$7:$V$95,0))),"-",INDEX(Source!$U$7:$U$95,MATCH(AZ28,Source!$V$7:$V$95,0)))</f>
        <v>-</v>
      </c>
      <c r="AZ28" s="617" t="s">
        <v>549</v>
      </c>
      <c r="BA28" s="182" t="s">
        <v>1115</v>
      </c>
      <c r="BB28" s="507"/>
      <c r="BC28" s="507"/>
      <c r="BD28" s="507"/>
    </row>
    <row r="29" customFormat="false" ht="15.75" hidden="false" customHeight="false" outlineLevel="0" collapsed="false">
      <c r="A29" s="589" t="s">
        <v>1243</v>
      </c>
      <c r="B29" s="589"/>
      <c r="C29" s="589"/>
      <c r="D29" s="603" t="s">
        <v>795</v>
      </c>
      <c r="E29" s="591" t="s">
        <v>1117</v>
      </c>
      <c r="F29" s="582" t="n">
        <v>20</v>
      </c>
      <c r="G29" s="582" t="n">
        <v>60</v>
      </c>
      <c r="H29" s="592" t="n">
        <v>1</v>
      </c>
      <c r="I29" s="593"/>
      <c r="J29" s="589" t="s">
        <v>1244</v>
      </c>
      <c r="K29" s="589"/>
      <c r="L29" s="589"/>
      <c r="M29" s="606" t="s">
        <v>798</v>
      </c>
      <c r="N29" s="581" t="s">
        <v>1185</v>
      </c>
      <c r="O29" s="582" t="n">
        <v>20</v>
      </c>
      <c r="P29" s="592" t="n">
        <v>1</v>
      </c>
      <c r="Q29" s="595"/>
      <c r="R29" s="93"/>
      <c r="S29" s="585" t="str">
        <f aca="false" t="array" ref="S29:S29">IF(ISNA(INDEX(Source!$U$7:$U$95,MATCH(T29,Source!$V$7:$V$95,0))),"-",INDEX(Source!$U$7:$U$95,MATCH(T29,Source!$V$7:$V$95,0)))</f>
        <v>-</v>
      </c>
      <c r="T29" s="586" t="s">
        <v>429</v>
      </c>
      <c r="U29" s="182" t="s">
        <v>1106</v>
      </c>
      <c r="V29" s="93"/>
      <c r="W29" s="585" t="str">
        <f aca="false" t="array" ref="W29:W29">IF(ISNA(INDEX(Source!$U$7:$U$95,MATCH(X29,Source!$V$7:$V$95,0))),"-",INDEX(Source!$U$7:$U$95,MATCH(X29,Source!$V$7:$V$95,0)))</f>
        <v>-</v>
      </c>
      <c r="X29" s="586" t="s">
        <v>316</v>
      </c>
      <c r="Y29" s="182" t="s">
        <v>1107</v>
      </c>
      <c r="Z29" s="93"/>
      <c r="AA29" s="585" t="str">
        <f aca="false" t="array" ref="AA29:AA29">IF(ISNA(INDEX(Source!$U$7:$U$95,MATCH(AB29,Source!$V$7:$V$95,0))),"-",INDEX(Source!$U$7:$U$95,MATCH(AB29,Source!$V$7:$V$95,0)))</f>
        <v>-</v>
      </c>
      <c r="AB29" s="586" t="s">
        <v>540</v>
      </c>
      <c r="AC29" s="182" t="s">
        <v>1108</v>
      </c>
      <c r="AD29" s="93"/>
      <c r="AE29" s="93"/>
      <c r="AF29" s="616"/>
      <c r="AG29" s="93"/>
      <c r="AH29" s="93"/>
      <c r="AI29" s="585" t="str">
        <f aca="false" t="array" ref="AI29:AI29">IF(ISNA(INDEX(Source!$U$7:$U$95,MATCH(AJ29,Source!$V$7:$V$95,0))),"-",INDEX(Source!$U$7:$U$95,MATCH(AJ29,Source!$V$7:$V$95,0)))</f>
        <v>-</v>
      </c>
      <c r="AJ29" s="586" t="s">
        <v>1126</v>
      </c>
      <c r="AK29" s="182" t="s">
        <v>1110</v>
      </c>
      <c r="AL29" s="93"/>
      <c r="AM29" s="585" t="str">
        <f aca="false" t="array" ref="AM29:AM29">IF(ISNA(INDEX(Source!$U$7:$U$95,MATCH(AN29,Source!$V$7:$V$95,0))),"-",INDEX(Source!$U$7:$U$95,MATCH(AN29,Source!$V$7:$V$95,0)))</f>
        <v>KKS</v>
      </c>
      <c r="AN29" s="586" t="s">
        <v>111</v>
      </c>
      <c r="AO29" s="182" t="s">
        <v>1112</v>
      </c>
      <c r="AP29" s="93"/>
      <c r="AQ29" s="585" t="str">
        <f aca="false" t="array" ref="AQ29:AQ29">IF(ISNA(INDEX(Source!$U$7:$U$95,MATCH(AR29,Source!$V$7:$V$95,0))),"-",INDEX(Source!$U$7:$U$95,MATCH(AR29,Source!$V$7:$V$95,0)))</f>
        <v>-</v>
      </c>
      <c r="AR29" s="586" t="s">
        <v>1245</v>
      </c>
      <c r="AS29" s="182" t="s">
        <v>1113</v>
      </c>
      <c r="AT29" s="93"/>
      <c r="AU29" s="585" t="str">
        <f aca="false" t="array" ref="AU29:AU29">IF(ISNA(INDEX(Source!$U$7:$U$95,MATCH(AV29,Source!$V$7:$V$95,0))),"-",INDEX(Source!$U$7:$U$95,MATCH(AV29,Source!$V$7:$V$95,0)))</f>
        <v>-</v>
      </c>
      <c r="AV29" s="617" t="s">
        <v>1189</v>
      </c>
      <c r="AW29" s="182" t="s">
        <v>1114</v>
      </c>
      <c r="AX29" s="93"/>
      <c r="AY29" s="585" t="str">
        <f aca="false" t="array" ref="AY29:AY29">IF(ISNA(INDEX(Source!$U$7:$U$95,MATCH(AZ29,Source!$V$7:$V$95,0))),"-",INDEX(Source!$U$7:$U$95,MATCH(AZ29,Source!$V$7:$V$95,0)))</f>
        <v>-</v>
      </c>
      <c r="AZ29" s="617" t="s">
        <v>553</v>
      </c>
      <c r="BA29" s="182" t="s">
        <v>1115</v>
      </c>
      <c r="BB29" s="507"/>
      <c r="BC29" s="507"/>
      <c r="BD29" s="507"/>
    </row>
    <row r="30" customFormat="false" ht="15.75" hidden="false" customHeight="false" outlineLevel="0" collapsed="false">
      <c r="A30" s="589" t="s">
        <v>1246</v>
      </c>
      <c r="B30" s="589"/>
      <c r="C30" s="589"/>
      <c r="D30" s="607" t="s">
        <v>794</v>
      </c>
      <c r="E30" s="591" t="s">
        <v>1117</v>
      </c>
      <c r="F30" s="582" t="n">
        <v>20</v>
      </c>
      <c r="G30" s="582" t="n">
        <v>60</v>
      </c>
      <c r="H30" s="592" t="n">
        <v>1</v>
      </c>
      <c r="I30" s="593"/>
      <c r="J30" s="589" t="s">
        <v>1247</v>
      </c>
      <c r="K30" s="589"/>
      <c r="L30" s="589"/>
      <c r="M30" s="580" t="s">
        <v>843</v>
      </c>
      <c r="N30" s="581" t="s">
        <v>1119</v>
      </c>
      <c r="O30" s="582" t="n">
        <v>20</v>
      </c>
      <c r="P30" s="583" t="s">
        <v>1120</v>
      </c>
      <c r="Q30" s="595"/>
      <c r="R30" s="93"/>
      <c r="S30" s="585" t="str">
        <f aca="false" t="array" ref="S30:S30">IF(ISNA(INDEX(Source!$U$7:$U$95,MATCH(T30,Source!$V$7:$V$95,0))),"-",INDEX(Source!$U$7:$U$95,MATCH(T30,Source!$V$7:$V$95,0)))</f>
        <v>-</v>
      </c>
      <c r="T30" s="586" t="s">
        <v>440</v>
      </c>
      <c r="U30" s="182" t="s">
        <v>1106</v>
      </c>
      <c r="V30" s="93"/>
      <c r="W30" s="585" t="str">
        <f aca="false" t="array" ref="W30:W30">IF(ISNA(INDEX(Source!$U$7:$U$95,MATCH(X30,Source!$V$7:$V$95,0))),"-",INDEX(Source!$U$7:$U$95,MATCH(X30,Source!$V$7:$V$95,0)))</f>
        <v>-</v>
      </c>
      <c r="X30" s="586" t="s">
        <v>1226</v>
      </c>
      <c r="Y30" s="182" t="s">
        <v>1107</v>
      </c>
      <c r="Z30" s="93"/>
      <c r="AA30" s="585" t="str">
        <f aca="false" t="array" ref="AA30:AA30">IF(ISNA(INDEX(Source!$U$7:$U$95,MATCH(AB30,Source!$V$7:$V$95,0))),"-",INDEX(Source!$U$7:$U$95,MATCH(AB30,Source!$V$7:$V$95,0)))</f>
        <v>BTB</v>
      </c>
      <c r="AB30" s="586" t="s">
        <v>69</v>
      </c>
      <c r="AC30" s="182" t="s">
        <v>1108</v>
      </c>
      <c r="AD30" s="93"/>
      <c r="AE30" s="93"/>
      <c r="AF30" s="616"/>
      <c r="AG30" s="93"/>
      <c r="AH30" s="93"/>
      <c r="AI30" s="585" t="str">
        <f aca="false" t="array" ref="AI30:AI30">IF(ISNA(INDEX(Source!$U$7:$U$95,MATCH(AJ30,Source!$V$7:$V$95,0))),"-",INDEX(Source!$U$7:$U$95,MATCH(AJ30,Source!$V$7:$V$95,0)))</f>
        <v>-</v>
      </c>
      <c r="AJ30" s="586" t="s">
        <v>1196</v>
      </c>
      <c r="AK30" s="182" t="s">
        <v>1110</v>
      </c>
      <c r="AL30" s="93"/>
      <c r="AM30" s="585" t="str">
        <f aca="false" t="array" ref="AM30:AM30">IF(ISNA(INDEX(Source!$U$7:$U$95,MATCH(AN30,Source!$V$7:$V$95,0))),"-",INDEX(Source!$U$7:$U$95,MATCH(AN30,Source!$V$7:$V$95,0)))</f>
        <v>-</v>
      </c>
      <c r="AN30" s="586" t="s">
        <v>753</v>
      </c>
      <c r="AO30" s="182" t="s">
        <v>1112</v>
      </c>
      <c r="AP30" s="93"/>
      <c r="AQ30" s="585" t="str">
        <f aca="false" t="array" ref="AQ30:AQ30">IF(ISNA(INDEX(Source!$U$7:$U$95,MATCH(AR30,Source!$V$7:$V$95,0))),"-",INDEX(Source!$U$7:$U$95,MATCH(AR30,Source!$V$7:$V$95,0)))</f>
        <v>SGP</v>
      </c>
      <c r="AR30" s="586" t="s">
        <v>93</v>
      </c>
      <c r="AS30" s="182" t="s">
        <v>1113</v>
      </c>
      <c r="AT30" s="93"/>
      <c r="AU30" s="585" t="str">
        <f aca="false" t="array" ref="AU30:AU30">IF(ISNA(INDEX(Source!$U$7:$U$95,MATCH(AV30,Source!$V$7:$V$95,0))),"-",INDEX(Source!$U$7:$U$95,MATCH(AV30,Source!$V$7:$V$95,0)))</f>
        <v>-</v>
      </c>
      <c r="AV30" s="617" t="s">
        <v>1195</v>
      </c>
      <c r="AW30" s="182" t="s">
        <v>1114</v>
      </c>
      <c r="AX30" s="93"/>
      <c r="AY30" s="585" t="str">
        <f aca="false" t="array" ref="AY30:AY30">IF(ISNA(INDEX(Source!$U$7:$U$95,MATCH(AZ30,Source!$V$7:$V$95,0))),"-",INDEX(Source!$U$7:$U$95,MATCH(AZ30,Source!$V$7:$V$95,0)))</f>
        <v>-</v>
      </c>
      <c r="AZ30" s="586" t="s">
        <v>560</v>
      </c>
      <c r="BA30" s="182" t="s">
        <v>1115</v>
      </c>
      <c r="BB30" s="507"/>
      <c r="BC30" s="507"/>
      <c r="BD30" s="507"/>
    </row>
    <row r="31" customFormat="false" ht="15.75" hidden="false" customHeight="false" outlineLevel="0" collapsed="false">
      <c r="A31" s="589" t="s">
        <v>1248</v>
      </c>
      <c r="B31" s="589"/>
      <c r="C31" s="589"/>
      <c r="D31" s="620" t="s">
        <v>907</v>
      </c>
      <c r="E31" s="591" t="s">
        <v>1117</v>
      </c>
      <c r="F31" s="582" t="n">
        <v>20</v>
      </c>
      <c r="G31" s="582" t="n">
        <v>60</v>
      </c>
      <c r="H31" s="592" t="n">
        <v>1</v>
      </c>
      <c r="I31" s="593"/>
      <c r="J31" s="589" t="s">
        <v>1249</v>
      </c>
      <c r="K31" s="589"/>
      <c r="L31" s="589"/>
      <c r="M31" s="594" t="s">
        <v>839</v>
      </c>
      <c r="N31" s="581" t="s">
        <v>1185</v>
      </c>
      <c r="O31" s="582" t="n">
        <v>20</v>
      </c>
      <c r="P31" s="583" t="s">
        <v>1120</v>
      </c>
      <c r="Q31" s="595"/>
      <c r="R31" s="93"/>
      <c r="S31" s="585" t="str">
        <f aca="false" t="array" ref="S31:S31">IF(ISNA(INDEX(Source!$U$7:$U$95,MATCH(T31,Source!$V$7:$V$95,0))),"-",INDEX(Source!$U$7:$U$95,MATCH(T31,Source!$V$7:$V$95,0)))</f>
        <v>-</v>
      </c>
      <c r="T31" s="586" t="s">
        <v>334</v>
      </c>
      <c r="U31" s="182" t="s">
        <v>1106</v>
      </c>
      <c r="V31" s="93"/>
      <c r="W31" s="585" t="str">
        <f aca="false" t="array" ref="W31:W31">IF(ISNA(INDEX(Source!$U$7:$U$95,MATCH(X31,Source!$V$7:$V$95,0))),"-",INDEX(Source!$U$7:$U$95,MATCH(X31,Source!$V$7:$V$95,0)))</f>
        <v>-</v>
      </c>
      <c r="X31" s="586" t="s">
        <v>597</v>
      </c>
      <c r="Y31" s="182" t="s">
        <v>1107</v>
      </c>
      <c r="Z31" s="93"/>
      <c r="AA31" s="585" t="str">
        <f aca="false" t="array" ref="AA31:AA31">IF(ISNA(INDEX(Source!$U$7:$U$95,MATCH(AB31,Source!$V$7:$V$95,0))),"-",INDEX(Source!$U$7:$U$95,MATCH(AB31,Source!$V$7:$V$95,0)))</f>
        <v>-</v>
      </c>
      <c r="AB31" s="586" t="s">
        <v>1250</v>
      </c>
      <c r="AC31" s="182" t="s">
        <v>1108</v>
      </c>
      <c r="AD31" s="93"/>
      <c r="AE31" s="93"/>
      <c r="AF31" s="616"/>
      <c r="AG31" s="93"/>
      <c r="AH31" s="93"/>
      <c r="AI31" s="585" t="str">
        <f aca="false" t="array" ref="AI31:AI31">IF(ISNA(INDEX(Source!$U$7:$U$95,MATCH(AJ31,Source!$V$7:$V$95,0))),"-",INDEX(Source!$U$7:$U$95,MATCH(AJ31,Source!$V$7:$V$95,0)))</f>
        <v>BTB</v>
      </c>
      <c r="AJ31" s="586" t="s">
        <v>65</v>
      </c>
      <c r="AK31" s="182" t="s">
        <v>1110</v>
      </c>
      <c r="AL31" s="93"/>
      <c r="AM31" s="585" t="str">
        <f aca="false" t="array" ref="AM31:AM31">IF(ISNA(INDEX(Source!$U$7:$U$95,MATCH(AN31,Source!$V$7:$V$95,0))),"-",INDEX(Source!$U$7:$U$95,MATCH(AN31,Source!$V$7:$V$95,0)))</f>
        <v>-</v>
      </c>
      <c r="AN31" s="586" t="s">
        <v>1251</v>
      </c>
      <c r="AO31" s="182" t="s">
        <v>1112</v>
      </c>
      <c r="AP31" s="93"/>
      <c r="AQ31" s="585" t="str">
        <f aca="false" t="array" ref="AQ31:AQ31">IF(ISNA(INDEX(Source!$U$7:$U$95,MATCH(AR31,Source!$V$7:$V$95,0))),"-",INDEX(Source!$U$7:$U$95,MATCH(AR31,Source!$V$7:$V$95,0)))</f>
        <v>-</v>
      </c>
      <c r="AR31" s="586" t="s">
        <v>528</v>
      </c>
      <c r="AS31" s="182" t="s">
        <v>1113</v>
      </c>
      <c r="AT31" s="93"/>
      <c r="AU31" s="585" t="str">
        <f aca="false" t="array" ref="AU31:AU31">IF(ISNA(INDEX(Source!$U$7:$U$95,MATCH(AV31,Source!$V$7:$V$95,0))),"-",INDEX(Source!$U$7:$U$95,MATCH(AV31,Source!$V$7:$V$95,0)))</f>
        <v>SEA</v>
      </c>
      <c r="AV31" s="617" t="s">
        <v>49</v>
      </c>
      <c r="AW31" s="182" t="s">
        <v>1114</v>
      </c>
      <c r="AX31" s="93"/>
      <c r="AY31" s="585" t="str">
        <f aca="false" t="array" ref="AY31:AY31">IF(ISNA(INDEX(Source!$U$7:$U$95,MATCH(AZ31,Source!$V$7:$V$95,0))),"-",INDEX(Source!$U$7:$U$95,MATCH(AZ31,Source!$V$7:$V$95,0)))</f>
        <v>-</v>
      </c>
      <c r="AZ31" s="586" t="s">
        <v>568</v>
      </c>
      <c r="BA31" s="182" t="s">
        <v>1115</v>
      </c>
      <c r="BB31" s="507"/>
      <c r="BC31" s="507"/>
      <c r="BD31" s="507"/>
    </row>
    <row r="32" customFormat="false" ht="15.75" hidden="false" customHeight="false" outlineLevel="0" collapsed="false">
      <c r="A32" s="589" t="s">
        <v>1252</v>
      </c>
      <c r="B32" s="589"/>
      <c r="C32" s="589"/>
      <c r="D32" s="597" t="s">
        <v>810</v>
      </c>
      <c r="E32" s="591" t="s">
        <v>1117</v>
      </c>
      <c r="F32" s="582" t="n">
        <v>30</v>
      </c>
      <c r="G32" s="582" t="n">
        <v>40</v>
      </c>
      <c r="H32" s="592" t="n">
        <v>1</v>
      </c>
      <c r="I32" s="593"/>
      <c r="J32" s="589" t="s">
        <v>1253</v>
      </c>
      <c r="K32" s="589"/>
      <c r="L32" s="589"/>
      <c r="M32" s="623" t="s">
        <v>802</v>
      </c>
      <c r="N32" s="581" t="s">
        <v>1166</v>
      </c>
      <c r="O32" s="582" t="n">
        <v>10</v>
      </c>
      <c r="P32" s="592" t="n">
        <v>1</v>
      </c>
      <c r="Q32" s="595"/>
      <c r="R32" s="93"/>
      <c r="S32" s="585" t="str">
        <f aca="false" t="array" ref="S32:S32">IF(ISNA(INDEX(Source!$U$7:$U$95,MATCH(T32,Source!$V$7:$V$95,0))),"-",INDEX(Source!$U$7:$U$95,MATCH(T32,Source!$V$7:$V$95,0)))</f>
        <v>-</v>
      </c>
      <c r="T32" s="586" t="s">
        <v>296</v>
      </c>
      <c r="U32" s="182" t="s">
        <v>1106</v>
      </c>
      <c r="V32" s="93"/>
      <c r="W32" s="585" t="str">
        <f aca="false" t="array" ref="W32:W32">IF(ISNA(INDEX(Source!$U$7:$U$95,MATCH(X32,Source!$V$7:$V$95,0))),"-",INDEX(Source!$U$7:$U$95,MATCH(X32,Source!$V$7:$V$95,0)))</f>
        <v>-</v>
      </c>
      <c r="X32" s="586" t="s">
        <v>1233</v>
      </c>
      <c r="Y32" s="182" t="s">
        <v>1107</v>
      </c>
      <c r="Z32" s="93"/>
      <c r="AA32" s="585" t="str">
        <f aca="false" t="array" ref="AA32:AA32">IF(ISNA(INDEX(Source!$U$7:$U$95,MATCH(AB32,Source!$V$7:$V$95,0))),"-",INDEX(Source!$U$7:$U$95,MATCH(AB32,Source!$V$7:$V$95,0)))</f>
        <v>-</v>
      </c>
      <c r="AB32" s="586" t="s">
        <v>1254</v>
      </c>
      <c r="AC32" s="182" t="s">
        <v>1108</v>
      </c>
      <c r="AD32" s="93"/>
      <c r="AE32" s="93"/>
      <c r="AF32" s="616"/>
      <c r="AG32" s="93"/>
      <c r="AH32" s="93"/>
      <c r="AI32" s="585" t="str">
        <f aca="false" t="array" ref="AI32:AI32">IF(ISNA(INDEX(Source!$U$7:$U$95,MATCH(AJ32,Source!$V$7:$V$95,0))),"-",INDEX(Source!$U$7:$U$95,MATCH(AJ32,Source!$V$7:$V$95,0)))</f>
        <v>-</v>
      </c>
      <c r="AJ32" s="586" t="s">
        <v>509</v>
      </c>
      <c r="AK32" s="182" t="s">
        <v>1110</v>
      </c>
      <c r="AL32" s="93"/>
      <c r="AM32" s="585" t="str">
        <f aca="false" t="array" ref="AM32:AM32">IF(ISNA(INDEX(Source!$U$7:$U$95,MATCH(AN32,Source!$V$7:$V$95,0))),"-",INDEX(Source!$U$7:$U$95,MATCH(AN32,Source!$V$7:$V$95,0)))</f>
        <v>-</v>
      </c>
      <c r="AN32" s="586" t="s">
        <v>602</v>
      </c>
      <c r="AO32" s="182" t="s">
        <v>1112</v>
      </c>
      <c r="AP32" s="93"/>
      <c r="AQ32" s="585" t="str">
        <f aca="false" t="array" ref="AQ32:AQ32">IF(ISNA(INDEX(Source!$U$7:$U$95,MATCH(AR32,Source!$V$7:$V$95,0))),"-",INDEX(Source!$U$7:$U$95,MATCH(AR32,Source!$V$7:$V$95,0)))</f>
        <v>-</v>
      </c>
      <c r="AR32" s="586" t="s">
        <v>540</v>
      </c>
      <c r="AS32" s="182" t="s">
        <v>1113</v>
      </c>
      <c r="AT32" s="93"/>
      <c r="AU32" s="585" t="str">
        <f aca="false" t="array" ref="AU32:AU32">IF(ISNA(INDEX(Source!$U$7:$U$95,MATCH(AV32,Source!$V$7:$V$95,0))),"-",INDEX(Source!$U$7:$U$95,MATCH(AV32,Source!$V$7:$V$95,0)))</f>
        <v>-</v>
      </c>
      <c r="AV32" s="586" t="s">
        <v>422</v>
      </c>
      <c r="AW32" s="182" t="s">
        <v>1114</v>
      </c>
      <c r="AX32" s="93"/>
      <c r="AY32" s="585" t="str">
        <f aca="false" t="array" ref="AY32:AY32">IF(ISNA(INDEX(Source!$U$7:$U$95,MATCH(AZ32,Source!$V$7:$V$95,0))),"-",INDEX(Source!$U$7:$U$95,MATCH(AZ32,Source!$V$7:$V$95,0)))</f>
        <v>-</v>
      </c>
      <c r="AZ32" s="586" t="s">
        <v>584</v>
      </c>
      <c r="BA32" s="182" t="s">
        <v>1115</v>
      </c>
      <c r="BB32" s="507"/>
      <c r="BC32" s="507"/>
      <c r="BD32" s="507"/>
    </row>
    <row r="33" customFormat="false" ht="15.75" hidden="false" customHeight="false" outlineLevel="0" collapsed="false">
      <c r="A33" s="589" t="s">
        <v>1255</v>
      </c>
      <c r="B33" s="589"/>
      <c r="C33" s="589"/>
      <c r="D33" s="624" t="s">
        <v>803</v>
      </c>
      <c r="E33" s="591" t="s">
        <v>1117</v>
      </c>
      <c r="F33" s="582" t="n">
        <v>30</v>
      </c>
      <c r="G33" s="582" t="n">
        <v>25</v>
      </c>
      <c r="H33" s="592" t="n">
        <v>1</v>
      </c>
      <c r="I33" s="593"/>
      <c r="J33" s="589" t="s">
        <v>1256</v>
      </c>
      <c r="K33" s="589"/>
      <c r="L33" s="589"/>
      <c r="M33" s="594" t="s">
        <v>839</v>
      </c>
      <c r="N33" s="581" t="s">
        <v>1200</v>
      </c>
      <c r="O33" s="582" t="n">
        <v>30</v>
      </c>
      <c r="P33" s="583" t="s">
        <v>1120</v>
      </c>
      <c r="Q33" s="595"/>
      <c r="R33" s="93"/>
      <c r="S33" s="585" t="str">
        <f aca="false" t="array" ref="S33:S33">IF(ISNA(INDEX(Source!$U$7:$U$95,MATCH(T33,Source!$V$7:$V$95,0))),"-",INDEX(Source!$U$7:$U$95,MATCH(T33,Source!$V$7:$V$95,0)))</f>
        <v>-</v>
      </c>
      <c r="T33" s="586" t="s">
        <v>1257</v>
      </c>
      <c r="U33" s="182" t="s">
        <v>1106</v>
      </c>
      <c r="V33" s="93"/>
      <c r="W33" s="585" t="str">
        <f aca="false" t="array" ref="W33:W33">IF(ISNA(INDEX(Source!$U$7:$U$95,MATCH(X33,Source!$V$7:$V$95,0))),"-",INDEX(Source!$U$7:$U$95,MATCH(X33,Source!$V$7:$V$95,0)))</f>
        <v>-</v>
      </c>
      <c r="X33" s="586" t="s">
        <v>1258</v>
      </c>
      <c r="Y33" s="182" t="s">
        <v>1107</v>
      </c>
      <c r="Z33" s="93"/>
      <c r="AA33" s="585" t="str">
        <f aca="false" t="array" ref="AA33:AA33">IF(ISNA(INDEX(Source!$U$7:$U$95,MATCH(AB33,Source!$V$7:$V$95,0))),"-",INDEX(Source!$U$7:$U$95,MATCH(AB33,Source!$V$7:$V$95,0)))</f>
        <v>-</v>
      </c>
      <c r="AB33" s="586" t="s">
        <v>1259</v>
      </c>
      <c r="AC33" s="182" t="s">
        <v>1108</v>
      </c>
      <c r="AD33" s="93"/>
      <c r="AE33" s="93"/>
      <c r="AF33" s="616"/>
      <c r="AG33" s="93"/>
      <c r="AH33" s="93"/>
      <c r="AI33" s="585" t="str">
        <f aca="false" t="array" ref="AI33:AI33">IF(ISNA(INDEX(Source!$U$7:$U$95,MATCH(AJ33,Source!$V$7:$V$95,0))),"-",INDEX(Source!$U$7:$U$95,MATCH(AJ33,Source!$V$7:$V$95,0)))</f>
        <v>-</v>
      </c>
      <c r="AJ33" s="586" t="s">
        <v>320</v>
      </c>
      <c r="AK33" s="182" t="s">
        <v>1110</v>
      </c>
      <c r="AL33" s="93"/>
      <c r="AM33" s="585" t="str">
        <f aca="false" t="array" ref="AM33:AM33">IF(ISNA(INDEX(Source!$U$7:$U$95,MATCH(AN33,Source!$V$7:$V$95,0))),"-",INDEX(Source!$U$7:$U$95,MATCH(AN33,Source!$V$7:$V$95,0)))</f>
        <v>-</v>
      </c>
      <c r="AN33" s="586" t="s">
        <v>1260</v>
      </c>
      <c r="AO33" s="182" t="s">
        <v>1112</v>
      </c>
      <c r="AP33" s="93"/>
      <c r="AQ33" s="585" t="str">
        <f aca="false" t="array" ref="AQ33:AQ33">IF(ISNA(INDEX(Source!$U$7:$U$95,MATCH(AR33,Source!$V$7:$V$95,0))),"-",INDEX(Source!$U$7:$U$95,MATCH(AR33,Source!$V$7:$V$95,0)))</f>
        <v>-</v>
      </c>
      <c r="AR33" s="586" t="s">
        <v>554</v>
      </c>
      <c r="AS33" s="182" t="s">
        <v>1113</v>
      </c>
      <c r="AT33" s="93"/>
      <c r="AU33" s="585" t="str">
        <f aca="false" t="array" ref="AU33:AU33">IF(ISNA(INDEX(Source!$U$7:$U$95,MATCH(AV33,Source!$V$7:$V$95,0))),"-",INDEX(Source!$U$7:$U$95,MATCH(AV33,Source!$V$7:$V$95,0)))</f>
        <v>-</v>
      </c>
      <c r="AV33" s="586" t="s">
        <v>716</v>
      </c>
      <c r="AW33" s="182" t="s">
        <v>1114</v>
      </c>
      <c r="AX33" s="93"/>
      <c r="AY33" s="585" t="str">
        <f aca="false" t="array" ref="AY33:AY33">IF(ISNA(INDEX(Source!$U$7:$U$95,MATCH(AZ33,Source!$V$7:$V$95,0))),"-",INDEX(Source!$U$7:$U$95,MATCH(AZ33,Source!$V$7:$V$95,0)))</f>
        <v>-</v>
      </c>
      <c r="AZ33" s="586" t="s">
        <v>591</v>
      </c>
      <c r="BA33" s="182" t="s">
        <v>1115</v>
      </c>
      <c r="BB33" s="507"/>
      <c r="BC33" s="507"/>
      <c r="BD33" s="507"/>
    </row>
    <row r="34" customFormat="false" ht="15.75" hidden="false" customHeight="false" outlineLevel="0" collapsed="false">
      <c r="A34" s="589" t="s">
        <v>1261</v>
      </c>
      <c r="B34" s="589"/>
      <c r="C34" s="589"/>
      <c r="D34" s="610" t="s">
        <v>839</v>
      </c>
      <c r="E34" s="591" t="s">
        <v>1117</v>
      </c>
      <c r="F34" s="582" t="n">
        <v>20</v>
      </c>
      <c r="G34" s="582" t="n">
        <v>70</v>
      </c>
      <c r="H34" s="592" t="n">
        <v>1</v>
      </c>
      <c r="I34" s="593"/>
      <c r="J34" s="589" t="s">
        <v>1262</v>
      </c>
      <c r="K34" s="589"/>
      <c r="L34" s="589"/>
      <c r="M34" s="594" t="s">
        <v>839</v>
      </c>
      <c r="N34" s="581" t="s">
        <v>1200</v>
      </c>
      <c r="O34" s="582" t="n">
        <v>30</v>
      </c>
      <c r="P34" s="592" t="n">
        <v>1</v>
      </c>
      <c r="Q34" s="595"/>
      <c r="R34" s="93"/>
      <c r="S34" s="585" t="str">
        <f aca="false" t="array" ref="S34:S34">IF(ISNA(INDEX(Source!$U$7:$U$95,MATCH(T34,Source!$V$7:$V$95,0))),"-",INDEX(Source!$U$7:$U$95,MATCH(T34,Source!$V$7:$V$95,0)))</f>
        <v>-</v>
      </c>
      <c r="T34" s="586" t="s">
        <v>468</v>
      </c>
      <c r="U34" s="182" t="s">
        <v>1106</v>
      </c>
      <c r="V34" s="93"/>
      <c r="W34" s="585" t="str">
        <f aca="false" t="array" ref="W34:W34">IF(ISNA(INDEX(Source!$U$7:$U$95,MATCH(X34,Source!$V$7:$V$95,0))),"-",INDEX(Source!$U$7:$U$95,MATCH(X34,Source!$V$7:$V$95,0)))</f>
        <v>-</v>
      </c>
      <c r="X34" s="586" t="s">
        <v>611</v>
      </c>
      <c r="Y34" s="182" t="s">
        <v>1107</v>
      </c>
      <c r="Z34" s="93"/>
      <c r="AA34" s="585" t="str">
        <f aca="false" t="array" ref="AA34:AA34">IF(ISNA(INDEX(Source!$U$7:$U$95,MATCH(AB34,Source!$V$7:$V$95,0))),"-",INDEX(Source!$U$7:$U$95,MATCH(AB34,Source!$V$7:$V$95,0)))</f>
        <v>-</v>
      </c>
      <c r="AB34" s="586" t="s">
        <v>1172</v>
      </c>
      <c r="AC34" s="182" t="s">
        <v>1108</v>
      </c>
      <c r="AD34" s="93"/>
      <c r="AE34" s="93"/>
      <c r="AF34" s="616"/>
      <c r="AG34" s="93"/>
      <c r="AH34" s="93"/>
      <c r="AI34" s="585" t="str">
        <f aca="false" t="array" ref="AI34:AI34">IF(ISNA(INDEX(Source!$U$7:$U$95,MATCH(AJ34,Source!$V$7:$V$95,0))),"-",INDEX(Source!$U$7:$U$95,MATCH(AJ34,Source!$V$7:$V$95,0)))</f>
        <v>-</v>
      </c>
      <c r="AJ34" s="586" t="s">
        <v>428</v>
      </c>
      <c r="AK34" s="182" t="s">
        <v>1110</v>
      </c>
      <c r="AL34" s="93"/>
      <c r="AM34" s="585" t="str">
        <f aca="false" t="array" ref="AM34:AM34">IF(ISNA(INDEX(Source!$U$7:$U$95,MATCH(AN34,Source!$V$7:$V$95,0))),"-",INDEX(Source!$U$7:$U$95,MATCH(AN34,Source!$V$7:$V$95,0)))</f>
        <v>-</v>
      </c>
      <c r="AN34" s="586" t="s">
        <v>415</v>
      </c>
      <c r="AO34" s="182" t="s">
        <v>1112</v>
      </c>
      <c r="AP34" s="93"/>
      <c r="AQ34" s="585" t="str">
        <f aca="false" t="array" ref="AQ34:AQ34">IF(ISNA(INDEX(Source!$U$7:$U$95,MATCH(AR34,Source!$V$7:$V$95,0))),"-",INDEX(Source!$U$7:$U$95,MATCH(AR34,Source!$V$7:$V$95,0)))</f>
        <v>-</v>
      </c>
      <c r="AR34" s="586" t="s">
        <v>404</v>
      </c>
      <c r="AS34" s="182" t="s">
        <v>1113</v>
      </c>
      <c r="AT34" s="93"/>
      <c r="AU34" s="585" t="str">
        <f aca="false" t="array" ref="AU34:AU34">IF(ISNA(INDEX(Source!$U$7:$U$95,MATCH(AV34,Source!$V$7:$V$95,0))),"-",INDEX(Source!$U$7:$U$95,MATCH(AV34,Source!$V$7:$V$95,0)))</f>
        <v>-</v>
      </c>
      <c r="AV34" s="586" t="s">
        <v>749</v>
      </c>
      <c r="AW34" s="182" t="s">
        <v>1114</v>
      </c>
      <c r="AX34" s="93"/>
      <c r="AY34" s="585" t="str">
        <f aca="false" t="array" ref="AY34:AY34">IF(ISNA(INDEX(Source!$U$7:$U$95,MATCH(AZ34,Source!$V$7:$V$95,0))),"-",INDEX(Source!$U$7:$U$95,MATCH(AZ34,Source!$V$7:$V$95,0)))</f>
        <v>-</v>
      </c>
      <c r="AZ34" s="586" t="s">
        <v>749</v>
      </c>
      <c r="BA34" s="182" t="s">
        <v>1115</v>
      </c>
      <c r="BB34" s="507"/>
      <c r="BC34" s="507"/>
      <c r="BD34" s="507"/>
    </row>
    <row r="35" customFormat="false" ht="15.75" hidden="false" customHeight="false" outlineLevel="0" collapsed="false">
      <c r="A35" s="589" t="s">
        <v>1263</v>
      </c>
      <c r="B35" s="589"/>
      <c r="C35" s="589"/>
      <c r="D35" s="600" t="s">
        <v>881</v>
      </c>
      <c r="E35" s="591" t="s">
        <v>1117</v>
      </c>
      <c r="F35" s="582" t="n">
        <v>10</v>
      </c>
      <c r="G35" s="582" t="n">
        <v>60</v>
      </c>
      <c r="H35" s="592" t="n">
        <v>0.9</v>
      </c>
      <c r="I35" s="593"/>
      <c r="J35" s="589" t="s">
        <v>1264</v>
      </c>
      <c r="K35" s="589"/>
      <c r="L35" s="589"/>
      <c r="M35" s="594" t="s">
        <v>839</v>
      </c>
      <c r="N35" s="581" t="s">
        <v>1200</v>
      </c>
      <c r="O35" s="582" t="n">
        <v>20</v>
      </c>
      <c r="P35" s="583" t="s">
        <v>1120</v>
      </c>
      <c r="Q35" s="595"/>
      <c r="R35" s="93"/>
      <c r="S35" s="585" t="str">
        <f aca="false" t="array" ref="S35:S35">IF(ISNA(INDEX(Source!$U$7:$U$95,MATCH(T35,Source!$V$7:$V$95,0))),"-",INDEX(Source!$U$7:$U$95,MATCH(T35,Source!$V$7:$V$95,0)))</f>
        <v>-</v>
      </c>
      <c r="T35" s="586" t="s">
        <v>303</v>
      </c>
      <c r="U35" s="182" t="s">
        <v>1106</v>
      </c>
      <c r="V35" s="93"/>
      <c r="W35" s="585" t="str">
        <f aca="false" t="array" ref="W35:W35">IF(ISNA(INDEX(Source!$U$7:$U$95,MATCH(X35,Source!$V$7:$V$95,0))),"-",INDEX(Source!$U$7:$U$95,MATCH(X35,Source!$V$7:$V$95,0)))</f>
        <v>-</v>
      </c>
      <c r="X35" s="586" t="s">
        <v>528</v>
      </c>
      <c r="Y35" s="182" t="s">
        <v>1107</v>
      </c>
      <c r="Z35" s="93"/>
      <c r="AA35" s="585" t="str">
        <f aca="false" t="array" ref="AA35:AA35">IF(ISNA(INDEX(Source!$U$7:$U$95,MATCH(AB35,Source!$V$7:$V$95,0))),"-",INDEX(Source!$U$7:$U$95,MATCH(AB35,Source!$V$7:$V$95,0)))</f>
        <v>-</v>
      </c>
      <c r="AB35" s="586" t="s">
        <v>1265</v>
      </c>
      <c r="AC35" s="182" t="s">
        <v>1108</v>
      </c>
      <c r="AD35" s="93"/>
      <c r="AE35" s="93"/>
      <c r="AF35" s="616"/>
      <c r="AG35" s="93"/>
      <c r="AH35" s="93"/>
      <c r="AI35" s="585" t="str">
        <f aca="false" t="array" ref="AI35:AI35">IF(ISNA(INDEX(Source!$U$7:$U$95,MATCH(AJ35,Source!$V$7:$V$95,0))),"-",INDEX(Source!$U$7:$U$95,MATCH(AJ35,Source!$V$7:$V$95,0)))</f>
        <v>BTB</v>
      </c>
      <c r="AJ35" s="586" t="s">
        <v>259</v>
      </c>
      <c r="AK35" s="182" t="s">
        <v>1110</v>
      </c>
      <c r="AL35" s="93"/>
      <c r="AM35" s="585" t="str">
        <f aca="false" t="array" ref="AM35:AM35">IF(ISNA(INDEX(Source!$U$7:$U$95,MATCH(AN35,Source!$V$7:$V$95,0))),"-",INDEX(Source!$U$7:$U$95,MATCH(AN35,Source!$V$7:$V$95,0)))</f>
        <v>-</v>
      </c>
      <c r="AN35" s="586" t="s">
        <v>1266</v>
      </c>
      <c r="AO35" s="182" t="s">
        <v>1112</v>
      </c>
      <c r="AP35" s="93"/>
      <c r="AQ35" s="585" t="str">
        <f aca="false" t="array" ref="AQ35:AQ35">IF(ISNA(INDEX(Source!$U$7:$U$95,MATCH(AR35,Source!$V$7:$V$95,0))),"-",INDEX(Source!$U$7:$U$95,MATCH(AR35,Source!$V$7:$V$95,0)))</f>
        <v>-</v>
      </c>
      <c r="AR35" s="586" t="s">
        <v>565</v>
      </c>
      <c r="AS35" s="182" t="s">
        <v>1113</v>
      </c>
      <c r="AT35" s="93"/>
      <c r="AU35" s="585" t="str">
        <f aca="false" t="array" ref="AU35:AU35">IF(ISNA(INDEX(Source!$U$7:$U$95,MATCH(AV35,Source!$V$7:$V$95,0))),"-",INDEX(Source!$U$7:$U$95,MATCH(AV35,Source!$V$7:$V$95,0)))</f>
        <v>-</v>
      </c>
      <c r="AV35" s="586" t="s">
        <v>1267</v>
      </c>
      <c r="AW35" s="182" t="s">
        <v>1114</v>
      </c>
      <c r="AX35" s="93"/>
      <c r="AY35" s="585" t="str">
        <f aca="false" t="array" ref="AY35:AY35">IF(ISNA(INDEX(Source!$U$7:$U$95,MATCH(AZ35,Source!$V$7:$V$95,0))),"-",INDEX(Source!$U$7:$U$95,MATCH(AZ35,Source!$V$7:$V$95,0)))</f>
        <v>-</v>
      </c>
      <c r="AZ35" s="586" t="s">
        <v>485</v>
      </c>
      <c r="BA35" s="182" t="s">
        <v>1115</v>
      </c>
      <c r="BB35" s="507"/>
      <c r="BC35" s="507"/>
      <c r="BD35" s="507"/>
    </row>
    <row r="36" customFormat="false" ht="15.75" hidden="false" customHeight="false" outlineLevel="0" collapsed="false">
      <c r="A36" s="589" t="s">
        <v>1268</v>
      </c>
      <c r="B36" s="589"/>
      <c r="C36" s="589"/>
      <c r="D36" s="599" t="s">
        <v>811</v>
      </c>
      <c r="E36" s="591" t="s">
        <v>1117</v>
      </c>
      <c r="F36" s="582" t="n">
        <v>15</v>
      </c>
      <c r="G36" s="582" t="n">
        <v>35</v>
      </c>
      <c r="H36" s="592" t="n">
        <v>0.85</v>
      </c>
      <c r="I36" s="593"/>
      <c r="J36" s="589" t="s">
        <v>1269</v>
      </c>
      <c r="K36" s="589"/>
      <c r="L36" s="589"/>
      <c r="M36" s="598" t="s">
        <v>828</v>
      </c>
      <c r="N36" s="581" t="s">
        <v>1119</v>
      </c>
      <c r="O36" s="582" t="n">
        <v>20</v>
      </c>
      <c r="P36" s="583" t="s">
        <v>1120</v>
      </c>
      <c r="Q36" s="595"/>
      <c r="R36" s="93"/>
      <c r="S36" s="585" t="str">
        <f aca="false" t="array" ref="S36:S36">IF(ISNA(INDEX(Source!$U$7:$U$95,MATCH(T36,Source!$V$7:$V$95,0))),"-",INDEX(Source!$U$7:$U$95,MATCH(T36,Source!$V$7:$V$95,0)))</f>
        <v>-</v>
      </c>
      <c r="T36" s="586" t="s">
        <v>744</v>
      </c>
      <c r="U36" s="182" t="s">
        <v>1106</v>
      </c>
      <c r="V36" s="93"/>
      <c r="W36" s="585" t="str">
        <f aca="false" t="array" ref="W36:W36">IF(ISNA(INDEX(Source!$U$7:$U$95,MATCH(X36,Source!$V$7:$V$95,0))),"-",INDEX(Source!$U$7:$U$95,MATCH(X36,Source!$V$7:$V$95,0)))</f>
        <v>-</v>
      </c>
      <c r="X36" s="586" t="s">
        <v>540</v>
      </c>
      <c r="Y36" s="182" t="s">
        <v>1107</v>
      </c>
      <c r="Z36" s="93"/>
      <c r="AA36" s="585" t="str">
        <f aca="false" t="array" ref="AA36:AA36">IF(ISNA(INDEX(Source!$U$7:$U$95,MATCH(AB36,Source!$V$7:$V$95,0))),"-",INDEX(Source!$U$7:$U$95,MATCH(AB36,Source!$V$7:$V$95,0)))</f>
        <v>BBG</v>
      </c>
      <c r="AB36" s="586" t="s">
        <v>47</v>
      </c>
      <c r="AC36" s="182" t="s">
        <v>1108</v>
      </c>
      <c r="AD36" s="93"/>
      <c r="AE36" s="93"/>
      <c r="AF36" s="616"/>
      <c r="AG36" s="93"/>
      <c r="AH36" s="93"/>
      <c r="AI36" s="585" t="str">
        <f aca="false" t="array" ref="AI36:AI36">IF(ISNA(INDEX(Source!$U$7:$U$95,MATCH(AJ36,Source!$V$7:$V$95,0))),"-",INDEX(Source!$U$7:$U$95,MATCH(AJ36,Source!$V$7:$V$95,0)))</f>
        <v>-</v>
      </c>
      <c r="AJ36" s="586" t="s">
        <v>1222</v>
      </c>
      <c r="AK36" s="182" t="s">
        <v>1110</v>
      </c>
      <c r="AL36" s="93"/>
      <c r="AM36" s="585" t="str">
        <f aca="false" t="array" ref="AM36:AM36">IF(ISNA(INDEX(Source!$U$7:$U$95,MATCH(AN36,Source!$V$7:$V$95,0))),"-",INDEX(Source!$U$7:$U$95,MATCH(AN36,Source!$V$7:$V$95,0)))</f>
        <v>-</v>
      </c>
      <c r="AN36" s="586" t="s">
        <v>1270</v>
      </c>
      <c r="AO36" s="182" t="s">
        <v>1112</v>
      </c>
      <c r="AP36" s="93"/>
      <c r="AQ36" s="585" t="str">
        <f aca="false" t="array" ref="AQ36:AQ36">IF(ISNA(INDEX(Source!$U$7:$U$95,MATCH(AR36,Source!$V$7:$V$95,0))),"-",INDEX(Source!$U$7:$U$95,MATCH(AR36,Source!$V$7:$V$95,0)))</f>
        <v>-</v>
      </c>
      <c r="AR36" s="586" t="s">
        <v>562</v>
      </c>
      <c r="AS36" s="182" t="s">
        <v>1113</v>
      </c>
      <c r="AT36" s="93"/>
      <c r="AU36" s="585" t="str">
        <f aca="false" t="array" ref="AU36:AU36">IF(ISNA(INDEX(Source!$U$7:$U$95,MATCH(AV36,Source!$V$7:$V$95,0))),"-",INDEX(Source!$U$7:$U$95,MATCH(AV36,Source!$V$7:$V$95,0)))</f>
        <v>-</v>
      </c>
      <c r="AV36" s="586" t="s">
        <v>612</v>
      </c>
      <c r="AW36" s="182" t="s">
        <v>1114</v>
      </c>
      <c r="AX36" s="93"/>
      <c r="AY36" s="585" t="str">
        <f aca="false" t="array" ref="AY36:AY36">IF(ISNA(INDEX(Source!$U$7:$U$95,MATCH(AZ36,Source!$V$7:$V$95,0))),"-",INDEX(Source!$U$7:$U$95,MATCH(AZ36,Source!$V$7:$V$95,0)))</f>
        <v>-</v>
      </c>
      <c r="AZ36" s="586" t="s">
        <v>392</v>
      </c>
      <c r="BA36" s="182" t="s">
        <v>1115</v>
      </c>
      <c r="BB36" s="507"/>
      <c r="BC36" s="507"/>
      <c r="BD36" s="507"/>
    </row>
    <row r="37" customFormat="false" ht="15.75" hidden="false" customHeight="false" outlineLevel="0" collapsed="false">
      <c r="A37" s="589" t="s">
        <v>1271</v>
      </c>
      <c r="B37" s="589"/>
      <c r="C37" s="589"/>
      <c r="D37" s="600" t="s">
        <v>881</v>
      </c>
      <c r="E37" s="591" t="s">
        <v>1117</v>
      </c>
      <c r="F37" s="582" t="n">
        <v>5</v>
      </c>
      <c r="G37" s="582" t="n">
        <v>120</v>
      </c>
      <c r="H37" s="592" t="n">
        <v>1</v>
      </c>
      <c r="I37" s="593"/>
      <c r="J37" s="589" t="s">
        <v>1272</v>
      </c>
      <c r="K37" s="589"/>
      <c r="L37" s="589"/>
      <c r="M37" s="604" t="s">
        <v>803</v>
      </c>
      <c r="N37" s="581" t="s">
        <v>1119</v>
      </c>
      <c r="O37" s="582" t="n">
        <v>10</v>
      </c>
      <c r="P37" s="583" t="s">
        <v>1120</v>
      </c>
      <c r="Q37" s="595"/>
      <c r="R37" s="93"/>
      <c r="S37" s="585" t="str">
        <f aca="false" t="array" ref="S37:S37">IF(ISNA(INDEX(Source!$U$7:$U$95,MATCH(T37,Source!$V$7:$V$95,0))),"-",INDEX(Source!$U$7:$U$95,MATCH(T37,Source!$V$7:$V$95,0)))</f>
        <v>-</v>
      </c>
      <c r="T37" s="586" t="s">
        <v>351</v>
      </c>
      <c r="U37" s="182" t="s">
        <v>1106</v>
      </c>
      <c r="V37" s="93"/>
      <c r="W37" s="585" t="str">
        <f aca="false" t="array" ref="W37:W37">IF(ISNA(INDEX(Source!$U$7:$U$95,MATCH(X37,Source!$V$7:$V$95,0))),"-",INDEX(Source!$U$7:$U$95,MATCH(X37,Source!$V$7:$V$95,0)))</f>
        <v>BTB</v>
      </c>
      <c r="X37" s="586" t="s">
        <v>69</v>
      </c>
      <c r="Y37" s="182" t="s">
        <v>1107</v>
      </c>
      <c r="Z37" s="93"/>
      <c r="AA37" s="585" t="str">
        <f aca="false" t="array" ref="AA37:AA37">IF(ISNA(INDEX(Source!$U$7:$U$95,MATCH(AB37,Source!$V$7:$V$95,0))),"-",INDEX(Source!$U$7:$U$95,MATCH(AB37,Source!$V$7:$V$95,0)))</f>
        <v>-</v>
      </c>
      <c r="AB37" s="586" t="s">
        <v>14</v>
      </c>
      <c r="AC37" s="182" t="s">
        <v>1108</v>
      </c>
      <c r="AD37" s="93"/>
      <c r="AE37" s="93"/>
      <c r="AF37" s="616"/>
      <c r="AG37" s="93"/>
      <c r="AH37" s="93"/>
      <c r="AI37" s="585" t="str">
        <f aca="false" t="array" ref="AI37:AI37">IF(ISNA(INDEX(Source!$U$7:$U$95,MATCH(AJ37,Source!$V$7:$V$95,0))),"-",INDEX(Source!$U$7:$U$95,MATCH(AJ37,Source!$V$7:$V$95,0)))</f>
        <v>-</v>
      </c>
      <c r="AJ37" s="586" t="s">
        <v>1273</v>
      </c>
      <c r="AK37" s="182" t="s">
        <v>1110</v>
      </c>
      <c r="AL37" s="93"/>
      <c r="AM37" s="585" t="str">
        <f aca="false" t="array" ref="AM37:AM37">IF(ISNA(INDEX(Source!$U$7:$U$95,MATCH(AN37,Source!$V$7:$V$95,0))),"-",INDEX(Source!$U$7:$U$95,MATCH(AN37,Source!$V$7:$V$95,0)))</f>
        <v>-</v>
      </c>
      <c r="AN37" s="586" t="s">
        <v>1265</v>
      </c>
      <c r="AO37" s="182" t="s">
        <v>1112</v>
      </c>
      <c r="AP37" s="93"/>
      <c r="AQ37" s="585" t="str">
        <f aca="false" t="array" ref="AQ37:AQ37">IF(ISNA(INDEX(Source!$U$7:$U$95,MATCH(AR37,Source!$V$7:$V$95,0))),"-",INDEX(Source!$U$7:$U$95,MATCH(AR37,Source!$V$7:$V$95,0)))</f>
        <v>-</v>
      </c>
      <c r="AR37" s="586" t="s">
        <v>1274</v>
      </c>
      <c r="AS37" s="182" t="s">
        <v>1113</v>
      </c>
      <c r="AT37" s="93"/>
      <c r="AU37" s="585" t="str">
        <f aca="false" t="array" ref="AU37:AU37">IF(ISNA(INDEX(Source!$U$7:$U$95,MATCH(AV37,Source!$V$7:$V$95,0))),"-",INDEX(Source!$U$7:$U$95,MATCH(AV37,Source!$V$7:$V$95,0)))</f>
        <v>-</v>
      </c>
      <c r="AV37" s="586" t="s">
        <v>615</v>
      </c>
      <c r="AW37" s="182" t="s">
        <v>1114</v>
      </c>
      <c r="AX37" s="93"/>
      <c r="AY37" s="585" t="str">
        <f aca="false" t="array" ref="AY37:AY37">IF(ISNA(INDEX(Source!$U$7:$U$95,MATCH(AZ37,Source!$V$7:$V$95,0))),"-",INDEX(Source!$U$7:$U$95,MATCH(AZ37,Source!$V$7:$V$95,0)))</f>
        <v>-</v>
      </c>
      <c r="AZ37" s="586" t="s">
        <v>1275</v>
      </c>
      <c r="BA37" s="182" t="s">
        <v>1115</v>
      </c>
      <c r="BB37" s="507"/>
      <c r="BC37" s="507"/>
      <c r="BD37" s="507"/>
    </row>
    <row r="38" customFormat="false" ht="15.75" hidden="false" customHeight="false" outlineLevel="0" collapsed="false">
      <c r="A38" s="589" t="s">
        <v>1276</v>
      </c>
      <c r="B38" s="589"/>
      <c r="C38" s="589"/>
      <c r="D38" s="610" t="s">
        <v>839</v>
      </c>
      <c r="E38" s="591" t="s">
        <v>1117</v>
      </c>
      <c r="F38" s="582" t="n">
        <v>15</v>
      </c>
      <c r="G38" s="582" t="n">
        <v>18</v>
      </c>
      <c r="H38" s="592" t="n">
        <v>0.85</v>
      </c>
      <c r="I38" s="593"/>
      <c r="J38" s="589" t="s">
        <v>1277</v>
      </c>
      <c r="K38" s="589"/>
      <c r="L38" s="589"/>
      <c r="M38" s="604" t="s">
        <v>803</v>
      </c>
      <c r="N38" s="581" t="s">
        <v>1185</v>
      </c>
      <c r="O38" s="582" t="n">
        <v>40</v>
      </c>
      <c r="P38" s="592" t="n">
        <v>1</v>
      </c>
      <c r="Q38" s="595"/>
      <c r="R38" s="93"/>
      <c r="S38" s="585" t="str">
        <f aca="false" t="array" ref="S38:S38">IF(ISNA(INDEX(Source!$U$7:$U$95,MATCH(T38,Source!$V$7:$V$95,0))),"-",INDEX(Source!$U$7:$U$95,MATCH(T38,Source!$V$7:$V$95,0)))</f>
        <v>-</v>
      </c>
      <c r="T38" s="586" t="s">
        <v>478</v>
      </c>
      <c r="U38" s="182" t="s">
        <v>1106</v>
      </c>
      <c r="V38" s="93"/>
      <c r="W38" s="585" t="str">
        <f aca="false" t="array" ref="W38:W38">IF(ISNA(INDEX(Source!$U$7:$U$95,MATCH(X38,Source!$V$7:$V$95,0))),"-",INDEX(Source!$U$7:$U$95,MATCH(X38,Source!$V$7:$V$95,0)))</f>
        <v>-</v>
      </c>
      <c r="X38" s="586" t="s">
        <v>1250</v>
      </c>
      <c r="Y38" s="182" t="s">
        <v>1107</v>
      </c>
      <c r="Z38" s="93"/>
      <c r="AA38" s="585" t="str">
        <f aca="false" t="array" ref="AA38:AA38">IF(ISNA(INDEX(Source!$U$7:$U$95,MATCH(AB38,Source!$V$7:$V$95,0))),"-",INDEX(Source!$U$7:$U$95,MATCH(AB38,Source!$V$7:$V$95,0)))</f>
        <v>-</v>
      </c>
      <c r="AB38" s="586" t="s">
        <v>1278</v>
      </c>
      <c r="AC38" s="182" t="s">
        <v>1108</v>
      </c>
      <c r="AD38" s="93"/>
      <c r="AE38" s="93"/>
      <c r="AF38" s="616"/>
      <c r="AG38" s="93"/>
      <c r="AH38" s="93"/>
      <c r="AI38" s="585" t="str">
        <f aca="false" t="array" ref="AI38:AI38">IF(ISNA(INDEX(Source!$U$7:$U$95,MATCH(AJ38,Source!$V$7:$V$95,0))),"-",INDEX(Source!$U$7:$U$95,MATCH(AJ38,Source!$V$7:$V$95,0)))</f>
        <v>-</v>
      </c>
      <c r="AJ38" s="586" t="s">
        <v>531</v>
      </c>
      <c r="AK38" s="182" t="s">
        <v>1110</v>
      </c>
      <c r="AL38" s="93"/>
      <c r="AM38" s="585" t="str">
        <f aca="false" t="array" ref="AM38:AM38">IF(ISNA(INDEX(Source!$U$7:$U$95,MATCH(AN38,Source!$V$7:$V$95,0))),"-",INDEX(Source!$U$7:$U$95,MATCH(AN38,Source!$V$7:$V$95,0)))</f>
        <v>BBG</v>
      </c>
      <c r="AN38" s="586" t="s">
        <v>47</v>
      </c>
      <c r="AO38" s="182" t="s">
        <v>1112</v>
      </c>
      <c r="AP38" s="93"/>
      <c r="AQ38" s="585" t="str">
        <f aca="false" t="array" ref="AQ38:AQ38">IF(ISNA(INDEX(Source!$U$7:$U$95,MATCH(AR38,Source!$V$7:$V$95,0))),"-",INDEX(Source!$U$7:$U$95,MATCH(AR38,Source!$V$7:$V$95,0)))</f>
        <v>-</v>
      </c>
      <c r="AR38" s="586" t="s">
        <v>1279</v>
      </c>
      <c r="AS38" s="182" t="s">
        <v>1113</v>
      </c>
      <c r="AT38" s="93"/>
      <c r="AU38" s="585" t="str">
        <f aca="false" t="array" ref="AU38:AU38">IF(ISNA(INDEX(Source!$U$7:$U$95,MATCH(AV38,Source!$V$7:$V$95,0))),"-",INDEX(Source!$U$7:$U$95,MATCH(AV38,Source!$V$7:$V$95,0)))</f>
        <v>-</v>
      </c>
      <c r="AV38" s="586" t="s">
        <v>504</v>
      </c>
      <c r="AW38" s="182" t="s">
        <v>1114</v>
      </c>
      <c r="AX38" s="93"/>
      <c r="AY38" s="585" t="str">
        <f aca="false" t="array" ref="AY38:AY38">IF(ISNA(INDEX(Source!$U$7:$U$95,MATCH(AZ38,Source!$V$7:$V$95,0))),"-",INDEX(Source!$U$7:$U$95,MATCH(AZ38,Source!$V$7:$V$95,0)))</f>
        <v>SEA</v>
      </c>
      <c r="AZ38" s="586" t="s">
        <v>46</v>
      </c>
      <c r="BA38" s="182" t="s">
        <v>1115</v>
      </c>
      <c r="BB38" s="507"/>
      <c r="BC38" s="507"/>
      <c r="BD38" s="507"/>
    </row>
    <row r="39" customFormat="false" ht="15.75" hidden="false" customHeight="false" outlineLevel="0" collapsed="false">
      <c r="A39" s="589" t="s">
        <v>1280</v>
      </c>
      <c r="B39" s="589"/>
      <c r="C39" s="589"/>
      <c r="D39" s="610" t="s">
        <v>839</v>
      </c>
      <c r="E39" s="591" t="s">
        <v>1117</v>
      </c>
      <c r="F39" s="582" t="n">
        <v>35</v>
      </c>
      <c r="G39" s="582" t="n">
        <v>10</v>
      </c>
      <c r="H39" s="592" t="n">
        <v>1</v>
      </c>
      <c r="I39" s="593"/>
      <c r="J39" s="589" t="s">
        <v>1281</v>
      </c>
      <c r="K39" s="589"/>
      <c r="L39" s="589"/>
      <c r="M39" s="606" t="s">
        <v>798</v>
      </c>
      <c r="N39" s="581" t="s">
        <v>1200</v>
      </c>
      <c r="O39" s="582" t="n">
        <v>10</v>
      </c>
      <c r="P39" s="583" t="s">
        <v>1120</v>
      </c>
      <c r="Q39" s="595"/>
      <c r="R39" s="93"/>
      <c r="S39" s="585" t="str">
        <f aca="false" t="array" ref="S39:S39">IF(ISNA(INDEX(Source!$U$7:$U$95,MATCH(T39,Source!$V$7:$V$95,0))),"-",INDEX(Source!$U$7:$U$95,MATCH(T39,Source!$V$7:$V$95,0)))</f>
        <v>-</v>
      </c>
      <c r="T39" s="586" t="s">
        <v>486</v>
      </c>
      <c r="U39" s="182" t="s">
        <v>1106</v>
      </c>
      <c r="V39" s="93"/>
      <c r="W39" s="585" t="str">
        <f aca="false" t="array" ref="W39:W39">IF(ISNA(INDEX(Source!$U$7:$U$95,MATCH(X39,Source!$V$7:$V$95,0))),"-",INDEX(Source!$U$7:$U$95,MATCH(X39,Source!$V$7:$V$95,0)))</f>
        <v>-</v>
      </c>
      <c r="X39" s="586" t="s">
        <v>409</v>
      </c>
      <c r="Y39" s="182" t="s">
        <v>1107</v>
      </c>
      <c r="Z39" s="93"/>
      <c r="AA39" s="585" t="str">
        <f aca="false" t="array" ref="AA39:AA39">IF(ISNA(INDEX(Source!$U$7:$U$95,MATCH(AB39,Source!$V$7:$V$95,0))),"-",INDEX(Source!$U$7:$U$95,MATCH(AB39,Source!$V$7:$V$95,0)))</f>
        <v>-</v>
      </c>
      <c r="AB39" s="586" t="s">
        <v>1282</v>
      </c>
      <c r="AC39" s="182" t="s">
        <v>1108</v>
      </c>
      <c r="AD39" s="93"/>
      <c r="AE39" s="93"/>
      <c r="AF39" s="616"/>
      <c r="AG39" s="93"/>
      <c r="AH39" s="93"/>
      <c r="AI39" s="585" t="str">
        <f aca="false" t="array" ref="AI39:AI39">IF(ISNA(INDEX(Source!$U$7:$U$95,MATCH(AJ39,Source!$V$7:$V$95,0))),"-",INDEX(Source!$U$7:$U$95,MATCH(AJ39,Source!$V$7:$V$95,0)))</f>
        <v>-</v>
      </c>
      <c r="AJ39" s="586" t="s">
        <v>542</v>
      </c>
      <c r="AK39" s="182" t="s">
        <v>1110</v>
      </c>
      <c r="AL39" s="93"/>
      <c r="AM39" s="585" t="str">
        <f aca="false" t="array" ref="AM39:AM39">IF(ISNA(INDEX(Source!$U$7:$U$95,MATCH(AN39,Source!$V$7:$V$95,0))),"-",INDEX(Source!$U$7:$U$95,MATCH(AN39,Source!$V$7:$V$95,0)))</f>
        <v>SEA</v>
      </c>
      <c r="AN39" s="586" t="s">
        <v>43</v>
      </c>
      <c r="AO39" s="182" t="s">
        <v>1112</v>
      </c>
      <c r="AP39" s="93"/>
      <c r="AQ39" s="585" t="str">
        <f aca="false" t="array" ref="AQ39:AQ39">IF(ISNA(INDEX(Source!$U$7:$U$95,MATCH(AR39,Source!$V$7:$V$95,0))),"-",INDEX(Source!$U$7:$U$95,MATCH(AR39,Source!$V$7:$V$95,0)))</f>
        <v>-</v>
      </c>
      <c r="AR39" s="586" t="s">
        <v>647</v>
      </c>
      <c r="AS39" s="182" t="s">
        <v>1113</v>
      </c>
      <c r="AT39" s="93"/>
      <c r="AU39" s="585" t="str">
        <f aca="false" t="array" ref="AU39:AU39">IF(ISNA(INDEX(Source!$U$7:$U$95,MATCH(AV39,Source!$V$7:$V$95,0))),"-",INDEX(Source!$U$7:$U$95,MATCH(AV39,Source!$V$7:$V$95,0)))</f>
        <v>-</v>
      </c>
      <c r="AV39" s="586" t="s">
        <v>619</v>
      </c>
      <c r="AW39" s="182" t="s">
        <v>1114</v>
      </c>
      <c r="AX39" s="93"/>
      <c r="AY39" s="585" t="str">
        <f aca="false" t="array" ref="AY39:AY39">IF(ISNA(INDEX(Source!$U$7:$U$95,MATCH(AZ39,Source!$V$7:$V$95,0))),"-",INDEX(Source!$U$7:$U$95,MATCH(AZ39,Source!$V$7:$V$95,0)))</f>
        <v>-</v>
      </c>
      <c r="AZ39" s="586" t="s">
        <v>636</v>
      </c>
      <c r="BA39" s="182" t="s">
        <v>1115</v>
      </c>
      <c r="BB39" s="507"/>
      <c r="BC39" s="507"/>
      <c r="BD39" s="507"/>
    </row>
    <row r="40" customFormat="false" ht="15.75" hidden="false" customHeight="false" outlineLevel="0" collapsed="false">
      <c r="A40" s="589" t="s">
        <v>1283</v>
      </c>
      <c r="B40" s="589"/>
      <c r="C40" s="589"/>
      <c r="D40" s="600" t="s">
        <v>881</v>
      </c>
      <c r="E40" s="591" t="s">
        <v>1117</v>
      </c>
      <c r="F40" s="582" t="n">
        <v>20</v>
      </c>
      <c r="G40" s="582" t="s">
        <v>1191</v>
      </c>
      <c r="H40" s="592" t="n">
        <v>1</v>
      </c>
      <c r="I40" s="593"/>
      <c r="J40" s="589" t="s">
        <v>1284</v>
      </c>
      <c r="K40" s="589"/>
      <c r="L40" s="589"/>
      <c r="M40" s="623" t="s">
        <v>802</v>
      </c>
      <c r="N40" s="581" t="s">
        <v>1119</v>
      </c>
      <c r="O40" s="582" t="n">
        <v>10</v>
      </c>
      <c r="P40" s="583" t="s">
        <v>1120</v>
      </c>
      <c r="Q40" s="595"/>
      <c r="R40" s="93"/>
      <c r="S40" s="585" t="str">
        <f aca="false" t="array" ref="S40:S40">IF(ISNA(INDEX(Source!$U$7:$U$95,MATCH(T40,Source!$V$7:$V$95,0))),"-",INDEX(Source!$U$7:$U$95,MATCH(T40,Source!$V$7:$V$95,0)))</f>
        <v>-</v>
      </c>
      <c r="T40" s="586" t="s">
        <v>1285</v>
      </c>
      <c r="U40" s="182" t="s">
        <v>1106</v>
      </c>
      <c r="V40" s="93"/>
      <c r="W40" s="585" t="str">
        <f aca="false" t="array" ref="W40:W40">IF(ISNA(INDEX(Source!$U$7:$U$95,MATCH(X40,Source!$V$7:$V$95,0))),"-",INDEX(Source!$U$7:$U$95,MATCH(X40,Source!$V$7:$V$95,0)))</f>
        <v>-</v>
      </c>
      <c r="X40" s="586" t="s">
        <v>1286</v>
      </c>
      <c r="Y40" s="182" t="s">
        <v>1107</v>
      </c>
      <c r="Z40" s="93"/>
      <c r="AA40" s="585" t="str">
        <f aca="false" t="array" ref="AA40:AA40">IF(ISNA(INDEX(Source!$U$7:$U$95,MATCH(AB40,Source!$V$7:$V$95,0))),"-",INDEX(Source!$U$7:$U$95,MATCH(AB40,Source!$V$7:$V$95,0)))</f>
        <v>-</v>
      </c>
      <c r="AB40" s="586" t="s">
        <v>673</v>
      </c>
      <c r="AC40" s="182" t="s">
        <v>1108</v>
      </c>
      <c r="AD40" s="93"/>
      <c r="AE40" s="93"/>
      <c r="AF40" s="616"/>
      <c r="AG40" s="93"/>
      <c r="AH40" s="93"/>
      <c r="AI40" s="585" t="str">
        <f aca="false" t="array" ref="AI40:AI40">IF(ISNA(INDEX(Source!$U$7:$U$95,MATCH(AJ40,Source!$V$7:$V$95,0))),"-",INDEX(Source!$U$7:$U$95,MATCH(AJ40,Source!$V$7:$V$95,0)))</f>
        <v>BBG</v>
      </c>
      <c r="AJ40" s="586" t="s">
        <v>120</v>
      </c>
      <c r="AK40" s="182" t="s">
        <v>1110</v>
      </c>
      <c r="AL40" s="93"/>
      <c r="AM40" s="585" t="str">
        <f aca="false" t="array" ref="AM40:AM40">IF(ISNA(INDEX(Source!$U$7:$U$95,MATCH(AN40,Source!$V$7:$V$95,0))),"-",INDEX(Source!$U$7:$U$95,MATCH(AN40,Source!$V$7:$V$95,0)))</f>
        <v>FTT</v>
      </c>
      <c r="AN40" s="586" t="s">
        <v>108</v>
      </c>
      <c r="AO40" s="182" t="s">
        <v>1112</v>
      </c>
      <c r="AP40" s="93"/>
      <c r="AQ40" s="585" t="str">
        <f aca="false" t="array" ref="AQ40:AQ40">IF(ISNA(INDEX(Source!$U$7:$U$95,MATCH(AR40,Source!$V$7:$V$95,0))),"-",INDEX(Source!$U$7:$U$95,MATCH(AR40,Source!$V$7:$V$95,0)))</f>
        <v>-</v>
      </c>
      <c r="AR40" s="586" t="s">
        <v>1287</v>
      </c>
      <c r="AS40" s="182" t="s">
        <v>1113</v>
      </c>
      <c r="AT40" s="93"/>
      <c r="AU40" s="585" t="str">
        <f aca="false" t="array" ref="AU40:AU40">IF(ISNA(INDEX(Source!$U$7:$U$95,MATCH(AV40,Source!$V$7:$V$95,0))),"-",INDEX(Source!$U$7:$U$95,MATCH(AV40,Source!$V$7:$V$95,0)))</f>
        <v>-</v>
      </c>
      <c r="AV40" s="586" t="s">
        <v>1208</v>
      </c>
      <c r="AW40" s="182" t="s">
        <v>1114</v>
      </c>
      <c r="AX40" s="93"/>
      <c r="AY40" s="585" t="str">
        <f aca="false" t="array" ref="AY40:AY40">IF(ISNA(INDEX(Source!$U$7:$U$95,MATCH(AZ40,Source!$V$7:$V$95,0))),"-",INDEX(Source!$U$7:$U$95,MATCH(AZ40,Source!$V$7:$V$95,0)))</f>
        <v>-</v>
      </c>
      <c r="AZ40" s="586" t="s">
        <v>638</v>
      </c>
      <c r="BA40" s="182" t="s">
        <v>1115</v>
      </c>
      <c r="BB40" s="507"/>
      <c r="BC40" s="507"/>
      <c r="BD40" s="507"/>
    </row>
    <row r="41" customFormat="false" ht="15.75" hidden="false" customHeight="false" outlineLevel="0" collapsed="false">
      <c r="A41" s="589" t="s">
        <v>1288</v>
      </c>
      <c r="B41" s="589"/>
      <c r="C41" s="589"/>
      <c r="D41" s="610" t="s">
        <v>839</v>
      </c>
      <c r="E41" s="591" t="s">
        <v>1117</v>
      </c>
      <c r="F41" s="582" t="n">
        <v>25</v>
      </c>
      <c r="G41" s="582" t="n">
        <v>60</v>
      </c>
      <c r="H41" s="592" t="n">
        <v>1</v>
      </c>
      <c r="I41" s="593"/>
      <c r="J41" s="589" t="s">
        <v>1289</v>
      </c>
      <c r="K41" s="589"/>
      <c r="L41" s="589"/>
      <c r="M41" s="625" t="s">
        <v>795</v>
      </c>
      <c r="N41" s="581" t="s">
        <v>1166</v>
      </c>
      <c r="O41" s="582" t="n">
        <v>10</v>
      </c>
      <c r="P41" s="592" t="n">
        <v>0.5</v>
      </c>
      <c r="Q41" s="595"/>
      <c r="R41" s="93"/>
      <c r="S41" s="585" t="str">
        <f aca="false" t="array" ref="S41:S41">IF(ISNA(INDEX(Source!$U$7:$U$95,MATCH(T41,Source!$V$7:$V$95,0))),"-",INDEX(Source!$U$7:$U$95,MATCH(T41,Source!$V$7:$V$95,0)))</f>
        <v>-</v>
      </c>
      <c r="T41" s="586" t="s">
        <v>491</v>
      </c>
      <c r="U41" s="182" t="s">
        <v>1106</v>
      </c>
      <c r="V41" s="93"/>
      <c r="W41" s="585" t="str">
        <f aca="false" t="array" ref="W41:W41">IF(ISNA(INDEX(Source!$U$7:$U$95,MATCH(X41,Source!$V$7:$V$95,0))),"-",INDEX(Source!$U$7:$U$95,MATCH(X41,Source!$V$7:$V$95,0)))</f>
        <v>-</v>
      </c>
      <c r="X41" s="586" t="s">
        <v>1278</v>
      </c>
      <c r="Y41" s="182" t="s">
        <v>1107</v>
      </c>
      <c r="Z41" s="93"/>
      <c r="AA41" s="585" t="str">
        <f aca="false" t="array" ref="AA41:AA41">IF(ISNA(INDEX(Source!$U$7:$U$95,MATCH(AB41,Source!$V$7:$V$95,0))),"-",INDEX(Source!$U$7:$U$95,MATCH(AB41,Source!$V$7:$V$95,0)))</f>
        <v>-</v>
      </c>
      <c r="AB41" s="586" t="s">
        <v>1290</v>
      </c>
      <c r="AC41" s="182" t="s">
        <v>1108</v>
      </c>
      <c r="AD41" s="93"/>
      <c r="AE41" s="93"/>
      <c r="AF41" s="616"/>
      <c r="AG41" s="93"/>
      <c r="AH41" s="93"/>
      <c r="AI41" s="585" t="str">
        <f aca="false" t="array" ref="AI41:AI41">IF(ISNA(INDEX(Source!$U$7:$U$95,MATCH(AJ41,Source!$V$7:$V$95,0))),"-",INDEX(Source!$U$7:$U$95,MATCH(AJ41,Source!$V$7:$V$95,0)))</f>
        <v>-</v>
      </c>
      <c r="AJ41" s="586" t="s">
        <v>549</v>
      </c>
      <c r="AK41" s="182" t="s">
        <v>1110</v>
      </c>
      <c r="AL41" s="93"/>
      <c r="AM41" s="585" t="str">
        <f aca="false" t="array" ref="AM41:AM41">IF(ISNA(INDEX(Source!$U$7:$U$95,MATCH(AN41,Source!$V$7:$V$95,0))),"-",INDEX(Source!$U$7:$U$95,MATCH(AN41,Source!$V$7:$V$95,0)))</f>
        <v>-</v>
      </c>
      <c r="AN41" s="586" t="s">
        <v>1291</v>
      </c>
      <c r="AO41" s="182" t="s">
        <v>1112</v>
      </c>
      <c r="AP41" s="93"/>
      <c r="AQ41" s="585" t="str">
        <f aca="false" t="array" ref="AQ41:AQ41">IF(ISNA(INDEX(Source!$U$7:$U$95,MATCH(AR41,Source!$V$7:$V$95,0))),"-",INDEX(Source!$U$7:$U$95,MATCH(AR41,Source!$V$7:$V$95,0)))</f>
        <v>-</v>
      </c>
      <c r="AR41" s="586" t="s">
        <v>1292</v>
      </c>
      <c r="AS41" s="182" t="s">
        <v>1113</v>
      </c>
      <c r="AT41" s="93"/>
      <c r="AU41" s="585" t="str">
        <f aca="false" t="array" ref="AU41:AU41">IF(ISNA(INDEX(Source!$U$7:$U$95,MATCH(AV41,Source!$V$7:$V$95,0))),"-",INDEX(Source!$U$7:$U$95,MATCH(AV41,Source!$V$7:$V$95,0)))</f>
        <v>-</v>
      </c>
      <c r="AV41" s="586" t="s">
        <v>1293</v>
      </c>
      <c r="AW41" s="182" t="s">
        <v>1114</v>
      </c>
      <c r="AX41" s="93"/>
      <c r="AY41" s="585" t="str">
        <f aca="false" t="array" ref="AY41:AY41">IF(ISNA(INDEX(Source!$U$7:$U$95,MATCH(AZ41,Source!$V$7:$V$95,0))),"-",INDEX(Source!$U$7:$U$95,MATCH(AZ41,Source!$V$7:$V$95,0)))</f>
        <v>-</v>
      </c>
      <c r="AZ41" s="586" t="s">
        <v>640</v>
      </c>
      <c r="BA41" s="182" t="s">
        <v>1115</v>
      </c>
      <c r="BB41" s="507"/>
      <c r="BC41" s="507"/>
      <c r="BD41" s="507"/>
    </row>
    <row r="42" customFormat="false" ht="15.75" hidden="false" customHeight="false" outlineLevel="0" collapsed="false">
      <c r="A42" s="589" t="s">
        <v>1294</v>
      </c>
      <c r="B42" s="589"/>
      <c r="C42" s="589"/>
      <c r="D42" s="599" t="s">
        <v>811</v>
      </c>
      <c r="E42" s="591" t="s">
        <v>1117</v>
      </c>
      <c r="F42" s="582" t="n">
        <v>10</v>
      </c>
      <c r="G42" s="582" t="n">
        <v>100</v>
      </c>
      <c r="H42" s="592" t="n">
        <v>0.9</v>
      </c>
      <c r="I42" s="593"/>
      <c r="J42" s="589" t="s">
        <v>1295</v>
      </c>
      <c r="K42" s="589"/>
      <c r="L42" s="589"/>
      <c r="M42" s="626" t="s">
        <v>794</v>
      </c>
      <c r="N42" s="581" t="s">
        <v>1119</v>
      </c>
      <c r="O42" s="582" t="n">
        <v>10</v>
      </c>
      <c r="P42" s="583" t="s">
        <v>1120</v>
      </c>
      <c r="Q42" s="595"/>
      <c r="R42" s="93"/>
      <c r="S42" s="585" t="str">
        <f aca="false" t="array" ref="S42:S42">IF(ISNA(INDEX(Source!$U$7:$U$95,MATCH(T42,Source!$V$7:$V$95,0))),"-",INDEX(Source!$U$7:$U$95,MATCH(T42,Source!$V$7:$V$95,0)))</f>
        <v>-</v>
      </c>
      <c r="T42" s="586" t="s">
        <v>1296</v>
      </c>
      <c r="U42" s="182" t="s">
        <v>1106</v>
      </c>
      <c r="V42" s="93"/>
      <c r="W42" s="585" t="str">
        <f aca="false" t="array" ref="W42:W42">IF(ISNA(INDEX(Source!$U$7:$U$95,MATCH(X42,Source!$V$7:$V$95,0))),"-",INDEX(Source!$U$7:$U$95,MATCH(X42,Source!$V$7:$V$95,0)))</f>
        <v>-</v>
      </c>
      <c r="X42" s="586" t="s">
        <v>1282</v>
      </c>
      <c r="Y42" s="182" t="s">
        <v>1107</v>
      </c>
      <c r="Z42" s="93"/>
      <c r="AA42" s="585" t="str">
        <f aca="false" t="array" ref="AA42:AA42">IF(ISNA(INDEX(Source!$U$7:$U$95,MATCH(AB42,Source!$V$7:$V$95,0))),"-",INDEX(Source!$U$7:$U$95,MATCH(AB42,Source!$V$7:$V$95,0)))</f>
        <v>-</v>
      </c>
      <c r="AB42" s="586" t="s">
        <v>685</v>
      </c>
      <c r="AC42" s="182" t="s">
        <v>1108</v>
      </c>
      <c r="AD42" s="93"/>
      <c r="AE42" s="93"/>
      <c r="AF42" s="616"/>
      <c r="AG42" s="93"/>
      <c r="AH42" s="93"/>
      <c r="AI42" s="585" t="str">
        <f aca="false" t="array" ref="AI42:AI42">IF(ISNA(INDEX(Source!$U$7:$U$95,MATCH(AJ42,Source!$V$7:$V$95,0))),"-",INDEX(Source!$U$7:$U$95,MATCH(AJ42,Source!$V$7:$V$95,0)))</f>
        <v>-</v>
      </c>
      <c r="AJ42" s="586" t="s">
        <v>553</v>
      </c>
      <c r="AK42" s="182" t="s">
        <v>1110</v>
      </c>
      <c r="AL42" s="93"/>
      <c r="AM42" s="585" t="str">
        <f aca="false" t="array" ref="AM42:AM42">IF(ISNA(INDEX(Source!$U$7:$U$95,MATCH(AN42,Source!$V$7:$V$95,0))),"-",INDEX(Source!$U$7:$U$95,MATCH(AN42,Source!$V$7:$V$95,0)))</f>
        <v>-</v>
      </c>
      <c r="AN42" s="586" t="s">
        <v>1297</v>
      </c>
      <c r="AO42" s="182" t="s">
        <v>1112</v>
      </c>
      <c r="AP42" s="93"/>
      <c r="AQ42" s="585" t="str">
        <f aca="false" t="array" ref="AQ42:AQ42">IF(ISNA(INDEX(Source!$U$7:$U$95,MATCH(AR42,Source!$V$7:$V$95,0))),"-",INDEX(Source!$U$7:$U$95,MATCH(AR42,Source!$V$7:$V$95,0)))</f>
        <v>-</v>
      </c>
      <c r="AR42" s="586" t="s">
        <v>1270</v>
      </c>
      <c r="AS42" s="182" t="s">
        <v>1113</v>
      </c>
      <c r="AT42" s="93"/>
      <c r="AU42" s="585" t="str">
        <f aca="false" t="array" ref="AU42:AU42">IF(ISNA(INDEX(Source!$U$7:$U$95,MATCH(AV42,Source!$V$7:$V$95,0))),"-",INDEX(Source!$U$7:$U$95,MATCH(AV42,Source!$V$7:$V$95,0)))</f>
        <v>-</v>
      </c>
      <c r="AV42" s="586" t="s">
        <v>1298</v>
      </c>
      <c r="AW42" s="182" t="s">
        <v>1114</v>
      </c>
      <c r="AX42" s="93"/>
      <c r="AY42" s="585" t="str">
        <f aca="false" t="array" ref="AY42:AY42">IF(ISNA(INDEX(Source!$U$7:$U$95,MATCH(AZ42,Source!$V$7:$V$95,0))),"-",INDEX(Source!$U$7:$U$95,MATCH(AZ42,Source!$V$7:$V$95,0)))</f>
        <v>-</v>
      </c>
      <c r="AZ42" s="586" t="s">
        <v>460</v>
      </c>
      <c r="BA42" s="182" t="s">
        <v>1115</v>
      </c>
      <c r="BB42" s="507"/>
      <c r="BC42" s="507"/>
      <c r="BD42" s="507"/>
    </row>
    <row r="43" customFormat="false" ht="15.75" hidden="false" customHeight="false" outlineLevel="0" collapsed="false">
      <c r="A43" s="589" t="s">
        <v>1299</v>
      </c>
      <c r="B43" s="589"/>
      <c r="C43" s="589"/>
      <c r="D43" s="600" t="s">
        <v>881</v>
      </c>
      <c r="E43" s="591" t="s">
        <v>1117</v>
      </c>
      <c r="F43" s="582" t="n">
        <v>5</v>
      </c>
      <c r="G43" s="582" t="n">
        <v>100</v>
      </c>
      <c r="H43" s="592" t="n">
        <v>0.8</v>
      </c>
      <c r="I43" s="593"/>
      <c r="J43" s="589" t="s">
        <v>1300</v>
      </c>
      <c r="K43" s="589"/>
      <c r="L43" s="589"/>
      <c r="M43" s="594" t="s">
        <v>839</v>
      </c>
      <c r="N43" s="581" t="s">
        <v>1119</v>
      </c>
      <c r="O43" s="582" t="n">
        <v>40</v>
      </c>
      <c r="P43" s="583" t="s">
        <v>1120</v>
      </c>
      <c r="Q43" s="595"/>
      <c r="R43" s="93"/>
      <c r="S43" s="585" t="str">
        <f aca="false" t="array" ref="S43:S43">IF(ISNA(INDEX(Source!$U$7:$U$95,MATCH(T43,Source!$V$7:$V$95,0))),"-",INDEX(Source!$U$7:$U$95,MATCH(T43,Source!$V$7:$V$95,0)))</f>
        <v>-</v>
      </c>
      <c r="T43" s="586" t="s">
        <v>1162</v>
      </c>
      <c r="U43" s="182" t="s">
        <v>1106</v>
      </c>
      <c r="V43" s="93"/>
      <c r="W43" s="585" t="str">
        <f aca="false" t="array" ref="W43:W43">IF(ISNA(INDEX(Source!$U$7:$U$95,MATCH(X43,Source!$V$7:$V$95,0))),"-",INDEX(Source!$U$7:$U$95,MATCH(X43,Source!$V$7:$V$95,0)))</f>
        <v>-</v>
      </c>
      <c r="X43" s="586" t="s">
        <v>1301</v>
      </c>
      <c r="Y43" s="182" t="s">
        <v>1107</v>
      </c>
      <c r="Z43" s="93"/>
      <c r="AA43" s="585" t="str">
        <f aca="false" t="array" ref="AA43:AA43">IF(ISNA(INDEX(Source!$U$7:$U$95,MATCH(AB43,Source!$V$7:$V$95,0))),"-",INDEX(Source!$U$7:$U$95,MATCH(AB43,Source!$V$7:$V$95,0)))</f>
        <v>-</v>
      </c>
      <c r="AB43" s="586" t="s">
        <v>1301</v>
      </c>
      <c r="AC43" s="182" t="s">
        <v>1108</v>
      </c>
      <c r="AD43" s="93"/>
      <c r="AE43" s="93"/>
      <c r="AF43" s="616"/>
      <c r="AG43" s="93"/>
      <c r="AH43" s="93"/>
      <c r="AI43" s="585" t="str">
        <f aca="false" t="array" ref="AI43:AI43">IF(ISNA(INDEX(Source!$U$7:$U$95,MATCH(AJ43,Source!$V$7:$V$95,0))),"-",INDEX(Source!$U$7:$U$95,MATCH(AJ43,Source!$V$7:$V$95,0)))</f>
        <v>-</v>
      </c>
      <c r="AJ43" s="586" t="s">
        <v>1302</v>
      </c>
      <c r="AK43" s="182" t="s">
        <v>1110</v>
      </c>
      <c r="AL43" s="93"/>
      <c r="AM43" s="627"/>
      <c r="AN43" s="628"/>
      <c r="AO43" s="627"/>
      <c r="AP43" s="93"/>
      <c r="AQ43" s="585" t="str">
        <f aca="false" t="array" ref="AQ43:AQ43">IF(ISNA(INDEX(Source!$U$7:$U$95,MATCH(AR43,Source!$V$7:$V$95,0))),"-",INDEX(Source!$U$7:$U$95,MATCH(AR43,Source!$V$7:$V$95,0)))</f>
        <v>-</v>
      </c>
      <c r="AR43" s="586" t="s">
        <v>1194</v>
      </c>
      <c r="AS43" s="182" t="s">
        <v>1113</v>
      </c>
      <c r="AT43" s="93"/>
      <c r="AU43" s="585" t="str">
        <f aca="false" t="array" ref="AU43:AU43">IF(ISNA(INDEX(Source!$U$7:$U$95,MATCH(AV43,Source!$V$7:$V$95,0))),"-",INDEX(Source!$U$7:$U$95,MATCH(AV43,Source!$V$7:$V$95,0)))</f>
        <v>-</v>
      </c>
      <c r="AV43" s="586" t="s">
        <v>460</v>
      </c>
      <c r="AW43" s="182" t="s">
        <v>1114</v>
      </c>
      <c r="AX43" s="93"/>
      <c r="AY43" s="585" t="str">
        <f aca="false" t="array" ref="AY43:AY43">IF(ISNA(INDEX(Source!$U$7:$U$95,MATCH(AZ43,Source!$V$7:$V$95,0))),"-",INDEX(Source!$U$7:$U$95,MATCH(AZ43,Source!$V$7:$V$95,0)))</f>
        <v>-</v>
      </c>
      <c r="AZ43" s="586" t="s">
        <v>668</v>
      </c>
      <c r="BA43" s="182" t="s">
        <v>1115</v>
      </c>
      <c r="BB43" s="507"/>
      <c r="BC43" s="507"/>
      <c r="BD43" s="507"/>
    </row>
    <row r="44" customFormat="false" ht="15.75" hidden="false" customHeight="false" outlineLevel="0" collapsed="false">
      <c r="A44" s="589" t="s">
        <v>1303</v>
      </c>
      <c r="B44" s="589"/>
      <c r="C44" s="589"/>
      <c r="D44" s="629" t="s">
        <v>843</v>
      </c>
      <c r="E44" s="591" t="s">
        <v>1117</v>
      </c>
      <c r="F44" s="582" t="n">
        <v>20</v>
      </c>
      <c r="G44" s="582" t="n">
        <v>70</v>
      </c>
      <c r="H44" s="592" t="n">
        <v>1</v>
      </c>
      <c r="I44" s="593"/>
      <c r="J44" s="589" t="s">
        <v>1110</v>
      </c>
      <c r="K44" s="589"/>
      <c r="L44" s="589"/>
      <c r="M44" s="630" t="s">
        <v>801</v>
      </c>
      <c r="N44" s="581" t="s">
        <v>1200</v>
      </c>
      <c r="O44" s="582" t="n">
        <v>15</v>
      </c>
      <c r="P44" s="583" t="s">
        <v>1120</v>
      </c>
      <c r="Q44" s="595"/>
      <c r="R44" s="93"/>
      <c r="S44" s="585" t="str">
        <f aca="false" t="array" ref="S44:S44">IF(ISNA(INDEX(Source!$U$7:$U$95,MATCH(T44,Source!$V$7:$V$95,0))),"-",INDEX(Source!$U$7:$U$95,MATCH(T44,Source!$V$7:$V$95,0)))</f>
        <v>-</v>
      </c>
      <c r="T44" s="586" t="s">
        <v>1167</v>
      </c>
      <c r="U44" s="182" t="s">
        <v>1106</v>
      </c>
      <c r="V44" s="93"/>
      <c r="W44" s="613" t="str">
        <f aca="false" t="array" ref="W44:W44">IF(ISNA(INDEX(Source!$U$7:$U$95,MATCH(X44,Source!$V$7:$V$95,0))),"-",INDEX(Source!$U$7:$U$95,MATCH(X44,Source!$V$7:$V$95,0)))</f>
        <v>-</v>
      </c>
      <c r="X44" s="631" t="s">
        <v>1304</v>
      </c>
      <c r="Y44" s="193" t="s">
        <v>1107</v>
      </c>
      <c r="Z44" s="93"/>
      <c r="AA44" s="613" t="str">
        <f aca="false" t="array" ref="AA44:AA44">IF(ISNA(INDEX(Source!$U$7:$U$95,MATCH(AB44,Source!$V$7:$V$95,0))),"-",INDEX(Source!$U$7:$U$95,MATCH(AB44,Source!$V$7:$V$95,0)))</f>
        <v>-</v>
      </c>
      <c r="AB44" s="631" t="s">
        <v>1305</v>
      </c>
      <c r="AC44" s="193" t="s">
        <v>1108</v>
      </c>
      <c r="AD44" s="93"/>
      <c r="AE44" s="93"/>
      <c r="AF44" s="616"/>
      <c r="AG44" s="93"/>
      <c r="AH44" s="93"/>
      <c r="AI44" s="585" t="str">
        <f aca="false" t="array" ref="AI44:AI44">IF(ISNA(INDEX(Source!$U$7:$U$95,MATCH(AJ44,Source!$V$7:$V$95,0))),"-",INDEX(Source!$U$7:$U$95,MATCH(AJ44,Source!$V$7:$V$95,0)))</f>
        <v>-</v>
      </c>
      <c r="AJ44" s="586" t="s">
        <v>564</v>
      </c>
      <c r="AK44" s="182" t="s">
        <v>1110</v>
      </c>
      <c r="AL44" s="93"/>
      <c r="AM44" s="93"/>
      <c r="AN44" s="616"/>
      <c r="AO44" s="93"/>
      <c r="AP44" s="93"/>
      <c r="AQ44" s="585" t="str">
        <f aca="false" t="array" ref="AQ44:AQ44">IF(ISNA(INDEX(Source!$U$7:$U$95,MATCH(AR44,Source!$V$7:$V$95,0))),"-",INDEX(Source!$U$7:$U$95,MATCH(AR44,Source!$V$7:$V$95,0)))</f>
        <v>-</v>
      </c>
      <c r="AR44" s="586" t="s">
        <v>1074</v>
      </c>
      <c r="AS44" s="182" t="s">
        <v>1113</v>
      </c>
      <c r="AT44" s="93"/>
      <c r="AU44" s="585" t="str">
        <f aca="false" t="array" ref="AU44:AU44">IF(ISNA(INDEX(Source!$U$7:$U$95,MATCH(AV44,Source!$V$7:$V$95,0))),"-",INDEX(Source!$U$7:$U$95,MATCH(AV44,Source!$V$7:$V$95,0)))</f>
        <v>-</v>
      </c>
      <c r="AV44" s="586" t="s">
        <v>645</v>
      </c>
      <c r="AW44" s="182" t="s">
        <v>1114</v>
      </c>
      <c r="AX44" s="93"/>
      <c r="AY44" s="585" t="str">
        <f aca="false" t="array" ref="AY44:AY44">IF(ISNA(INDEX(Source!$U$7:$U$95,MATCH(AZ44,Source!$V$7:$V$95,0))),"-",INDEX(Source!$U$7:$U$95,MATCH(AZ44,Source!$V$7:$V$95,0)))</f>
        <v>-</v>
      </c>
      <c r="AZ44" s="617" t="s">
        <v>671</v>
      </c>
      <c r="BA44" s="182" t="s">
        <v>1115</v>
      </c>
      <c r="BB44" s="507"/>
      <c r="BC44" s="507"/>
      <c r="BD44" s="507"/>
    </row>
    <row r="45" customFormat="false" ht="15.75" hidden="false" customHeight="false" outlineLevel="0" collapsed="false">
      <c r="A45" s="589" t="s">
        <v>1306</v>
      </c>
      <c r="B45" s="589"/>
      <c r="C45" s="589"/>
      <c r="D45" s="603" t="s">
        <v>795</v>
      </c>
      <c r="E45" s="591" t="s">
        <v>1117</v>
      </c>
      <c r="F45" s="582" t="n">
        <v>15</v>
      </c>
      <c r="G45" s="582" t="n">
        <v>80</v>
      </c>
      <c r="H45" s="592" t="n">
        <v>1</v>
      </c>
      <c r="I45" s="593"/>
      <c r="J45" s="589" t="s">
        <v>1307</v>
      </c>
      <c r="K45" s="589"/>
      <c r="L45" s="589"/>
      <c r="M45" s="623" t="s">
        <v>802</v>
      </c>
      <c r="N45" s="581" t="s">
        <v>1200</v>
      </c>
      <c r="O45" s="582" t="n">
        <v>5</v>
      </c>
      <c r="P45" s="583" t="s">
        <v>1120</v>
      </c>
      <c r="Q45" s="595"/>
      <c r="R45" s="93"/>
      <c r="S45" s="585" t="str">
        <f aca="false" t="array" ref="S45:S45">IF(ISNA(INDEX(Source!$U$7:$U$95,MATCH(T45,Source!$V$7:$V$95,0))),"-",INDEX(Source!$U$7:$U$95,MATCH(T45,Source!$V$7:$V$95,0)))</f>
        <v>-</v>
      </c>
      <c r="T45" s="586" t="s">
        <v>1171</v>
      </c>
      <c r="U45" s="182" t="s">
        <v>1106</v>
      </c>
      <c r="V45" s="93"/>
      <c r="W45" s="93"/>
      <c r="X45" s="616"/>
      <c r="Y45" s="93"/>
      <c r="Z45" s="93"/>
      <c r="AA45" s="93"/>
      <c r="AB45" s="616"/>
      <c r="AC45" s="93"/>
      <c r="AD45" s="93"/>
      <c r="AE45" s="93"/>
      <c r="AF45" s="616"/>
      <c r="AG45" s="93"/>
      <c r="AH45" s="93"/>
      <c r="AI45" s="585" t="str">
        <f aca="false" t="array" ref="AI45:AI45">IF(ISNA(INDEX(Source!$U$7:$U$95,MATCH(AJ45,Source!$V$7:$V$95,0))),"-",INDEX(Source!$U$7:$U$95,MATCH(AJ45,Source!$V$7:$V$95,0)))</f>
        <v>-</v>
      </c>
      <c r="AJ45" s="586" t="s">
        <v>1308</v>
      </c>
      <c r="AK45" s="182" t="s">
        <v>1110</v>
      </c>
      <c r="AL45" s="93"/>
      <c r="AM45" s="93"/>
      <c r="AN45" s="616"/>
      <c r="AO45" s="93"/>
      <c r="AP45" s="93"/>
      <c r="AQ45" s="585" t="str">
        <f aca="false" t="array" ref="AQ45:AQ45">IF(ISNA(INDEX(Source!$U$7:$U$95,MATCH(AR45,Source!$V$7:$V$95,0))),"-",INDEX(Source!$U$7:$U$95,MATCH(AR45,Source!$V$7:$V$95,0)))</f>
        <v>FTT</v>
      </c>
      <c r="AR45" s="586" t="s">
        <v>108</v>
      </c>
      <c r="AS45" s="182" t="s">
        <v>1113</v>
      </c>
      <c r="AT45" s="93"/>
      <c r="AU45" s="585" t="str">
        <f aca="false" t="array" ref="AU45:AU45">IF(ISNA(INDEX(Source!$U$7:$U$95,MATCH(AV45,Source!$V$7:$V$95,0))),"-",INDEX(Source!$U$7:$U$95,MATCH(AV45,Source!$V$7:$V$95,0)))</f>
        <v>-</v>
      </c>
      <c r="AV45" s="586" t="s">
        <v>660</v>
      </c>
      <c r="AW45" s="182" t="s">
        <v>1114</v>
      </c>
      <c r="AX45" s="93"/>
      <c r="AY45" s="585" t="str">
        <f aca="false" t="array" ref="AY45:AY45">IF(ISNA(INDEX(Source!$U$7:$U$95,MATCH(AZ45,Source!$V$7:$V$95,0))),"-",INDEX(Source!$U$7:$U$95,MATCH(AZ45,Source!$V$7:$V$95,0)))</f>
        <v>-</v>
      </c>
      <c r="AZ45" s="617" t="s">
        <v>674</v>
      </c>
      <c r="BA45" s="182" t="s">
        <v>1115</v>
      </c>
      <c r="BB45" s="507"/>
      <c r="BC45" s="507"/>
      <c r="BD45" s="507"/>
    </row>
    <row r="46" customFormat="false" ht="15.75" hidden="false" customHeight="false" outlineLevel="0" collapsed="false">
      <c r="A46" s="589" t="s">
        <v>1309</v>
      </c>
      <c r="B46" s="589"/>
      <c r="C46" s="589"/>
      <c r="D46" s="610" t="s">
        <v>839</v>
      </c>
      <c r="E46" s="591" t="s">
        <v>1117</v>
      </c>
      <c r="F46" s="582" t="n">
        <v>10</v>
      </c>
      <c r="G46" s="582" t="n">
        <v>75</v>
      </c>
      <c r="H46" s="592" t="n">
        <v>0.95</v>
      </c>
      <c r="I46" s="593"/>
      <c r="J46" s="589" t="s">
        <v>1310</v>
      </c>
      <c r="K46" s="589"/>
      <c r="L46" s="589"/>
      <c r="M46" s="621" t="s">
        <v>881</v>
      </c>
      <c r="N46" s="581" t="s">
        <v>1200</v>
      </c>
      <c r="O46" s="582" t="n">
        <v>5</v>
      </c>
      <c r="P46" s="583" t="s">
        <v>1120</v>
      </c>
      <c r="Q46" s="595"/>
      <c r="R46" s="93"/>
      <c r="S46" s="585" t="str">
        <f aca="false" t="array" ref="S46:S46">IF(ISNA(INDEX(Source!$U$7:$U$95,MATCH(T46,Source!$V$7:$V$95,0))),"-",INDEX(Source!$U$7:$U$95,MATCH(T46,Source!$V$7:$V$95,0)))</f>
        <v>-</v>
      </c>
      <c r="T46" s="586" t="s">
        <v>1177</v>
      </c>
      <c r="U46" s="182" t="s">
        <v>1106</v>
      </c>
      <c r="V46" s="93"/>
      <c r="W46" s="93"/>
      <c r="X46" s="616"/>
      <c r="Y46" s="93"/>
      <c r="Z46" s="93"/>
      <c r="AA46" s="93"/>
      <c r="AB46" s="616"/>
      <c r="AC46" s="93"/>
      <c r="AD46" s="93"/>
      <c r="AE46" s="93"/>
      <c r="AF46" s="616"/>
      <c r="AG46" s="93"/>
      <c r="AH46" s="93"/>
      <c r="AI46" s="585" t="str">
        <f aca="false" t="array" ref="AI46:AI46">IF(ISNA(INDEX(Source!$U$7:$U$95,MATCH(AJ46,Source!$V$7:$V$95,0))),"-",INDEX(Source!$U$7:$U$95,MATCH(AJ46,Source!$V$7:$V$95,0)))</f>
        <v>SEA</v>
      </c>
      <c r="AJ46" s="586" t="s">
        <v>49</v>
      </c>
      <c r="AK46" s="182" t="s">
        <v>1110</v>
      </c>
      <c r="AL46" s="93"/>
      <c r="AM46" s="93"/>
      <c r="AN46" s="616"/>
      <c r="AO46" s="93"/>
      <c r="AP46" s="93"/>
      <c r="AQ46" s="585" t="str">
        <f aca="false" t="array" ref="AQ46:AQ46">IF(ISNA(INDEX(Source!$U$7:$U$95,MATCH(AR46,Source!$V$7:$V$95,0))),"-",INDEX(Source!$U$7:$U$95,MATCH(AR46,Source!$V$7:$V$95,0)))</f>
        <v>-</v>
      </c>
      <c r="AR46" s="586" t="s">
        <v>666</v>
      </c>
      <c r="AS46" s="182" t="s">
        <v>1113</v>
      </c>
      <c r="AT46" s="93"/>
      <c r="AU46" s="585" t="str">
        <f aca="false" t="array" ref="AU46:AU46">IF(ISNA(INDEX(Source!$U$7:$U$95,MATCH(AV46,Source!$V$7:$V$95,0))),"-",INDEX(Source!$U$7:$U$95,MATCH(AV46,Source!$V$7:$V$95,0)))</f>
        <v>LVC</v>
      </c>
      <c r="AV46" s="617" t="s">
        <v>86</v>
      </c>
      <c r="AW46" s="182" t="s">
        <v>1114</v>
      </c>
      <c r="AX46" s="93"/>
      <c r="AY46" s="585" t="str">
        <f aca="false" t="array" ref="AY46:AY46">IF(ISNA(INDEX(Source!$U$7:$U$95,MATCH(AZ46,Source!$V$7:$V$95,0))),"-",INDEX(Source!$U$7:$U$95,MATCH(AZ46,Source!$V$7:$V$95,0)))</f>
        <v>-</v>
      </c>
      <c r="AZ46" s="617" t="s">
        <v>1311</v>
      </c>
      <c r="BA46" s="182" t="s">
        <v>1115</v>
      </c>
      <c r="BB46" s="507"/>
      <c r="BC46" s="507"/>
      <c r="BD46" s="507"/>
    </row>
    <row r="47" customFormat="false" ht="15.75" hidden="false" customHeight="false" outlineLevel="0" collapsed="false">
      <c r="A47" s="589" t="s">
        <v>1312</v>
      </c>
      <c r="B47" s="589"/>
      <c r="C47" s="589"/>
      <c r="D47" s="610" t="s">
        <v>839</v>
      </c>
      <c r="E47" s="591" t="s">
        <v>1117</v>
      </c>
      <c r="F47" s="582" t="n">
        <v>5</v>
      </c>
      <c r="G47" s="582" t="s">
        <v>1183</v>
      </c>
      <c r="H47" s="592" t="n">
        <v>1</v>
      </c>
      <c r="I47" s="593"/>
      <c r="J47" s="589" t="s">
        <v>1313</v>
      </c>
      <c r="K47" s="589"/>
      <c r="L47" s="589"/>
      <c r="M47" s="594" t="s">
        <v>839</v>
      </c>
      <c r="N47" s="581" t="s">
        <v>1185</v>
      </c>
      <c r="O47" s="582" t="n">
        <v>20</v>
      </c>
      <c r="P47" s="592" t="n">
        <v>1</v>
      </c>
      <c r="Q47" s="595"/>
      <c r="R47" s="93"/>
      <c r="S47" s="585" t="str">
        <f aca="false" t="array" ref="S47:S47">IF(ISNA(INDEX(Source!$U$7:$U$95,MATCH(T47,Source!$V$7:$V$95,0))),"-",INDEX(Source!$U$7:$U$95,MATCH(T47,Source!$V$7:$V$95,0)))</f>
        <v>-</v>
      </c>
      <c r="T47" s="586" t="s">
        <v>1314</v>
      </c>
      <c r="U47" s="182" t="s">
        <v>1106</v>
      </c>
      <c r="V47" s="93"/>
      <c r="W47" s="93"/>
      <c r="X47" s="616"/>
      <c r="Y47" s="93"/>
      <c r="Z47" s="93"/>
      <c r="AA47" s="93"/>
      <c r="AB47" s="616"/>
      <c r="AC47" s="93"/>
      <c r="AD47" s="93"/>
      <c r="AE47" s="93"/>
      <c r="AF47" s="616"/>
      <c r="AG47" s="93"/>
      <c r="AH47" s="93"/>
      <c r="AI47" s="585" t="str">
        <f aca="false" t="array" ref="AI47:AI47">IF(ISNA(INDEX(Source!$U$7:$U$95,MATCH(AJ47,Source!$V$7:$V$95,0))),"-",INDEX(Source!$U$7:$U$95,MATCH(AJ47,Source!$V$7:$V$95,0)))</f>
        <v>-</v>
      </c>
      <c r="AJ47" s="586" t="s">
        <v>411</v>
      </c>
      <c r="AK47" s="182" t="s">
        <v>1110</v>
      </c>
      <c r="AL47" s="93"/>
      <c r="AM47" s="93"/>
      <c r="AN47" s="616"/>
      <c r="AO47" s="93"/>
      <c r="AP47" s="93"/>
      <c r="AQ47" s="585" t="str">
        <f aca="false" t="array" ref="AQ47:AQ47">IF(ISNA(INDEX(Source!$U$7:$U$95,MATCH(AR47,Source!$V$7:$V$95,0))),"-",INDEX(Source!$U$7:$U$95,MATCH(AR47,Source!$V$7:$V$95,0)))</f>
        <v>-</v>
      </c>
      <c r="AR47" s="586" t="s">
        <v>669</v>
      </c>
      <c r="AS47" s="182" t="s">
        <v>1113</v>
      </c>
      <c r="AT47" s="93"/>
      <c r="AU47" s="585" t="str">
        <f aca="false" t="array" ref="AU47:AU47">IF(ISNA(INDEX(Source!$U$7:$U$95,MATCH(AV47,Source!$V$7:$V$95,0))),"-",INDEX(Source!$U$7:$U$95,MATCH(AV47,Source!$V$7:$V$95,0)))</f>
        <v>BTB</v>
      </c>
      <c r="AV47" s="617" t="s">
        <v>262</v>
      </c>
      <c r="AW47" s="182" t="s">
        <v>1114</v>
      </c>
      <c r="AX47" s="93"/>
      <c r="AY47" s="585" t="str">
        <f aca="false" t="array" ref="AY47:AY47">IF(ISNA(INDEX(Source!$U$7:$U$95,MATCH(AZ47,Source!$V$7:$V$95,0))),"-",INDEX(Source!$U$7:$U$95,MATCH(AZ47,Source!$V$7:$V$95,0)))</f>
        <v>-</v>
      </c>
      <c r="AZ47" s="617" t="s">
        <v>755</v>
      </c>
      <c r="BA47" s="182" t="s">
        <v>1115</v>
      </c>
      <c r="BB47" s="507"/>
      <c r="BC47" s="507"/>
      <c r="BD47" s="507"/>
    </row>
    <row r="48" customFormat="false" ht="15.75" hidden="false" customHeight="false" outlineLevel="0" collapsed="false">
      <c r="A48" s="589" t="s">
        <v>1315</v>
      </c>
      <c r="B48" s="589"/>
      <c r="C48" s="589"/>
      <c r="D48" s="610" t="s">
        <v>839</v>
      </c>
      <c r="E48" s="591" t="s">
        <v>1117</v>
      </c>
      <c r="F48" s="582" t="n">
        <v>30</v>
      </c>
      <c r="G48" s="582" t="n">
        <v>50</v>
      </c>
      <c r="H48" s="592" t="n">
        <v>0.95</v>
      </c>
      <c r="I48" s="593"/>
      <c r="J48" s="589" t="s">
        <v>1316</v>
      </c>
      <c r="K48" s="589"/>
      <c r="L48" s="589"/>
      <c r="M48" s="594" t="s">
        <v>839</v>
      </c>
      <c r="N48" s="581" t="s">
        <v>1317</v>
      </c>
      <c r="O48" s="582" t="n">
        <v>15</v>
      </c>
      <c r="P48" s="583" t="s">
        <v>1120</v>
      </c>
      <c r="Q48" s="595"/>
      <c r="R48" s="93"/>
      <c r="S48" s="585" t="str">
        <f aca="false" t="array" ref="S48:S48">IF(ISNA(INDEX(Source!$U$7:$U$95,MATCH(T48,Source!$V$7:$V$95,0))),"-",INDEX(Source!$U$7:$U$95,MATCH(T48,Source!$V$7:$V$95,0)))</f>
        <v>-</v>
      </c>
      <c r="T48" s="586" t="s">
        <v>416</v>
      </c>
      <c r="U48" s="182" t="s">
        <v>1106</v>
      </c>
      <c r="V48" s="93"/>
      <c r="W48" s="93"/>
      <c r="X48" s="616"/>
      <c r="Y48" s="93"/>
      <c r="Z48" s="93"/>
      <c r="AA48" s="93"/>
      <c r="AB48" s="616"/>
      <c r="AC48" s="93"/>
      <c r="AD48" s="93"/>
      <c r="AE48" s="93"/>
      <c r="AF48" s="616"/>
      <c r="AG48" s="93"/>
      <c r="AH48" s="93"/>
      <c r="AI48" s="585" t="str">
        <f aca="false" t="array" ref="AI48:AI48">IF(ISNA(INDEX(Source!$U$7:$U$95,MATCH(AJ48,Source!$V$7:$V$95,0))),"-",INDEX(Source!$U$7:$U$95,MATCH(AJ48,Source!$V$7:$V$95,0)))</f>
        <v>-</v>
      </c>
      <c r="AJ48" s="586" t="s">
        <v>1203</v>
      </c>
      <c r="AK48" s="182" t="s">
        <v>1110</v>
      </c>
      <c r="AL48" s="93"/>
      <c r="AM48" s="93"/>
      <c r="AN48" s="616"/>
      <c r="AO48" s="93"/>
      <c r="AP48" s="93"/>
      <c r="AQ48" s="613" t="str">
        <f aca="false" t="array" ref="AQ48:AQ48">IF(ISNA(INDEX(Source!$U$7:$U$95,MATCH(AR48,Source!$V$7:$V$95,0))),"-",INDEX(Source!$U$7:$U$95,MATCH(AR48,Source!$V$7:$V$95,0)))</f>
        <v>-</v>
      </c>
      <c r="AR48" s="631" t="s">
        <v>1318</v>
      </c>
      <c r="AS48" s="193" t="s">
        <v>1113</v>
      </c>
      <c r="AT48" s="93"/>
      <c r="AU48" s="585" t="str">
        <f aca="false" t="array" ref="AU48:AU48">IF(ISNA(INDEX(Source!$U$7:$U$95,MATCH(AV48,Source!$V$7:$V$95,0))),"-",INDEX(Source!$U$7:$U$95,MATCH(AV48,Source!$V$7:$V$95,0)))</f>
        <v>-</v>
      </c>
      <c r="AV48" s="617" t="s">
        <v>668</v>
      </c>
      <c r="AW48" s="182" t="s">
        <v>1114</v>
      </c>
      <c r="AX48" s="93"/>
      <c r="AY48" s="585" t="str">
        <f aca="false" t="array" ref="AY48:AY48">IF(ISNA(INDEX(Source!$U$7:$U$95,MATCH(AZ48,Source!$V$7:$V$95,0))),"-",INDEX(Source!$U$7:$U$95,MATCH(AZ48,Source!$V$7:$V$95,0)))</f>
        <v>KKS</v>
      </c>
      <c r="AZ48" s="617" t="s">
        <v>23</v>
      </c>
      <c r="BA48" s="182" t="s">
        <v>1115</v>
      </c>
      <c r="BB48" s="507"/>
      <c r="BC48" s="507"/>
      <c r="BD48" s="507"/>
    </row>
    <row r="49" customFormat="false" ht="15.75" hidden="false" customHeight="false" outlineLevel="0" collapsed="false">
      <c r="A49" s="589" t="s">
        <v>1319</v>
      </c>
      <c r="B49" s="589"/>
      <c r="C49" s="589"/>
      <c r="D49" s="603" t="s">
        <v>795</v>
      </c>
      <c r="E49" s="591" t="s">
        <v>1117</v>
      </c>
      <c r="F49" s="582" t="n">
        <v>10</v>
      </c>
      <c r="G49" s="582" t="n">
        <v>85</v>
      </c>
      <c r="H49" s="592" t="n">
        <v>1</v>
      </c>
      <c r="I49" s="593"/>
      <c r="J49" s="589" t="s">
        <v>1320</v>
      </c>
      <c r="K49" s="589"/>
      <c r="L49" s="589"/>
      <c r="M49" s="632" t="s">
        <v>835</v>
      </c>
      <c r="N49" s="581" t="s">
        <v>1119</v>
      </c>
      <c r="O49" s="582" t="n">
        <v>20</v>
      </c>
      <c r="P49" s="583" t="s">
        <v>1120</v>
      </c>
      <c r="Q49" s="595"/>
      <c r="R49" s="93"/>
      <c r="S49" s="585" t="str">
        <f aca="false" t="array" ref="S49:S49">IF(ISNA(INDEX(Source!$U$7:$U$95,MATCH(T49,Source!$V$7:$V$95,0))),"-",INDEX(Source!$U$7:$U$95,MATCH(T49,Source!$V$7:$V$95,0)))</f>
        <v>-</v>
      </c>
      <c r="T49" s="586" t="s">
        <v>945</v>
      </c>
      <c r="U49" s="182" t="s">
        <v>1106</v>
      </c>
      <c r="V49" s="93"/>
      <c r="W49" s="93"/>
      <c r="X49" s="616"/>
      <c r="Y49" s="93"/>
      <c r="Z49" s="93"/>
      <c r="AA49" s="93"/>
      <c r="AB49" s="616"/>
      <c r="AC49" s="93"/>
      <c r="AD49" s="93"/>
      <c r="AE49" s="93"/>
      <c r="AF49" s="616"/>
      <c r="AG49" s="93"/>
      <c r="AH49" s="93"/>
      <c r="AI49" s="585" t="str">
        <f aca="false" t="array" ref="AI49:AI49">IF(ISNA(INDEX(Source!$U$7:$U$95,MATCH(AJ49,Source!$V$7:$V$95,0))),"-",INDEX(Source!$U$7:$U$95,MATCH(AJ49,Source!$V$7:$V$95,0)))</f>
        <v>-</v>
      </c>
      <c r="AJ49" s="586" t="s">
        <v>1321</v>
      </c>
      <c r="AK49" s="182" t="s">
        <v>1110</v>
      </c>
      <c r="AL49" s="93"/>
      <c r="AM49" s="93"/>
      <c r="AN49" s="616"/>
      <c r="AO49" s="93"/>
      <c r="AP49" s="93"/>
      <c r="AQ49" s="93"/>
      <c r="AR49" s="616"/>
      <c r="AS49" s="93"/>
      <c r="AT49" s="93"/>
      <c r="AU49" s="585" t="str">
        <f aca="false" t="array" ref="AU49:AU49">IF(ISNA(INDEX(Source!$U$7:$U$95,MATCH(AV49,Source!$V$7:$V$95,0))),"-",INDEX(Source!$U$7:$U$95,MATCH(AV49,Source!$V$7:$V$95,0)))</f>
        <v>-</v>
      </c>
      <c r="AV49" s="617" t="s">
        <v>671</v>
      </c>
      <c r="AW49" s="182" t="s">
        <v>1114</v>
      </c>
      <c r="AX49" s="93"/>
      <c r="AY49" s="585" t="str">
        <f aca="false" t="array" ref="AY49:AY49">IF(ISNA(INDEX(Source!$U$7:$U$95,MATCH(AZ49,Source!$V$7:$V$95,0))),"-",INDEX(Source!$U$7:$U$95,MATCH(AZ49,Source!$V$7:$V$95,0)))</f>
        <v>-</v>
      </c>
      <c r="AZ49" s="617" t="s">
        <v>689</v>
      </c>
      <c r="BA49" s="182" t="s">
        <v>1115</v>
      </c>
      <c r="BB49" s="507"/>
      <c r="BC49" s="507"/>
      <c r="BD49" s="507"/>
    </row>
    <row r="50" customFormat="false" ht="15.75" hidden="false" customHeight="false" outlineLevel="0" collapsed="false">
      <c r="A50" s="589" t="s">
        <v>1322</v>
      </c>
      <c r="B50" s="589"/>
      <c r="C50" s="589"/>
      <c r="D50" s="633" t="s">
        <v>809</v>
      </c>
      <c r="E50" s="591" t="s">
        <v>1117</v>
      </c>
      <c r="F50" s="582" t="n">
        <v>5</v>
      </c>
      <c r="G50" s="582" t="n">
        <v>100</v>
      </c>
      <c r="H50" s="592" t="n">
        <v>0.95</v>
      </c>
      <c r="I50" s="593"/>
      <c r="J50" s="589" t="s">
        <v>1323</v>
      </c>
      <c r="K50" s="589"/>
      <c r="L50" s="589"/>
      <c r="M50" s="622" t="s">
        <v>845</v>
      </c>
      <c r="N50" s="581" t="s">
        <v>1185</v>
      </c>
      <c r="O50" s="582" t="n">
        <v>15</v>
      </c>
      <c r="P50" s="592" t="n">
        <v>1</v>
      </c>
      <c r="Q50" s="595"/>
      <c r="R50" s="93"/>
      <c r="S50" s="585" t="str">
        <f aca="false" t="array" ref="S50:S50">IF(ISNA(INDEX(Source!$U$7:$U$95,MATCH(T50,Source!$V$7:$V$95,0))),"-",INDEX(Source!$U$7:$U$95,MATCH(T50,Source!$V$7:$V$95,0)))</f>
        <v>-</v>
      </c>
      <c r="T50" s="586" t="s">
        <v>1324</v>
      </c>
      <c r="U50" s="182" t="s">
        <v>1106</v>
      </c>
      <c r="V50" s="93"/>
      <c r="W50" s="93"/>
      <c r="X50" s="616"/>
      <c r="Y50" s="93"/>
      <c r="Z50" s="93"/>
      <c r="AA50" s="93"/>
      <c r="AB50" s="616"/>
      <c r="AC50" s="93"/>
      <c r="AD50" s="93"/>
      <c r="AE50" s="93"/>
      <c r="AF50" s="616"/>
      <c r="AG50" s="93"/>
      <c r="AH50" s="93"/>
      <c r="AI50" s="585" t="str">
        <f aca="false" t="array" ref="AI50:AI50">IF(ISNA(INDEX(Source!$U$7:$U$95,MATCH(AJ50,Source!$V$7:$V$95,0))),"-",INDEX(Source!$U$7:$U$95,MATCH(AJ50,Source!$V$7:$V$95,0)))</f>
        <v>-</v>
      </c>
      <c r="AJ50" s="586" t="s">
        <v>1325</v>
      </c>
      <c r="AK50" s="182" t="s">
        <v>1110</v>
      </c>
      <c r="AL50" s="93"/>
      <c r="AM50" s="93"/>
      <c r="AN50" s="616"/>
      <c r="AO50" s="93"/>
      <c r="AP50" s="93"/>
      <c r="AQ50" s="93"/>
      <c r="AR50" s="616"/>
      <c r="AS50" s="93"/>
      <c r="AT50" s="93"/>
      <c r="AU50" s="585" t="str">
        <f aca="false" t="array" ref="AU50:AU50">IF(ISNA(INDEX(Source!$U$7:$U$95,MATCH(AV50,Source!$V$7:$V$95,0))),"-",INDEX(Source!$U$7:$U$95,MATCH(AV50,Source!$V$7:$V$95,0)))</f>
        <v>-</v>
      </c>
      <c r="AV50" s="617" t="s">
        <v>541</v>
      </c>
      <c r="AW50" s="182" t="s">
        <v>1114</v>
      </c>
      <c r="AX50" s="93"/>
      <c r="AY50" s="585" t="str">
        <f aca="false" t="array" ref="AY50:AY50">IF(ISNA(INDEX(Source!$U$7:$U$95,MATCH(AZ50,Source!$V$7:$V$95,0))),"-",INDEX(Source!$U$7:$U$95,MATCH(AZ50,Source!$V$7:$V$95,0)))</f>
        <v>-</v>
      </c>
      <c r="AZ50" s="617" t="s">
        <v>575</v>
      </c>
      <c r="BA50" s="182" t="s">
        <v>1115</v>
      </c>
      <c r="BB50" s="507"/>
      <c r="BC50" s="507"/>
      <c r="BD50" s="507"/>
    </row>
    <row r="51" customFormat="false" ht="15.75" hidden="false" customHeight="false" outlineLevel="0" collapsed="false">
      <c r="A51" s="589" t="s">
        <v>1326</v>
      </c>
      <c r="B51" s="589"/>
      <c r="C51" s="589"/>
      <c r="D51" s="620" t="s">
        <v>907</v>
      </c>
      <c r="E51" s="591" t="s">
        <v>1117</v>
      </c>
      <c r="F51" s="582" t="n">
        <v>10</v>
      </c>
      <c r="G51" s="582" t="n">
        <v>80</v>
      </c>
      <c r="H51" s="592" t="n">
        <v>1</v>
      </c>
      <c r="I51" s="593"/>
      <c r="J51" s="589" t="s">
        <v>1327</v>
      </c>
      <c r="K51" s="589"/>
      <c r="L51" s="589"/>
      <c r="M51" s="622" t="s">
        <v>845</v>
      </c>
      <c r="N51" s="581" t="s">
        <v>1328</v>
      </c>
      <c r="O51" s="582" t="n">
        <v>10</v>
      </c>
      <c r="P51" s="583" t="s">
        <v>1120</v>
      </c>
      <c r="Q51" s="595"/>
      <c r="R51" s="93"/>
      <c r="S51" s="585" t="str">
        <f aca="false" t="array" ref="S51:S51">IF(ISNA(INDEX(Source!$U$7:$U$95,MATCH(T51,Source!$V$7:$V$95,0))),"-",INDEX(Source!$U$7:$U$95,MATCH(T51,Source!$V$7:$V$95,0)))</f>
        <v>-</v>
      </c>
      <c r="T51" s="586" t="s">
        <v>1329</v>
      </c>
      <c r="U51" s="182" t="s">
        <v>1106</v>
      </c>
      <c r="V51" s="93"/>
      <c r="W51" s="93"/>
      <c r="X51" s="616"/>
      <c r="Y51" s="93"/>
      <c r="Z51" s="93"/>
      <c r="AA51" s="93"/>
      <c r="AB51" s="616"/>
      <c r="AC51" s="93"/>
      <c r="AD51" s="93"/>
      <c r="AE51" s="93"/>
      <c r="AF51" s="616"/>
      <c r="AG51" s="93"/>
      <c r="AH51" s="93"/>
      <c r="AI51" s="585" t="str">
        <f aca="false" t="array" ref="AI51:AI51">IF(ISNA(INDEX(Source!$U$7:$U$95,MATCH(AJ51,Source!$V$7:$V$95,0))),"-",INDEX(Source!$U$7:$U$95,MATCH(AJ51,Source!$V$7:$V$95,0)))</f>
        <v>-</v>
      </c>
      <c r="AJ51" s="586" t="s">
        <v>485</v>
      </c>
      <c r="AK51" s="182" t="s">
        <v>1110</v>
      </c>
      <c r="AL51" s="93"/>
      <c r="AM51" s="93"/>
      <c r="AN51" s="616"/>
      <c r="AO51" s="93"/>
      <c r="AP51" s="93"/>
      <c r="AQ51" s="93"/>
      <c r="AR51" s="616"/>
      <c r="AS51" s="93"/>
      <c r="AT51" s="93"/>
      <c r="AU51" s="585" t="str">
        <f aca="false" t="array" ref="AU51:AU51">IF(ISNA(INDEX(Source!$U$7:$U$95,MATCH(AV51,Source!$V$7:$V$95,0))),"-",INDEX(Source!$U$7:$U$95,MATCH(AV51,Source!$V$7:$V$95,0)))</f>
        <v>-</v>
      </c>
      <c r="AV51" s="617" t="s">
        <v>677</v>
      </c>
      <c r="AW51" s="182" t="s">
        <v>1114</v>
      </c>
      <c r="AX51" s="93"/>
      <c r="AY51" s="585" t="str">
        <f aca="false" t="array" ref="AY51:AY51">IF(ISNA(INDEX(Source!$U$7:$U$95,MATCH(AZ51,Source!$V$7:$V$95,0))),"-",INDEX(Source!$U$7:$U$95,MATCH(AZ51,Source!$V$7:$V$95,0)))</f>
        <v>-</v>
      </c>
      <c r="AZ51" s="617" t="s">
        <v>330</v>
      </c>
      <c r="BA51" s="182" t="s">
        <v>1115</v>
      </c>
      <c r="BB51" s="507"/>
      <c r="BC51" s="507"/>
      <c r="BD51" s="507"/>
    </row>
    <row r="52" customFormat="false" ht="15.75" hidden="false" customHeight="false" outlineLevel="0" collapsed="false">
      <c r="A52" s="589" t="s">
        <v>1330</v>
      </c>
      <c r="B52" s="589"/>
      <c r="C52" s="589"/>
      <c r="D52" s="599" t="s">
        <v>811</v>
      </c>
      <c r="E52" s="591" t="s">
        <v>1117</v>
      </c>
      <c r="F52" s="582" t="n">
        <v>10</v>
      </c>
      <c r="G52" s="582" t="n">
        <v>80</v>
      </c>
      <c r="H52" s="592" t="n">
        <v>1</v>
      </c>
      <c r="I52" s="593"/>
      <c r="J52" s="589" t="s">
        <v>1331</v>
      </c>
      <c r="K52" s="589"/>
      <c r="L52" s="589"/>
      <c r="M52" s="622" t="s">
        <v>845</v>
      </c>
      <c r="N52" s="581" t="s">
        <v>1200</v>
      </c>
      <c r="O52" s="582" t="n">
        <v>20</v>
      </c>
      <c r="P52" s="583" t="s">
        <v>1120</v>
      </c>
      <c r="Q52" s="595"/>
      <c r="R52" s="93"/>
      <c r="S52" s="585" t="str">
        <f aca="false" t="array" ref="S52:S52">IF(ISNA(INDEX(Source!$U$7:$U$95,MATCH(T52,Source!$V$7:$V$95,0))),"-",INDEX(Source!$U$7:$U$95,MATCH(T52,Source!$V$7:$V$95,0)))</f>
        <v>SEA</v>
      </c>
      <c r="T52" s="586" t="s">
        <v>91</v>
      </c>
      <c r="U52" s="182" t="s">
        <v>1106</v>
      </c>
      <c r="V52" s="93"/>
      <c r="W52" s="93"/>
      <c r="X52" s="616"/>
      <c r="Y52" s="93"/>
      <c r="Z52" s="93"/>
      <c r="AA52" s="93"/>
      <c r="AB52" s="616"/>
      <c r="AC52" s="93"/>
      <c r="AD52" s="93"/>
      <c r="AE52" s="93"/>
      <c r="AF52" s="616"/>
      <c r="AG52" s="93"/>
      <c r="AH52" s="93"/>
      <c r="AI52" s="585" t="str">
        <f aca="false" t="array" ref="AI52:AI52">IF(ISNA(INDEX(Source!$U$7:$U$95,MATCH(AJ52,Source!$V$7:$V$95,0))),"-",INDEX(Source!$U$7:$U$95,MATCH(AJ52,Source!$V$7:$V$95,0)))</f>
        <v>-</v>
      </c>
      <c r="AJ52" s="586" t="s">
        <v>392</v>
      </c>
      <c r="AK52" s="182" t="s">
        <v>1110</v>
      </c>
      <c r="AL52" s="93"/>
      <c r="AM52" s="93"/>
      <c r="AN52" s="616"/>
      <c r="AO52" s="93"/>
      <c r="AP52" s="93"/>
      <c r="AQ52" s="93"/>
      <c r="AR52" s="616"/>
      <c r="AS52" s="93"/>
      <c r="AT52" s="93"/>
      <c r="AU52" s="585" t="str">
        <f aca="false" t="array" ref="AU52:AU52">IF(ISNA(INDEX(Source!$U$7:$U$95,MATCH(AV52,Source!$V$7:$V$95,0))),"-",INDEX(Source!$U$7:$U$95,MATCH(AV52,Source!$V$7:$V$95,0)))</f>
        <v>-</v>
      </c>
      <c r="AV52" s="617" t="s">
        <v>680</v>
      </c>
      <c r="AW52" s="182" t="s">
        <v>1114</v>
      </c>
      <c r="AX52" s="93"/>
      <c r="AY52" s="585" t="str">
        <f aca="false" t="array" ref="AY52:AY52">IF(ISNA(INDEX(Source!$U$7:$U$95,MATCH(AZ52,Source!$V$7:$V$95,0))),"-",INDEX(Source!$U$7:$U$95,MATCH(AZ52,Source!$V$7:$V$95,0)))</f>
        <v>-</v>
      </c>
      <c r="AZ52" s="617" t="s">
        <v>1332</v>
      </c>
      <c r="BA52" s="182" t="s">
        <v>1115</v>
      </c>
      <c r="BB52" s="507"/>
      <c r="BC52" s="507"/>
      <c r="BD52" s="507"/>
    </row>
    <row r="53" customFormat="false" ht="15.75" hidden="false" customHeight="false" outlineLevel="0" collapsed="false">
      <c r="A53" s="589" t="s">
        <v>1333</v>
      </c>
      <c r="B53" s="589"/>
      <c r="C53" s="589"/>
      <c r="D53" s="610" t="s">
        <v>839</v>
      </c>
      <c r="E53" s="591" t="s">
        <v>1117</v>
      </c>
      <c r="F53" s="582" t="n">
        <v>10</v>
      </c>
      <c r="G53" s="582" t="n">
        <v>70</v>
      </c>
      <c r="H53" s="592" t="n">
        <v>1</v>
      </c>
      <c r="I53" s="593"/>
      <c r="J53" s="589" t="s">
        <v>1334</v>
      </c>
      <c r="K53" s="589"/>
      <c r="L53" s="589"/>
      <c r="M53" s="625" t="s">
        <v>795</v>
      </c>
      <c r="N53" s="581" t="s">
        <v>1200</v>
      </c>
      <c r="O53" s="582" t="n">
        <v>15</v>
      </c>
      <c r="P53" s="592" t="n">
        <v>1</v>
      </c>
      <c r="Q53" s="595"/>
      <c r="R53" s="93"/>
      <c r="S53" s="585" t="str">
        <f aca="false" t="array" ref="S53:S53">IF(ISNA(INDEX(Source!$U$7:$U$95,MATCH(T53,Source!$V$7:$V$95,0))),"-",INDEX(Source!$U$7:$U$95,MATCH(T53,Source!$V$7:$V$95,0)))</f>
        <v>-</v>
      </c>
      <c r="T53" s="586" t="s">
        <v>1188</v>
      </c>
      <c r="U53" s="182" t="s">
        <v>1106</v>
      </c>
      <c r="V53" s="93"/>
      <c r="W53" s="93"/>
      <c r="X53" s="616"/>
      <c r="Y53" s="93"/>
      <c r="Z53" s="93"/>
      <c r="AA53" s="93"/>
      <c r="AB53" s="616"/>
      <c r="AC53" s="93"/>
      <c r="AD53" s="93"/>
      <c r="AE53" s="93"/>
      <c r="AF53" s="616"/>
      <c r="AG53" s="93"/>
      <c r="AH53" s="93"/>
      <c r="AI53" s="585" t="str">
        <f aca="false" t="array" ref="AI53:AI53">IF(ISNA(INDEX(Source!$U$7:$U$95,MATCH(AJ53,Source!$V$7:$V$95,0))),"-",INDEX(Source!$U$7:$U$95,MATCH(AJ53,Source!$V$7:$V$95,0)))</f>
        <v>-</v>
      </c>
      <c r="AJ53" s="586" t="s">
        <v>490</v>
      </c>
      <c r="AK53" s="182" t="s">
        <v>1110</v>
      </c>
      <c r="AL53" s="93"/>
      <c r="AM53" s="93"/>
      <c r="AN53" s="616"/>
      <c r="AO53" s="93"/>
      <c r="AP53" s="93"/>
      <c r="AQ53" s="93"/>
      <c r="AR53" s="616"/>
      <c r="AS53" s="93"/>
      <c r="AT53" s="93"/>
      <c r="AU53" s="585" t="str">
        <f aca="false" t="array" ref="AU53:AU53">IF(ISNA(INDEX(Source!$U$7:$U$95,MATCH(AV53,Source!$V$7:$V$95,0))),"-",INDEX(Source!$U$7:$U$95,MATCH(AV53,Source!$V$7:$V$95,0)))</f>
        <v>-</v>
      </c>
      <c r="AV53" s="617" t="s">
        <v>755</v>
      </c>
      <c r="AW53" s="182" t="s">
        <v>1114</v>
      </c>
      <c r="AX53" s="93"/>
      <c r="AY53" s="585" t="str">
        <f aca="false" t="array" ref="AY53:AY53">IF(ISNA(INDEX(Source!$U$7:$U$95,MATCH(AZ53,Source!$V$7:$V$95,0))),"-",INDEX(Source!$U$7:$U$95,MATCH(AZ53,Source!$V$7:$V$95,0)))</f>
        <v>-</v>
      </c>
      <c r="AZ53" s="617" t="s">
        <v>489</v>
      </c>
      <c r="BA53" s="182" t="s">
        <v>1115</v>
      </c>
      <c r="BB53" s="507"/>
      <c r="BC53" s="507"/>
      <c r="BD53" s="507"/>
    </row>
    <row r="54" customFormat="false" ht="15.75" hidden="false" customHeight="false" outlineLevel="0" collapsed="false">
      <c r="A54" s="589" t="s">
        <v>1335</v>
      </c>
      <c r="B54" s="589"/>
      <c r="C54" s="589"/>
      <c r="D54" s="610" t="s">
        <v>839</v>
      </c>
      <c r="E54" s="591" t="s">
        <v>1117</v>
      </c>
      <c r="F54" s="582" t="n">
        <v>10</v>
      </c>
      <c r="G54" s="582" t="n">
        <v>35</v>
      </c>
      <c r="H54" s="592" t="n">
        <v>0.9</v>
      </c>
      <c r="I54" s="593"/>
      <c r="J54" s="589" t="s">
        <v>1336</v>
      </c>
      <c r="K54" s="589"/>
      <c r="L54" s="589"/>
      <c r="M54" s="594" t="s">
        <v>839</v>
      </c>
      <c r="N54" s="581" t="s">
        <v>1200</v>
      </c>
      <c r="O54" s="582" t="n">
        <v>5</v>
      </c>
      <c r="P54" s="592" t="n">
        <v>1</v>
      </c>
      <c r="Q54" s="595"/>
      <c r="R54" s="93"/>
      <c r="S54" s="585" t="str">
        <f aca="false" t="array" ref="S54:S54">IF(ISNA(INDEX(Source!$U$7:$U$95,MATCH(T54,Source!$V$7:$V$95,0))),"-",INDEX(Source!$U$7:$U$95,MATCH(T54,Source!$V$7:$V$95,0)))</f>
        <v>-</v>
      </c>
      <c r="T54" s="586" t="s">
        <v>434</v>
      </c>
      <c r="U54" s="182" t="s">
        <v>1106</v>
      </c>
      <c r="V54" s="93"/>
      <c r="W54" s="93"/>
      <c r="X54" s="616"/>
      <c r="Y54" s="93"/>
      <c r="Z54" s="93"/>
      <c r="AA54" s="93"/>
      <c r="AB54" s="616"/>
      <c r="AC54" s="93"/>
      <c r="AD54" s="93"/>
      <c r="AE54" s="93"/>
      <c r="AF54" s="616"/>
      <c r="AG54" s="93"/>
      <c r="AH54" s="93"/>
      <c r="AI54" s="585" t="str">
        <f aca="false" t="array" ref="AI54:AI54">IF(ISNA(INDEX(Source!$U$7:$U$95,MATCH(AJ54,Source!$V$7:$V$95,0))),"-",INDEX(Source!$U$7:$U$95,MATCH(AJ54,Source!$V$7:$V$95,0)))</f>
        <v>SEA</v>
      </c>
      <c r="AJ54" s="586" t="s">
        <v>46</v>
      </c>
      <c r="AK54" s="182" t="s">
        <v>1110</v>
      </c>
      <c r="AL54" s="93"/>
      <c r="AM54" s="93"/>
      <c r="AN54" s="616"/>
      <c r="AO54" s="93"/>
      <c r="AP54" s="93"/>
      <c r="AQ54" s="93"/>
      <c r="AR54" s="616"/>
      <c r="AS54" s="93"/>
      <c r="AT54" s="93"/>
      <c r="AU54" s="585" t="str">
        <f aca="false" t="array" ref="AU54:AU54">IF(ISNA(INDEX(Source!$U$7:$U$95,MATCH(AV54,Source!$V$7:$V$95,0))),"-",INDEX(Source!$U$7:$U$95,MATCH(AV54,Source!$V$7:$V$95,0)))</f>
        <v>KKS</v>
      </c>
      <c r="AV54" s="617" t="s">
        <v>23</v>
      </c>
      <c r="AW54" s="182" t="s">
        <v>1114</v>
      </c>
      <c r="AX54" s="93"/>
      <c r="AY54" s="585" t="str">
        <f aca="false" t="array" ref="AY54:AY54">IF(ISNA(INDEX(Source!$U$7:$U$95,MATCH(AZ54,Source!$V$7:$V$95,0))),"-",INDEX(Source!$U$7:$U$95,MATCH(AZ54,Source!$V$7:$V$95,0)))</f>
        <v>SGP</v>
      </c>
      <c r="AZ54" s="617" t="s">
        <v>79</v>
      </c>
      <c r="BA54" s="182" t="s">
        <v>1115</v>
      </c>
      <c r="BB54" s="507"/>
      <c r="BC54" s="507"/>
      <c r="BD54" s="507"/>
    </row>
    <row r="55" customFormat="false" ht="15.75" hidden="false" customHeight="false" outlineLevel="0" collapsed="false">
      <c r="A55" s="589" t="s">
        <v>1337</v>
      </c>
      <c r="B55" s="589"/>
      <c r="C55" s="589"/>
      <c r="D55" s="600" t="s">
        <v>881</v>
      </c>
      <c r="E55" s="591" t="s">
        <v>1117</v>
      </c>
      <c r="F55" s="582" t="n">
        <v>30</v>
      </c>
      <c r="G55" s="582" t="n">
        <v>30</v>
      </c>
      <c r="H55" s="592" t="n">
        <v>1</v>
      </c>
      <c r="I55" s="593"/>
      <c r="J55" s="589" t="s">
        <v>1338</v>
      </c>
      <c r="K55" s="589"/>
      <c r="L55" s="589"/>
      <c r="M55" s="594" t="s">
        <v>839</v>
      </c>
      <c r="N55" s="581" t="s">
        <v>1200</v>
      </c>
      <c r="O55" s="582" t="n">
        <v>10</v>
      </c>
      <c r="P55" s="583" t="s">
        <v>1120</v>
      </c>
      <c r="Q55" s="595"/>
      <c r="R55" s="93"/>
      <c r="S55" s="585" t="str">
        <f aca="false" t="array" ref="S55:S55">IF(ISNA(INDEX(Source!$U$7:$U$95,MATCH(T55,Source!$V$7:$V$95,0))),"-",INDEX(Source!$U$7:$U$95,MATCH(T55,Source!$V$7:$V$95,0)))</f>
        <v>-</v>
      </c>
      <c r="T55" s="586" t="s">
        <v>362</v>
      </c>
      <c r="U55" s="182" t="s">
        <v>1106</v>
      </c>
      <c r="V55" s="93"/>
      <c r="W55" s="93"/>
      <c r="X55" s="616"/>
      <c r="Y55" s="93"/>
      <c r="Z55" s="93"/>
      <c r="AA55" s="93"/>
      <c r="AB55" s="616"/>
      <c r="AC55" s="93"/>
      <c r="AD55" s="93"/>
      <c r="AE55" s="93"/>
      <c r="AF55" s="616"/>
      <c r="AG55" s="93"/>
      <c r="AH55" s="93"/>
      <c r="AI55" s="585" t="str">
        <f aca="false" t="array" ref="AI55:AI55">IF(ISNA(INDEX(Source!$U$7:$U$95,MATCH(AJ55,Source!$V$7:$V$95,0))),"-",INDEX(Source!$U$7:$U$95,MATCH(AJ55,Source!$V$7:$V$95,0)))</f>
        <v>-</v>
      </c>
      <c r="AJ55" s="586" t="s">
        <v>1339</v>
      </c>
      <c r="AK55" s="182" t="s">
        <v>1110</v>
      </c>
      <c r="AL55" s="93"/>
      <c r="AM55" s="93"/>
      <c r="AN55" s="616"/>
      <c r="AO55" s="93"/>
      <c r="AP55" s="93"/>
      <c r="AQ55" s="93"/>
      <c r="AR55" s="616"/>
      <c r="AS55" s="93"/>
      <c r="AT55" s="93"/>
      <c r="AU55" s="585" t="str">
        <f aca="false" t="array" ref="AU55:AU55">IF(ISNA(INDEX(Source!$U$7:$U$95,MATCH(AV55,Source!$V$7:$V$95,0))),"-",INDEX(Source!$U$7:$U$95,MATCH(AV55,Source!$V$7:$V$95,0)))</f>
        <v>-</v>
      </c>
      <c r="AV55" s="617" t="s">
        <v>1021</v>
      </c>
      <c r="AW55" s="182" t="s">
        <v>1114</v>
      </c>
      <c r="AX55" s="93"/>
      <c r="AY55" s="585" t="str">
        <f aca="false" t="array" ref="AY55:AY55">IF(ISNA(INDEX(Source!$U$7:$U$95,MATCH(AZ55,Source!$V$7:$V$95,0))),"-",INDEX(Source!$U$7:$U$95,MATCH(AZ55,Source!$V$7:$V$95,0)))</f>
        <v>-</v>
      </c>
      <c r="AZ55" s="617" t="s">
        <v>1340</v>
      </c>
      <c r="BA55" s="182" t="s">
        <v>1115</v>
      </c>
      <c r="BB55" s="507"/>
      <c r="BC55" s="507"/>
      <c r="BD55" s="507"/>
    </row>
    <row r="56" customFormat="false" ht="15.75" hidden="false" customHeight="false" outlineLevel="0" collapsed="false">
      <c r="A56" s="589" t="s">
        <v>1341</v>
      </c>
      <c r="B56" s="589"/>
      <c r="C56" s="589"/>
      <c r="D56" s="610" t="s">
        <v>839</v>
      </c>
      <c r="E56" s="591" t="s">
        <v>1117</v>
      </c>
      <c r="F56" s="582" t="n">
        <v>10</v>
      </c>
      <c r="G56" s="582" t="n">
        <v>15</v>
      </c>
      <c r="H56" s="592" t="n">
        <v>0.85</v>
      </c>
      <c r="I56" s="593"/>
      <c r="J56" s="589" t="s">
        <v>1342</v>
      </c>
      <c r="K56" s="589"/>
      <c r="L56" s="589"/>
      <c r="M56" s="594" t="s">
        <v>839</v>
      </c>
      <c r="N56" s="581" t="s">
        <v>1200</v>
      </c>
      <c r="O56" s="582" t="n">
        <v>15</v>
      </c>
      <c r="P56" s="592" t="n">
        <v>1</v>
      </c>
      <c r="Q56" s="595"/>
      <c r="R56" s="93"/>
      <c r="S56" s="585" t="str">
        <f aca="false" t="array" ref="S56:S56">IF(ISNA(INDEX(Source!$U$7:$U$95,MATCH(T56,Source!$V$7:$V$95,0))),"-",INDEX(Source!$U$7:$U$95,MATCH(T56,Source!$V$7:$V$95,0)))</f>
        <v>-</v>
      </c>
      <c r="T56" s="586" t="s">
        <v>742</v>
      </c>
      <c r="U56" s="182" t="s">
        <v>1106</v>
      </c>
      <c r="V56" s="93"/>
      <c r="W56" s="93"/>
      <c r="X56" s="616"/>
      <c r="Y56" s="93"/>
      <c r="Z56" s="93"/>
      <c r="AA56" s="93"/>
      <c r="AB56" s="616"/>
      <c r="AC56" s="93"/>
      <c r="AD56" s="93"/>
      <c r="AE56" s="93"/>
      <c r="AF56" s="616"/>
      <c r="AG56" s="93"/>
      <c r="AH56" s="93"/>
      <c r="AI56" s="585" t="str">
        <f aca="false" t="array" ref="AI56:AI56">IF(ISNA(INDEX(Source!$U$7:$U$95,MATCH(AJ56,Source!$V$7:$V$95,0))),"-",INDEX(Source!$U$7:$U$95,MATCH(AJ56,Source!$V$7:$V$95,0)))</f>
        <v>-</v>
      </c>
      <c r="AJ56" s="586" t="s">
        <v>450</v>
      </c>
      <c r="AK56" s="182" t="s">
        <v>1110</v>
      </c>
      <c r="AL56" s="93"/>
      <c r="AM56" s="93"/>
      <c r="AN56" s="616"/>
      <c r="AO56" s="93"/>
      <c r="AP56" s="93"/>
      <c r="AQ56" s="93"/>
      <c r="AR56" s="616"/>
      <c r="AS56" s="93"/>
      <c r="AT56" s="93"/>
      <c r="AU56" s="585" t="str">
        <f aca="false" t="array" ref="AU56:AU56">IF(ISNA(INDEX(Source!$U$7:$U$95,MATCH(AV56,Source!$V$7:$V$95,0))),"-",INDEX(Source!$U$7:$U$95,MATCH(AV56,Source!$V$7:$V$95,0)))</f>
        <v>FTT</v>
      </c>
      <c r="AV56" s="617" t="s">
        <v>72</v>
      </c>
      <c r="AW56" s="182" t="s">
        <v>1114</v>
      </c>
      <c r="AX56" s="93"/>
      <c r="AY56" s="585" t="str">
        <f aca="false" t="array" ref="AY56:AY56">IF(ISNA(INDEX(Source!$U$7:$U$95,MATCH(AZ56,Source!$V$7:$V$95,0))),"-",INDEX(Source!$U$7:$U$95,MATCH(AZ56,Source!$V$7:$V$95,0)))</f>
        <v>KKS</v>
      </c>
      <c r="AZ56" s="617" t="s">
        <v>85</v>
      </c>
      <c r="BA56" s="182" t="s">
        <v>1115</v>
      </c>
      <c r="BB56" s="507"/>
      <c r="BC56" s="507"/>
      <c r="BD56" s="507"/>
    </row>
    <row r="57" customFormat="false" ht="15.75" hidden="false" customHeight="false" outlineLevel="0" collapsed="false">
      <c r="A57" s="589" t="s">
        <v>1343</v>
      </c>
      <c r="B57" s="589"/>
      <c r="C57" s="589"/>
      <c r="D57" s="610" t="s">
        <v>839</v>
      </c>
      <c r="E57" s="591" t="s">
        <v>1117</v>
      </c>
      <c r="F57" s="582" t="n">
        <v>15</v>
      </c>
      <c r="G57" s="582" t="n">
        <v>120</v>
      </c>
      <c r="H57" s="592" t="n">
        <v>1</v>
      </c>
      <c r="I57" s="593"/>
      <c r="J57" s="589" t="s">
        <v>1344</v>
      </c>
      <c r="K57" s="589"/>
      <c r="L57" s="589"/>
      <c r="M57" s="606" t="s">
        <v>798</v>
      </c>
      <c r="N57" s="581" t="s">
        <v>1200</v>
      </c>
      <c r="O57" s="582" t="n">
        <v>10</v>
      </c>
      <c r="P57" s="583" t="s">
        <v>1120</v>
      </c>
      <c r="Q57" s="595"/>
      <c r="R57" s="93"/>
      <c r="S57" s="585" t="str">
        <f aca="false" t="array" ref="S57:S57">IF(ISNA(INDEX(Source!$U$7:$U$95,MATCH(T57,Source!$V$7:$V$95,0))),"-",INDEX(Source!$U$7:$U$95,MATCH(T57,Source!$V$7:$V$95,0)))</f>
        <v>-</v>
      </c>
      <c r="T57" s="586" t="s">
        <v>524</v>
      </c>
      <c r="U57" s="182" t="s">
        <v>1106</v>
      </c>
      <c r="V57" s="93"/>
      <c r="W57" s="93"/>
      <c r="X57" s="616"/>
      <c r="Y57" s="93"/>
      <c r="Z57" s="93"/>
      <c r="AA57" s="93"/>
      <c r="AB57" s="616"/>
      <c r="AC57" s="93"/>
      <c r="AD57" s="93"/>
      <c r="AE57" s="93"/>
      <c r="AF57" s="616"/>
      <c r="AG57" s="93"/>
      <c r="AH57" s="93"/>
      <c r="AI57" s="585" t="str">
        <f aca="false" t="array" ref="AI57:AI57">IF(ISNA(INDEX(Source!$U$7:$U$95,MATCH(AJ57,Source!$V$7:$V$95,0))),"-",INDEX(Source!$U$7:$U$95,MATCH(AJ57,Source!$V$7:$V$95,0)))</f>
        <v>-</v>
      </c>
      <c r="AJ57" s="586" t="s">
        <v>1345</v>
      </c>
      <c r="AK57" s="182" t="s">
        <v>1110</v>
      </c>
      <c r="AL57" s="93"/>
      <c r="AM57" s="93"/>
      <c r="AN57" s="616"/>
      <c r="AO57" s="93"/>
      <c r="AP57" s="93"/>
      <c r="AQ57" s="93"/>
      <c r="AR57" s="616"/>
      <c r="AS57" s="93"/>
      <c r="AT57" s="93"/>
      <c r="AU57" s="585" t="str">
        <f aca="false" t="array" ref="AU57:AU57">IF(ISNA(INDEX(Source!$U$7:$U$95,MATCH(AV57,Source!$V$7:$V$95,0))),"-",INDEX(Source!$U$7:$U$95,MATCH(AV57,Source!$V$7:$V$95,0)))</f>
        <v>-</v>
      </c>
      <c r="AV57" s="617" t="s">
        <v>1346</v>
      </c>
      <c r="AW57" s="182" t="s">
        <v>1114</v>
      </c>
      <c r="AX57" s="93"/>
      <c r="AY57" s="585" t="str">
        <f aca="false" t="array" ref="AY57:AY57">IF(ISNA(INDEX(Source!$U$7:$U$95,MATCH(AZ57,Source!$V$7:$V$95,0))),"-",INDEX(Source!$U$7:$U$95,MATCH(AZ57,Source!$V$7:$V$95,0)))</f>
        <v>-</v>
      </c>
      <c r="AZ57" s="617" t="s">
        <v>1347</v>
      </c>
      <c r="BA57" s="182" t="s">
        <v>1115</v>
      </c>
      <c r="BB57" s="507"/>
      <c r="BC57" s="507"/>
      <c r="BD57" s="507"/>
    </row>
    <row r="58" customFormat="false" ht="15.75" hidden="false" customHeight="false" outlineLevel="0" collapsed="false">
      <c r="A58" s="589" t="s">
        <v>1348</v>
      </c>
      <c r="B58" s="589"/>
      <c r="C58" s="589"/>
      <c r="D58" s="590" t="s">
        <v>801</v>
      </c>
      <c r="E58" s="591" t="s">
        <v>1117</v>
      </c>
      <c r="F58" s="582" t="n">
        <v>5</v>
      </c>
      <c r="G58" s="582" t="n">
        <v>120</v>
      </c>
      <c r="H58" s="592" t="n">
        <v>1</v>
      </c>
      <c r="I58" s="593"/>
      <c r="J58" s="589" t="s">
        <v>1349</v>
      </c>
      <c r="K58" s="589"/>
      <c r="L58" s="589"/>
      <c r="M58" s="625" t="s">
        <v>795</v>
      </c>
      <c r="N58" s="581" t="s">
        <v>1185</v>
      </c>
      <c r="O58" s="582" t="n">
        <v>20</v>
      </c>
      <c r="P58" s="592" t="n">
        <v>1</v>
      </c>
      <c r="Q58" s="595"/>
      <c r="R58" s="93"/>
      <c r="S58" s="585" t="str">
        <f aca="false" t="array" ref="S58:S58">IF(ISNA(INDEX(Source!$U$7:$U$95,MATCH(T58,Source!$V$7:$V$95,0))),"-",INDEX(Source!$U$7:$U$95,MATCH(T58,Source!$V$7:$V$95,0)))</f>
        <v>-</v>
      </c>
      <c r="T58" s="586" t="s">
        <v>1193</v>
      </c>
      <c r="U58" s="182" t="s">
        <v>1106</v>
      </c>
      <c r="V58" s="93"/>
      <c r="W58" s="93"/>
      <c r="X58" s="616"/>
      <c r="Y58" s="93"/>
      <c r="Z58" s="93"/>
      <c r="AA58" s="93"/>
      <c r="AB58" s="616"/>
      <c r="AC58" s="93"/>
      <c r="AD58" s="93"/>
      <c r="AE58" s="93"/>
      <c r="AF58" s="616"/>
      <c r="AG58" s="93"/>
      <c r="AH58" s="93"/>
      <c r="AI58" s="585" t="str">
        <f aca="false" t="array" ref="AI58:AI58">IF(ISNA(INDEX(Source!$U$7:$U$95,MATCH(AJ58,Source!$V$7:$V$95,0))),"-",INDEX(Source!$U$7:$U$95,MATCH(AJ58,Source!$V$7:$V$95,0)))</f>
        <v>BBG</v>
      </c>
      <c r="AJ58" s="586" t="s">
        <v>100</v>
      </c>
      <c r="AK58" s="182" t="s">
        <v>1110</v>
      </c>
      <c r="AL58" s="93"/>
      <c r="AM58" s="93"/>
      <c r="AN58" s="616"/>
      <c r="AO58" s="93"/>
      <c r="AP58" s="93"/>
      <c r="AQ58" s="93"/>
      <c r="AR58" s="616"/>
      <c r="AS58" s="93"/>
      <c r="AT58" s="93"/>
      <c r="AU58" s="585" t="str">
        <f aca="false" t="array" ref="AU58:AU58">IF(ISNA(INDEX(Source!$U$7:$U$95,MATCH(AV58,Source!$V$7:$V$95,0))),"-",INDEX(Source!$U$7:$U$95,MATCH(AV58,Source!$V$7:$V$95,0)))</f>
        <v>-</v>
      </c>
      <c r="AV58" s="617" t="s">
        <v>494</v>
      </c>
      <c r="AW58" s="182" t="s">
        <v>1114</v>
      </c>
      <c r="AX58" s="93"/>
      <c r="AY58" s="585" t="str">
        <f aca="false" t="array" ref="AY58:AY58">IF(ISNA(INDEX(Source!$U$7:$U$95,MATCH(AZ58,Source!$V$7:$V$95,0))),"-",INDEX(Source!$U$7:$U$95,MATCH(AZ58,Source!$V$7:$V$95,0)))</f>
        <v>-</v>
      </c>
      <c r="AZ58" s="617" t="s">
        <v>503</v>
      </c>
      <c r="BA58" s="182" t="s">
        <v>1115</v>
      </c>
      <c r="BB58" s="507"/>
      <c r="BC58" s="507"/>
      <c r="BD58" s="507"/>
    </row>
    <row r="59" customFormat="false" ht="15.75" hidden="false" customHeight="false" outlineLevel="0" collapsed="false">
      <c r="A59" s="589" t="s">
        <v>1350</v>
      </c>
      <c r="B59" s="589"/>
      <c r="C59" s="589"/>
      <c r="D59" s="634" t="s">
        <v>835</v>
      </c>
      <c r="E59" s="591" t="s">
        <v>1117</v>
      </c>
      <c r="F59" s="582" t="n">
        <v>15</v>
      </c>
      <c r="G59" s="582" t="n">
        <v>80</v>
      </c>
      <c r="H59" s="592" t="n">
        <v>1</v>
      </c>
      <c r="I59" s="593"/>
      <c r="J59" s="589" t="s">
        <v>1351</v>
      </c>
      <c r="K59" s="589"/>
      <c r="L59" s="589"/>
      <c r="M59" s="630" t="s">
        <v>801</v>
      </c>
      <c r="N59" s="581" t="s">
        <v>1185</v>
      </c>
      <c r="O59" s="582" t="n">
        <v>15</v>
      </c>
      <c r="P59" s="592" t="n">
        <v>1</v>
      </c>
      <c r="Q59" s="595"/>
      <c r="R59" s="93"/>
      <c r="S59" s="585" t="str">
        <f aca="false" t="array" ref="S59:S59">IF(ISNA(INDEX(Source!$U$7:$U$95,MATCH(T59,Source!$V$7:$V$95,0))),"-",INDEX(Source!$U$7:$U$95,MATCH(T59,Source!$V$7:$V$95,0)))</f>
        <v>BBG</v>
      </c>
      <c r="T59" s="586" t="s">
        <v>120</v>
      </c>
      <c r="U59" s="182" t="s">
        <v>1106</v>
      </c>
      <c r="V59" s="93"/>
      <c r="W59" s="93"/>
      <c r="X59" s="616"/>
      <c r="Y59" s="93"/>
      <c r="Z59" s="93"/>
      <c r="AA59" s="93"/>
      <c r="AB59" s="616"/>
      <c r="AC59" s="93"/>
      <c r="AD59" s="93"/>
      <c r="AE59" s="93"/>
      <c r="AF59" s="616"/>
      <c r="AG59" s="93"/>
      <c r="AH59" s="93"/>
      <c r="AI59" s="585" t="str">
        <f aca="false" t="array" ref="AI59:AI59">IF(ISNA(INDEX(Source!$U$7:$U$95,MATCH(AJ59,Source!$V$7:$V$95,0))),"-",INDEX(Source!$U$7:$U$95,MATCH(AJ59,Source!$V$7:$V$95,0)))</f>
        <v>-</v>
      </c>
      <c r="AJ59" s="586" t="s">
        <v>640</v>
      </c>
      <c r="AK59" s="182" t="s">
        <v>1110</v>
      </c>
      <c r="AL59" s="93"/>
      <c r="AM59" s="93"/>
      <c r="AN59" s="616"/>
      <c r="AO59" s="93"/>
      <c r="AP59" s="93"/>
      <c r="AQ59" s="93"/>
      <c r="AR59" s="616"/>
      <c r="AS59" s="93"/>
      <c r="AT59" s="93"/>
      <c r="AU59" s="585" t="str">
        <f aca="false" t="array" ref="AU59:AU59">IF(ISNA(INDEX(Source!$U$7:$U$95,MATCH(AV59,Source!$V$7:$V$95,0))),"-",INDEX(Source!$U$7:$U$95,MATCH(AV59,Source!$V$7:$V$95,0)))</f>
        <v>-</v>
      </c>
      <c r="AV59" s="617" t="s">
        <v>345</v>
      </c>
      <c r="AW59" s="182" t="s">
        <v>1114</v>
      </c>
      <c r="AX59" s="93"/>
      <c r="AY59" s="585" t="str">
        <f aca="false" t="array" ref="AY59:AY59">IF(ISNA(INDEX(Source!$U$7:$U$95,MATCH(AZ59,Source!$V$7:$V$95,0))),"-",INDEX(Source!$U$7:$U$95,MATCH(AZ59,Source!$V$7:$V$95,0)))</f>
        <v>-</v>
      </c>
      <c r="AZ59" s="617" t="s">
        <v>1352</v>
      </c>
      <c r="BA59" s="182" t="s">
        <v>1115</v>
      </c>
      <c r="BB59" s="507"/>
      <c r="BC59" s="507"/>
      <c r="BD59" s="507"/>
    </row>
    <row r="60" customFormat="false" ht="15.75" hidden="false" customHeight="false" outlineLevel="0" collapsed="false">
      <c r="A60" s="589" t="s">
        <v>1353</v>
      </c>
      <c r="B60" s="589"/>
      <c r="C60" s="589"/>
      <c r="D60" s="634" t="s">
        <v>835</v>
      </c>
      <c r="E60" s="591" t="s">
        <v>1117</v>
      </c>
      <c r="F60" s="582" t="n">
        <v>15</v>
      </c>
      <c r="G60" s="582" t="n">
        <v>90</v>
      </c>
      <c r="H60" s="592" t="n">
        <v>1</v>
      </c>
      <c r="I60" s="593"/>
      <c r="J60" s="589" t="s">
        <v>1354</v>
      </c>
      <c r="K60" s="589"/>
      <c r="L60" s="589"/>
      <c r="M60" s="594" t="s">
        <v>839</v>
      </c>
      <c r="N60" s="581" t="s">
        <v>1185</v>
      </c>
      <c r="O60" s="582" t="n">
        <v>20</v>
      </c>
      <c r="P60" s="592" t="n">
        <v>1</v>
      </c>
      <c r="Q60" s="595"/>
      <c r="R60" s="93"/>
      <c r="S60" s="585" t="str">
        <f aca="false" t="array" ref="S60:S60">IF(ISNA(INDEX(Source!$U$7:$U$95,MATCH(T60,Source!$V$7:$V$95,0))),"-",INDEX(Source!$U$7:$U$95,MATCH(T60,Source!$V$7:$V$95,0)))</f>
        <v>KKS</v>
      </c>
      <c r="T60" s="586" t="s">
        <v>88</v>
      </c>
      <c r="U60" s="182" t="s">
        <v>1106</v>
      </c>
      <c r="V60" s="93"/>
      <c r="W60" s="93"/>
      <c r="X60" s="616"/>
      <c r="Y60" s="93"/>
      <c r="Z60" s="93"/>
      <c r="AA60" s="93"/>
      <c r="AB60" s="616"/>
      <c r="AC60" s="93"/>
      <c r="AD60" s="93"/>
      <c r="AE60" s="93"/>
      <c r="AF60" s="616"/>
      <c r="AG60" s="93"/>
      <c r="AH60" s="93"/>
      <c r="AI60" s="585" t="str">
        <f aca="false" t="array" ref="AI60:AI60">IF(ISNA(INDEX(Source!$U$7:$U$95,MATCH(AJ60,Source!$V$7:$V$95,0))),"-",INDEX(Source!$U$7:$U$95,MATCH(AJ60,Source!$V$7:$V$95,0)))</f>
        <v>SGP</v>
      </c>
      <c r="AJ60" s="586" t="s">
        <v>71</v>
      </c>
      <c r="AK60" s="182" t="s">
        <v>1110</v>
      </c>
      <c r="AL60" s="93"/>
      <c r="AM60" s="93"/>
      <c r="AN60" s="616"/>
      <c r="AO60" s="93"/>
      <c r="AP60" s="93"/>
      <c r="AQ60" s="93"/>
      <c r="AR60" s="616"/>
      <c r="AS60" s="93"/>
      <c r="AT60" s="93"/>
      <c r="AU60" s="585" t="str">
        <f aca="false" t="array" ref="AU60:AU60">IF(ISNA(INDEX(Source!$U$7:$U$95,MATCH(AV60,Source!$V$7:$V$95,0))),"-",INDEX(Source!$U$7:$U$95,MATCH(AV60,Source!$V$7:$V$95,0)))</f>
        <v>-</v>
      </c>
      <c r="AV60" s="617" t="s">
        <v>1028</v>
      </c>
      <c r="AW60" s="182" t="s">
        <v>1114</v>
      </c>
      <c r="AX60" s="93"/>
      <c r="AY60" s="585" t="str">
        <f aca="false" t="array" ref="AY60:AY60">IF(ISNA(INDEX(Source!$U$7:$U$95,MATCH(AZ60,Source!$V$7:$V$95,0))),"-",INDEX(Source!$U$7:$U$95,MATCH(AZ60,Source!$V$7:$V$95,0)))</f>
        <v>-</v>
      </c>
      <c r="AZ60" s="617" t="s">
        <v>365</v>
      </c>
      <c r="BA60" s="182" t="s">
        <v>1115</v>
      </c>
      <c r="BB60" s="507"/>
      <c r="BC60" s="507"/>
      <c r="BD60" s="507"/>
    </row>
    <row r="61" customFormat="false" ht="15.75" hidden="false" customHeight="false" outlineLevel="0" collapsed="false">
      <c r="A61" s="589" t="s">
        <v>1355</v>
      </c>
      <c r="B61" s="589"/>
      <c r="C61" s="589"/>
      <c r="D61" s="634" t="s">
        <v>835</v>
      </c>
      <c r="E61" s="591" t="s">
        <v>1117</v>
      </c>
      <c r="F61" s="582" t="n">
        <v>10</v>
      </c>
      <c r="G61" s="582" t="n">
        <v>100</v>
      </c>
      <c r="H61" s="592" t="n">
        <v>0.75</v>
      </c>
      <c r="I61" s="593"/>
      <c r="J61" s="589" t="s">
        <v>1356</v>
      </c>
      <c r="K61" s="589"/>
      <c r="L61" s="589"/>
      <c r="M61" s="625" t="s">
        <v>795</v>
      </c>
      <c r="N61" s="581" t="s">
        <v>1166</v>
      </c>
      <c r="O61" s="582" t="n">
        <v>15</v>
      </c>
      <c r="P61" s="592" t="n">
        <v>1</v>
      </c>
      <c r="Q61" s="595"/>
      <c r="R61" s="93"/>
      <c r="S61" s="585" t="str">
        <f aca="false" t="array" ref="S61:S61">IF(ISNA(INDEX(Source!$U$7:$U$95,MATCH(T61,Source!$V$7:$V$95,0))),"-",INDEX(Source!$U$7:$U$95,MATCH(T61,Source!$V$7:$V$95,0)))</f>
        <v>-</v>
      </c>
      <c r="T61" s="586" t="s">
        <v>556</v>
      </c>
      <c r="U61" s="182" t="s">
        <v>1106</v>
      </c>
      <c r="V61" s="93"/>
      <c r="W61" s="93"/>
      <c r="X61" s="616"/>
      <c r="Y61" s="93"/>
      <c r="Z61" s="93"/>
      <c r="AA61" s="93"/>
      <c r="AB61" s="616"/>
      <c r="AC61" s="93"/>
      <c r="AD61" s="93"/>
      <c r="AE61" s="93"/>
      <c r="AF61" s="616"/>
      <c r="AG61" s="93"/>
      <c r="AH61" s="93"/>
      <c r="AI61" s="585" t="str">
        <f aca="false" t="array" ref="AI61:AI61">IF(ISNA(INDEX(Source!$U$7:$U$95,MATCH(AJ61,Source!$V$7:$V$95,0))),"-",INDEX(Source!$U$7:$U$95,MATCH(AJ61,Source!$V$7:$V$95,0)))</f>
        <v>-</v>
      </c>
      <c r="AJ61" s="586" t="s">
        <v>421</v>
      </c>
      <c r="AK61" s="182" t="s">
        <v>1110</v>
      </c>
      <c r="AL61" s="93"/>
      <c r="AM61" s="93"/>
      <c r="AN61" s="616"/>
      <c r="AO61" s="93"/>
      <c r="AP61" s="93"/>
      <c r="AQ61" s="93"/>
      <c r="AR61" s="616"/>
      <c r="AS61" s="93"/>
      <c r="AT61" s="93"/>
      <c r="AU61" s="585" t="str">
        <f aca="false" t="array" ref="AU61:AU61">IF(ISNA(INDEX(Source!$U$7:$U$95,MATCH(AV61,Source!$V$7:$V$95,0))),"-",INDEX(Source!$U$7:$U$95,MATCH(AV61,Source!$V$7:$V$95,0)))</f>
        <v>-</v>
      </c>
      <c r="AV61" s="617" t="s">
        <v>1029</v>
      </c>
      <c r="AW61" s="182" t="s">
        <v>1114</v>
      </c>
      <c r="AX61" s="93"/>
      <c r="AY61" s="585" t="str">
        <f aca="false" t="array" ref="AY61:AY61">IF(ISNA(INDEX(Source!$U$7:$U$95,MATCH(AZ61,Source!$V$7:$V$95,0))),"-",INDEX(Source!$U$7:$U$95,MATCH(AZ61,Source!$V$7:$V$95,0)))</f>
        <v>-</v>
      </c>
      <c r="AZ61" s="617" t="s">
        <v>376</v>
      </c>
      <c r="BA61" s="182" t="s">
        <v>1115</v>
      </c>
      <c r="BB61" s="507"/>
      <c r="BC61" s="507"/>
      <c r="BD61" s="507"/>
    </row>
    <row r="62" customFormat="false" ht="15.75" hidden="false" customHeight="false" outlineLevel="0" collapsed="false">
      <c r="A62" s="589" t="s">
        <v>1357</v>
      </c>
      <c r="B62" s="589"/>
      <c r="C62" s="589"/>
      <c r="D62" s="634" t="s">
        <v>835</v>
      </c>
      <c r="E62" s="591" t="s">
        <v>1117</v>
      </c>
      <c r="F62" s="582" t="n">
        <v>10</v>
      </c>
      <c r="G62" s="582" t="n">
        <v>60</v>
      </c>
      <c r="H62" s="592" t="n">
        <v>0.9</v>
      </c>
      <c r="I62" s="593"/>
      <c r="J62" s="589" t="s">
        <v>1358</v>
      </c>
      <c r="K62" s="589"/>
      <c r="L62" s="589"/>
      <c r="M62" s="635" t="s">
        <v>798</v>
      </c>
      <c r="N62" s="581" t="s">
        <v>1149</v>
      </c>
      <c r="O62" s="582" t="n">
        <v>10</v>
      </c>
      <c r="P62" s="583" t="s">
        <v>1120</v>
      </c>
      <c r="Q62" s="595"/>
      <c r="R62" s="93"/>
      <c r="S62" s="585" t="str">
        <f aca="false" t="array" ref="S62:S62">IF(ISNA(INDEX(Source!$U$7:$U$95,MATCH(T62,Source!$V$7:$V$95,0))),"-",INDEX(Source!$U$7:$U$95,MATCH(T62,Source!$V$7:$V$95,0)))</f>
        <v>-</v>
      </c>
      <c r="T62" s="586" t="s">
        <v>379</v>
      </c>
      <c r="U62" s="182" t="s">
        <v>1106</v>
      </c>
      <c r="V62" s="93"/>
      <c r="W62" s="93"/>
      <c r="X62" s="616"/>
      <c r="Y62" s="93"/>
      <c r="Z62" s="93"/>
      <c r="AA62" s="93"/>
      <c r="AB62" s="616"/>
      <c r="AC62" s="93"/>
      <c r="AD62" s="93"/>
      <c r="AE62" s="93"/>
      <c r="AF62" s="616"/>
      <c r="AG62" s="93"/>
      <c r="AH62" s="93"/>
      <c r="AI62" s="585" t="str">
        <f aca="false" t="array" ref="AI62:AI62">IF(ISNA(INDEX(Source!$U$7:$U$95,MATCH(AJ62,Source!$V$7:$V$95,0))),"-",INDEX(Source!$U$7:$U$95,MATCH(AJ62,Source!$V$7:$V$95,0)))</f>
        <v>-</v>
      </c>
      <c r="AJ62" s="586" t="s">
        <v>1010</v>
      </c>
      <c r="AK62" s="182" t="s">
        <v>1110</v>
      </c>
      <c r="AL62" s="93"/>
      <c r="AM62" s="93"/>
      <c r="AN62" s="616"/>
      <c r="AO62" s="93"/>
      <c r="AP62" s="93"/>
      <c r="AQ62" s="93"/>
      <c r="AR62" s="616"/>
      <c r="AS62" s="93"/>
      <c r="AT62" s="93"/>
      <c r="AU62" s="585" t="str">
        <f aca="false" t="array" ref="AU62:AU62">IF(ISNA(INDEX(Source!$U$7:$U$95,MATCH(AV62,Source!$V$7:$V$95,0))),"-",INDEX(Source!$U$7:$U$95,MATCH(AV62,Source!$V$7:$V$95,0)))</f>
        <v>KKS</v>
      </c>
      <c r="AV62" s="617" t="s">
        <v>85</v>
      </c>
      <c r="AW62" s="182" t="s">
        <v>1114</v>
      </c>
      <c r="AX62" s="93"/>
      <c r="AY62" s="585" t="str">
        <f aca="false" t="array" ref="AY62:AY62">IF(ISNA(INDEX(Source!$U$7:$U$95,MATCH(AZ62,Source!$V$7:$V$95,0))),"-",INDEX(Source!$U$7:$U$95,MATCH(AZ62,Source!$V$7:$V$95,0)))</f>
        <v>-</v>
      </c>
      <c r="AZ62" s="617" t="s">
        <v>1359</v>
      </c>
      <c r="BA62" s="182" t="s">
        <v>1115</v>
      </c>
      <c r="BB62" s="507"/>
      <c r="BC62" s="507"/>
      <c r="BD62" s="507"/>
    </row>
    <row r="63" customFormat="false" ht="15.75" hidden="false" customHeight="false" outlineLevel="0" collapsed="false">
      <c r="A63" s="589" t="s">
        <v>1360</v>
      </c>
      <c r="B63" s="589"/>
      <c r="C63" s="589"/>
      <c r="D63" s="600" t="s">
        <v>881</v>
      </c>
      <c r="E63" s="591" t="s">
        <v>1117</v>
      </c>
      <c r="F63" s="582" t="n">
        <v>10</v>
      </c>
      <c r="G63" s="582" t="n">
        <v>75</v>
      </c>
      <c r="H63" s="592" t="n">
        <v>1</v>
      </c>
      <c r="I63" s="593"/>
      <c r="J63" s="589" t="s">
        <v>1361</v>
      </c>
      <c r="K63" s="589"/>
      <c r="L63" s="589"/>
      <c r="M63" s="606" t="s">
        <v>798</v>
      </c>
      <c r="N63" s="581" t="s">
        <v>1119</v>
      </c>
      <c r="O63" s="582" t="n">
        <v>10</v>
      </c>
      <c r="P63" s="583" t="s">
        <v>1120</v>
      </c>
      <c r="Q63" s="595"/>
      <c r="R63" s="93"/>
      <c r="S63" s="585" t="str">
        <f aca="false" t="array" ref="S63:S63">IF(ISNA(INDEX(Source!$U$7:$U$95,MATCH(T63,Source!$V$7:$V$95,0))),"-",INDEX(Source!$U$7:$U$95,MATCH(T63,Source!$V$7:$V$95,0)))</f>
        <v>LVC</v>
      </c>
      <c r="T63" s="586" t="s">
        <v>68</v>
      </c>
      <c r="U63" s="182" t="s">
        <v>1106</v>
      </c>
      <c r="V63" s="93"/>
      <c r="W63" s="93"/>
      <c r="X63" s="616"/>
      <c r="Y63" s="93"/>
      <c r="Z63" s="93"/>
      <c r="AA63" s="93"/>
      <c r="AB63" s="616"/>
      <c r="AC63" s="93"/>
      <c r="AD63" s="93"/>
      <c r="AE63" s="93"/>
      <c r="AF63" s="616"/>
      <c r="AG63" s="93"/>
      <c r="AH63" s="93"/>
      <c r="AI63" s="585" t="str">
        <f aca="false" t="array" ref="AI63:AI63">IF(ISNA(INDEX(Source!$U$7:$U$95,MATCH(AJ63,Source!$V$7:$V$95,0))),"-",INDEX(Source!$U$7:$U$95,MATCH(AJ63,Source!$V$7:$V$95,0)))</f>
        <v>-</v>
      </c>
      <c r="AJ63" s="586" t="s">
        <v>378</v>
      </c>
      <c r="AK63" s="182" t="s">
        <v>1110</v>
      </c>
      <c r="AL63" s="93"/>
      <c r="AM63" s="93"/>
      <c r="AN63" s="616"/>
      <c r="AO63" s="93"/>
      <c r="AP63" s="93"/>
      <c r="AQ63" s="93"/>
      <c r="AR63" s="616"/>
      <c r="AS63" s="93"/>
      <c r="AT63" s="93"/>
      <c r="AU63" s="585" t="str">
        <f aca="false" t="array" ref="AU63:AU63">IF(ISNA(INDEX(Source!$U$7:$U$95,MATCH(AV63,Source!$V$7:$V$95,0))),"-",INDEX(Source!$U$7:$U$95,MATCH(AV63,Source!$V$7:$V$95,0)))</f>
        <v>-</v>
      </c>
      <c r="AV63" s="617" t="s">
        <v>360</v>
      </c>
      <c r="AW63" s="182" t="s">
        <v>1114</v>
      </c>
      <c r="AX63" s="93"/>
      <c r="AY63" s="585" t="str">
        <f aca="false" t="array" ref="AY63:AY63">IF(ISNA(INDEX(Source!$U$7:$U$95,MATCH(AZ63,Source!$V$7:$V$95,0))),"-",INDEX(Source!$U$7:$U$95,MATCH(AZ63,Source!$V$7:$V$95,0)))</f>
        <v>-</v>
      </c>
      <c r="AZ63" s="617" t="s">
        <v>390</v>
      </c>
      <c r="BA63" s="182" t="s">
        <v>1115</v>
      </c>
      <c r="BB63" s="507"/>
      <c r="BC63" s="507"/>
      <c r="BD63" s="507"/>
    </row>
    <row r="64" customFormat="false" ht="15.75" hidden="false" customHeight="false" outlineLevel="0" collapsed="false">
      <c r="A64" s="589" t="s">
        <v>1362</v>
      </c>
      <c r="B64" s="589"/>
      <c r="C64" s="589"/>
      <c r="D64" s="590" t="s">
        <v>801</v>
      </c>
      <c r="E64" s="591" t="s">
        <v>1117</v>
      </c>
      <c r="F64" s="582" t="n">
        <v>20</v>
      </c>
      <c r="G64" s="582" t="n">
        <v>80</v>
      </c>
      <c r="H64" s="592" t="n">
        <v>1</v>
      </c>
      <c r="I64" s="593"/>
      <c r="J64" s="589" t="s">
        <v>1363</v>
      </c>
      <c r="K64" s="589"/>
      <c r="L64" s="589"/>
      <c r="M64" s="594" t="s">
        <v>839</v>
      </c>
      <c r="N64" s="581" t="s">
        <v>1119</v>
      </c>
      <c r="O64" s="582" t="n">
        <v>30</v>
      </c>
      <c r="P64" s="583" t="s">
        <v>1120</v>
      </c>
      <c r="Q64" s="595"/>
      <c r="R64" s="93"/>
      <c r="S64" s="585" t="str">
        <f aca="false" t="array" ref="S64:S64">IF(ISNA(INDEX(Source!$U$7:$U$95,MATCH(T64,Source!$V$7:$V$95,0))),"-",INDEX(Source!$U$7:$U$95,MATCH(T64,Source!$V$7:$V$95,0)))</f>
        <v>-</v>
      </c>
      <c r="T64" s="586" t="s">
        <v>588</v>
      </c>
      <c r="U64" s="182" t="s">
        <v>1106</v>
      </c>
      <c r="V64" s="93"/>
      <c r="W64" s="93"/>
      <c r="X64" s="616"/>
      <c r="Y64" s="93"/>
      <c r="Z64" s="93"/>
      <c r="AA64" s="93"/>
      <c r="AB64" s="616"/>
      <c r="AC64" s="93"/>
      <c r="AD64" s="93"/>
      <c r="AE64" s="93"/>
      <c r="AF64" s="616"/>
      <c r="AG64" s="93"/>
      <c r="AH64" s="93"/>
      <c r="AI64" s="585" t="str">
        <f aca="false" t="array" ref="AI64:AI64">IF(ISNA(INDEX(Source!$U$7:$U$95,MATCH(AJ64,Source!$V$7:$V$95,0))),"-",INDEX(Source!$U$7:$U$95,MATCH(AJ64,Source!$V$7:$V$95,0)))</f>
        <v>-</v>
      </c>
      <c r="AJ64" s="586" t="s">
        <v>1013</v>
      </c>
      <c r="AK64" s="182" t="s">
        <v>1110</v>
      </c>
      <c r="AL64" s="93"/>
      <c r="AM64" s="93"/>
      <c r="AN64" s="616"/>
      <c r="AO64" s="93"/>
      <c r="AP64" s="93"/>
      <c r="AQ64" s="93"/>
      <c r="AR64" s="616"/>
      <c r="AS64" s="93"/>
      <c r="AT64" s="93"/>
      <c r="AU64" s="585" t="str">
        <f aca="false" t="array" ref="AU64:AU64">IF(ISNA(INDEX(Source!$U$7:$U$95,MATCH(AV64,Source!$V$7:$V$95,0))),"-",INDEX(Source!$U$7:$U$95,MATCH(AV64,Source!$V$7:$V$95,0)))</f>
        <v>-</v>
      </c>
      <c r="AV64" s="617" t="s">
        <v>507</v>
      </c>
      <c r="AW64" s="182" t="s">
        <v>1114</v>
      </c>
      <c r="AX64" s="93"/>
      <c r="AY64" s="585" t="str">
        <f aca="false" t="array" ref="AY64:AY64">IF(ISNA(INDEX(Source!$U$7:$U$95,MATCH(AZ64,Source!$V$7:$V$95,0))),"-",INDEX(Source!$U$7:$U$95,MATCH(AZ64,Source!$V$7:$V$95,0)))</f>
        <v>-</v>
      </c>
      <c r="AZ64" s="617" t="s">
        <v>1364</v>
      </c>
      <c r="BA64" s="182" t="s">
        <v>1115</v>
      </c>
      <c r="BB64" s="507"/>
      <c r="BC64" s="507"/>
      <c r="BD64" s="507"/>
    </row>
    <row r="65" customFormat="false" ht="15.75" hidden="false" customHeight="false" outlineLevel="0" collapsed="false">
      <c r="A65" s="589" t="s">
        <v>1365</v>
      </c>
      <c r="B65" s="589"/>
      <c r="C65" s="589"/>
      <c r="D65" s="620" t="s">
        <v>907</v>
      </c>
      <c r="E65" s="591" t="s">
        <v>1117</v>
      </c>
      <c r="F65" s="582" t="n">
        <v>10</v>
      </c>
      <c r="G65" s="582" t="n">
        <v>80</v>
      </c>
      <c r="H65" s="592" t="n">
        <v>0.95</v>
      </c>
      <c r="I65" s="593"/>
      <c r="J65" s="589" t="s">
        <v>1366</v>
      </c>
      <c r="K65" s="589"/>
      <c r="L65" s="589"/>
      <c r="M65" s="594" t="s">
        <v>839</v>
      </c>
      <c r="N65" s="581" t="s">
        <v>1129</v>
      </c>
      <c r="O65" s="582" t="n">
        <v>20</v>
      </c>
      <c r="P65" s="592" t="n">
        <v>1</v>
      </c>
      <c r="Q65" s="595"/>
      <c r="R65" s="93"/>
      <c r="S65" s="585" t="str">
        <f aca="false" t="array" ref="S65:S65">IF(ISNA(INDEX(Source!$U$7:$U$95,MATCH(T65,Source!$V$7:$V$95,0))),"-",INDEX(Source!$U$7:$U$95,MATCH(T65,Source!$V$7:$V$95,0)))</f>
        <v>BTB</v>
      </c>
      <c r="T65" s="586" t="s">
        <v>58</v>
      </c>
      <c r="U65" s="182" t="s">
        <v>1106</v>
      </c>
      <c r="V65" s="93"/>
      <c r="W65" s="93"/>
      <c r="X65" s="616"/>
      <c r="Y65" s="93"/>
      <c r="Z65" s="93"/>
      <c r="AA65" s="93"/>
      <c r="AB65" s="616"/>
      <c r="AC65" s="93"/>
      <c r="AD65" s="93"/>
      <c r="AE65" s="93"/>
      <c r="AF65" s="616"/>
      <c r="AG65" s="93"/>
      <c r="AH65" s="93"/>
      <c r="AI65" s="585" t="str">
        <f aca="false" t="array" ref="AI65:AI65">IF(ISNA(INDEX(Source!$U$7:$U$95,MATCH(AJ65,Source!$V$7:$V$95,0))),"-",INDEX(Source!$U$7:$U$95,MATCH(AJ65,Source!$V$7:$V$95,0)))</f>
        <v>-</v>
      </c>
      <c r="AJ65" s="586" t="s">
        <v>1014</v>
      </c>
      <c r="AK65" s="182" t="s">
        <v>1110</v>
      </c>
      <c r="AL65" s="93"/>
      <c r="AM65" s="93"/>
      <c r="AN65" s="616"/>
      <c r="AO65" s="93"/>
      <c r="AP65" s="93"/>
      <c r="AQ65" s="93"/>
      <c r="AR65" s="616"/>
      <c r="AS65" s="93"/>
      <c r="AT65" s="93"/>
      <c r="AU65" s="585" t="str">
        <f aca="false" t="array" ref="AU65:AU65">IF(ISNA(INDEX(Source!$U$7:$U$95,MATCH(AV65,Source!$V$7:$V$95,0))),"-",INDEX(Source!$U$7:$U$95,MATCH(AV65,Source!$V$7:$V$95,0)))</f>
        <v>-</v>
      </c>
      <c r="AV65" s="617" t="s">
        <v>758</v>
      </c>
      <c r="AW65" s="182" t="s">
        <v>1114</v>
      </c>
      <c r="AX65" s="93"/>
      <c r="AY65" s="585" t="str">
        <f aca="false" t="array" ref="AY65:AY65">IF(ISNA(INDEX(Source!$U$7:$U$95,MATCH(AZ65,Source!$V$7:$V$95,0))),"-",INDEX(Source!$U$7:$U$95,MATCH(AZ65,Source!$V$7:$V$95,0)))</f>
        <v>-</v>
      </c>
      <c r="AZ65" s="617" t="s">
        <v>394</v>
      </c>
      <c r="BA65" s="182" t="s">
        <v>1115</v>
      </c>
      <c r="BB65" s="507"/>
      <c r="BC65" s="507"/>
      <c r="BD65" s="507"/>
    </row>
    <row r="66" customFormat="false" ht="15.75" hidden="false" customHeight="false" outlineLevel="0" collapsed="false">
      <c r="A66" s="589" t="s">
        <v>1367</v>
      </c>
      <c r="B66" s="589"/>
      <c r="C66" s="589"/>
      <c r="D66" s="634" t="s">
        <v>835</v>
      </c>
      <c r="E66" s="591" t="s">
        <v>1117</v>
      </c>
      <c r="F66" s="582" t="n">
        <v>15</v>
      </c>
      <c r="G66" s="582" t="n">
        <v>40</v>
      </c>
      <c r="H66" s="592" t="n">
        <v>0.9</v>
      </c>
      <c r="I66" s="593"/>
      <c r="J66" s="589" t="s">
        <v>1368</v>
      </c>
      <c r="K66" s="589"/>
      <c r="L66" s="589"/>
      <c r="M66" s="594" t="s">
        <v>839</v>
      </c>
      <c r="N66" s="581" t="s">
        <v>1200</v>
      </c>
      <c r="O66" s="582" t="n">
        <v>40</v>
      </c>
      <c r="P66" s="592" t="n">
        <v>1</v>
      </c>
      <c r="Q66" s="595"/>
      <c r="R66" s="93"/>
      <c r="S66" s="585" t="str">
        <f aca="false" t="array" ref="S66:S66">IF(ISNA(INDEX(Source!$U$7:$U$95,MATCH(T66,Source!$V$7:$V$95,0))),"-",INDEX(Source!$U$7:$U$95,MATCH(T66,Source!$V$7:$V$95,0)))</f>
        <v>-</v>
      </c>
      <c r="T66" s="586" t="s">
        <v>723</v>
      </c>
      <c r="U66" s="182" t="s">
        <v>1106</v>
      </c>
      <c r="V66" s="93"/>
      <c r="W66" s="93"/>
      <c r="X66" s="616"/>
      <c r="Y66" s="93"/>
      <c r="Z66" s="93"/>
      <c r="AA66" s="93"/>
      <c r="AB66" s="616"/>
      <c r="AC66" s="93"/>
      <c r="AD66" s="93"/>
      <c r="AE66" s="93"/>
      <c r="AF66" s="616"/>
      <c r="AG66" s="93"/>
      <c r="AH66" s="93"/>
      <c r="AI66" s="585" t="str">
        <f aca="false" t="array" ref="AI66:AI66">IF(ISNA(INDEX(Source!$U$7:$U$95,MATCH(AJ66,Source!$V$7:$V$95,0))),"-",INDEX(Source!$U$7:$U$95,MATCH(AJ66,Source!$V$7:$V$95,0)))</f>
        <v>-</v>
      </c>
      <c r="AJ66" s="586" t="s">
        <v>1015</v>
      </c>
      <c r="AK66" s="182" t="s">
        <v>1110</v>
      </c>
      <c r="AL66" s="93"/>
      <c r="AM66" s="93"/>
      <c r="AN66" s="616"/>
      <c r="AO66" s="93"/>
      <c r="AP66" s="93"/>
      <c r="AQ66" s="93"/>
      <c r="AR66" s="616"/>
      <c r="AS66" s="93"/>
      <c r="AT66" s="93"/>
      <c r="AU66" s="585" t="str">
        <f aca="false" t="array" ref="AU66:AU66">IF(ISNA(INDEX(Source!$U$7:$U$95,MATCH(AV66,Source!$V$7:$V$95,0))),"-",INDEX(Source!$U$7:$U$95,MATCH(AV66,Source!$V$7:$V$95,0)))</f>
        <v>-</v>
      </c>
      <c r="AV66" s="617" t="s">
        <v>583</v>
      </c>
      <c r="AW66" s="182" t="s">
        <v>1114</v>
      </c>
      <c r="AX66" s="93"/>
      <c r="AY66" s="585" t="str">
        <f aca="false" t="array" ref="AY66:AY66">IF(ISNA(INDEX(Source!$U$7:$U$95,MATCH(AZ66,Source!$V$7:$V$95,0))),"-",INDEX(Source!$U$7:$U$95,MATCH(AZ66,Source!$V$7:$V$95,0)))</f>
        <v>-</v>
      </c>
      <c r="AZ66" s="617" t="s">
        <v>414</v>
      </c>
      <c r="BA66" s="182" t="s">
        <v>1115</v>
      </c>
      <c r="BB66" s="507"/>
      <c r="BC66" s="507"/>
      <c r="BD66" s="507"/>
    </row>
    <row r="67" customFormat="false" ht="15.75" hidden="false" customHeight="false" outlineLevel="0" collapsed="false">
      <c r="A67" s="589" t="s">
        <v>1369</v>
      </c>
      <c r="B67" s="589"/>
      <c r="C67" s="589"/>
      <c r="D67" s="600" t="s">
        <v>881</v>
      </c>
      <c r="E67" s="591" t="s">
        <v>1117</v>
      </c>
      <c r="F67" s="582" t="n">
        <v>5</v>
      </c>
      <c r="G67" s="582" t="n">
        <v>100</v>
      </c>
      <c r="H67" s="592" t="n">
        <v>0.5</v>
      </c>
      <c r="I67" s="593"/>
      <c r="J67" s="589" t="s">
        <v>1370</v>
      </c>
      <c r="K67" s="589"/>
      <c r="L67" s="589"/>
      <c r="M67" s="604" t="s">
        <v>803</v>
      </c>
      <c r="N67" s="581" t="s">
        <v>1200</v>
      </c>
      <c r="O67" s="582" t="n">
        <v>20</v>
      </c>
      <c r="P67" s="592" t="n">
        <v>1</v>
      </c>
      <c r="Q67" s="595"/>
      <c r="R67" s="93"/>
      <c r="S67" s="585" t="str">
        <f aca="false" t="array" ref="S67:S67">IF(ISNA(INDEX(Source!$U$7:$U$95,MATCH(T67,Source!$V$7:$V$95,0))),"-",INDEX(Source!$U$7:$U$95,MATCH(T67,Source!$V$7:$V$95,0)))</f>
        <v>-</v>
      </c>
      <c r="T67" s="586" t="s">
        <v>1371</v>
      </c>
      <c r="U67" s="182" t="s">
        <v>1106</v>
      </c>
      <c r="V67" s="93"/>
      <c r="W67" s="93"/>
      <c r="X67" s="616"/>
      <c r="Y67" s="93"/>
      <c r="Z67" s="93"/>
      <c r="AA67" s="93"/>
      <c r="AB67" s="616"/>
      <c r="AC67" s="93"/>
      <c r="AD67" s="93"/>
      <c r="AE67" s="93"/>
      <c r="AF67" s="616"/>
      <c r="AG67" s="93"/>
      <c r="AH67" s="93"/>
      <c r="AI67" s="585" t="str">
        <f aca="false" t="array" ref="AI67:AI67">IF(ISNA(INDEX(Source!$U$7:$U$95,MATCH(AJ67,Source!$V$7:$V$95,0))),"-",INDEX(Source!$U$7:$U$95,MATCH(AJ67,Source!$V$7:$V$95,0)))</f>
        <v>-</v>
      </c>
      <c r="AJ67" s="586" t="s">
        <v>1016</v>
      </c>
      <c r="AK67" s="182" t="s">
        <v>1110</v>
      </c>
      <c r="AL67" s="93"/>
      <c r="AM67" s="93"/>
      <c r="AN67" s="616"/>
      <c r="AO67" s="93"/>
      <c r="AP67" s="93"/>
      <c r="AQ67" s="93"/>
      <c r="AR67" s="616"/>
      <c r="AS67" s="93"/>
      <c r="AT67" s="93"/>
      <c r="AU67" s="585" t="str">
        <f aca="false" t="array" ref="AU67:AU67">IF(ISNA(INDEX(Source!$U$7:$U$95,MATCH(AV67,Source!$V$7:$V$95,0))),"-",INDEX(Source!$U$7:$U$95,MATCH(AV67,Source!$V$7:$V$95,0)))</f>
        <v>-</v>
      </c>
      <c r="AV67" s="617" t="s">
        <v>1359</v>
      </c>
      <c r="AW67" s="182" t="s">
        <v>1114</v>
      </c>
      <c r="AX67" s="93"/>
      <c r="AY67" s="585" t="str">
        <f aca="false" t="array" ref="AY67:AY67">IF(ISNA(INDEX(Source!$U$7:$U$95,MATCH(AZ67,Source!$V$7:$V$95,0))),"-",INDEX(Source!$U$7:$U$95,MATCH(AZ67,Source!$V$7:$V$95,0)))</f>
        <v>-</v>
      </c>
      <c r="AZ67" s="617" t="s">
        <v>1045</v>
      </c>
      <c r="BA67" s="182" t="s">
        <v>1115</v>
      </c>
      <c r="BB67" s="507"/>
      <c r="BC67" s="507"/>
      <c r="BD67" s="507"/>
    </row>
    <row r="68" customFormat="false" ht="15.75" hidden="false" customHeight="false" outlineLevel="0" collapsed="false">
      <c r="A68" s="589" t="s">
        <v>1372</v>
      </c>
      <c r="B68" s="589"/>
      <c r="C68" s="589"/>
      <c r="D68" s="620" t="s">
        <v>907</v>
      </c>
      <c r="E68" s="591" t="s">
        <v>1117</v>
      </c>
      <c r="F68" s="582" t="n">
        <v>10</v>
      </c>
      <c r="G68" s="582" t="n">
        <v>100</v>
      </c>
      <c r="H68" s="592" t="n">
        <v>1</v>
      </c>
      <c r="I68" s="593"/>
      <c r="J68" s="589" t="s">
        <v>1373</v>
      </c>
      <c r="K68" s="589"/>
      <c r="L68" s="589"/>
      <c r="M68" s="580" t="s">
        <v>843</v>
      </c>
      <c r="N68" s="581" t="s">
        <v>1200</v>
      </c>
      <c r="O68" s="582" t="n">
        <v>10</v>
      </c>
      <c r="P68" s="592" t="n">
        <v>1</v>
      </c>
      <c r="Q68" s="595"/>
      <c r="R68" s="93"/>
      <c r="S68" s="585" t="str">
        <f aca="false" t="array" ref="S68:S68">IF(ISNA(INDEX(Source!$U$7:$U$95,MATCH(T68,Source!$V$7:$V$95,0))),"-",INDEX(Source!$U$7:$U$95,MATCH(T68,Source!$V$7:$V$95,0)))</f>
        <v>-</v>
      </c>
      <c r="T68" s="586" t="s">
        <v>1374</v>
      </c>
      <c r="U68" s="182" t="s">
        <v>1106</v>
      </c>
      <c r="V68" s="93"/>
      <c r="W68" s="93"/>
      <c r="X68" s="616"/>
      <c r="Y68" s="93"/>
      <c r="Z68" s="93"/>
      <c r="AA68" s="93"/>
      <c r="AB68" s="616"/>
      <c r="AC68" s="93"/>
      <c r="AD68" s="93"/>
      <c r="AE68" s="93"/>
      <c r="AF68" s="616"/>
      <c r="AG68" s="93"/>
      <c r="AH68" s="93"/>
      <c r="AI68" s="585" t="str">
        <f aca="false" t="array" ref="AI68:AI68">IF(ISNA(INDEX(Source!$U$7:$U$95,MATCH(AJ68,Source!$V$7:$V$95,0))),"-",INDEX(Source!$U$7:$U$95,MATCH(AJ68,Source!$V$7:$V$95,0)))</f>
        <v>-</v>
      </c>
      <c r="AJ68" s="586" t="s">
        <v>674</v>
      </c>
      <c r="AK68" s="182" t="s">
        <v>1110</v>
      </c>
      <c r="AL68" s="93"/>
      <c r="AM68" s="93"/>
      <c r="AN68" s="616"/>
      <c r="AO68" s="93"/>
      <c r="AP68" s="93"/>
      <c r="AQ68" s="93"/>
      <c r="AR68" s="616"/>
      <c r="AS68" s="93"/>
      <c r="AT68" s="93"/>
      <c r="AU68" s="585" t="str">
        <f aca="false" t="array" ref="AU68:AU68">IF(ISNA(INDEX(Source!$U$7:$U$95,MATCH(AV68,Source!$V$7:$V$95,0))),"-",INDEX(Source!$U$7:$U$95,MATCH(AV68,Source!$V$7:$V$95,0)))</f>
        <v>-</v>
      </c>
      <c r="AV68" s="617" t="s">
        <v>390</v>
      </c>
      <c r="AW68" s="182" t="s">
        <v>1114</v>
      </c>
      <c r="AX68" s="93"/>
      <c r="AY68" s="585" t="str">
        <f aca="false" t="array" ref="AY68:AY68">IF(ISNA(INDEX(Source!$U$7:$U$95,MATCH(AZ68,Source!$V$7:$V$95,0))),"-",INDEX(Source!$U$7:$U$95,MATCH(AZ68,Source!$V$7:$V$95,0)))</f>
        <v>-</v>
      </c>
      <c r="AZ68" s="617" t="s">
        <v>1046</v>
      </c>
      <c r="BA68" s="182" t="s">
        <v>1115</v>
      </c>
      <c r="BB68" s="507"/>
      <c r="BC68" s="507"/>
      <c r="BD68" s="507"/>
    </row>
    <row r="69" customFormat="false" ht="15.75" hidden="false" customHeight="false" outlineLevel="0" collapsed="false">
      <c r="A69" s="589" t="s">
        <v>1375</v>
      </c>
      <c r="B69" s="589"/>
      <c r="C69" s="589"/>
      <c r="D69" s="610" t="s">
        <v>839</v>
      </c>
      <c r="E69" s="591" t="s">
        <v>1117</v>
      </c>
      <c r="F69" s="582" t="n">
        <v>10</v>
      </c>
      <c r="G69" s="582" t="n">
        <v>100</v>
      </c>
      <c r="H69" s="592" t="n">
        <v>0.75</v>
      </c>
      <c r="I69" s="593"/>
      <c r="J69" s="589" t="s">
        <v>1376</v>
      </c>
      <c r="K69" s="589"/>
      <c r="L69" s="589"/>
      <c r="M69" s="597" t="s">
        <v>810</v>
      </c>
      <c r="N69" s="581" t="s">
        <v>1129</v>
      </c>
      <c r="O69" s="582" t="n">
        <v>20</v>
      </c>
      <c r="P69" s="583" t="s">
        <v>1120</v>
      </c>
      <c r="Q69" s="595"/>
      <c r="R69" s="93"/>
      <c r="S69" s="585" t="str">
        <f aca="false" t="array" ref="S69:S69">IF(ISNA(INDEX(Source!$U$7:$U$95,MATCH(T69,Source!$V$7:$V$95,0))),"-",INDEX(Source!$U$7:$U$95,MATCH(T69,Source!$V$7:$V$95,0)))</f>
        <v>-</v>
      </c>
      <c r="T69" s="586" t="s">
        <v>1377</v>
      </c>
      <c r="U69" s="182" t="s">
        <v>1106</v>
      </c>
      <c r="V69" s="93"/>
      <c r="W69" s="93"/>
      <c r="X69" s="616"/>
      <c r="Y69" s="93"/>
      <c r="Z69" s="93"/>
      <c r="AA69" s="93"/>
      <c r="AB69" s="616"/>
      <c r="AC69" s="93"/>
      <c r="AD69" s="93"/>
      <c r="AE69" s="93"/>
      <c r="AF69" s="616"/>
      <c r="AG69" s="93"/>
      <c r="AH69" s="93"/>
      <c r="AI69" s="585" t="str">
        <f aca="false" t="array" ref="AI69:AI69">IF(ISNA(INDEX(Source!$U$7:$U$95,MATCH(AJ69,Source!$V$7:$V$95,0))),"-",INDEX(Source!$U$7:$U$95,MATCH(AJ69,Source!$V$7:$V$95,0)))</f>
        <v>-</v>
      </c>
      <c r="AJ69" s="586" t="s">
        <v>1378</v>
      </c>
      <c r="AK69" s="182" t="s">
        <v>1110</v>
      </c>
      <c r="AL69" s="93"/>
      <c r="AM69" s="93"/>
      <c r="AN69" s="616"/>
      <c r="AO69" s="93"/>
      <c r="AP69" s="93"/>
      <c r="AQ69" s="93"/>
      <c r="AR69" s="616"/>
      <c r="AS69" s="93"/>
      <c r="AT69" s="93"/>
      <c r="AU69" s="585" t="str">
        <f aca="false" t="array" ref="AU69:AU69">IF(ISNA(INDEX(Source!$U$7:$U$95,MATCH(AV69,Source!$V$7:$V$95,0))),"-",INDEX(Source!$U$7:$U$95,MATCH(AV69,Source!$V$7:$V$95,0)))</f>
        <v>-</v>
      </c>
      <c r="AV69" s="617" t="s">
        <v>747</v>
      </c>
      <c r="AW69" s="182" t="s">
        <v>1114</v>
      </c>
      <c r="AX69" s="93"/>
      <c r="AY69" s="585" t="str">
        <f aca="false" t="array" ref="AY69:AY69">IF(ISNA(INDEX(Source!$U$7:$U$95,MATCH(AZ69,Source!$V$7:$V$95,0))),"-",INDEX(Source!$U$7:$U$95,MATCH(AZ69,Source!$V$7:$V$95,0)))</f>
        <v>-</v>
      </c>
      <c r="AZ69" s="617" t="s">
        <v>1047</v>
      </c>
      <c r="BA69" s="182" t="s">
        <v>1115</v>
      </c>
      <c r="BB69" s="507"/>
      <c r="BC69" s="507"/>
      <c r="BD69" s="507"/>
    </row>
    <row r="70" customFormat="false" ht="15.75" hidden="false" customHeight="false" outlineLevel="0" collapsed="false">
      <c r="A70" s="589" t="s">
        <v>1379</v>
      </c>
      <c r="B70" s="589"/>
      <c r="C70" s="589"/>
      <c r="D70" s="610" t="s">
        <v>839</v>
      </c>
      <c r="E70" s="591" t="s">
        <v>1117</v>
      </c>
      <c r="F70" s="582" t="n">
        <v>5</v>
      </c>
      <c r="G70" s="582" t="s">
        <v>1183</v>
      </c>
      <c r="H70" s="592" t="n">
        <v>1</v>
      </c>
      <c r="I70" s="593"/>
      <c r="J70" s="589" t="s">
        <v>1380</v>
      </c>
      <c r="K70" s="589"/>
      <c r="L70" s="589"/>
      <c r="M70" s="606" t="s">
        <v>798</v>
      </c>
      <c r="N70" s="581" t="s">
        <v>1119</v>
      </c>
      <c r="O70" s="582" t="n">
        <v>10</v>
      </c>
      <c r="P70" s="583" t="s">
        <v>1120</v>
      </c>
      <c r="Q70" s="595"/>
      <c r="R70" s="93"/>
      <c r="S70" s="585" t="str">
        <f aca="false" t="array" ref="S70:S70">IF(ISNA(INDEX(Source!$U$7:$U$95,MATCH(T70,Source!$V$7:$V$95,0))),"-",INDEX(Source!$U$7:$U$95,MATCH(T70,Source!$V$7:$V$95,0)))</f>
        <v>-</v>
      </c>
      <c r="T70" s="586" t="s">
        <v>433</v>
      </c>
      <c r="U70" s="182" t="s">
        <v>1106</v>
      </c>
      <c r="V70" s="93"/>
      <c r="W70" s="93"/>
      <c r="X70" s="616"/>
      <c r="Y70" s="93"/>
      <c r="Z70" s="93"/>
      <c r="AA70" s="93"/>
      <c r="AB70" s="616"/>
      <c r="AC70" s="93"/>
      <c r="AD70" s="93"/>
      <c r="AE70" s="93"/>
      <c r="AF70" s="616"/>
      <c r="AG70" s="93"/>
      <c r="AH70" s="93"/>
      <c r="AI70" s="585" t="str">
        <f aca="false" t="array" ref="AI70:AI70">IF(ISNA(INDEX(Source!$U$7:$U$95,MATCH(AJ70,Source!$V$7:$V$95,0))),"-",INDEX(Source!$U$7:$U$95,MATCH(AJ70,Source!$V$7:$V$95,0)))</f>
        <v>-</v>
      </c>
      <c r="AJ70" s="586" t="s">
        <v>686</v>
      </c>
      <c r="AK70" s="182" t="s">
        <v>1110</v>
      </c>
      <c r="AL70" s="93"/>
      <c r="AM70" s="93"/>
      <c r="AN70" s="616"/>
      <c r="AO70" s="93"/>
      <c r="AP70" s="93"/>
      <c r="AQ70" s="93"/>
      <c r="AR70" s="616"/>
      <c r="AS70" s="93"/>
      <c r="AT70" s="93"/>
      <c r="AU70" s="585" t="str">
        <f aca="false" t="array" ref="AU70:AU70">IF(ISNA(INDEX(Source!$U$7:$U$95,MATCH(AV70,Source!$V$7:$V$95,0))),"-",INDEX(Source!$U$7:$U$95,MATCH(AV70,Source!$V$7:$V$95,0)))</f>
        <v>-</v>
      </c>
      <c r="AV70" s="617" t="s">
        <v>1245</v>
      </c>
      <c r="AW70" s="182" t="s">
        <v>1114</v>
      </c>
      <c r="AX70" s="93"/>
      <c r="AY70" s="585" t="str">
        <f aca="false" t="array" ref="AY70:AY70">IF(ISNA(INDEX(Source!$U$7:$U$95,MATCH(AZ70,Source!$V$7:$V$95,0))),"-",INDEX(Source!$U$7:$U$95,MATCH(AZ70,Source!$V$7:$V$95,0)))</f>
        <v>-</v>
      </c>
      <c r="AZ70" s="617" t="s">
        <v>1048</v>
      </c>
      <c r="BA70" s="182" t="s">
        <v>1115</v>
      </c>
      <c r="BB70" s="507"/>
      <c r="BC70" s="507"/>
      <c r="BD70" s="507"/>
    </row>
    <row r="71" customFormat="false" ht="15.75" hidden="false" customHeight="false" outlineLevel="0" collapsed="false">
      <c r="A71" s="589" t="s">
        <v>1381</v>
      </c>
      <c r="B71" s="589"/>
      <c r="C71" s="589"/>
      <c r="D71" s="610" t="s">
        <v>839</v>
      </c>
      <c r="E71" s="591" t="s">
        <v>1117</v>
      </c>
      <c r="F71" s="582" t="n">
        <v>5</v>
      </c>
      <c r="G71" s="582" t="n">
        <v>250</v>
      </c>
      <c r="H71" s="592" t="n">
        <v>1</v>
      </c>
      <c r="I71" s="593"/>
      <c r="J71" s="589" t="s">
        <v>1382</v>
      </c>
      <c r="K71" s="589"/>
      <c r="L71" s="589"/>
      <c r="M71" s="594" t="s">
        <v>839</v>
      </c>
      <c r="N71" s="581" t="s">
        <v>1166</v>
      </c>
      <c r="O71" s="582" t="n">
        <v>30</v>
      </c>
      <c r="P71" s="592" t="n">
        <v>1</v>
      </c>
      <c r="Q71" s="595"/>
      <c r="R71" s="93"/>
      <c r="S71" s="585" t="str">
        <f aca="false" t="array" ref="S71:S71">IF(ISNA(INDEX(Source!$U$7:$U$95,MATCH(T71,Source!$V$7:$V$95,0))),"-",INDEX(Source!$U$7:$U$95,MATCH(T71,Source!$V$7:$V$95,0)))</f>
        <v>-</v>
      </c>
      <c r="T71" s="586" t="s">
        <v>485</v>
      </c>
      <c r="U71" s="182" t="s">
        <v>1106</v>
      </c>
      <c r="V71" s="93"/>
      <c r="W71" s="93"/>
      <c r="X71" s="616"/>
      <c r="Y71" s="93"/>
      <c r="Z71" s="93"/>
      <c r="AA71" s="93"/>
      <c r="AB71" s="616"/>
      <c r="AC71" s="93"/>
      <c r="AD71" s="93"/>
      <c r="AE71" s="93"/>
      <c r="AF71" s="616"/>
      <c r="AG71" s="93"/>
      <c r="AH71" s="93"/>
      <c r="AI71" s="585" t="str">
        <f aca="false" t="array" ref="AI71:AI71">IF(ISNA(INDEX(Source!$U$7:$U$95,MATCH(AJ71,Source!$V$7:$V$95,0))),"-",INDEX(Source!$U$7:$U$95,MATCH(AJ71,Source!$V$7:$V$95,0)))</f>
        <v>-</v>
      </c>
      <c r="AJ71" s="586" t="s">
        <v>1017</v>
      </c>
      <c r="AK71" s="182" t="s">
        <v>1110</v>
      </c>
      <c r="AL71" s="93"/>
      <c r="AM71" s="93"/>
      <c r="AN71" s="616"/>
      <c r="AO71" s="93"/>
      <c r="AP71" s="93"/>
      <c r="AQ71" s="93"/>
      <c r="AR71" s="616"/>
      <c r="AS71" s="93"/>
      <c r="AT71" s="93"/>
      <c r="AU71" s="585" t="str">
        <f aca="false" t="array" ref="AU71:AU71">IF(ISNA(INDEX(Source!$U$7:$U$95,MATCH(AV71,Source!$V$7:$V$95,0))),"-",INDEX(Source!$U$7:$U$95,MATCH(AV71,Source!$V$7:$V$95,0)))</f>
        <v>-</v>
      </c>
      <c r="AV71" s="617" t="s">
        <v>441</v>
      </c>
      <c r="AW71" s="182" t="s">
        <v>1114</v>
      </c>
      <c r="AX71" s="93"/>
      <c r="AY71" s="585" t="str">
        <f aca="false" t="array" ref="AY71:AY71">IF(ISNA(INDEX(Source!$U$7:$U$95,MATCH(AZ71,Source!$V$7:$V$95,0))),"-",INDEX(Source!$U$7:$U$95,MATCH(AZ71,Source!$V$7:$V$95,0)))</f>
        <v>-</v>
      </c>
      <c r="AZ71" s="617" t="s">
        <v>1383</v>
      </c>
      <c r="BA71" s="182" t="s">
        <v>1115</v>
      </c>
      <c r="BB71" s="507"/>
      <c r="BC71" s="507"/>
      <c r="BD71" s="507"/>
    </row>
    <row r="72" customFormat="false" ht="15.75" hidden="false" customHeight="false" outlineLevel="0" collapsed="false">
      <c r="A72" s="589" t="s">
        <v>1384</v>
      </c>
      <c r="B72" s="589"/>
      <c r="C72" s="589"/>
      <c r="D72" s="610" t="s">
        <v>839</v>
      </c>
      <c r="E72" s="591" t="s">
        <v>1117</v>
      </c>
      <c r="F72" s="582" t="n">
        <v>5</v>
      </c>
      <c r="G72" s="582" t="n">
        <v>80</v>
      </c>
      <c r="H72" s="592" t="n">
        <v>1</v>
      </c>
      <c r="I72" s="593"/>
      <c r="J72" s="589" t="s">
        <v>1385</v>
      </c>
      <c r="K72" s="589"/>
      <c r="L72" s="589"/>
      <c r="M72" s="604" t="s">
        <v>803</v>
      </c>
      <c r="N72" s="581" t="s">
        <v>1166</v>
      </c>
      <c r="O72" s="582" t="n">
        <v>15</v>
      </c>
      <c r="P72" s="592" t="n">
        <v>0.55</v>
      </c>
      <c r="Q72" s="595"/>
      <c r="R72" s="93"/>
      <c r="S72" s="585" t="str">
        <f aca="false" t="array" ref="S72:S72">IF(ISNA(INDEX(Source!$U$7:$U$95,MATCH(T72,Source!$V$7:$V$95,0))),"-",INDEX(Source!$U$7:$U$95,MATCH(T72,Source!$V$7:$V$95,0)))</f>
        <v>-</v>
      </c>
      <c r="T72" s="586" t="s">
        <v>392</v>
      </c>
      <c r="U72" s="182" t="s">
        <v>1106</v>
      </c>
      <c r="V72" s="93"/>
      <c r="W72" s="93"/>
      <c r="X72" s="616"/>
      <c r="Y72" s="93"/>
      <c r="Z72" s="93"/>
      <c r="AA72" s="93"/>
      <c r="AB72" s="616"/>
      <c r="AC72" s="93"/>
      <c r="AD72" s="93"/>
      <c r="AE72" s="93"/>
      <c r="AF72" s="616"/>
      <c r="AG72" s="93"/>
      <c r="AH72" s="93"/>
      <c r="AI72" s="585" t="str">
        <f aca="false" t="array" ref="AI72:AI72">IF(ISNA(INDEX(Source!$U$7:$U$95,MATCH(AJ72,Source!$V$7:$V$95,0))),"-",INDEX(Source!$U$7:$U$95,MATCH(AJ72,Source!$V$7:$V$95,0)))</f>
        <v>-</v>
      </c>
      <c r="AJ72" s="586" t="s">
        <v>552</v>
      </c>
      <c r="AK72" s="182" t="s">
        <v>1110</v>
      </c>
      <c r="AL72" s="93"/>
      <c r="AM72" s="93"/>
      <c r="AN72" s="616"/>
      <c r="AO72" s="93"/>
      <c r="AP72" s="93"/>
      <c r="AQ72" s="93"/>
      <c r="AR72" s="616"/>
      <c r="AS72" s="93"/>
      <c r="AT72" s="93"/>
      <c r="AU72" s="585" t="str">
        <f aca="false" t="array" ref="AU72:AU72">IF(ISNA(INDEX(Source!$U$7:$U$95,MATCH(AV72,Source!$V$7:$V$95,0))),"-",INDEX(Source!$U$7:$U$95,MATCH(AV72,Source!$V$7:$V$95,0)))</f>
        <v>-</v>
      </c>
      <c r="AV72" s="617" t="s">
        <v>1386</v>
      </c>
      <c r="AW72" s="182" t="s">
        <v>1114</v>
      </c>
      <c r="AX72" s="93"/>
      <c r="AY72" s="585" t="str">
        <f aca="false" t="array" ref="AY72:AY72">IF(ISNA(INDEX(Source!$U$7:$U$95,MATCH(AZ72,Source!$V$7:$V$95,0))),"-",INDEX(Source!$U$7:$U$95,MATCH(AZ72,Source!$V$7:$V$95,0)))</f>
        <v>-</v>
      </c>
      <c r="AZ72" s="617" t="s">
        <v>463</v>
      </c>
      <c r="BA72" s="182" t="s">
        <v>1115</v>
      </c>
      <c r="BB72" s="507"/>
      <c r="BC72" s="507"/>
      <c r="BD72" s="507"/>
    </row>
    <row r="73" customFormat="false" ht="15.75" hidden="false" customHeight="false" outlineLevel="0" collapsed="false">
      <c r="A73" s="589" t="s">
        <v>1387</v>
      </c>
      <c r="B73" s="589"/>
      <c r="C73" s="589"/>
      <c r="D73" s="610" t="s">
        <v>839</v>
      </c>
      <c r="E73" s="591" t="s">
        <v>1117</v>
      </c>
      <c r="F73" s="582" t="n">
        <v>20</v>
      </c>
      <c r="G73" s="582" t="n">
        <v>70</v>
      </c>
      <c r="H73" s="592" t="n">
        <v>1</v>
      </c>
      <c r="I73" s="593"/>
      <c r="J73" s="589" t="s">
        <v>1388</v>
      </c>
      <c r="K73" s="589"/>
      <c r="L73" s="589"/>
      <c r="M73" s="604" t="s">
        <v>803</v>
      </c>
      <c r="N73" s="581" t="s">
        <v>1328</v>
      </c>
      <c r="O73" s="582" t="n">
        <v>10</v>
      </c>
      <c r="P73" s="583" t="s">
        <v>1120</v>
      </c>
      <c r="Q73" s="595"/>
      <c r="R73" s="93"/>
      <c r="S73" s="585" t="str">
        <f aca="false" t="array" ref="S73:S73">IF(ISNA(INDEX(Source!$U$7:$U$95,MATCH(T73,Source!$V$7:$V$95,0))),"-",INDEX(Source!$U$7:$U$95,MATCH(T73,Source!$V$7:$V$95,0)))</f>
        <v>-</v>
      </c>
      <c r="T73" s="586" t="s">
        <v>601</v>
      </c>
      <c r="U73" s="182" t="s">
        <v>1106</v>
      </c>
      <c r="V73" s="93"/>
      <c r="W73" s="93"/>
      <c r="X73" s="616"/>
      <c r="Y73" s="93"/>
      <c r="Z73" s="93"/>
      <c r="AA73" s="93"/>
      <c r="AB73" s="616"/>
      <c r="AC73" s="93"/>
      <c r="AD73" s="93"/>
      <c r="AE73" s="93"/>
      <c r="AF73" s="616"/>
      <c r="AG73" s="93"/>
      <c r="AH73" s="93"/>
      <c r="AI73" s="585" t="str">
        <f aca="false" t="array" ref="AI73:AI73">IF(ISNA(INDEX(Source!$U$7:$U$95,MATCH(AJ73,Source!$V$7:$V$95,0))),"-",INDEX(Source!$U$7:$U$95,MATCH(AJ73,Source!$V$7:$V$95,0)))</f>
        <v>-</v>
      </c>
      <c r="AJ73" s="586" t="s">
        <v>447</v>
      </c>
      <c r="AK73" s="182" t="s">
        <v>1110</v>
      </c>
      <c r="AL73" s="93"/>
      <c r="AM73" s="93"/>
      <c r="AN73" s="616"/>
      <c r="AO73" s="93"/>
      <c r="AP73" s="93"/>
      <c r="AQ73" s="93"/>
      <c r="AR73" s="616"/>
      <c r="AS73" s="93"/>
      <c r="AT73" s="93"/>
      <c r="AU73" s="585" t="str">
        <f aca="false" t="array" ref="AU73:AU73">IF(ISNA(INDEX(Source!$U$7:$U$95,MATCH(AV73,Source!$V$7:$V$95,0))),"-",INDEX(Source!$U$7:$U$95,MATCH(AV73,Source!$V$7:$V$95,0)))</f>
        <v>-</v>
      </c>
      <c r="AV73" s="617" t="s">
        <v>1389</v>
      </c>
      <c r="AW73" s="182" t="s">
        <v>1114</v>
      </c>
      <c r="AX73" s="93"/>
      <c r="AY73" s="585" t="str">
        <f aca="false" t="array" ref="AY73:AY73">IF(ISNA(INDEX(Source!$U$7:$U$95,MATCH(AZ73,Source!$V$7:$V$95,0))),"-",INDEX(Source!$U$7:$U$95,MATCH(AZ73,Source!$V$7:$V$95,0)))</f>
        <v>-</v>
      </c>
      <c r="AZ73" s="617" t="s">
        <v>492</v>
      </c>
      <c r="BA73" s="182" t="s">
        <v>1115</v>
      </c>
      <c r="BB73" s="507"/>
      <c r="BC73" s="507"/>
      <c r="BD73" s="507"/>
    </row>
    <row r="74" customFormat="false" ht="15.75" hidden="false" customHeight="false" outlineLevel="0" collapsed="false">
      <c r="A74" s="589" t="s">
        <v>1390</v>
      </c>
      <c r="B74" s="589"/>
      <c r="C74" s="589"/>
      <c r="D74" s="610" t="s">
        <v>839</v>
      </c>
      <c r="E74" s="591" t="s">
        <v>1117</v>
      </c>
      <c r="F74" s="582" t="n">
        <v>10</v>
      </c>
      <c r="G74" s="582" t="n">
        <v>40</v>
      </c>
      <c r="H74" s="592" t="n">
        <v>1</v>
      </c>
      <c r="I74" s="593"/>
      <c r="J74" s="589" t="s">
        <v>1391</v>
      </c>
      <c r="K74" s="589"/>
      <c r="L74" s="589"/>
      <c r="M74" s="598" t="s">
        <v>828</v>
      </c>
      <c r="N74" s="581" t="s">
        <v>1328</v>
      </c>
      <c r="O74" s="582" t="n">
        <v>5</v>
      </c>
      <c r="P74" s="583" t="s">
        <v>1120</v>
      </c>
      <c r="Q74" s="595"/>
      <c r="R74" s="93"/>
      <c r="S74" s="585" t="str">
        <f aca="false" t="array" ref="S74:S74">IF(ISNA(INDEX(Source!$U$7:$U$95,MATCH(T74,Source!$V$7:$V$95,0))),"-",INDEX(Source!$U$7:$U$95,MATCH(T74,Source!$V$7:$V$95,0)))</f>
        <v>JVJ</v>
      </c>
      <c r="T74" s="586" t="s">
        <v>105</v>
      </c>
      <c r="U74" s="182" t="s">
        <v>1106</v>
      </c>
      <c r="V74" s="93"/>
      <c r="W74" s="93"/>
      <c r="X74" s="616"/>
      <c r="Y74" s="93"/>
      <c r="Z74" s="93"/>
      <c r="AA74" s="93"/>
      <c r="AB74" s="616"/>
      <c r="AC74" s="93"/>
      <c r="AD74" s="93"/>
      <c r="AE74" s="93"/>
      <c r="AF74" s="616"/>
      <c r="AG74" s="93"/>
      <c r="AH74" s="93"/>
      <c r="AI74" s="585" t="str">
        <f aca="false" t="array" ref="AI74:AI74">IF(ISNA(INDEX(Source!$U$7:$U$95,MATCH(AJ74,Source!$V$7:$V$95,0))),"-",INDEX(Source!$U$7:$U$95,MATCH(AJ74,Source!$V$7:$V$95,0)))</f>
        <v>-</v>
      </c>
      <c r="AJ74" s="586" t="s">
        <v>484</v>
      </c>
      <c r="AK74" s="182" t="s">
        <v>1110</v>
      </c>
      <c r="AL74" s="93"/>
      <c r="AM74" s="93"/>
      <c r="AN74" s="616"/>
      <c r="AO74" s="93"/>
      <c r="AP74" s="93"/>
      <c r="AQ74" s="93"/>
      <c r="AR74" s="616"/>
      <c r="AS74" s="93"/>
      <c r="AT74" s="93"/>
      <c r="AU74" s="585" t="str">
        <f aca="false" t="array" ref="AU74:AU74">IF(ISNA(INDEX(Source!$U$7:$U$95,MATCH(AV74,Source!$V$7:$V$95,0))),"-",INDEX(Source!$U$7:$U$95,MATCH(AV74,Source!$V$7:$V$95,0)))</f>
        <v>-</v>
      </c>
      <c r="AV74" s="617" t="s">
        <v>647</v>
      </c>
      <c r="AW74" s="182" t="s">
        <v>1114</v>
      </c>
      <c r="AX74" s="93"/>
      <c r="AY74" s="585" t="str">
        <f aca="false" t="array" ref="AY74:AY74">IF(ISNA(INDEX(Source!$U$7:$U$95,MATCH(AZ74,Source!$V$7:$V$95,0))),"-",INDEX(Source!$U$7:$U$95,MATCH(AZ74,Source!$V$7:$V$95,0)))</f>
        <v>-</v>
      </c>
      <c r="AZ74" s="617" t="s">
        <v>506</v>
      </c>
      <c r="BA74" s="182" t="s">
        <v>1115</v>
      </c>
      <c r="BB74" s="507"/>
      <c r="BC74" s="507"/>
      <c r="BD74" s="507"/>
    </row>
    <row r="75" customFormat="false" ht="15.75" hidden="false" customHeight="false" outlineLevel="0" collapsed="false">
      <c r="A75" s="589" t="s">
        <v>1392</v>
      </c>
      <c r="B75" s="589"/>
      <c r="C75" s="589"/>
      <c r="D75" s="610" t="s">
        <v>839</v>
      </c>
      <c r="E75" s="591" t="s">
        <v>1117</v>
      </c>
      <c r="F75" s="582" t="n">
        <v>40</v>
      </c>
      <c r="G75" s="582" t="n">
        <v>40</v>
      </c>
      <c r="H75" s="592" t="n">
        <v>1</v>
      </c>
      <c r="I75" s="593"/>
      <c r="J75" s="589" t="s">
        <v>1393</v>
      </c>
      <c r="K75" s="589"/>
      <c r="L75" s="589"/>
      <c r="M75" s="594" t="s">
        <v>839</v>
      </c>
      <c r="N75" s="581" t="s">
        <v>1185</v>
      </c>
      <c r="O75" s="582" t="n">
        <v>40</v>
      </c>
      <c r="P75" s="592" t="n">
        <v>1</v>
      </c>
      <c r="Q75" s="595"/>
      <c r="R75" s="93"/>
      <c r="S75" s="585" t="str">
        <f aca="false" t="array" ref="S75:S75">IF(ISNA(INDEX(Source!$U$7:$U$95,MATCH(T75,Source!$V$7:$V$95,0))),"-",INDEX(Source!$U$7:$U$95,MATCH(T75,Source!$V$7:$V$95,0)))</f>
        <v>-</v>
      </c>
      <c r="T75" s="586" t="s">
        <v>1394</v>
      </c>
      <c r="U75" s="182" t="s">
        <v>1106</v>
      </c>
      <c r="V75" s="93"/>
      <c r="W75" s="93"/>
      <c r="X75" s="616"/>
      <c r="Y75" s="93"/>
      <c r="Z75" s="93"/>
      <c r="AA75" s="93"/>
      <c r="AB75" s="616"/>
      <c r="AC75" s="93"/>
      <c r="AD75" s="93"/>
      <c r="AE75" s="93"/>
      <c r="AF75" s="616"/>
      <c r="AG75" s="93"/>
      <c r="AH75" s="93"/>
      <c r="AI75" s="585" t="str">
        <f aca="false" t="array" ref="AI75:AI75">IF(ISNA(INDEX(Source!$U$7:$U$95,MATCH(AJ75,Source!$V$7:$V$95,0))),"-",INDEX(Source!$U$7:$U$95,MATCH(AJ75,Source!$V$7:$V$95,0)))</f>
        <v>-</v>
      </c>
      <c r="AJ75" s="586" t="s">
        <v>575</v>
      </c>
      <c r="AK75" s="182" t="s">
        <v>1110</v>
      </c>
      <c r="AL75" s="93"/>
      <c r="AM75" s="93"/>
      <c r="AN75" s="616"/>
      <c r="AO75" s="93"/>
      <c r="AP75" s="93"/>
      <c r="AQ75" s="93"/>
      <c r="AR75" s="616"/>
      <c r="AS75" s="93"/>
      <c r="AT75" s="93"/>
      <c r="AU75" s="585" t="str">
        <f aca="false" t="array" ref="AU75:AU75">IF(ISNA(INDEX(Source!$U$7:$U$95,MATCH(AV75,Source!$V$7:$V$95,0))),"-",INDEX(Source!$U$7:$U$95,MATCH(AV75,Source!$V$7:$V$95,0)))</f>
        <v>-</v>
      </c>
      <c r="AV75" s="617" t="s">
        <v>1395</v>
      </c>
      <c r="AW75" s="182" t="s">
        <v>1114</v>
      </c>
      <c r="AX75" s="93"/>
      <c r="AY75" s="585" t="str">
        <f aca="false" t="array" ref="AY75:AY75">IF(ISNA(INDEX(Source!$U$7:$U$95,MATCH(AZ75,Source!$V$7:$V$95,0))),"-",INDEX(Source!$U$7:$U$95,MATCH(AZ75,Source!$V$7:$V$95,0)))</f>
        <v>SGP</v>
      </c>
      <c r="AZ75" s="617" t="s">
        <v>93</v>
      </c>
      <c r="BA75" s="182" t="s">
        <v>1115</v>
      </c>
      <c r="BB75" s="507"/>
      <c r="BC75" s="507"/>
      <c r="BD75" s="507"/>
    </row>
    <row r="76" customFormat="false" ht="15.75" hidden="false" customHeight="false" outlineLevel="0" collapsed="false">
      <c r="A76" s="589" t="s">
        <v>1396</v>
      </c>
      <c r="B76" s="589"/>
      <c r="C76" s="589"/>
      <c r="D76" s="610" t="s">
        <v>839</v>
      </c>
      <c r="E76" s="591" t="s">
        <v>1117</v>
      </c>
      <c r="F76" s="582" t="n">
        <v>10</v>
      </c>
      <c r="G76" s="582" t="n">
        <v>30</v>
      </c>
      <c r="H76" s="592" t="n">
        <v>1</v>
      </c>
      <c r="I76" s="593"/>
      <c r="J76" s="589" t="s">
        <v>1397</v>
      </c>
      <c r="K76" s="589"/>
      <c r="L76" s="589"/>
      <c r="M76" s="594" t="s">
        <v>839</v>
      </c>
      <c r="N76" s="581" t="s">
        <v>1119</v>
      </c>
      <c r="O76" s="582" t="n">
        <v>20</v>
      </c>
      <c r="P76" s="583" t="s">
        <v>1120</v>
      </c>
      <c r="Q76" s="595"/>
      <c r="R76" s="93"/>
      <c r="S76" s="585" t="str">
        <f aca="false" t="array" ref="S76:S76">IF(ISNA(INDEX(Source!$U$7:$U$95,MATCH(T76,Source!$V$7:$V$95,0))),"-",INDEX(Source!$U$7:$U$95,MATCH(T76,Source!$V$7:$V$95,0)))</f>
        <v>-</v>
      </c>
      <c r="T76" s="586" t="s">
        <v>605</v>
      </c>
      <c r="U76" s="182" t="s">
        <v>1106</v>
      </c>
      <c r="V76" s="93"/>
      <c r="W76" s="93"/>
      <c r="X76" s="616"/>
      <c r="Y76" s="93"/>
      <c r="Z76" s="93"/>
      <c r="AA76" s="93"/>
      <c r="AB76" s="616"/>
      <c r="AC76" s="93"/>
      <c r="AD76" s="93"/>
      <c r="AE76" s="93"/>
      <c r="AF76" s="616"/>
      <c r="AG76" s="93"/>
      <c r="AH76" s="93"/>
      <c r="AI76" s="585" t="str">
        <f aca="false" t="array" ref="AI76:AI76">IF(ISNA(INDEX(Source!$U$7:$U$95,MATCH(AJ76,Source!$V$7:$V$95,0))),"-",INDEX(Source!$U$7:$U$95,MATCH(AJ76,Source!$V$7:$V$95,0)))</f>
        <v>KKS</v>
      </c>
      <c r="AJ76" s="586" t="s">
        <v>85</v>
      </c>
      <c r="AK76" s="182" t="s">
        <v>1110</v>
      </c>
      <c r="AL76" s="93"/>
      <c r="AM76" s="93"/>
      <c r="AN76" s="616"/>
      <c r="AO76" s="93"/>
      <c r="AP76" s="93"/>
      <c r="AQ76" s="93"/>
      <c r="AR76" s="616"/>
      <c r="AS76" s="93"/>
      <c r="AT76" s="93"/>
      <c r="AU76" s="585" t="str">
        <f aca="false" t="array" ref="AU76:AU76">IF(ISNA(INDEX(Source!$U$7:$U$95,MATCH(AV76,Source!$V$7:$V$95,0))),"-",INDEX(Source!$U$7:$U$95,MATCH(AV76,Source!$V$7:$V$95,0)))</f>
        <v>-</v>
      </c>
      <c r="AV76" s="617" t="s">
        <v>1398</v>
      </c>
      <c r="AW76" s="182" t="s">
        <v>1114</v>
      </c>
      <c r="AX76" s="93"/>
      <c r="AY76" s="585" t="str">
        <f aca="false" t="array" ref="AY76:AY76">IF(ISNA(INDEX(Source!$U$7:$U$95,MATCH(AZ76,Source!$V$7:$V$95,0))),"-",INDEX(Source!$U$7:$U$95,MATCH(AZ76,Source!$V$7:$V$95,0)))</f>
        <v>-</v>
      </c>
      <c r="AZ76" s="617" t="s">
        <v>1399</v>
      </c>
      <c r="BA76" s="182" t="s">
        <v>1115</v>
      </c>
      <c r="BB76" s="507"/>
      <c r="BC76" s="507"/>
      <c r="BD76" s="507"/>
    </row>
    <row r="77" customFormat="false" ht="15.75" hidden="false" customHeight="false" outlineLevel="0" collapsed="false">
      <c r="A77" s="589" t="s">
        <v>1400</v>
      </c>
      <c r="B77" s="589"/>
      <c r="C77" s="589"/>
      <c r="D77" s="603" t="s">
        <v>795</v>
      </c>
      <c r="E77" s="591" t="s">
        <v>1117</v>
      </c>
      <c r="F77" s="582" t="n">
        <v>20</v>
      </c>
      <c r="G77" s="582" t="n">
        <v>60</v>
      </c>
      <c r="H77" s="583" t="s">
        <v>1120</v>
      </c>
      <c r="I77" s="593"/>
      <c r="J77" s="589" t="s">
        <v>1401</v>
      </c>
      <c r="K77" s="589"/>
      <c r="L77" s="589"/>
      <c r="M77" s="623" t="s">
        <v>802</v>
      </c>
      <c r="N77" s="581" t="s">
        <v>1200</v>
      </c>
      <c r="O77" s="582" t="n">
        <v>5</v>
      </c>
      <c r="P77" s="592" t="n">
        <v>1</v>
      </c>
      <c r="Q77" s="595"/>
      <c r="R77" s="93"/>
      <c r="S77" s="585" t="str">
        <f aca="false" t="array" ref="S77:S77">IF(ISNA(INDEX(Source!$U$7:$U$95,MATCH(T77,Source!$V$7:$V$95,0))),"-",INDEX(Source!$U$7:$U$95,MATCH(T77,Source!$V$7:$V$95,0)))</f>
        <v>-</v>
      </c>
      <c r="T77" s="586" t="s">
        <v>1402</v>
      </c>
      <c r="U77" s="182" t="s">
        <v>1106</v>
      </c>
      <c r="V77" s="93"/>
      <c r="W77" s="93"/>
      <c r="X77" s="616"/>
      <c r="Y77" s="93"/>
      <c r="Z77" s="93"/>
      <c r="AA77" s="93"/>
      <c r="AB77" s="616"/>
      <c r="AC77" s="93"/>
      <c r="AD77" s="93"/>
      <c r="AE77" s="93"/>
      <c r="AF77" s="616"/>
      <c r="AG77" s="93"/>
      <c r="AH77" s="93"/>
      <c r="AI77" s="585" t="str">
        <f aca="false" t="array" ref="AI77:AI77">IF(ISNA(INDEX(Source!$U$7:$U$95,MATCH(AJ77,Source!$V$7:$V$95,0))),"-",INDEX(Source!$U$7:$U$95,MATCH(AJ77,Source!$V$7:$V$95,0)))</f>
        <v>-</v>
      </c>
      <c r="AJ77" s="586" t="s">
        <v>587</v>
      </c>
      <c r="AK77" s="182" t="s">
        <v>1110</v>
      </c>
      <c r="AL77" s="93"/>
      <c r="AM77" s="93"/>
      <c r="AN77" s="616"/>
      <c r="AO77" s="93"/>
      <c r="AP77" s="93"/>
      <c r="AQ77" s="93"/>
      <c r="AR77" s="616"/>
      <c r="AS77" s="93"/>
      <c r="AT77" s="93"/>
      <c r="AU77" s="585" t="str">
        <f aca="false" t="array" ref="AU77:AU77">IF(ISNA(INDEX(Source!$U$7:$U$95,MATCH(AV77,Source!$V$7:$V$95,0))),"-",INDEX(Source!$U$7:$U$95,MATCH(AV77,Source!$V$7:$V$95,0)))</f>
        <v>-</v>
      </c>
      <c r="AV77" s="617" t="s">
        <v>1403</v>
      </c>
      <c r="AW77" s="182" t="s">
        <v>1114</v>
      </c>
      <c r="AX77" s="93"/>
      <c r="AY77" s="585" t="str">
        <f aca="false" t="array" ref="AY77:AY77">IF(ISNA(INDEX(Source!$U$7:$U$95,MATCH(AZ77,Source!$V$7:$V$95,0))),"-",INDEX(Source!$U$7:$U$95,MATCH(AZ77,Source!$V$7:$V$95,0)))</f>
        <v>-</v>
      </c>
      <c r="AZ77" s="617" t="s">
        <v>554</v>
      </c>
      <c r="BA77" s="182" t="s">
        <v>1115</v>
      </c>
      <c r="BB77" s="507"/>
      <c r="BC77" s="507"/>
      <c r="BD77" s="507"/>
    </row>
    <row r="78" customFormat="false" ht="15.75" hidden="false" customHeight="false" outlineLevel="0" collapsed="false">
      <c r="A78" s="589" t="s">
        <v>1404</v>
      </c>
      <c r="B78" s="589"/>
      <c r="C78" s="589"/>
      <c r="D78" s="607" t="s">
        <v>794</v>
      </c>
      <c r="E78" s="591" t="s">
        <v>1117</v>
      </c>
      <c r="F78" s="582" t="n">
        <v>25</v>
      </c>
      <c r="G78" s="582" t="n">
        <v>50</v>
      </c>
      <c r="H78" s="592" t="n">
        <v>1</v>
      </c>
      <c r="I78" s="593"/>
      <c r="J78" s="589" t="s">
        <v>1405</v>
      </c>
      <c r="K78" s="589"/>
      <c r="L78" s="589"/>
      <c r="M78" s="598" t="s">
        <v>828</v>
      </c>
      <c r="N78" s="581" t="s">
        <v>1200</v>
      </c>
      <c r="O78" s="582" t="n">
        <v>10</v>
      </c>
      <c r="P78" s="583" t="s">
        <v>1120</v>
      </c>
      <c r="Q78" s="595"/>
      <c r="R78" s="93"/>
      <c r="S78" s="585" t="str">
        <f aca="false" t="array" ref="S78:S78">IF(ISNA(INDEX(Source!$U$7:$U$95,MATCH(T78,Source!$V$7:$V$95,0))),"-",INDEX(Source!$U$7:$U$95,MATCH(T78,Source!$V$7:$V$95,0)))</f>
        <v>-</v>
      </c>
      <c r="T78" s="586" t="s">
        <v>1406</v>
      </c>
      <c r="U78" s="182" t="s">
        <v>1106</v>
      </c>
      <c r="V78" s="93"/>
      <c r="W78" s="93"/>
      <c r="X78" s="616"/>
      <c r="Y78" s="93"/>
      <c r="Z78" s="93"/>
      <c r="AA78" s="93"/>
      <c r="AB78" s="616"/>
      <c r="AC78" s="93"/>
      <c r="AD78" s="93"/>
      <c r="AE78" s="93"/>
      <c r="AF78" s="616"/>
      <c r="AG78" s="93"/>
      <c r="AH78" s="93"/>
      <c r="AI78" s="585" t="str">
        <f aca="false" t="array" ref="AI78:AI78">IF(ISNA(INDEX(Source!$U$7:$U$95,MATCH(AJ78,Source!$V$7:$V$95,0))),"-",INDEX(Source!$U$7:$U$95,MATCH(AJ78,Source!$V$7:$V$95,0)))</f>
        <v>-</v>
      </c>
      <c r="AJ78" s="586" t="s">
        <v>371</v>
      </c>
      <c r="AK78" s="182" t="s">
        <v>1110</v>
      </c>
      <c r="AL78" s="93"/>
      <c r="AM78" s="93"/>
      <c r="AN78" s="616"/>
      <c r="AO78" s="93"/>
      <c r="AP78" s="93"/>
      <c r="AQ78" s="93"/>
      <c r="AR78" s="616"/>
      <c r="AS78" s="93"/>
      <c r="AT78" s="93"/>
      <c r="AU78" s="585" t="str">
        <f aca="false" t="array" ref="AU78:AU78">IF(ISNA(INDEX(Source!$U$7:$U$95,MATCH(AV78,Source!$V$7:$V$95,0))),"-",INDEX(Source!$U$7:$U$95,MATCH(AV78,Source!$V$7:$V$95,0)))</f>
        <v>-</v>
      </c>
      <c r="AV78" s="617" t="s">
        <v>1292</v>
      </c>
      <c r="AW78" s="182" t="s">
        <v>1114</v>
      </c>
      <c r="AX78" s="93"/>
      <c r="AY78" s="585" t="str">
        <f aca="false" t="array" ref="AY78:AY78">IF(ISNA(INDEX(Source!$U$7:$U$95,MATCH(AZ78,Source!$V$7:$V$95,0))),"-",INDEX(Source!$U$7:$U$95,MATCH(AZ78,Source!$V$7:$V$95,0)))</f>
        <v>-</v>
      </c>
      <c r="AZ78" s="617" t="s">
        <v>399</v>
      </c>
      <c r="BA78" s="182" t="s">
        <v>1115</v>
      </c>
      <c r="BB78" s="507"/>
      <c r="BC78" s="507"/>
      <c r="BD78" s="507"/>
    </row>
    <row r="79" customFormat="false" ht="15.75" hidden="false" customHeight="false" outlineLevel="0" collapsed="false">
      <c r="A79" s="589" t="s">
        <v>1407</v>
      </c>
      <c r="B79" s="589"/>
      <c r="C79" s="589"/>
      <c r="D79" s="618" t="s">
        <v>800</v>
      </c>
      <c r="E79" s="591" t="s">
        <v>1117</v>
      </c>
      <c r="F79" s="582" t="n">
        <v>15</v>
      </c>
      <c r="G79" s="582" t="n">
        <v>65</v>
      </c>
      <c r="H79" s="592" t="n">
        <v>0.95</v>
      </c>
      <c r="I79" s="593"/>
      <c r="J79" s="589" t="s">
        <v>1408</v>
      </c>
      <c r="K79" s="589"/>
      <c r="L79" s="589"/>
      <c r="M79" s="598" t="s">
        <v>828</v>
      </c>
      <c r="N79" s="581" t="s">
        <v>1200</v>
      </c>
      <c r="O79" s="582" t="n">
        <v>10</v>
      </c>
      <c r="P79" s="583" t="s">
        <v>1120</v>
      </c>
      <c r="Q79" s="595"/>
      <c r="R79" s="93"/>
      <c r="S79" s="585" t="str">
        <f aca="false" t="array" ref="S79:S79">IF(ISNA(INDEX(Source!$U$7:$U$95,MATCH(T79,Source!$V$7:$V$95,0))),"-",INDEX(Source!$U$7:$U$95,MATCH(T79,Source!$V$7:$V$95,0)))</f>
        <v>-</v>
      </c>
      <c r="T79" s="586" t="s">
        <v>1409</v>
      </c>
      <c r="U79" s="182" t="s">
        <v>1106</v>
      </c>
      <c r="V79" s="93"/>
      <c r="W79" s="93"/>
      <c r="X79" s="616"/>
      <c r="Y79" s="93"/>
      <c r="Z79" s="93"/>
      <c r="AA79" s="93"/>
      <c r="AB79" s="616"/>
      <c r="AC79" s="93"/>
      <c r="AD79" s="93"/>
      <c r="AE79" s="93"/>
      <c r="AF79" s="616"/>
      <c r="AG79" s="93"/>
      <c r="AH79" s="93"/>
      <c r="AI79" s="585" t="str">
        <f aca="false" t="array" ref="AI79:AI79">IF(ISNA(INDEX(Source!$U$7:$U$95,MATCH(AJ79,Source!$V$7:$V$95,0))),"-",INDEX(Source!$U$7:$U$95,MATCH(AJ79,Source!$V$7:$V$95,0)))</f>
        <v>-</v>
      </c>
      <c r="AJ79" s="586" t="s">
        <v>387</v>
      </c>
      <c r="AK79" s="182" t="s">
        <v>1110</v>
      </c>
      <c r="AL79" s="93"/>
      <c r="AM79" s="93"/>
      <c r="AN79" s="616"/>
      <c r="AO79" s="93"/>
      <c r="AP79" s="93"/>
      <c r="AQ79" s="93"/>
      <c r="AR79" s="616"/>
      <c r="AS79" s="93"/>
      <c r="AT79" s="93"/>
      <c r="AU79" s="585" t="str">
        <f aca="false" t="array" ref="AU79:AU79">IF(ISNA(INDEX(Source!$U$7:$U$95,MATCH(AV79,Source!$V$7:$V$95,0))),"-",INDEX(Source!$U$7:$U$95,MATCH(AV79,Source!$V$7:$V$95,0)))</f>
        <v>-</v>
      </c>
      <c r="AV79" s="617" t="s">
        <v>1410</v>
      </c>
      <c r="AW79" s="182" t="s">
        <v>1114</v>
      </c>
      <c r="AX79" s="93"/>
      <c r="AY79" s="585" t="str">
        <f aca="false" t="array" ref="AY79:AY79">IF(ISNA(INDEX(Source!$U$7:$U$95,MATCH(AZ79,Source!$V$7:$V$95,0))),"-",INDEX(Source!$U$7:$U$95,MATCH(AZ79,Source!$V$7:$V$95,0)))</f>
        <v>-</v>
      </c>
      <c r="AZ79" s="617" t="s">
        <v>737</v>
      </c>
      <c r="BA79" s="182" t="s">
        <v>1115</v>
      </c>
      <c r="BB79" s="507"/>
      <c r="BC79" s="507"/>
      <c r="BD79" s="507"/>
    </row>
    <row r="80" customFormat="false" ht="15.75" hidden="false" customHeight="false" outlineLevel="0" collapsed="false">
      <c r="A80" s="589" t="s">
        <v>1411</v>
      </c>
      <c r="B80" s="589"/>
      <c r="C80" s="589"/>
      <c r="D80" s="618" t="s">
        <v>800</v>
      </c>
      <c r="E80" s="591" t="s">
        <v>1117</v>
      </c>
      <c r="F80" s="582" t="n">
        <v>15</v>
      </c>
      <c r="G80" s="582" t="n">
        <v>80</v>
      </c>
      <c r="H80" s="592" t="n">
        <v>1</v>
      </c>
      <c r="I80" s="593"/>
      <c r="J80" s="589" t="s">
        <v>1412</v>
      </c>
      <c r="K80" s="589"/>
      <c r="L80" s="589"/>
      <c r="M80" s="636" t="s">
        <v>805</v>
      </c>
      <c r="N80" s="581" t="s">
        <v>1328</v>
      </c>
      <c r="O80" s="582" t="n">
        <v>10</v>
      </c>
      <c r="P80" s="583" t="s">
        <v>1120</v>
      </c>
      <c r="Q80" s="595"/>
      <c r="R80" s="93"/>
      <c r="S80" s="585" t="str">
        <f aca="false" t="array" ref="S80:S80">IF(ISNA(INDEX(Source!$U$7:$U$95,MATCH(T80,Source!$V$7:$V$95,0))),"-",INDEX(Source!$U$7:$U$95,MATCH(T80,Source!$V$7:$V$95,0)))</f>
        <v>-</v>
      </c>
      <c r="T80" s="586" t="s">
        <v>1413</v>
      </c>
      <c r="U80" s="182" t="s">
        <v>1106</v>
      </c>
      <c r="V80" s="93"/>
      <c r="W80" s="93"/>
      <c r="X80" s="616"/>
      <c r="Y80" s="93"/>
      <c r="Z80" s="93"/>
      <c r="AA80" s="93"/>
      <c r="AB80" s="616"/>
      <c r="AC80" s="93"/>
      <c r="AD80" s="93"/>
      <c r="AE80" s="93"/>
      <c r="AF80" s="616"/>
      <c r="AG80" s="93"/>
      <c r="AH80" s="93"/>
      <c r="AI80" s="585" t="str">
        <f aca="false" t="array" ref="AI80:AI80">IF(ISNA(INDEX(Source!$U$7:$U$95,MATCH(AJ80,Source!$V$7:$V$95,0))),"-",INDEX(Source!$U$7:$U$95,MATCH(AJ80,Source!$V$7:$V$95,0)))</f>
        <v>-</v>
      </c>
      <c r="AJ80" s="586" t="s">
        <v>394</v>
      </c>
      <c r="AK80" s="182" t="s">
        <v>1110</v>
      </c>
      <c r="AL80" s="93"/>
      <c r="AM80" s="93"/>
      <c r="AN80" s="616"/>
      <c r="AO80" s="93"/>
      <c r="AP80" s="93"/>
      <c r="AQ80" s="93"/>
      <c r="AR80" s="616"/>
      <c r="AS80" s="93"/>
      <c r="AT80" s="93"/>
      <c r="AU80" s="585" t="str">
        <f aca="false" t="array" ref="AU80:AU80">IF(ISNA(INDEX(Source!$U$7:$U$95,MATCH(AV80,Source!$V$7:$V$95,0))),"-",INDEX(Source!$U$7:$U$95,MATCH(AV80,Source!$V$7:$V$95,0)))</f>
        <v>-</v>
      </c>
      <c r="AV80" s="617" t="s">
        <v>1194</v>
      </c>
      <c r="AW80" s="182" t="s">
        <v>1114</v>
      </c>
      <c r="AX80" s="93"/>
      <c r="AY80" s="585" t="str">
        <f aca="false" t="array" ref="AY80:AY80">IF(ISNA(INDEX(Source!$U$7:$U$95,MATCH(AZ80,Source!$V$7:$V$95,0))),"-",INDEX(Source!$U$7:$U$95,MATCH(AZ80,Source!$V$7:$V$95,0)))</f>
        <v>BTB</v>
      </c>
      <c r="AZ80" s="617" t="s">
        <v>69</v>
      </c>
      <c r="BA80" s="182" t="s">
        <v>1115</v>
      </c>
      <c r="BB80" s="507"/>
      <c r="BC80" s="507"/>
      <c r="BD80" s="507"/>
    </row>
    <row r="81" customFormat="false" ht="15.75" hidden="false" customHeight="false" outlineLevel="0" collapsed="false">
      <c r="A81" s="589" t="s">
        <v>1414</v>
      </c>
      <c r="B81" s="589"/>
      <c r="C81" s="589"/>
      <c r="D81" s="618" t="s">
        <v>800</v>
      </c>
      <c r="E81" s="591" t="s">
        <v>1117</v>
      </c>
      <c r="F81" s="582" t="n">
        <v>15</v>
      </c>
      <c r="G81" s="582" t="n">
        <v>75</v>
      </c>
      <c r="H81" s="592" t="n">
        <v>1</v>
      </c>
      <c r="I81" s="593"/>
      <c r="J81" s="589" t="s">
        <v>1415</v>
      </c>
      <c r="K81" s="589"/>
      <c r="L81" s="589"/>
      <c r="M81" s="594" t="s">
        <v>839</v>
      </c>
      <c r="N81" s="581" t="s">
        <v>1200</v>
      </c>
      <c r="O81" s="582" t="n">
        <v>30</v>
      </c>
      <c r="P81" s="583" t="s">
        <v>1120</v>
      </c>
      <c r="Q81" s="595"/>
      <c r="R81" s="93"/>
      <c r="S81" s="585" t="str">
        <f aca="false" t="array" ref="S81:S81">IF(ISNA(INDEX(Source!$U$7:$U$95,MATCH(T81,Source!$V$7:$V$95,0))),"-",INDEX(Source!$U$7:$U$95,MATCH(T81,Source!$V$7:$V$95,0)))</f>
        <v>-</v>
      </c>
      <c r="T81" s="586" t="s">
        <v>1416</v>
      </c>
      <c r="U81" s="182" t="s">
        <v>1106</v>
      </c>
      <c r="V81" s="93"/>
      <c r="W81" s="93"/>
      <c r="X81" s="616"/>
      <c r="Y81" s="93"/>
      <c r="Z81" s="93"/>
      <c r="AA81" s="93"/>
      <c r="AB81" s="616"/>
      <c r="AC81" s="93"/>
      <c r="AD81" s="93"/>
      <c r="AE81" s="93"/>
      <c r="AF81" s="616"/>
      <c r="AG81" s="93"/>
      <c r="AH81" s="93"/>
      <c r="AI81" s="585" t="str">
        <f aca="false" t="array" ref="AI81:AI81">IF(ISNA(INDEX(Source!$U$7:$U$95,MATCH(AJ81,Source!$V$7:$V$95,0))),"-",INDEX(Source!$U$7:$U$95,MATCH(AJ81,Source!$V$7:$V$95,0)))</f>
        <v>-</v>
      </c>
      <c r="AJ81" s="586" t="s">
        <v>398</v>
      </c>
      <c r="AK81" s="182" t="s">
        <v>1110</v>
      </c>
      <c r="AL81" s="93"/>
      <c r="AM81" s="93"/>
      <c r="AN81" s="616"/>
      <c r="AO81" s="93"/>
      <c r="AP81" s="93"/>
      <c r="AQ81" s="93"/>
      <c r="AR81" s="616"/>
      <c r="AS81" s="93"/>
      <c r="AT81" s="93"/>
      <c r="AU81" s="585" t="str">
        <f aca="false" t="array" ref="AU81:AU81">IF(ISNA(INDEX(Source!$U$7:$U$95,MATCH(AV81,Source!$V$7:$V$95,0))),"-",INDEX(Source!$U$7:$U$95,MATCH(AV81,Source!$V$7:$V$95,0)))</f>
        <v>KKS</v>
      </c>
      <c r="AV81" s="617" t="s">
        <v>124</v>
      </c>
      <c r="AW81" s="182" t="s">
        <v>1114</v>
      </c>
      <c r="AX81" s="93"/>
      <c r="AY81" s="585" t="str">
        <f aca="false" t="array" ref="AY81:AY81">IF(ISNA(INDEX(Source!$U$7:$U$95,MATCH(AZ81,Source!$V$7:$V$95,0))),"-",INDEX(Source!$U$7:$U$95,MATCH(AZ81,Source!$V$7:$V$95,0)))</f>
        <v>-</v>
      </c>
      <c r="AZ81" s="617" t="s">
        <v>557</v>
      </c>
      <c r="BA81" s="182" t="s">
        <v>1115</v>
      </c>
      <c r="BB81" s="507"/>
      <c r="BC81" s="507"/>
      <c r="BD81" s="507"/>
    </row>
    <row r="82" customFormat="false" ht="15.75" hidden="false" customHeight="false" outlineLevel="0" collapsed="false">
      <c r="A82" s="589" t="s">
        <v>1417</v>
      </c>
      <c r="B82" s="589"/>
      <c r="C82" s="589"/>
      <c r="D82" s="607" t="s">
        <v>794</v>
      </c>
      <c r="E82" s="591" t="s">
        <v>1117</v>
      </c>
      <c r="F82" s="582" t="n">
        <v>15</v>
      </c>
      <c r="G82" s="582" t="n">
        <v>90</v>
      </c>
      <c r="H82" s="592" t="n">
        <v>1</v>
      </c>
      <c r="I82" s="593"/>
      <c r="J82" s="589" t="s">
        <v>1418</v>
      </c>
      <c r="K82" s="589"/>
      <c r="L82" s="589"/>
      <c r="M82" s="594" t="s">
        <v>839</v>
      </c>
      <c r="N82" s="581" t="s">
        <v>1119</v>
      </c>
      <c r="O82" s="582" t="n">
        <v>30</v>
      </c>
      <c r="P82" s="583" t="s">
        <v>1120</v>
      </c>
      <c r="Q82" s="595"/>
      <c r="R82" s="93"/>
      <c r="S82" s="585" t="str">
        <f aca="false" t="array" ref="S82:S82">IF(ISNA(INDEX(Source!$U$7:$U$95,MATCH(T82,Source!$V$7:$V$95,0))),"-",INDEX(Source!$U$7:$U$95,MATCH(T82,Source!$V$7:$V$95,0)))</f>
        <v>-</v>
      </c>
      <c r="T82" s="586" t="s">
        <v>342</v>
      </c>
      <c r="U82" s="182" t="s">
        <v>1106</v>
      </c>
      <c r="V82" s="93"/>
      <c r="W82" s="93"/>
      <c r="X82" s="616"/>
      <c r="Y82" s="93"/>
      <c r="Z82" s="93"/>
      <c r="AA82" s="93"/>
      <c r="AB82" s="616"/>
      <c r="AC82" s="93"/>
      <c r="AD82" s="93"/>
      <c r="AE82" s="93"/>
      <c r="AF82" s="616"/>
      <c r="AG82" s="93"/>
      <c r="AH82" s="93"/>
      <c r="AI82" s="585" t="str">
        <f aca="false" t="array" ref="AI82:AI82">IF(ISNA(INDEX(Source!$U$7:$U$95,MATCH(AJ82,Source!$V$7:$V$95,0))),"-",INDEX(Source!$U$7:$U$95,MATCH(AJ82,Source!$V$7:$V$95,0)))</f>
        <v>-</v>
      </c>
      <c r="AJ82" s="586" t="s">
        <v>1419</v>
      </c>
      <c r="AK82" s="182" t="s">
        <v>1110</v>
      </c>
      <c r="AL82" s="93"/>
      <c r="AM82" s="93"/>
      <c r="AN82" s="616"/>
      <c r="AO82" s="93"/>
      <c r="AP82" s="93"/>
      <c r="AQ82" s="93"/>
      <c r="AR82" s="616"/>
      <c r="AS82" s="93"/>
      <c r="AT82" s="93"/>
      <c r="AU82" s="585" t="str">
        <f aca="false" t="array" ref="AU82:AU82">IF(ISNA(INDEX(Source!$U$7:$U$95,MATCH(AV82,Source!$V$7:$V$95,0))),"-",INDEX(Source!$U$7:$U$95,MATCH(AV82,Source!$V$7:$V$95,0)))</f>
        <v>-</v>
      </c>
      <c r="AV82" s="617" t="s">
        <v>77</v>
      </c>
      <c r="AW82" s="182" t="s">
        <v>1114</v>
      </c>
      <c r="AX82" s="93"/>
      <c r="AY82" s="585" t="str">
        <f aca="false" t="array" ref="AY82:AY82">IF(ISNA(INDEX(Source!$U$7:$U$95,MATCH(AZ82,Source!$V$7:$V$95,0))),"-",INDEX(Source!$U$7:$U$95,MATCH(AZ82,Source!$V$7:$V$95,0)))</f>
        <v>-</v>
      </c>
      <c r="AZ82" s="617" t="s">
        <v>1420</v>
      </c>
      <c r="BA82" s="182" t="s">
        <v>1115</v>
      </c>
      <c r="BB82" s="507"/>
      <c r="BC82" s="507"/>
      <c r="BD82" s="507"/>
    </row>
    <row r="83" customFormat="false" ht="15.75" hidden="false" customHeight="false" outlineLevel="0" collapsed="false">
      <c r="A83" s="589" t="s">
        <v>1421</v>
      </c>
      <c r="B83" s="589"/>
      <c r="C83" s="589"/>
      <c r="D83" s="620" t="s">
        <v>907</v>
      </c>
      <c r="E83" s="591" t="s">
        <v>1117</v>
      </c>
      <c r="F83" s="582" t="n">
        <v>5</v>
      </c>
      <c r="G83" s="582" t="s">
        <v>1422</v>
      </c>
      <c r="H83" s="592" t="n">
        <v>0.3</v>
      </c>
      <c r="I83" s="593"/>
      <c r="J83" s="589" t="s">
        <v>1423</v>
      </c>
      <c r="K83" s="589"/>
      <c r="L83" s="589"/>
      <c r="M83" s="636" t="s">
        <v>805</v>
      </c>
      <c r="N83" s="581" t="s">
        <v>1170</v>
      </c>
      <c r="O83" s="582" t="n">
        <v>30</v>
      </c>
      <c r="P83" s="583" t="s">
        <v>1120</v>
      </c>
      <c r="Q83" s="595"/>
      <c r="R83" s="93"/>
      <c r="S83" s="585" t="str">
        <f aca="false" t="array" ref="S83:S83">IF(ISNA(INDEX(Source!$U$7:$U$95,MATCH(T83,Source!$V$7:$V$95,0))),"-",INDEX(Source!$U$7:$U$95,MATCH(T83,Source!$V$7:$V$95,0)))</f>
        <v>-</v>
      </c>
      <c r="T83" s="586" t="s">
        <v>1424</v>
      </c>
      <c r="U83" s="182" t="s">
        <v>1106</v>
      </c>
      <c r="V83" s="93"/>
      <c r="W83" s="93"/>
      <c r="X83" s="616"/>
      <c r="Y83" s="93"/>
      <c r="Z83" s="93"/>
      <c r="AA83" s="93"/>
      <c r="AB83" s="616"/>
      <c r="AC83" s="93"/>
      <c r="AD83" s="93"/>
      <c r="AE83" s="93"/>
      <c r="AF83" s="616"/>
      <c r="AG83" s="93"/>
      <c r="AH83" s="93"/>
      <c r="AI83" s="585" t="str">
        <f aca="false" t="array" ref="AI83:AI83">IF(ISNA(INDEX(Source!$U$7:$U$95,MATCH(AJ83,Source!$V$7:$V$95,0))),"-",INDEX(Source!$U$7:$U$95,MATCH(AJ83,Source!$V$7:$V$95,0)))</f>
        <v>KKS</v>
      </c>
      <c r="AJ83" s="586" t="s">
        <v>103</v>
      </c>
      <c r="AK83" s="182" t="s">
        <v>1110</v>
      </c>
      <c r="AL83" s="93"/>
      <c r="AM83" s="93"/>
      <c r="AN83" s="616"/>
      <c r="AO83" s="93"/>
      <c r="AP83" s="93"/>
      <c r="AQ83" s="93"/>
      <c r="AR83" s="616"/>
      <c r="AS83" s="93"/>
      <c r="AT83" s="93"/>
      <c r="AU83" s="585" t="str">
        <f aca="false" t="array" ref="AU83:AU83">IF(ISNA(INDEX(Source!$U$7:$U$95,MATCH(AV83,Source!$V$7:$V$95,0))),"-",INDEX(Source!$U$7:$U$95,MATCH(AV83,Source!$V$7:$V$95,0)))</f>
        <v>-</v>
      </c>
      <c r="AV83" s="617" t="s">
        <v>1425</v>
      </c>
      <c r="AW83" s="182" t="s">
        <v>1114</v>
      </c>
      <c r="AX83" s="93"/>
      <c r="AY83" s="585" t="str">
        <f aca="false" t="array" ref="AY83:AY83">IF(ISNA(INDEX(Source!$U$7:$U$95,MATCH(AZ83,Source!$V$7:$V$95,0))),"-",INDEX(Source!$U$7:$U$95,MATCH(AZ83,Source!$V$7:$V$95,0)))</f>
        <v>-</v>
      </c>
      <c r="AZ83" s="617" t="s">
        <v>1156</v>
      </c>
      <c r="BA83" s="182" t="s">
        <v>1115</v>
      </c>
      <c r="BB83" s="507"/>
      <c r="BC83" s="507"/>
      <c r="BD83" s="507"/>
    </row>
    <row r="84" customFormat="false" ht="15.75" hidden="false" customHeight="false" outlineLevel="0" collapsed="false">
      <c r="A84" s="589" t="s">
        <v>1426</v>
      </c>
      <c r="B84" s="589"/>
      <c r="C84" s="589"/>
      <c r="D84" s="610" t="s">
        <v>839</v>
      </c>
      <c r="E84" s="591" t="s">
        <v>1117</v>
      </c>
      <c r="F84" s="582" t="n">
        <v>15</v>
      </c>
      <c r="G84" s="582" t="s">
        <v>1183</v>
      </c>
      <c r="H84" s="592" t="n">
        <v>1</v>
      </c>
      <c r="I84" s="593"/>
      <c r="J84" s="589" t="s">
        <v>1114</v>
      </c>
      <c r="K84" s="589"/>
      <c r="L84" s="589"/>
      <c r="M84" s="594" t="s">
        <v>839</v>
      </c>
      <c r="N84" s="581" t="s">
        <v>1149</v>
      </c>
      <c r="O84" s="582" t="n">
        <v>5</v>
      </c>
      <c r="P84" s="583" t="s">
        <v>1120</v>
      </c>
      <c r="Q84" s="595"/>
      <c r="R84" s="93"/>
      <c r="S84" s="585" t="str">
        <f aca="false" t="array" ref="S84:S84">IF(ISNA(INDEX(Source!$U$7:$U$95,MATCH(T84,Source!$V$7:$V$95,0))),"-",INDEX(Source!$U$7:$U$95,MATCH(T84,Source!$V$7:$V$95,0)))</f>
        <v>-</v>
      </c>
      <c r="T84" s="586" t="s">
        <v>349</v>
      </c>
      <c r="U84" s="182" t="s">
        <v>1106</v>
      </c>
      <c r="V84" s="93"/>
      <c r="W84" s="93"/>
      <c r="X84" s="616"/>
      <c r="Y84" s="93"/>
      <c r="Z84" s="93"/>
      <c r="AA84" s="93"/>
      <c r="AB84" s="616"/>
      <c r="AC84" s="93"/>
      <c r="AD84" s="93"/>
      <c r="AE84" s="93"/>
      <c r="AF84" s="616"/>
      <c r="AG84" s="93"/>
      <c r="AH84" s="93"/>
      <c r="AI84" s="585" t="str">
        <f aca="false" t="array" ref="AI84:AI84">IF(ISNA(INDEX(Source!$U$7:$U$95,MATCH(AJ84,Source!$V$7:$V$95,0))),"-",INDEX(Source!$U$7:$U$95,MATCH(AJ84,Source!$V$7:$V$95,0)))</f>
        <v>-</v>
      </c>
      <c r="AJ84" s="586" t="s">
        <v>1427</v>
      </c>
      <c r="AK84" s="182" t="s">
        <v>1110</v>
      </c>
      <c r="AL84" s="93"/>
      <c r="AM84" s="93"/>
      <c r="AN84" s="616"/>
      <c r="AO84" s="93"/>
      <c r="AP84" s="93"/>
      <c r="AQ84" s="93"/>
      <c r="AR84" s="616"/>
      <c r="AS84" s="93"/>
      <c r="AT84" s="93"/>
      <c r="AU84" s="585" t="str">
        <f aca="false" t="array" ref="AU84:AU84">IF(ISNA(INDEX(Source!$U$7:$U$95,MATCH(AV84,Source!$V$7:$V$95,0))),"-",INDEX(Source!$U$7:$U$95,MATCH(AV84,Source!$V$7:$V$95,0)))</f>
        <v>-</v>
      </c>
      <c r="AV84" s="617" t="s">
        <v>659</v>
      </c>
      <c r="AW84" s="182" t="s">
        <v>1114</v>
      </c>
      <c r="AX84" s="93"/>
      <c r="AY84" s="585" t="str">
        <f aca="false" t="array" ref="AY84:AY84">IF(ISNA(INDEX(Source!$U$7:$U$95,MATCH(AZ84,Source!$V$7:$V$95,0))),"-",INDEX(Source!$U$7:$U$95,MATCH(AZ84,Source!$V$7:$V$95,0)))</f>
        <v>-</v>
      </c>
      <c r="AZ84" s="617" t="s">
        <v>573</v>
      </c>
      <c r="BA84" s="182" t="s">
        <v>1115</v>
      </c>
      <c r="BB84" s="507"/>
      <c r="BC84" s="507"/>
      <c r="BD84" s="507"/>
    </row>
    <row r="85" customFormat="false" ht="15.75" hidden="false" customHeight="false" outlineLevel="0" collapsed="false">
      <c r="A85" s="589" t="s">
        <v>1428</v>
      </c>
      <c r="B85" s="589"/>
      <c r="C85" s="589"/>
      <c r="D85" s="618" t="s">
        <v>800</v>
      </c>
      <c r="E85" s="591" t="s">
        <v>1117</v>
      </c>
      <c r="F85" s="582" t="n">
        <v>20</v>
      </c>
      <c r="G85" s="582" t="n">
        <v>50</v>
      </c>
      <c r="H85" s="592" t="n">
        <v>1</v>
      </c>
      <c r="I85" s="593"/>
      <c r="J85" s="589" t="s">
        <v>1429</v>
      </c>
      <c r="K85" s="589"/>
      <c r="L85" s="589"/>
      <c r="M85" s="598" t="s">
        <v>828</v>
      </c>
      <c r="N85" s="581" t="s">
        <v>1200</v>
      </c>
      <c r="O85" s="582" t="n">
        <v>15</v>
      </c>
      <c r="P85" s="592" t="n">
        <v>1</v>
      </c>
      <c r="Q85" s="595"/>
      <c r="R85" s="93"/>
      <c r="S85" s="585" t="str">
        <f aca="false" t="array" ref="S85:S85">IF(ISNA(INDEX(Source!$U$7:$U$95,MATCH(T85,Source!$V$7:$V$95,0))),"-",INDEX(Source!$U$7:$U$95,MATCH(T85,Source!$V$7:$V$95,0)))</f>
        <v>FTT</v>
      </c>
      <c r="T85" s="586" t="s">
        <v>110</v>
      </c>
      <c r="U85" s="182" t="s">
        <v>1106</v>
      </c>
      <c r="V85" s="93"/>
      <c r="W85" s="93"/>
      <c r="X85" s="616"/>
      <c r="Y85" s="93"/>
      <c r="Z85" s="93"/>
      <c r="AA85" s="93"/>
      <c r="AB85" s="616"/>
      <c r="AC85" s="93"/>
      <c r="AD85" s="93"/>
      <c r="AE85" s="93"/>
      <c r="AF85" s="616"/>
      <c r="AG85" s="93"/>
      <c r="AH85" s="93"/>
      <c r="AI85" s="585" t="str">
        <f aca="false" t="array" ref="AI85:AI85">IF(ISNA(INDEX(Source!$U$7:$U$95,MATCH(AJ85,Source!$V$7:$V$95,0))),"-",INDEX(Source!$U$7:$U$95,MATCH(AJ85,Source!$V$7:$V$95,0)))</f>
        <v>-</v>
      </c>
      <c r="AJ85" s="586" t="s">
        <v>760</v>
      </c>
      <c r="AK85" s="182" t="s">
        <v>1110</v>
      </c>
      <c r="AL85" s="93"/>
      <c r="AM85" s="93"/>
      <c r="AN85" s="616"/>
      <c r="AO85" s="93"/>
      <c r="AP85" s="93"/>
      <c r="AQ85" s="93"/>
      <c r="AR85" s="616"/>
      <c r="AS85" s="93"/>
      <c r="AT85" s="93"/>
      <c r="AU85" s="585" t="str">
        <f aca="false" t="array" ref="AU85:AU85">IF(ISNA(INDEX(Source!$U$7:$U$95,MATCH(AV85,Source!$V$7:$V$95,0))),"-",INDEX(Source!$U$7:$U$95,MATCH(AV85,Source!$V$7:$V$95,0)))</f>
        <v>JVJ</v>
      </c>
      <c r="AV85" s="617" t="s">
        <v>20</v>
      </c>
      <c r="AW85" s="182" t="s">
        <v>1114</v>
      </c>
      <c r="AX85" s="93"/>
      <c r="AY85" s="585" t="str">
        <f aca="false" t="array" ref="AY85:AY85">IF(ISNA(INDEX(Source!$U$7:$U$95,MATCH(AZ85,Source!$V$7:$V$95,0))),"-",INDEX(Source!$U$7:$U$95,MATCH(AZ85,Source!$V$7:$V$95,0)))</f>
        <v>-</v>
      </c>
      <c r="AZ85" s="617" t="s">
        <v>1250</v>
      </c>
      <c r="BA85" s="182" t="s">
        <v>1115</v>
      </c>
      <c r="BB85" s="507"/>
      <c r="BC85" s="507"/>
      <c r="BD85" s="507"/>
    </row>
    <row r="86" customFormat="false" ht="15.75" hidden="false" customHeight="false" outlineLevel="0" collapsed="false">
      <c r="A86" s="589" t="s">
        <v>1430</v>
      </c>
      <c r="B86" s="589"/>
      <c r="C86" s="589"/>
      <c r="D86" s="618" t="s">
        <v>800</v>
      </c>
      <c r="E86" s="591" t="s">
        <v>1117</v>
      </c>
      <c r="F86" s="582" t="n">
        <v>25</v>
      </c>
      <c r="G86" s="582" t="n">
        <v>60</v>
      </c>
      <c r="H86" s="592" t="n">
        <v>1</v>
      </c>
      <c r="I86" s="593"/>
      <c r="J86" s="589" t="s">
        <v>1431</v>
      </c>
      <c r="K86" s="589"/>
      <c r="L86" s="589"/>
      <c r="M86" s="626" t="s">
        <v>794</v>
      </c>
      <c r="N86" s="581" t="s">
        <v>1149</v>
      </c>
      <c r="O86" s="582" t="n">
        <v>10</v>
      </c>
      <c r="P86" s="583" t="s">
        <v>1120</v>
      </c>
      <c r="Q86" s="595"/>
      <c r="R86" s="93"/>
      <c r="S86" s="585" t="str">
        <f aca="false" t="array" ref="S86:S86">IF(ISNA(INDEX(Source!$U$7:$U$95,MATCH(T86,Source!$V$7:$V$95,0))),"-",INDEX(Source!$U$7:$U$95,MATCH(T86,Source!$V$7:$V$95,0)))</f>
        <v>-</v>
      </c>
      <c r="T86" s="586" t="s">
        <v>1298</v>
      </c>
      <c r="U86" s="182" t="s">
        <v>1106</v>
      </c>
      <c r="V86" s="93"/>
      <c r="W86" s="93"/>
      <c r="X86" s="616"/>
      <c r="Y86" s="93"/>
      <c r="Z86" s="93"/>
      <c r="AA86" s="93"/>
      <c r="AB86" s="616"/>
      <c r="AC86" s="93"/>
      <c r="AD86" s="93"/>
      <c r="AE86" s="93"/>
      <c r="AF86" s="616"/>
      <c r="AG86" s="93"/>
      <c r="AH86" s="93"/>
      <c r="AI86" s="585" t="str">
        <f aca="false" t="array" ref="AI86:AI86">IF(ISNA(INDEX(Source!$U$7:$U$95,MATCH(AJ86,Source!$V$7:$V$95,0))),"-",INDEX(Source!$U$7:$U$95,MATCH(AJ86,Source!$V$7:$V$95,0)))</f>
        <v>-</v>
      </c>
      <c r="AJ86" s="586" t="s">
        <v>1045</v>
      </c>
      <c r="AK86" s="182" t="s">
        <v>1110</v>
      </c>
      <c r="AL86" s="93"/>
      <c r="AM86" s="93"/>
      <c r="AN86" s="616"/>
      <c r="AO86" s="93"/>
      <c r="AP86" s="93"/>
      <c r="AQ86" s="93"/>
      <c r="AR86" s="616"/>
      <c r="AS86" s="93"/>
      <c r="AT86" s="93"/>
      <c r="AU86" s="585" t="str">
        <f aca="false" t="array" ref="AU86:AU86">IF(ISNA(INDEX(Source!$U$7:$U$95,MATCH(AV86,Source!$V$7:$V$95,0))),"-",INDEX(Source!$U$7:$U$95,MATCH(AV86,Source!$V$7:$V$95,0)))</f>
        <v>-</v>
      </c>
      <c r="AV86" s="617" t="s">
        <v>670</v>
      </c>
      <c r="AW86" s="182" t="s">
        <v>1114</v>
      </c>
      <c r="AX86" s="93"/>
      <c r="AY86" s="585" t="str">
        <f aca="false" t="array" ref="AY86:AY86">IF(ISNA(INDEX(Source!$U$7:$U$95,MATCH(AZ86,Source!$V$7:$V$95,0))),"-",INDEX(Source!$U$7:$U$95,MATCH(AZ86,Source!$V$7:$V$95,0)))</f>
        <v>-</v>
      </c>
      <c r="AZ86" s="617" t="s">
        <v>1389</v>
      </c>
      <c r="BA86" s="182" t="s">
        <v>1115</v>
      </c>
      <c r="BB86" s="507"/>
      <c r="BC86" s="507"/>
      <c r="BD86" s="507"/>
    </row>
    <row r="87" customFormat="false" ht="15.75" hidden="false" customHeight="false" outlineLevel="0" collapsed="false">
      <c r="A87" s="589" t="s">
        <v>1432</v>
      </c>
      <c r="B87" s="589"/>
      <c r="C87" s="589"/>
      <c r="D87" s="618" t="s">
        <v>800</v>
      </c>
      <c r="E87" s="591" t="s">
        <v>1117</v>
      </c>
      <c r="F87" s="582" t="n">
        <v>15</v>
      </c>
      <c r="G87" s="582" t="n">
        <v>120</v>
      </c>
      <c r="H87" s="592" t="n">
        <v>1</v>
      </c>
      <c r="I87" s="593"/>
      <c r="J87" s="589" t="s">
        <v>1433</v>
      </c>
      <c r="K87" s="589"/>
      <c r="L87" s="589"/>
      <c r="M87" s="598" t="s">
        <v>828</v>
      </c>
      <c r="N87" s="581" t="s">
        <v>1149</v>
      </c>
      <c r="O87" s="582" t="n">
        <v>10</v>
      </c>
      <c r="P87" s="583" t="s">
        <v>1120</v>
      </c>
      <c r="Q87" s="595"/>
      <c r="R87" s="93"/>
      <c r="S87" s="585" t="str">
        <f aca="false" t="array" ref="S87:S87">IF(ISNA(INDEX(Source!$U$7:$U$95,MATCH(T87,Source!$V$7:$V$95,0))),"-",INDEX(Source!$U$7:$U$95,MATCH(T87,Source!$V$7:$V$95,0)))</f>
        <v>-</v>
      </c>
      <c r="T87" s="586" t="s">
        <v>356</v>
      </c>
      <c r="U87" s="182" t="s">
        <v>1106</v>
      </c>
      <c r="V87" s="93"/>
      <c r="W87" s="93"/>
      <c r="X87" s="616"/>
      <c r="Y87" s="93"/>
      <c r="Z87" s="93"/>
      <c r="AA87" s="93"/>
      <c r="AB87" s="616"/>
      <c r="AC87" s="93"/>
      <c r="AD87" s="93"/>
      <c r="AE87" s="93"/>
      <c r="AF87" s="616"/>
      <c r="AG87" s="93"/>
      <c r="AH87" s="93"/>
      <c r="AI87" s="585" t="str">
        <f aca="false" t="array" ref="AI87:AI87">IF(ISNA(INDEX(Source!$U$7:$U$95,MATCH(AJ87,Source!$V$7:$V$95,0))),"-",INDEX(Source!$U$7:$U$95,MATCH(AJ87,Source!$V$7:$V$95,0)))</f>
        <v>-</v>
      </c>
      <c r="AJ87" s="586" t="s">
        <v>1046</v>
      </c>
      <c r="AK87" s="182" t="s">
        <v>1110</v>
      </c>
      <c r="AL87" s="93"/>
      <c r="AM87" s="93"/>
      <c r="AN87" s="616"/>
      <c r="AO87" s="93"/>
      <c r="AP87" s="93"/>
      <c r="AQ87" s="93"/>
      <c r="AR87" s="616"/>
      <c r="AS87" s="93"/>
      <c r="AT87" s="93"/>
      <c r="AU87" s="585" t="str">
        <f aca="false" t="array" ref="AU87:AU87">IF(ISNA(INDEX(Source!$U$7:$U$95,MATCH(AV87,Source!$V$7:$V$95,0))),"-",INDEX(Source!$U$7:$U$95,MATCH(AV87,Source!$V$7:$V$95,0)))</f>
        <v>-</v>
      </c>
      <c r="AV87" s="617" t="s">
        <v>610</v>
      </c>
      <c r="AW87" s="182" t="s">
        <v>1114</v>
      </c>
      <c r="AX87" s="93"/>
      <c r="AY87" s="585" t="str">
        <f aca="false" t="array" ref="AY87:AY87">IF(ISNA(INDEX(Source!$U$7:$U$95,MATCH(AZ87,Source!$V$7:$V$95,0))),"-",INDEX(Source!$U$7:$U$95,MATCH(AZ87,Source!$V$7:$V$95,0)))</f>
        <v>-</v>
      </c>
      <c r="AZ87" s="617" t="s">
        <v>599</v>
      </c>
      <c r="BA87" s="182" t="s">
        <v>1115</v>
      </c>
      <c r="BB87" s="507"/>
      <c r="BC87" s="507"/>
      <c r="BD87" s="507"/>
    </row>
    <row r="88" customFormat="false" ht="15.75" hidden="false" customHeight="false" outlineLevel="0" collapsed="false">
      <c r="A88" s="589" t="s">
        <v>1434</v>
      </c>
      <c r="B88" s="589"/>
      <c r="C88" s="589"/>
      <c r="D88" s="603" t="s">
        <v>795</v>
      </c>
      <c r="E88" s="591" t="s">
        <v>1117</v>
      </c>
      <c r="F88" s="582" t="n">
        <v>10</v>
      </c>
      <c r="G88" s="582" t="s">
        <v>1183</v>
      </c>
      <c r="H88" s="592" t="n">
        <v>1</v>
      </c>
      <c r="I88" s="593"/>
      <c r="J88" s="589" t="s">
        <v>1435</v>
      </c>
      <c r="K88" s="589"/>
      <c r="L88" s="589"/>
      <c r="M88" s="598" t="s">
        <v>828</v>
      </c>
      <c r="N88" s="581" t="s">
        <v>1149</v>
      </c>
      <c r="O88" s="582" t="n">
        <v>10</v>
      </c>
      <c r="P88" s="583" t="s">
        <v>1120</v>
      </c>
      <c r="Q88" s="595"/>
      <c r="R88" s="93"/>
      <c r="S88" s="585" t="str">
        <f aca="false" t="array" ref="S88:S88">IF(ISNA(INDEX(Source!$U$7:$U$95,MATCH(T88,Source!$V$7:$V$95,0))),"-",INDEX(Source!$U$7:$U$95,MATCH(T88,Source!$V$7:$V$95,0)))</f>
        <v>-</v>
      </c>
      <c r="T88" s="586" t="s">
        <v>1217</v>
      </c>
      <c r="U88" s="182" t="s">
        <v>1106</v>
      </c>
      <c r="V88" s="93"/>
      <c r="W88" s="93"/>
      <c r="X88" s="616"/>
      <c r="Y88" s="93"/>
      <c r="Z88" s="93"/>
      <c r="AA88" s="93"/>
      <c r="AB88" s="616"/>
      <c r="AC88" s="93"/>
      <c r="AD88" s="93"/>
      <c r="AE88" s="93"/>
      <c r="AF88" s="616"/>
      <c r="AG88" s="93"/>
      <c r="AH88" s="93"/>
      <c r="AI88" s="585" t="str">
        <f aca="false" t="array" ref="AI88:AI88">IF(ISNA(INDEX(Source!$U$7:$U$95,MATCH(AJ88,Source!$V$7:$V$95,0))),"-",INDEX(Source!$U$7:$U$95,MATCH(AJ88,Source!$V$7:$V$95,0)))</f>
        <v>-</v>
      </c>
      <c r="AJ88" s="586" t="s">
        <v>1047</v>
      </c>
      <c r="AK88" s="182" t="s">
        <v>1110</v>
      </c>
      <c r="AL88" s="93"/>
      <c r="AM88" s="93"/>
      <c r="AN88" s="616"/>
      <c r="AO88" s="93"/>
      <c r="AP88" s="93"/>
      <c r="AQ88" s="93"/>
      <c r="AR88" s="616"/>
      <c r="AS88" s="93"/>
      <c r="AT88" s="93"/>
      <c r="AU88" s="585" t="str">
        <f aca="false" t="array" ref="AU88:AU88">IF(ISNA(INDEX(Source!$U$7:$U$95,MATCH(AV88,Source!$V$7:$V$95,0))),"-",INDEX(Source!$U$7:$U$95,MATCH(AV88,Source!$V$7:$V$95,0)))</f>
        <v>-</v>
      </c>
      <c r="AV88" s="617" t="s">
        <v>1436</v>
      </c>
      <c r="AW88" s="182" t="s">
        <v>1114</v>
      </c>
      <c r="AX88" s="93"/>
      <c r="AY88" s="585" t="str">
        <f aca="false" t="array" ref="AY88:AY88">IF(ISNA(INDEX(Source!$U$7:$U$95,MATCH(AZ88,Source!$V$7:$V$95,0))),"-",INDEX(Source!$U$7:$U$95,MATCH(AZ88,Source!$V$7:$V$95,0)))</f>
        <v>-</v>
      </c>
      <c r="AZ88" s="617" t="s">
        <v>1437</v>
      </c>
      <c r="BA88" s="182" t="s">
        <v>1115</v>
      </c>
      <c r="BB88" s="507"/>
      <c r="BC88" s="507"/>
      <c r="BD88" s="507"/>
    </row>
    <row r="89" customFormat="false" ht="15.75" hidden="false" customHeight="false" outlineLevel="0" collapsed="false">
      <c r="A89" s="589" t="s">
        <v>1438</v>
      </c>
      <c r="B89" s="589"/>
      <c r="C89" s="589"/>
      <c r="D89" s="590" t="s">
        <v>801</v>
      </c>
      <c r="E89" s="591" t="s">
        <v>1117</v>
      </c>
      <c r="F89" s="582" t="n">
        <v>15</v>
      </c>
      <c r="G89" s="582" t="n">
        <v>90</v>
      </c>
      <c r="H89" s="592" t="n">
        <v>0.95</v>
      </c>
      <c r="I89" s="593"/>
      <c r="J89" s="589" t="s">
        <v>1439</v>
      </c>
      <c r="K89" s="589"/>
      <c r="L89" s="589"/>
      <c r="M89" s="598" t="s">
        <v>828</v>
      </c>
      <c r="N89" s="581" t="s">
        <v>1200</v>
      </c>
      <c r="O89" s="582" t="n">
        <v>10</v>
      </c>
      <c r="P89" s="583" t="s">
        <v>1120</v>
      </c>
      <c r="Q89" s="595"/>
      <c r="R89" s="93"/>
      <c r="S89" s="585" t="str">
        <f aca="false" t="array" ref="S89:S89">IF(ISNA(INDEX(Source!$U$7:$U$95,MATCH(T89,Source!$V$7:$V$95,0))),"-",INDEX(Source!$U$7:$U$95,MATCH(T89,Source!$V$7:$V$95,0)))</f>
        <v>-</v>
      </c>
      <c r="T89" s="586" t="s">
        <v>533</v>
      </c>
      <c r="U89" s="182" t="s">
        <v>1106</v>
      </c>
      <c r="V89" s="93"/>
      <c r="W89" s="93"/>
      <c r="X89" s="616"/>
      <c r="Y89" s="93"/>
      <c r="Z89" s="93"/>
      <c r="AA89" s="93"/>
      <c r="AB89" s="616"/>
      <c r="AC89" s="93"/>
      <c r="AD89" s="93"/>
      <c r="AE89" s="93"/>
      <c r="AF89" s="616"/>
      <c r="AG89" s="93"/>
      <c r="AH89" s="93"/>
      <c r="AI89" s="585" t="str">
        <f aca="false" t="array" ref="AI89:AI89">IF(ISNA(INDEX(Source!$U$7:$U$95,MATCH(AJ89,Source!$V$7:$V$95,0))),"-",INDEX(Source!$U$7:$U$95,MATCH(AJ89,Source!$V$7:$V$95,0)))</f>
        <v>-</v>
      </c>
      <c r="AJ89" s="586" t="s">
        <v>1048</v>
      </c>
      <c r="AK89" s="182" t="s">
        <v>1110</v>
      </c>
      <c r="AL89" s="93"/>
      <c r="AM89" s="93"/>
      <c r="AN89" s="616"/>
      <c r="AO89" s="93"/>
      <c r="AP89" s="93"/>
      <c r="AQ89" s="93"/>
      <c r="AR89" s="616"/>
      <c r="AS89" s="93"/>
      <c r="AT89" s="93"/>
      <c r="AU89" s="613" t="str">
        <f aca="false" t="array" ref="AU89:AU89">IF(ISNA(INDEX(Source!$U$7:$U$95,MATCH(AV89,Source!$V$7:$V$95,0))),"-",INDEX(Source!$U$7:$U$95,MATCH(AV89,Source!$V$7:$V$95,0)))</f>
        <v>-</v>
      </c>
      <c r="AV89" s="637" t="s">
        <v>687</v>
      </c>
      <c r="AW89" s="193" t="s">
        <v>1114</v>
      </c>
      <c r="AX89" s="93"/>
      <c r="AY89" s="585" t="str">
        <f aca="false" t="array" ref="AY89:AY89">IF(ISNA(INDEX(Source!$U$7:$U$95,MATCH(AZ89,Source!$V$7:$V$95,0))),"-",INDEX(Source!$U$7:$U$95,MATCH(AZ89,Source!$V$7:$V$95,0)))</f>
        <v>-</v>
      </c>
      <c r="AZ89" s="617" t="s">
        <v>1172</v>
      </c>
      <c r="BA89" s="182" t="s">
        <v>1115</v>
      </c>
      <c r="BB89" s="507"/>
      <c r="BC89" s="507"/>
      <c r="BD89" s="507"/>
    </row>
    <row r="90" customFormat="false" ht="15.75" hidden="false" customHeight="false" outlineLevel="0" collapsed="false">
      <c r="A90" s="589" t="s">
        <v>1440</v>
      </c>
      <c r="B90" s="589"/>
      <c r="C90" s="589"/>
      <c r="D90" s="600" t="s">
        <v>881</v>
      </c>
      <c r="E90" s="591" t="s">
        <v>1117</v>
      </c>
      <c r="F90" s="582" t="n">
        <v>10</v>
      </c>
      <c r="G90" s="582" t="n">
        <v>100</v>
      </c>
      <c r="H90" s="592" t="n">
        <v>0.95</v>
      </c>
      <c r="I90" s="593"/>
      <c r="J90" s="589" t="s">
        <v>1441</v>
      </c>
      <c r="K90" s="589"/>
      <c r="L90" s="589"/>
      <c r="M90" s="594" t="s">
        <v>839</v>
      </c>
      <c r="N90" s="581" t="s">
        <v>1129</v>
      </c>
      <c r="O90" s="582" t="n">
        <v>20</v>
      </c>
      <c r="P90" s="583" t="s">
        <v>1120</v>
      </c>
      <c r="Q90" s="595"/>
      <c r="R90" s="93"/>
      <c r="S90" s="585" t="str">
        <f aca="false" t="array" ref="S90:S90">IF(ISNA(INDEX(Source!$U$7:$U$94,MATCH(T90,Source!$V$7:$V$94,0))),"-",INDEX(Source!$U$7:$U$94,MATCH(T90,Source!$V$7:$V$94,0)))</f>
        <v>-</v>
      </c>
      <c r="T90" s="586" t="s">
        <v>269</v>
      </c>
      <c r="U90" s="182" t="s">
        <v>1106</v>
      </c>
      <c r="V90" s="93"/>
      <c r="W90" s="93"/>
      <c r="X90" s="616"/>
      <c r="Y90" s="93"/>
      <c r="Z90" s="93"/>
      <c r="AA90" s="93"/>
      <c r="AB90" s="616"/>
      <c r="AC90" s="93"/>
      <c r="AD90" s="93"/>
      <c r="AE90" s="93"/>
      <c r="AF90" s="616"/>
      <c r="AG90" s="93"/>
      <c r="AH90" s="93"/>
      <c r="AI90" s="585" t="str">
        <f aca="false" t="array" ref="AI90:AI90">IF(ISNA(INDEX(Source!$U$7:$U$95,MATCH(AJ90,Source!$V$7:$V$95,0))),"-",INDEX(Source!$U$7:$U$95,MATCH(AJ90,Source!$V$7:$V$95,0)))</f>
        <v>-</v>
      </c>
      <c r="AJ90" s="586" t="s">
        <v>522</v>
      </c>
      <c r="AK90" s="182" t="s">
        <v>1110</v>
      </c>
      <c r="AL90" s="93"/>
      <c r="AM90" s="93"/>
      <c r="AN90" s="616"/>
      <c r="AO90" s="93"/>
      <c r="AP90" s="93"/>
      <c r="AQ90" s="93"/>
      <c r="AR90" s="616"/>
      <c r="AS90" s="93"/>
      <c r="AT90" s="93"/>
      <c r="AU90" s="93"/>
      <c r="AV90" s="616"/>
      <c r="AW90" s="93"/>
      <c r="AX90" s="93"/>
      <c r="AY90" s="585" t="str">
        <f aca="false" t="array" ref="AY90:AY90">IF(ISNA(INDEX(Source!$U$7:$U$95,MATCH(AZ90,Source!$V$7:$V$95,0))),"-",INDEX(Source!$U$7:$U$95,MATCH(AZ90,Source!$V$7:$V$95,0)))</f>
        <v>-</v>
      </c>
      <c r="AZ90" s="617" t="s">
        <v>602</v>
      </c>
      <c r="BA90" s="182" t="s">
        <v>1115</v>
      </c>
      <c r="BB90" s="507"/>
      <c r="BC90" s="507"/>
      <c r="BD90" s="507"/>
    </row>
    <row r="91" customFormat="false" ht="15.75" hidden="false" customHeight="false" outlineLevel="0" collapsed="false">
      <c r="A91" s="589" t="s">
        <v>1442</v>
      </c>
      <c r="B91" s="589"/>
      <c r="C91" s="589"/>
      <c r="D91" s="600" t="s">
        <v>881</v>
      </c>
      <c r="E91" s="591" t="s">
        <v>1117</v>
      </c>
      <c r="F91" s="582" t="n">
        <v>20</v>
      </c>
      <c r="G91" s="582" t="n">
        <v>150</v>
      </c>
      <c r="H91" s="592" t="n">
        <v>1</v>
      </c>
      <c r="I91" s="593"/>
      <c r="J91" s="589" t="s">
        <v>1443</v>
      </c>
      <c r="K91" s="589"/>
      <c r="L91" s="589"/>
      <c r="M91" s="594" t="s">
        <v>839</v>
      </c>
      <c r="N91" s="581" t="s">
        <v>1129</v>
      </c>
      <c r="O91" s="582" t="n">
        <v>40</v>
      </c>
      <c r="P91" s="583" t="s">
        <v>1120</v>
      </c>
      <c r="Q91" s="595"/>
      <c r="R91" s="93"/>
      <c r="S91" s="585" t="str">
        <f aca="false" t="array" ref="S91:S91">IF(ISNA(INDEX(Source!$U$7:$U$94,MATCH(T91,Source!$V$7:$V$94,0))),"-",INDEX(Source!$U$7:$U$94,MATCH(T91,Source!$V$7:$V$94,0)))</f>
        <v>BBG</v>
      </c>
      <c r="T91" s="586" t="s">
        <v>38</v>
      </c>
      <c r="U91" s="182" t="s">
        <v>1106</v>
      </c>
      <c r="V91" s="93"/>
      <c r="W91" s="93"/>
      <c r="X91" s="616"/>
      <c r="Y91" s="93"/>
      <c r="Z91" s="93"/>
      <c r="AA91" s="93"/>
      <c r="AB91" s="616"/>
      <c r="AC91" s="93"/>
      <c r="AD91" s="93"/>
      <c r="AE91" s="93"/>
      <c r="AF91" s="616"/>
      <c r="AG91" s="93"/>
      <c r="AH91" s="93"/>
      <c r="AI91" s="585" t="str">
        <f aca="false" t="array" ref="AI91:AI91">IF(ISNA(INDEX(Source!$U$7:$U$95,MATCH(AJ91,Source!$V$7:$V$95,0))),"-",INDEX(Source!$U$7:$U$95,MATCH(AJ91,Source!$V$7:$V$95,0)))</f>
        <v>-</v>
      </c>
      <c r="AJ91" s="586" t="s">
        <v>445</v>
      </c>
      <c r="AK91" s="182" t="s">
        <v>1110</v>
      </c>
      <c r="AL91" s="93"/>
      <c r="AM91" s="93"/>
      <c r="AN91" s="616"/>
      <c r="AO91" s="93"/>
      <c r="AP91" s="93"/>
      <c r="AQ91" s="93"/>
      <c r="AR91" s="616"/>
      <c r="AS91" s="93"/>
      <c r="AT91" s="93"/>
      <c r="AU91" s="93"/>
      <c r="AV91" s="616"/>
      <c r="AW91" s="93"/>
      <c r="AX91" s="93"/>
      <c r="AY91" s="585" t="str">
        <f aca="false" t="array" ref="AY91:AY91">IF(ISNA(INDEX(Source!$U$7:$U$95,MATCH(AZ91,Source!$V$7:$V$95,0))),"-",INDEX(Source!$U$7:$U$95,MATCH(AZ91,Source!$V$7:$V$95,0)))</f>
        <v>-</v>
      </c>
      <c r="AZ91" s="617" t="s">
        <v>1179</v>
      </c>
      <c r="BA91" s="182" t="s">
        <v>1115</v>
      </c>
      <c r="BB91" s="507"/>
      <c r="BC91" s="507"/>
      <c r="BD91" s="507"/>
    </row>
    <row r="92" customFormat="false" ht="15.75" hidden="false" customHeight="false" outlineLevel="0" collapsed="false">
      <c r="A92" s="589" t="s">
        <v>1444</v>
      </c>
      <c r="B92" s="589"/>
      <c r="C92" s="589"/>
      <c r="D92" s="600" t="s">
        <v>881</v>
      </c>
      <c r="E92" s="591" t="s">
        <v>1117</v>
      </c>
      <c r="F92" s="582" t="n">
        <v>10</v>
      </c>
      <c r="G92" s="582" t="n">
        <v>60</v>
      </c>
      <c r="H92" s="592" t="n">
        <v>1</v>
      </c>
      <c r="I92" s="593"/>
      <c r="J92" s="589" t="s">
        <v>1445</v>
      </c>
      <c r="K92" s="589"/>
      <c r="L92" s="589"/>
      <c r="M92" s="625" t="s">
        <v>795</v>
      </c>
      <c r="N92" s="581" t="s">
        <v>1119</v>
      </c>
      <c r="O92" s="582" t="n">
        <v>15</v>
      </c>
      <c r="P92" s="583" t="s">
        <v>1120</v>
      </c>
      <c r="Q92" s="595"/>
      <c r="R92" s="93"/>
      <c r="S92" s="585" t="str">
        <f aca="false" t="array" ref="S92:S92">IF(ISNA(INDEX(Source!$U$7:$U$95,MATCH(T92,Source!$V$7:$V$95,0))),"-",INDEX(Source!$U$7:$U$95,MATCH(T92,Source!$V$7:$V$95,0)))</f>
        <v>-</v>
      </c>
      <c r="T92" s="586" t="s">
        <v>1446</v>
      </c>
      <c r="U92" s="182" t="s">
        <v>1106</v>
      </c>
      <c r="V92" s="93"/>
      <c r="W92" s="93"/>
      <c r="X92" s="616"/>
      <c r="Y92" s="93"/>
      <c r="Z92" s="93"/>
      <c r="AA92" s="93"/>
      <c r="AB92" s="616"/>
      <c r="AC92" s="93"/>
      <c r="AD92" s="93"/>
      <c r="AE92" s="93"/>
      <c r="AF92" s="616"/>
      <c r="AG92" s="93"/>
      <c r="AH92" s="93"/>
      <c r="AI92" s="585" t="str">
        <f aca="false" t="array" ref="AI92:AI92">IF(ISNA(INDEX(Source!$U$7:$U$95,MATCH(AJ92,Source!$V$7:$V$95,0))),"-",INDEX(Source!$U$7:$U$95,MATCH(AJ92,Source!$V$7:$V$95,0)))</f>
        <v>-</v>
      </c>
      <c r="AJ92" s="586" t="s">
        <v>1447</v>
      </c>
      <c r="AK92" s="182" t="s">
        <v>1110</v>
      </c>
      <c r="AL92" s="93"/>
      <c r="AM92" s="93"/>
      <c r="AN92" s="616"/>
      <c r="AO92" s="93"/>
      <c r="AP92" s="93"/>
      <c r="AQ92" s="93"/>
      <c r="AR92" s="616"/>
      <c r="AS92" s="93"/>
      <c r="AT92" s="93"/>
      <c r="AU92" s="93"/>
      <c r="AV92" s="616"/>
      <c r="AW92" s="93"/>
      <c r="AX92" s="93"/>
      <c r="AY92" s="585" t="str">
        <f aca="false" t="array" ref="AY92:AY92">IF(ISNA(INDEX(Source!$U$7:$U$95,MATCH(AZ92,Source!$V$7:$V$95,0))),"-",INDEX(Source!$U$7:$U$95,MATCH(AZ92,Source!$V$7:$V$95,0)))</f>
        <v>-</v>
      </c>
      <c r="AZ92" s="617" t="s">
        <v>1187</v>
      </c>
      <c r="BA92" s="182" t="s">
        <v>1115</v>
      </c>
      <c r="BB92" s="507"/>
      <c r="BC92" s="507"/>
      <c r="BD92" s="507"/>
    </row>
    <row r="93" customFormat="false" ht="15.75" hidden="false" customHeight="false" outlineLevel="0" collapsed="false">
      <c r="A93" s="589" t="s">
        <v>1448</v>
      </c>
      <c r="B93" s="589"/>
      <c r="C93" s="589"/>
      <c r="D93" s="603" t="s">
        <v>795</v>
      </c>
      <c r="E93" s="591" t="s">
        <v>1117</v>
      </c>
      <c r="F93" s="582" t="n">
        <v>15</v>
      </c>
      <c r="G93" s="582" t="n">
        <v>95</v>
      </c>
      <c r="H93" s="592" t="n">
        <v>1</v>
      </c>
      <c r="I93" s="593"/>
      <c r="J93" s="589" t="s">
        <v>1449</v>
      </c>
      <c r="K93" s="589"/>
      <c r="L93" s="589"/>
      <c r="M93" s="594" t="s">
        <v>839</v>
      </c>
      <c r="N93" s="581" t="s">
        <v>1119</v>
      </c>
      <c r="O93" s="582" t="n">
        <v>40</v>
      </c>
      <c r="P93" s="583" t="s">
        <v>1120</v>
      </c>
      <c r="Q93" s="595"/>
      <c r="R93" s="93"/>
      <c r="S93" s="585" t="str">
        <f aca="false" t="array" ref="S93:S93">IF(ISNA(INDEX(Source!$U$7:$U$95,MATCH(T93,Source!$V$7:$V$95,0))),"-",INDEX(Source!$U$7:$U$95,MATCH(T93,Source!$V$7:$V$95,0)))</f>
        <v>-</v>
      </c>
      <c r="T93" s="586" t="s">
        <v>472</v>
      </c>
      <c r="U93" s="182" t="s">
        <v>1106</v>
      </c>
      <c r="V93" s="93"/>
      <c r="W93" s="93"/>
      <c r="X93" s="616"/>
      <c r="Y93" s="93"/>
      <c r="Z93" s="93"/>
      <c r="AA93" s="93"/>
      <c r="AB93" s="616"/>
      <c r="AC93" s="93"/>
      <c r="AD93" s="93"/>
      <c r="AE93" s="93"/>
      <c r="AF93" s="616"/>
      <c r="AG93" s="93"/>
      <c r="AH93" s="93"/>
      <c r="AI93" s="585" t="str">
        <f aca="false" t="array" ref="AI93:AI93">IF(ISNA(INDEX(Source!$U$7:$U$95,MATCH(AJ93,Source!$V$7:$V$95,0))),"-",INDEX(Source!$U$7:$U$95,MATCH(AJ93,Source!$V$7:$V$95,0)))</f>
        <v>-</v>
      </c>
      <c r="AJ93" s="586" t="s">
        <v>729</v>
      </c>
      <c r="AK93" s="182" t="s">
        <v>1110</v>
      </c>
      <c r="AL93" s="93"/>
      <c r="AM93" s="93"/>
      <c r="AN93" s="616"/>
      <c r="AO93" s="93"/>
      <c r="AP93" s="93"/>
      <c r="AQ93" s="93"/>
      <c r="AR93" s="616"/>
      <c r="AS93" s="93"/>
      <c r="AT93" s="93"/>
      <c r="AU93" s="93"/>
      <c r="AV93" s="616"/>
      <c r="AW93" s="93"/>
      <c r="AX93" s="93"/>
      <c r="AY93" s="585" t="str">
        <f aca="false" t="array" ref="AY93:AY93">IF(ISNA(INDEX(Source!$U$7:$U$95,MATCH(AZ93,Source!$V$7:$V$95,0))),"-",INDEX(Source!$U$7:$U$95,MATCH(AZ93,Source!$V$7:$V$95,0)))</f>
        <v>JVJ</v>
      </c>
      <c r="AZ93" s="617" t="s">
        <v>258</v>
      </c>
      <c r="BA93" s="182" t="s">
        <v>1115</v>
      </c>
      <c r="BB93" s="507"/>
      <c r="BC93" s="507"/>
      <c r="BD93" s="507"/>
    </row>
    <row r="94" customFormat="false" ht="15.75" hidden="false" customHeight="false" outlineLevel="0" collapsed="false">
      <c r="A94" s="589" t="s">
        <v>1450</v>
      </c>
      <c r="B94" s="589"/>
      <c r="C94" s="589"/>
      <c r="D94" s="608" t="s">
        <v>805</v>
      </c>
      <c r="E94" s="591" t="s">
        <v>1117</v>
      </c>
      <c r="F94" s="582" t="n">
        <v>5</v>
      </c>
      <c r="G94" s="582" t="n">
        <v>140</v>
      </c>
      <c r="H94" s="592" t="n">
        <v>0.9</v>
      </c>
      <c r="I94" s="593"/>
      <c r="J94" s="589" t="s">
        <v>1451</v>
      </c>
      <c r="K94" s="589"/>
      <c r="L94" s="589"/>
      <c r="M94" s="598" t="s">
        <v>828</v>
      </c>
      <c r="N94" s="581" t="s">
        <v>1166</v>
      </c>
      <c r="O94" s="582" t="n">
        <v>20</v>
      </c>
      <c r="P94" s="592" t="n">
        <v>0.6</v>
      </c>
      <c r="Q94" s="595"/>
      <c r="R94" s="93"/>
      <c r="S94" s="585" t="str">
        <f aca="false" t="array" ref="S94:S94">IF(ISNA(INDEX(Source!$U$7:$U$95,MATCH(T94,Source!$V$7:$V$95,0))),"-",INDEX(Source!$U$7:$U$95,MATCH(T94,Source!$V$7:$V$95,0)))</f>
        <v>-</v>
      </c>
      <c r="T94" s="586" t="s">
        <v>1452</v>
      </c>
      <c r="U94" s="182" t="s">
        <v>1106</v>
      </c>
      <c r="V94" s="93"/>
      <c r="W94" s="93"/>
      <c r="X94" s="616"/>
      <c r="Y94" s="93"/>
      <c r="Z94" s="93"/>
      <c r="AA94" s="93"/>
      <c r="AB94" s="616"/>
      <c r="AC94" s="93"/>
      <c r="AD94" s="93"/>
      <c r="AE94" s="93"/>
      <c r="AF94" s="616"/>
      <c r="AG94" s="93"/>
      <c r="AH94" s="93"/>
      <c r="AI94" s="585" t="str">
        <f aca="false" t="array" ref="AI94:AI94">IF(ISNA(INDEX(Source!$U$7:$U$95,MATCH(AJ94,Source!$V$7:$V$95,0))),"-",INDEX(Source!$U$7:$U$95,MATCH(AJ94,Source!$V$7:$V$95,0)))</f>
        <v>-</v>
      </c>
      <c r="AJ94" s="586" t="s">
        <v>1453</v>
      </c>
      <c r="AK94" s="182" t="s">
        <v>1110</v>
      </c>
      <c r="AL94" s="93"/>
      <c r="AM94" s="93"/>
      <c r="AN94" s="616"/>
      <c r="AO94" s="93"/>
      <c r="AP94" s="93"/>
      <c r="AQ94" s="93"/>
      <c r="AR94" s="616"/>
      <c r="AS94" s="93"/>
      <c r="AT94" s="93"/>
      <c r="AU94" s="93"/>
      <c r="AV94" s="616"/>
      <c r="AW94" s="93"/>
      <c r="AX94" s="93"/>
      <c r="AY94" s="585" t="str">
        <f aca="false" t="array" ref="AY94:AY94">IF(ISNA(INDEX(Source!$U$7:$U$95,MATCH(AZ94,Source!$V$7:$V$95,0))),"-",INDEX(Source!$U$7:$U$95,MATCH(AZ94,Source!$V$7:$V$95,0)))</f>
        <v>KKS</v>
      </c>
      <c r="AZ94" s="617" t="s">
        <v>124</v>
      </c>
      <c r="BA94" s="182" t="s">
        <v>1115</v>
      </c>
      <c r="BB94" s="507"/>
      <c r="BC94" s="507"/>
      <c r="BD94" s="507"/>
    </row>
    <row r="95" customFormat="false" ht="15.75" hidden="false" customHeight="false" outlineLevel="0" collapsed="false">
      <c r="A95" s="589" t="s">
        <v>1454</v>
      </c>
      <c r="B95" s="589"/>
      <c r="C95" s="589"/>
      <c r="D95" s="610" t="s">
        <v>839</v>
      </c>
      <c r="E95" s="591" t="s">
        <v>1117</v>
      </c>
      <c r="F95" s="582" t="n">
        <v>20</v>
      </c>
      <c r="G95" s="582" t="n">
        <v>102</v>
      </c>
      <c r="H95" s="592" t="n">
        <v>1</v>
      </c>
      <c r="I95" s="593"/>
      <c r="J95" s="589" t="s">
        <v>1455</v>
      </c>
      <c r="K95" s="589"/>
      <c r="L95" s="589"/>
      <c r="M95" s="598" t="s">
        <v>828</v>
      </c>
      <c r="N95" s="581" t="s">
        <v>1200</v>
      </c>
      <c r="O95" s="582" t="n">
        <v>10</v>
      </c>
      <c r="P95" s="592" t="n">
        <v>1</v>
      </c>
      <c r="Q95" s="595"/>
      <c r="R95" s="93"/>
      <c r="S95" s="585" t="str">
        <f aca="false" t="array" ref="S95:S95">IF(ISNA(INDEX(Source!$U$7:$U$95,MATCH(T95,Source!$V$7:$V$95,0))),"-",INDEX(Source!$U$7:$U$95,MATCH(T95,Source!$V$7:$V$95,0)))</f>
        <v>-</v>
      </c>
      <c r="T95" s="586" t="s">
        <v>1010</v>
      </c>
      <c r="U95" s="182" t="s">
        <v>1106</v>
      </c>
      <c r="V95" s="93"/>
      <c r="W95" s="93"/>
      <c r="X95" s="616"/>
      <c r="Y95" s="93"/>
      <c r="Z95" s="93"/>
      <c r="AA95" s="93"/>
      <c r="AB95" s="616"/>
      <c r="AC95" s="93"/>
      <c r="AD95" s="93"/>
      <c r="AE95" s="93"/>
      <c r="AF95" s="616"/>
      <c r="AG95" s="93"/>
      <c r="AH95" s="93"/>
      <c r="AI95" s="585" t="str">
        <f aca="false" t="array" ref="AI95:AI95">IF(ISNA(INDEX(Source!$U$7:$U$95,MATCH(AJ95,Source!$V$7:$V$95,0))),"-",INDEX(Source!$U$7:$U$95,MATCH(AJ95,Source!$V$7:$V$95,0)))</f>
        <v>-</v>
      </c>
      <c r="AJ95" s="586" t="s">
        <v>1456</v>
      </c>
      <c r="AK95" s="182" t="s">
        <v>1110</v>
      </c>
      <c r="AL95" s="93"/>
      <c r="AM95" s="93"/>
      <c r="AN95" s="616"/>
      <c r="AO95" s="93"/>
      <c r="AP95" s="93"/>
      <c r="AQ95" s="93"/>
      <c r="AR95" s="616"/>
      <c r="AS95" s="93"/>
      <c r="AT95" s="93"/>
      <c r="AU95" s="93"/>
      <c r="AV95" s="616"/>
      <c r="AW95" s="93"/>
      <c r="AX95" s="93"/>
      <c r="AY95" s="585" t="str">
        <f aca="false" t="array" ref="AY95:AY95">IF(ISNA(INDEX(Source!$U$7:$U$95,MATCH(AZ95,Source!$V$7:$V$95,0))),"-",INDEX(Source!$U$7:$U$95,MATCH(AZ95,Source!$V$7:$V$95,0)))</f>
        <v>-</v>
      </c>
      <c r="AZ95" s="617" t="s">
        <v>77</v>
      </c>
      <c r="BA95" s="182" t="s">
        <v>1115</v>
      </c>
      <c r="BB95" s="507"/>
      <c r="BC95" s="507"/>
      <c r="BD95" s="507"/>
    </row>
    <row r="96" customFormat="false" ht="15.75" hidden="false" customHeight="false" outlineLevel="0" collapsed="false">
      <c r="A96" s="589" t="s">
        <v>1457</v>
      </c>
      <c r="B96" s="589"/>
      <c r="C96" s="589"/>
      <c r="D96" s="610" t="s">
        <v>839</v>
      </c>
      <c r="E96" s="591" t="s">
        <v>1117</v>
      </c>
      <c r="F96" s="582" t="n">
        <v>20</v>
      </c>
      <c r="G96" s="582" t="n">
        <v>15</v>
      </c>
      <c r="H96" s="592" t="n">
        <v>0.85</v>
      </c>
      <c r="I96" s="593"/>
      <c r="J96" s="589" t="s">
        <v>1458</v>
      </c>
      <c r="K96" s="589"/>
      <c r="L96" s="589"/>
      <c r="M96" s="604" t="s">
        <v>803</v>
      </c>
      <c r="N96" s="581" t="s">
        <v>1149</v>
      </c>
      <c r="O96" s="582" t="n">
        <v>20</v>
      </c>
      <c r="P96" s="583" t="s">
        <v>1120</v>
      </c>
      <c r="Q96" s="595"/>
      <c r="R96" s="93"/>
      <c r="S96" s="585" t="str">
        <f aca="false" t="array" ref="S96:S96">IF(ISNA(INDEX(Source!$U$7:$U$95,MATCH(T96,Source!$V$7:$V$95,0))),"-",INDEX(Source!$U$7:$U$95,MATCH(T96,Source!$V$7:$V$95,0)))</f>
        <v>-</v>
      </c>
      <c r="T96" s="586" t="s">
        <v>378</v>
      </c>
      <c r="U96" s="182" t="s">
        <v>1106</v>
      </c>
      <c r="V96" s="93"/>
      <c r="W96" s="93"/>
      <c r="X96" s="616"/>
      <c r="Y96" s="93"/>
      <c r="Z96" s="93"/>
      <c r="AA96" s="93"/>
      <c r="AB96" s="616"/>
      <c r="AC96" s="93"/>
      <c r="AD96" s="93"/>
      <c r="AE96" s="93"/>
      <c r="AF96" s="616"/>
      <c r="AG96" s="93"/>
      <c r="AH96" s="93"/>
      <c r="AI96" s="585" t="str">
        <f aca="false" t="array" ref="AI96:AI96">IF(ISNA(INDEX(Source!$U$7:$U$95,MATCH(AJ96,Source!$V$7:$V$95,0))),"-",INDEX(Source!$U$7:$U$95,MATCH(AJ96,Source!$V$7:$V$95,0)))</f>
        <v>-</v>
      </c>
      <c r="AJ96" s="586" t="s">
        <v>1459</v>
      </c>
      <c r="AK96" s="182" t="s">
        <v>1110</v>
      </c>
      <c r="AL96" s="93"/>
      <c r="AM96" s="93"/>
      <c r="AN96" s="616"/>
      <c r="AO96" s="93"/>
      <c r="AP96" s="93"/>
      <c r="AQ96" s="93"/>
      <c r="AR96" s="616"/>
      <c r="AS96" s="93"/>
      <c r="AT96" s="93"/>
      <c r="AU96" s="93"/>
      <c r="AV96" s="616"/>
      <c r="AW96" s="93"/>
      <c r="AX96" s="93"/>
      <c r="AY96" s="585" t="str">
        <f aca="false" t="array" ref="AY96:AY96">IF(ISNA(INDEX(Source!$U$7:$U$95,MATCH(AZ96,Source!$V$7:$V$95,0))),"-",INDEX(Source!$U$7:$U$95,MATCH(AZ96,Source!$V$7:$V$95,0)))</f>
        <v>-</v>
      </c>
      <c r="AZ96" s="617" t="s">
        <v>1425</v>
      </c>
      <c r="BA96" s="182" t="s">
        <v>1115</v>
      </c>
      <c r="BB96" s="507"/>
      <c r="BC96" s="507"/>
      <c r="BD96" s="507"/>
    </row>
    <row r="97" customFormat="false" ht="15.75" hidden="false" customHeight="false" outlineLevel="0" collapsed="false">
      <c r="A97" s="589" t="s">
        <v>1460</v>
      </c>
      <c r="B97" s="589"/>
      <c r="C97" s="589"/>
      <c r="D97" s="607" t="s">
        <v>794</v>
      </c>
      <c r="E97" s="591" t="s">
        <v>1117</v>
      </c>
      <c r="F97" s="582" t="n">
        <v>20</v>
      </c>
      <c r="G97" s="582" t="n">
        <v>40</v>
      </c>
      <c r="H97" s="592" t="n">
        <v>0.95</v>
      </c>
      <c r="I97" s="593"/>
      <c r="J97" s="589" t="s">
        <v>1461</v>
      </c>
      <c r="K97" s="589"/>
      <c r="L97" s="589"/>
      <c r="M97" s="598" t="s">
        <v>828</v>
      </c>
      <c r="N97" s="581" t="s">
        <v>1129</v>
      </c>
      <c r="O97" s="582" t="n">
        <v>15</v>
      </c>
      <c r="P97" s="583" t="s">
        <v>1120</v>
      </c>
      <c r="Q97" s="595"/>
      <c r="R97" s="93"/>
      <c r="S97" s="585" t="str">
        <f aca="false" t="array" ref="S97:S97">IF(ISNA(INDEX(Source!$U$7:$U$95,MATCH(T97,Source!$V$7:$V$95,0))),"-",INDEX(Source!$U$7:$U$95,MATCH(T97,Source!$V$7:$V$95,0)))</f>
        <v>-</v>
      </c>
      <c r="T97" s="586" t="s">
        <v>1462</v>
      </c>
      <c r="U97" s="182" t="s">
        <v>1106</v>
      </c>
      <c r="V97" s="93"/>
      <c r="W97" s="93"/>
      <c r="X97" s="616"/>
      <c r="Y97" s="93"/>
      <c r="Z97" s="93"/>
      <c r="AA97" s="93"/>
      <c r="AB97" s="616"/>
      <c r="AC97" s="93"/>
      <c r="AD97" s="93"/>
      <c r="AE97" s="93"/>
      <c r="AF97" s="616"/>
      <c r="AG97" s="93"/>
      <c r="AH97" s="93"/>
      <c r="AI97" s="585" t="str">
        <f aca="false" t="array" ref="AI97:AI97">IF(ISNA(INDEX(Source!$U$7:$U$95,MATCH(AJ97,Source!$V$7:$V$95,0))),"-",INDEX(Source!$U$7:$U$95,MATCH(AJ97,Source!$V$7:$V$95,0)))</f>
        <v>-</v>
      </c>
      <c r="AJ97" s="586" t="s">
        <v>763</v>
      </c>
      <c r="AK97" s="182" t="s">
        <v>1110</v>
      </c>
      <c r="AL97" s="93"/>
      <c r="AM97" s="93"/>
      <c r="AN97" s="616"/>
      <c r="AO97" s="93"/>
      <c r="AP97" s="93"/>
      <c r="AQ97" s="93"/>
      <c r="AR97" s="616"/>
      <c r="AS97" s="93"/>
      <c r="AT97" s="93"/>
      <c r="AU97" s="93"/>
      <c r="AV97" s="616"/>
      <c r="AW97" s="93"/>
      <c r="AX97" s="93"/>
      <c r="AY97" s="585" t="str">
        <f aca="false" t="array" ref="AY97:AY97">IF(ISNA(INDEX(Source!$U$7:$U$95,MATCH(AZ97,Source!$V$7:$V$95,0))),"-",INDEX(Source!$U$7:$U$95,MATCH(AZ97,Source!$V$7:$V$95,0)))</f>
        <v>-</v>
      </c>
      <c r="AZ97" s="617" t="s">
        <v>659</v>
      </c>
      <c r="BA97" s="182" t="s">
        <v>1115</v>
      </c>
      <c r="BB97" s="507"/>
      <c r="BC97" s="507"/>
      <c r="BD97" s="507"/>
    </row>
    <row r="98" customFormat="false" ht="15.75" hidden="false" customHeight="false" outlineLevel="0" collapsed="false">
      <c r="A98" s="589" t="s">
        <v>1463</v>
      </c>
      <c r="B98" s="589"/>
      <c r="C98" s="589"/>
      <c r="D98" s="610" t="s">
        <v>839</v>
      </c>
      <c r="E98" s="591" t="s">
        <v>1117</v>
      </c>
      <c r="F98" s="582" t="n">
        <v>15</v>
      </c>
      <c r="G98" s="582" t="n">
        <v>18</v>
      </c>
      <c r="H98" s="592" t="n">
        <v>0.8</v>
      </c>
      <c r="I98" s="593"/>
      <c r="J98" s="589" t="s">
        <v>1464</v>
      </c>
      <c r="K98" s="589"/>
      <c r="L98" s="589"/>
      <c r="M98" s="622" t="s">
        <v>845</v>
      </c>
      <c r="N98" s="581" t="s">
        <v>1200</v>
      </c>
      <c r="O98" s="582" t="n">
        <v>25</v>
      </c>
      <c r="P98" s="583" t="s">
        <v>1120</v>
      </c>
      <c r="Q98" s="595"/>
      <c r="R98" s="93"/>
      <c r="S98" s="585" t="str">
        <f aca="false" t="array" ref="S98:S98">IF(ISNA(INDEX(Source!$U$7:$U$95,MATCH(T98,Source!$V$7:$V$95,0))),"-",INDEX(Source!$U$7:$U$95,MATCH(T98,Source!$V$7:$V$95,0)))</f>
        <v>-</v>
      </c>
      <c r="T98" s="586" t="s">
        <v>1465</v>
      </c>
      <c r="U98" s="182" t="s">
        <v>1106</v>
      </c>
      <c r="V98" s="93"/>
      <c r="W98" s="93"/>
      <c r="X98" s="616"/>
      <c r="Y98" s="93"/>
      <c r="Z98" s="93"/>
      <c r="AA98" s="93"/>
      <c r="AB98" s="616"/>
      <c r="AC98" s="93"/>
      <c r="AD98" s="93"/>
      <c r="AE98" s="93"/>
      <c r="AF98" s="616"/>
      <c r="AG98" s="93"/>
      <c r="AH98" s="93"/>
      <c r="AI98" s="585" t="str">
        <f aca="false" t="array" ref="AI98:AI98">IF(ISNA(INDEX(Source!$U$7:$U$95,MATCH(AJ98,Source!$V$7:$V$95,0))),"-",INDEX(Source!$U$7:$U$95,MATCH(AJ98,Source!$V$7:$V$95,0)))</f>
        <v>-</v>
      </c>
      <c r="AJ98" s="586" t="s">
        <v>474</v>
      </c>
      <c r="AK98" s="182" t="s">
        <v>1110</v>
      </c>
      <c r="AL98" s="93"/>
      <c r="AM98" s="93"/>
      <c r="AN98" s="616"/>
      <c r="AO98" s="93"/>
      <c r="AP98" s="93"/>
      <c r="AQ98" s="93"/>
      <c r="AR98" s="616"/>
      <c r="AS98" s="93"/>
      <c r="AT98" s="93"/>
      <c r="AU98" s="93"/>
      <c r="AV98" s="616"/>
      <c r="AW98" s="93"/>
      <c r="AX98" s="93"/>
      <c r="AY98" s="585" t="str">
        <f aca="false" t="array" ref="AY98:AY98">IF(ISNA(INDEX(Source!$U$7:$U$95,MATCH(AZ98,Source!$V$7:$V$95,0))),"-",INDEX(Source!$U$7:$U$95,MATCH(AZ98,Source!$V$7:$V$95,0)))</f>
        <v>-</v>
      </c>
      <c r="AZ98" s="617" t="s">
        <v>1466</v>
      </c>
      <c r="BA98" s="182" t="s">
        <v>1115</v>
      </c>
      <c r="BB98" s="507"/>
      <c r="BC98" s="507"/>
      <c r="BD98" s="507"/>
    </row>
    <row r="99" customFormat="false" ht="15.75" hidden="false" customHeight="false" outlineLevel="0" collapsed="false">
      <c r="A99" s="589" t="s">
        <v>1467</v>
      </c>
      <c r="B99" s="589"/>
      <c r="C99" s="589"/>
      <c r="D99" s="619" t="s">
        <v>845</v>
      </c>
      <c r="E99" s="591" t="s">
        <v>1117</v>
      </c>
      <c r="F99" s="582" t="n">
        <v>5</v>
      </c>
      <c r="G99" s="582" t="n">
        <v>100</v>
      </c>
      <c r="H99" s="592" t="n">
        <v>1</v>
      </c>
      <c r="I99" s="593"/>
      <c r="J99" s="589" t="s">
        <v>1468</v>
      </c>
      <c r="K99" s="589"/>
      <c r="L99" s="589"/>
      <c r="M99" s="611" t="s">
        <v>810</v>
      </c>
      <c r="N99" s="581" t="s">
        <v>1119</v>
      </c>
      <c r="O99" s="582" t="n">
        <v>15</v>
      </c>
      <c r="P99" s="583" t="s">
        <v>1120</v>
      </c>
      <c r="Q99" s="595"/>
      <c r="R99" s="93"/>
      <c r="S99" s="585" t="str">
        <f aca="false" t="array" ref="S99:S99">IF(ISNA(INDEX(Source!$U$7:$U$95,MATCH(T99,Source!$V$7:$V$95,0))),"-",INDEX(Source!$U$7:$U$95,MATCH(T99,Source!$V$7:$V$95,0)))</f>
        <v>-</v>
      </c>
      <c r="T99" s="586" t="s">
        <v>689</v>
      </c>
      <c r="U99" s="182" t="s">
        <v>1106</v>
      </c>
      <c r="V99" s="93"/>
      <c r="W99" s="93"/>
      <c r="X99" s="616"/>
      <c r="Y99" s="93"/>
      <c r="Z99" s="93"/>
      <c r="AA99" s="93"/>
      <c r="AB99" s="616"/>
      <c r="AC99" s="93"/>
      <c r="AD99" s="93"/>
      <c r="AE99" s="93"/>
      <c r="AF99" s="616"/>
      <c r="AG99" s="93"/>
      <c r="AH99" s="93"/>
      <c r="AI99" s="585" t="str">
        <f aca="false" t="array" ref="AI99:AI99">IF(ISNA(INDEX(Source!$U$7:$U$95,MATCH(AJ99,Source!$V$7:$V$95,0))),"-",INDEX(Source!$U$7:$U$95,MATCH(AJ99,Source!$V$7:$V$95,0)))</f>
        <v>-</v>
      </c>
      <c r="AJ99" s="586" t="s">
        <v>1469</v>
      </c>
      <c r="AK99" s="182" t="s">
        <v>1110</v>
      </c>
      <c r="AL99" s="93"/>
      <c r="AM99" s="93"/>
      <c r="AN99" s="616"/>
      <c r="AO99" s="93"/>
      <c r="AP99" s="93"/>
      <c r="AQ99" s="93"/>
      <c r="AR99" s="616"/>
      <c r="AS99" s="93"/>
      <c r="AT99" s="93"/>
      <c r="AU99" s="93"/>
      <c r="AV99" s="616"/>
      <c r="AW99" s="93"/>
      <c r="AX99" s="93"/>
      <c r="AY99" s="585" t="str">
        <f aca="false" t="array" ref="AY99:AY99">IF(ISNA(INDEX(Source!$U$7:$U$95,MATCH(AZ99,Source!$V$7:$V$95,0))),"-",INDEX(Source!$U$7:$U$95,MATCH(AZ99,Source!$V$7:$V$95,0)))</f>
        <v>JVJ</v>
      </c>
      <c r="AZ99" s="617" t="s">
        <v>20</v>
      </c>
      <c r="BA99" s="182" t="s">
        <v>1115</v>
      </c>
      <c r="BB99" s="507"/>
      <c r="BC99" s="507"/>
      <c r="BD99" s="507"/>
    </row>
    <row r="100" customFormat="false" ht="15.75" hidden="false" customHeight="false" outlineLevel="0" collapsed="false">
      <c r="A100" s="589" t="s">
        <v>1470</v>
      </c>
      <c r="B100" s="589"/>
      <c r="C100" s="589"/>
      <c r="D100" s="597" t="s">
        <v>810</v>
      </c>
      <c r="E100" s="591" t="s">
        <v>1117</v>
      </c>
      <c r="F100" s="582" t="n">
        <v>15</v>
      </c>
      <c r="G100" s="582" t="n">
        <v>50</v>
      </c>
      <c r="H100" s="592" t="n">
        <v>0.85</v>
      </c>
      <c r="I100" s="593"/>
      <c r="J100" s="589" t="s">
        <v>1471</v>
      </c>
      <c r="K100" s="589"/>
      <c r="L100" s="589"/>
      <c r="M100" s="598" t="s">
        <v>828</v>
      </c>
      <c r="N100" s="581" t="s">
        <v>1200</v>
      </c>
      <c r="O100" s="582" t="n">
        <v>15</v>
      </c>
      <c r="P100" s="592" t="n">
        <v>0.8</v>
      </c>
      <c r="Q100" s="595"/>
      <c r="R100" s="93"/>
      <c r="S100" s="585" t="str">
        <f aca="false" t="array" ref="S100:S100">IF(ISNA(INDEX(Source!$U$7:$U$95,MATCH(T100,Source!$V$7:$V$95,0))),"-",INDEX(Source!$U$7:$U$95,MATCH(T100,Source!$V$7:$V$95,0)))</f>
        <v>-</v>
      </c>
      <c r="T100" s="586" t="s">
        <v>745</v>
      </c>
      <c r="U100" s="182" t="s">
        <v>1106</v>
      </c>
      <c r="V100" s="93"/>
      <c r="W100" s="93"/>
      <c r="X100" s="616"/>
      <c r="Y100" s="93"/>
      <c r="Z100" s="93"/>
      <c r="AA100" s="93"/>
      <c r="AB100" s="616"/>
      <c r="AC100" s="93"/>
      <c r="AD100" s="93"/>
      <c r="AE100" s="93"/>
      <c r="AF100" s="616"/>
      <c r="AG100" s="93"/>
      <c r="AH100" s="93"/>
      <c r="AI100" s="585" t="str">
        <f aca="false" t="array" ref="AI100:AI100">IF(ISNA(INDEX(Source!$U$7:$U$95,MATCH(AJ100,Source!$V$7:$V$95,0))),"-",INDEX(Source!$U$7:$U$95,MATCH(AJ100,Source!$V$7:$V$95,0)))</f>
        <v>-</v>
      </c>
      <c r="AJ100" s="586" t="s">
        <v>1472</v>
      </c>
      <c r="AK100" s="182" t="s">
        <v>1110</v>
      </c>
      <c r="AL100" s="93"/>
      <c r="AM100" s="93"/>
      <c r="AN100" s="616"/>
      <c r="AO100" s="93"/>
      <c r="AP100" s="93"/>
      <c r="AQ100" s="93"/>
      <c r="AR100" s="616"/>
      <c r="AS100" s="93"/>
      <c r="AT100" s="93"/>
      <c r="AU100" s="93"/>
      <c r="AV100" s="616"/>
      <c r="AW100" s="93"/>
      <c r="AX100" s="93"/>
      <c r="AY100" s="585" t="str">
        <f aca="false" t="array" ref="AY100:AY100">IF(ISNA(INDEX(Source!$U$7:$U$95,MATCH(AZ100,Source!$V$7:$V$95,0))),"-",INDEX(Source!$U$7:$U$95,MATCH(AZ100,Source!$V$7:$V$95,0)))</f>
        <v>-</v>
      </c>
      <c r="AZ100" s="617" t="s">
        <v>610</v>
      </c>
      <c r="BA100" s="182" t="s">
        <v>1115</v>
      </c>
      <c r="BB100" s="507"/>
      <c r="BC100" s="507"/>
      <c r="BD100" s="507"/>
    </row>
    <row r="101" customFormat="false" ht="15.75" hidden="false" customHeight="false" outlineLevel="0" collapsed="false">
      <c r="A101" s="589" t="s">
        <v>1473</v>
      </c>
      <c r="B101" s="589"/>
      <c r="C101" s="589"/>
      <c r="D101" s="610" t="s">
        <v>839</v>
      </c>
      <c r="E101" s="591" t="s">
        <v>1117</v>
      </c>
      <c r="F101" s="582" t="n">
        <v>5</v>
      </c>
      <c r="G101" s="582" t="n">
        <v>150</v>
      </c>
      <c r="H101" s="592" t="n">
        <v>0.9</v>
      </c>
      <c r="I101" s="593"/>
      <c r="J101" s="589" t="s">
        <v>1474</v>
      </c>
      <c r="K101" s="589"/>
      <c r="L101" s="589"/>
      <c r="M101" s="611" t="s">
        <v>810</v>
      </c>
      <c r="N101" s="581" t="s">
        <v>1170</v>
      </c>
      <c r="O101" s="582" t="n">
        <v>10</v>
      </c>
      <c r="P101" s="583" t="s">
        <v>1120</v>
      </c>
      <c r="Q101" s="595"/>
      <c r="R101" s="93"/>
      <c r="S101" s="585" t="str">
        <f aca="false" t="array" ref="S101:S101">IF(ISNA(INDEX(Source!$U$7:$U$95,MATCH(T101,Source!$V$7:$V$95,0))),"-",INDEX(Source!$U$7:$U$95,MATCH(T101,Source!$V$7:$V$95,0)))</f>
        <v>-</v>
      </c>
      <c r="T101" s="586" t="s">
        <v>1020</v>
      </c>
      <c r="U101" s="182" t="s">
        <v>1106</v>
      </c>
      <c r="V101" s="93"/>
      <c r="W101" s="93"/>
      <c r="X101" s="616"/>
      <c r="Y101" s="93"/>
      <c r="Z101" s="93"/>
      <c r="AA101" s="93"/>
      <c r="AB101" s="616"/>
      <c r="AC101" s="93"/>
      <c r="AD101" s="93"/>
      <c r="AE101" s="93"/>
      <c r="AF101" s="616"/>
      <c r="AG101" s="93"/>
      <c r="AH101" s="93"/>
      <c r="AI101" s="585" t="str">
        <f aca="false" t="array" ref="AI101:AI101">IF(ISNA(INDEX(Source!$U$7:$U$95,MATCH(AJ101,Source!$V$7:$V$95,0))),"-",INDEX(Source!$U$7:$U$95,MATCH(AJ101,Source!$V$7:$V$95,0)))</f>
        <v>-</v>
      </c>
      <c r="AJ101" s="586" t="s">
        <v>1475</v>
      </c>
      <c r="AK101" s="182" t="s">
        <v>1110</v>
      </c>
      <c r="AL101" s="93"/>
      <c r="AM101" s="93"/>
      <c r="AN101" s="616"/>
      <c r="AO101" s="93"/>
      <c r="AP101" s="93"/>
      <c r="AQ101" s="93"/>
      <c r="AR101" s="616"/>
      <c r="AS101" s="93"/>
      <c r="AT101" s="93"/>
      <c r="AU101" s="93"/>
      <c r="AV101" s="616"/>
      <c r="AW101" s="93"/>
      <c r="AX101" s="93"/>
      <c r="AY101" s="585" t="str">
        <f aca="false" t="array" ref="AY101:AY101">IF(ISNA(INDEX(Source!$U$7:$U$95,MATCH(AZ101,Source!$V$7:$V$95,0))),"-",INDEX(Source!$U$7:$U$95,MATCH(AZ101,Source!$V$7:$V$95,0)))</f>
        <v>-</v>
      </c>
      <c r="AZ101" s="617" t="s">
        <v>673</v>
      </c>
      <c r="BA101" s="182" t="s">
        <v>1115</v>
      </c>
      <c r="BB101" s="507"/>
      <c r="BC101" s="507"/>
      <c r="BD101" s="507"/>
    </row>
    <row r="102" customFormat="false" ht="15.75" hidden="false" customHeight="false" outlineLevel="0" collapsed="false">
      <c r="A102" s="589" t="s">
        <v>1476</v>
      </c>
      <c r="B102" s="589"/>
      <c r="C102" s="589"/>
      <c r="D102" s="610" t="s">
        <v>839</v>
      </c>
      <c r="E102" s="591" t="s">
        <v>1117</v>
      </c>
      <c r="F102" s="582" t="n">
        <v>5</v>
      </c>
      <c r="G102" s="582" t="s">
        <v>1422</v>
      </c>
      <c r="H102" s="592" t="n">
        <v>0.3</v>
      </c>
      <c r="I102" s="593"/>
      <c r="J102" s="589" t="s">
        <v>1477</v>
      </c>
      <c r="K102" s="589"/>
      <c r="L102" s="589"/>
      <c r="M102" s="594" t="s">
        <v>839</v>
      </c>
      <c r="N102" s="581" t="s">
        <v>1200</v>
      </c>
      <c r="O102" s="582" t="n">
        <v>30</v>
      </c>
      <c r="P102" s="583" t="s">
        <v>1120</v>
      </c>
      <c r="Q102" s="595"/>
      <c r="R102" s="93"/>
      <c r="S102" s="585" t="str">
        <f aca="false" t="array" ref="S102:S102">IF(ISNA(INDEX(Source!$U$7:$U$95,MATCH(T102,Source!$V$7:$V$95,0))),"-",INDEX(Source!$U$7:$U$95,MATCH(T102,Source!$V$7:$V$95,0)))</f>
        <v>-</v>
      </c>
      <c r="T102" s="586" t="s">
        <v>748</v>
      </c>
      <c r="U102" s="182" t="s">
        <v>1106</v>
      </c>
      <c r="V102" s="93"/>
      <c r="W102" s="93"/>
      <c r="X102" s="616"/>
      <c r="Y102" s="93"/>
      <c r="Z102" s="93"/>
      <c r="AA102" s="93"/>
      <c r="AB102" s="616"/>
      <c r="AC102" s="93"/>
      <c r="AD102" s="93"/>
      <c r="AE102" s="93"/>
      <c r="AF102" s="616"/>
      <c r="AG102" s="93"/>
      <c r="AH102" s="93"/>
      <c r="AI102" s="585" t="str">
        <f aca="false" t="array" ref="AI102:AI102">IF(ISNA(INDEX(Source!$U$7:$U$95,MATCH(AJ102,Source!$V$7:$V$95,0))),"-",INDEX(Source!$U$7:$U$95,MATCH(AJ102,Source!$V$7:$V$95,0)))</f>
        <v>SGP</v>
      </c>
      <c r="AJ102" s="586" t="s">
        <v>93</v>
      </c>
      <c r="AK102" s="182" t="s">
        <v>1110</v>
      </c>
      <c r="AL102" s="93"/>
      <c r="AM102" s="93"/>
      <c r="AN102" s="616"/>
      <c r="AO102" s="93"/>
      <c r="AP102" s="93"/>
      <c r="AQ102" s="93"/>
      <c r="AR102" s="616"/>
      <c r="AS102" s="93"/>
      <c r="AT102" s="93"/>
      <c r="AU102" s="93"/>
      <c r="AV102" s="616"/>
      <c r="AW102" s="93"/>
      <c r="AX102" s="93"/>
      <c r="AY102" s="585" t="str">
        <f aca="false" t="array" ref="AY102:AY102">IF(ISNA(INDEX(Source!$U$7:$U$95,MATCH(AZ102,Source!$V$7:$V$95,0))),"-",INDEX(Source!$U$7:$U$95,MATCH(AZ102,Source!$V$7:$V$95,0)))</f>
        <v>-</v>
      </c>
      <c r="AZ102" s="617" t="s">
        <v>1290</v>
      </c>
      <c r="BA102" s="182" t="s">
        <v>1115</v>
      </c>
      <c r="BB102" s="507"/>
      <c r="BC102" s="507"/>
      <c r="BD102" s="507"/>
    </row>
    <row r="103" customFormat="false" ht="15.75" hidden="false" customHeight="false" outlineLevel="0" collapsed="false">
      <c r="A103" s="589" t="s">
        <v>1478</v>
      </c>
      <c r="B103" s="589"/>
      <c r="C103" s="589"/>
      <c r="D103" s="629" t="s">
        <v>843</v>
      </c>
      <c r="E103" s="591" t="s">
        <v>1117</v>
      </c>
      <c r="F103" s="582" t="n">
        <v>5</v>
      </c>
      <c r="G103" s="582" t="n">
        <v>120</v>
      </c>
      <c r="H103" s="592" t="n">
        <v>0.8</v>
      </c>
      <c r="I103" s="593"/>
      <c r="J103" s="589" t="s">
        <v>1479</v>
      </c>
      <c r="K103" s="589"/>
      <c r="L103" s="589"/>
      <c r="M103" s="604" t="s">
        <v>803</v>
      </c>
      <c r="N103" s="581" t="s">
        <v>1149</v>
      </c>
      <c r="O103" s="582" t="n">
        <v>10</v>
      </c>
      <c r="P103" s="592" t="n">
        <v>0.9</v>
      </c>
      <c r="Q103" s="595"/>
      <c r="R103" s="93"/>
      <c r="S103" s="585" t="str">
        <f aca="false" t="array" ref="S103:S103">IF(ISNA(INDEX(Source!$U$7:$U$95,MATCH(T103,Source!$V$7:$V$95,0))),"-",INDEX(Source!$U$7:$U$95,MATCH(T103,Source!$V$7:$V$95,0)))</f>
        <v>-</v>
      </c>
      <c r="T103" s="586" t="s">
        <v>285</v>
      </c>
      <c r="U103" s="182" t="s">
        <v>1106</v>
      </c>
      <c r="V103" s="93"/>
      <c r="W103" s="93"/>
      <c r="X103" s="616"/>
      <c r="Y103" s="93"/>
      <c r="Z103" s="93"/>
      <c r="AA103" s="93"/>
      <c r="AB103" s="616"/>
      <c r="AC103" s="93"/>
      <c r="AD103" s="93"/>
      <c r="AE103" s="93"/>
      <c r="AF103" s="616"/>
      <c r="AG103" s="93"/>
      <c r="AH103" s="93"/>
      <c r="AI103" s="585" t="str">
        <f aca="false" t="array" ref="AI103:AI103">IF(ISNA(INDEX(Source!$U$7:$U$95,MATCH(AJ103,Source!$V$7:$V$95,0))),"-",INDEX(Source!$U$7:$U$95,MATCH(AJ103,Source!$V$7:$V$95,0)))</f>
        <v>-</v>
      </c>
      <c r="AJ103" s="586" t="s">
        <v>1399</v>
      </c>
      <c r="AK103" s="182" t="s">
        <v>1110</v>
      </c>
      <c r="AL103" s="93"/>
      <c r="AM103" s="93"/>
      <c r="AN103" s="616"/>
      <c r="AO103" s="93"/>
      <c r="AP103" s="93"/>
      <c r="AQ103" s="93"/>
      <c r="AR103" s="616"/>
      <c r="AS103" s="93"/>
      <c r="AT103" s="93"/>
      <c r="AU103" s="93"/>
      <c r="AV103" s="616"/>
      <c r="AW103" s="93"/>
      <c r="AX103" s="93"/>
      <c r="AY103" s="585" t="str">
        <f aca="false" t="array" ref="AY103:AY103">IF(ISNA(INDEX(Source!$U$7:$U$95,MATCH(AZ103,Source!$V$7:$V$95,0))),"-",INDEX(Source!$U$7:$U$95,MATCH(AZ103,Source!$V$7:$V$95,0)))</f>
        <v>-</v>
      </c>
      <c r="AZ103" s="617" t="s">
        <v>672</v>
      </c>
      <c r="BA103" s="182" t="s">
        <v>1115</v>
      </c>
      <c r="BB103" s="507"/>
      <c r="BC103" s="507"/>
      <c r="BD103" s="507"/>
    </row>
    <row r="104" customFormat="false" ht="15.75" hidden="false" customHeight="false" outlineLevel="0" collapsed="false">
      <c r="A104" s="589" t="s">
        <v>1480</v>
      </c>
      <c r="B104" s="589"/>
      <c r="C104" s="589"/>
      <c r="D104" s="597" t="s">
        <v>810</v>
      </c>
      <c r="E104" s="591" t="s">
        <v>1117</v>
      </c>
      <c r="F104" s="582" t="n">
        <v>5</v>
      </c>
      <c r="G104" s="582" t="s">
        <v>1183</v>
      </c>
      <c r="H104" s="592" t="n">
        <v>1</v>
      </c>
      <c r="I104" s="593"/>
      <c r="J104" s="589" t="s">
        <v>1481</v>
      </c>
      <c r="K104" s="589"/>
      <c r="L104" s="589"/>
      <c r="M104" s="594" t="s">
        <v>839</v>
      </c>
      <c r="N104" s="581" t="s">
        <v>1185</v>
      </c>
      <c r="O104" s="582" t="n">
        <v>30</v>
      </c>
      <c r="P104" s="592" t="n">
        <v>1</v>
      </c>
      <c r="Q104" s="595"/>
      <c r="R104" s="93"/>
      <c r="S104" s="585" t="str">
        <f aca="false" t="array" ref="S104:S104">IF(ISNA(INDEX(Source!$U$7:$U$95,MATCH(T104,Source!$V$7:$V$95,0))),"-",INDEX(Source!$U$7:$U$95,MATCH(T104,Source!$V$7:$V$95,0)))</f>
        <v>SGP</v>
      </c>
      <c r="T104" s="586" t="s">
        <v>16</v>
      </c>
      <c r="U104" s="182" t="s">
        <v>1106</v>
      </c>
      <c r="V104" s="93"/>
      <c r="W104" s="93"/>
      <c r="X104" s="616"/>
      <c r="Y104" s="93"/>
      <c r="Z104" s="93"/>
      <c r="AA104" s="93"/>
      <c r="AB104" s="616"/>
      <c r="AC104" s="93"/>
      <c r="AD104" s="93"/>
      <c r="AE104" s="93"/>
      <c r="AF104" s="616"/>
      <c r="AG104" s="93"/>
      <c r="AH104" s="93"/>
      <c r="AI104" s="585" t="str">
        <f aca="false" t="array" ref="AI104:AI104">IF(ISNA(INDEX(Source!$U$7:$U$95,MATCH(AJ104,Source!$V$7:$V$95,0))),"-",INDEX(Source!$U$7:$U$95,MATCH(AJ104,Source!$V$7:$V$95,0)))</f>
        <v>-</v>
      </c>
      <c r="AJ104" s="586" t="s">
        <v>532</v>
      </c>
      <c r="AK104" s="182" t="s">
        <v>1110</v>
      </c>
      <c r="AL104" s="93"/>
      <c r="AM104" s="93"/>
      <c r="AN104" s="616"/>
      <c r="AO104" s="93"/>
      <c r="AP104" s="93"/>
      <c r="AQ104" s="93"/>
      <c r="AR104" s="616"/>
      <c r="AS104" s="93"/>
      <c r="AT104" s="93"/>
      <c r="AU104" s="93"/>
      <c r="AV104" s="616"/>
      <c r="AW104" s="93"/>
      <c r="AX104" s="93"/>
      <c r="AY104" s="585" t="str">
        <f aca="false" t="array" ref="AY104:AY104">IF(ISNA(INDEX(Source!$U$7:$U$95,MATCH(AZ104,Source!$V$7:$V$95,0))),"-",INDEX(Source!$U$7:$U$95,MATCH(AZ104,Source!$V$7:$V$95,0)))</f>
        <v>-</v>
      </c>
      <c r="AZ104" s="617" t="s">
        <v>681</v>
      </c>
      <c r="BA104" s="182" t="s">
        <v>1115</v>
      </c>
      <c r="BB104" s="507"/>
      <c r="BC104" s="507"/>
      <c r="BD104" s="507"/>
    </row>
    <row r="105" customFormat="false" ht="15.75" hidden="false" customHeight="false" outlineLevel="0" collapsed="false">
      <c r="A105" s="589" t="s">
        <v>1482</v>
      </c>
      <c r="B105" s="589"/>
      <c r="C105" s="589"/>
      <c r="D105" s="600" t="s">
        <v>881</v>
      </c>
      <c r="E105" s="591" t="s">
        <v>1117</v>
      </c>
      <c r="F105" s="582" t="n">
        <v>10</v>
      </c>
      <c r="G105" s="582" t="n">
        <v>100</v>
      </c>
      <c r="H105" s="592" t="n">
        <v>0.9</v>
      </c>
      <c r="I105" s="593"/>
      <c r="J105" s="589" t="s">
        <v>1483</v>
      </c>
      <c r="K105" s="589"/>
      <c r="L105" s="589"/>
      <c r="M105" s="598" t="s">
        <v>828</v>
      </c>
      <c r="N105" s="581" t="s">
        <v>1170</v>
      </c>
      <c r="O105" s="582" t="n">
        <v>30</v>
      </c>
      <c r="P105" s="583" t="s">
        <v>1120</v>
      </c>
      <c r="Q105" s="595"/>
      <c r="R105" s="93"/>
      <c r="S105" s="585" t="str">
        <f aca="false" t="array" ref="S105:S105">IF(ISNA(INDEX(Source!$U$7:$U$95,MATCH(T105,Source!$V$7:$V$95,0))),"-",INDEX(Source!$U$7:$U$95,MATCH(T105,Source!$V$7:$V$95,0)))</f>
        <v>-</v>
      </c>
      <c r="T105" s="586" t="s">
        <v>323</v>
      </c>
      <c r="U105" s="182" t="s">
        <v>1106</v>
      </c>
      <c r="V105" s="93"/>
      <c r="W105" s="93"/>
      <c r="X105" s="616"/>
      <c r="Y105" s="93"/>
      <c r="Z105" s="93"/>
      <c r="AA105" s="93"/>
      <c r="AB105" s="616"/>
      <c r="AC105" s="93"/>
      <c r="AD105" s="93"/>
      <c r="AE105" s="93"/>
      <c r="AF105" s="616"/>
      <c r="AG105" s="93"/>
      <c r="AH105" s="93"/>
      <c r="AI105" s="585" t="str">
        <f aca="false" t="array" ref="AI105:AI105">IF(ISNA(INDEX(Source!$U$7:$U$95,MATCH(AJ105,Source!$V$7:$V$95,0))),"-",INDEX(Source!$U$7:$U$95,MATCH(AJ105,Source!$V$7:$V$95,0)))</f>
        <v>-</v>
      </c>
      <c r="AJ105" s="586" t="s">
        <v>765</v>
      </c>
      <c r="AK105" s="182" t="s">
        <v>1110</v>
      </c>
      <c r="AL105" s="93"/>
      <c r="AM105" s="93"/>
      <c r="AN105" s="616"/>
      <c r="AO105" s="93"/>
      <c r="AP105" s="93"/>
      <c r="AQ105" s="93"/>
      <c r="AR105" s="616"/>
      <c r="AS105" s="93"/>
      <c r="AT105" s="93"/>
      <c r="AU105" s="93"/>
      <c r="AV105" s="616"/>
      <c r="AW105" s="93"/>
      <c r="AX105" s="93"/>
      <c r="AY105" s="585" t="str">
        <f aca="false" t="array" ref="AY105:AY105">IF(ISNA(INDEX(Source!$U$7:$U$95,MATCH(AZ105,Source!$V$7:$V$95,0))),"-",INDEX(Source!$U$7:$U$95,MATCH(AZ105,Source!$V$7:$V$95,0)))</f>
        <v>-</v>
      </c>
      <c r="AZ105" s="617" t="s">
        <v>694</v>
      </c>
      <c r="BA105" s="182" t="s">
        <v>1115</v>
      </c>
      <c r="BB105" s="507"/>
      <c r="BC105" s="507"/>
      <c r="BD105" s="507"/>
    </row>
    <row r="106" customFormat="false" ht="15.75" hidden="false" customHeight="false" outlineLevel="0" collapsed="false">
      <c r="A106" s="589" t="s">
        <v>1484</v>
      </c>
      <c r="B106" s="589"/>
      <c r="C106" s="589"/>
      <c r="D106" s="610" t="s">
        <v>839</v>
      </c>
      <c r="E106" s="591" t="s">
        <v>1117</v>
      </c>
      <c r="F106" s="582" t="n">
        <v>15</v>
      </c>
      <c r="G106" s="582" t="n">
        <v>120</v>
      </c>
      <c r="H106" s="592" t="n">
        <v>1</v>
      </c>
      <c r="I106" s="593"/>
      <c r="J106" s="589" t="s">
        <v>1485</v>
      </c>
      <c r="K106" s="589"/>
      <c r="L106" s="589"/>
      <c r="M106" s="594" t="s">
        <v>839</v>
      </c>
      <c r="N106" s="581" t="s">
        <v>1200</v>
      </c>
      <c r="O106" s="582" t="n">
        <v>5</v>
      </c>
      <c r="P106" s="592" t="n">
        <v>1</v>
      </c>
      <c r="Q106" s="595"/>
      <c r="R106" s="93"/>
      <c r="S106" s="585" t="str">
        <f aca="false" t="array" ref="S106:S106">IF(ISNA(INDEX(Source!$U$7:$U$95,MATCH(T106,Source!$V$7:$V$95,0))),"-",INDEX(Source!$U$7:$U$95,MATCH(T106,Source!$V$7:$V$95,0)))</f>
        <v>KKS</v>
      </c>
      <c r="T106" s="586" t="s">
        <v>84</v>
      </c>
      <c r="U106" s="182" t="s">
        <v>1106</v>
      </c>
      <c r="V106" s="93"/>
      <c r="W106" s="93"/>
      <c r="X106" s="616"/>
      <c r="Y106" s="93"/>
      <c r="Z106" s="93"/>
      <c r="AA106" s="93"/>
      <c r="AB106" s="616"/>
      <c r="AC106" s="93"/>
      <c r="AD106" s="93"/>
      <c r="AE106" s="93"/>
      <c r="AF106" s="616"/>
      <c r="AG106" s="93"/>
      <c r="AH106" s="93"/>
      <c r="AI106" s="585" t="str">
        <f aca="false" t="array" ref="AI106:AI106">IF(ISNA(INDEX(Source!$U$7:$U$95,MATCH(AJ106,Source!$V$7:$V$95,0))),"-",INDEX(Source!$U$7:$U$95,MATCH(AJ106,Source!$V$7:$V$95,0)))</f>
        <v>-</v>
      </c>
      <c r="AJ106" s="586" t="s">
        <v>766</v>
      </c>
      <c r="AK106" s="182" t="s">
        <v>1110</v>
      </c>
      <c r="AL106" s="93"/>
      <c r="AM106" s="93"/>
      <c r="AN106" s="616"/>
      <c r="AO106" s="93"/>
      <c r="AP106" s="93"/>
      <c r="AQ106" s="93"/>
      <c r="AR106" s="616"/>
      <c r="AS106" s="93"/>
      <c r="AT106" s="93"/>
      <c r="AU106" s="93"/>
      <c r="AV106" s="616"/>
      <c r="AW106" s="93"/>
      <c r="AX106" s="93"/>
      <c r="AY106" s="613" t="str">
        <f aca="false" t="array" ref="AY106:AY106">IF(ISNA(INDEX(Source!$U$7:$U$95,MATCH(AZ106,Source!$V$7:$V$95,0))),"-",INDEX(Source!$U$7:$U$95,MATCH(AZ106,Source!$V$7:$V$95,0)))</f>
        <v>-</v>
      </c>
      <c r="AZ106" s="637" t="s">
        <v>470</v>
      </c>
      <c r="BA106" s="193" t="s">
        <v>1115</v>
      </c>
      <c r="BB106" s="507"/>
      <c r="BC106" s="507"/>
      <c r="BD106" s="507"/>
    </row>
    <row r="107" customFormat="false" ht="15.75" hidden="false" customHeight="false" outlineLevel="0" collapsed="false">
      <c r="A107" s="589" t="s">
        <v>1486</v>
      </c>
      <c r="B107" s="589"/>
      <c r="C107" s="589"/>
      <c r="D107" s="633" t="s">
        <v>809</v>
      </c>
      <c r="E107" s="591" t="s">
        <v>1117</v>
      </c>
      <c r="F107" s="582" t="n">
        <v>5</v>
      </c>
      <c r="G107" s="582" t="n">
        <v>150</v>
      </c>
      <c r="H107" s="592" t="n">
        <v>0.8</v>
      </c>
      <c r="I107" s="593"/>
      <c r="J107" s="589" t="s">
        <v>1487</v>
      </c>
      <c r="K107" s="589"/>
      <c r="L107" s="589"/>
      <c r="M107" s="594" t="s">
        <v>839</v>
      </c>
      <c r="N107" s="581" t="s">
        <v>1166</v>
      </c>
      <c r="O107" s="582" t="n">
        <v>10</v>
      </c>
      <c r="P107" s="592" t="n">
        <v>0.75</v>
      </c>
      <c r="Q107" s="595"/>
      <c r="R107" s="93"/>
      <c r="S107" s="585" t="str">
        <f aca="false" t="array" ref="S107:S107">IF(ISNA(INDEX(Source!$U$7:$U$95,MATCH(T107,Source!$V$7:$V$95,0))),"-",INDEX(Source!$U$7:$U$95,MATCH(T107,Source!$V$7:$V$95,0)))</f>
        <v>-</v>
      </c>
      <c r="T107" s="586" t="s">
        <v>1488</v>
      </c>
      <c r="U107" s="182" t="s">
        <v>1106</v>
      </c>
      <c r="V107" s="93"/>
      <c r="W107" s="93"/>
      <c r="X107" s="616"/>
      <c r="Y107" s="93"/>
      <c r="Z107" s="93"/>
      <c r="AA107" s="93"/>
      <c r="AB107" s="616"/>
      <c r="AC107" s="93"/>
      <c r="AD107" s="93"/>
      <c r="AE107" s="93"/>
      <c r="AF107" s="616"/>
      <c r="AG107" s="93"/>
      <c r="AH107" s="93"/>
      <c r="AI107" s="585" t="str">
        <f aca="false" t="array" ref="AI107:AI107">IF(ISNA(INDEX(Source!$U$7:$U$95,MATCH(AJ107,Source!$V$7:$V$95,0))),"-",INDEX(Source!$U$7:$U$95,MATCH(AJ107,Source!$V$7:$V$95,0)))</f>
        <v>-</v>
      </c>
      <c r="AJ107" s="586" t="s">
        <v>98</v>
      </c>
      <c r="AK107" s="182" t="s">
        <v>1110</v>
      </c>
      <c r="AL107" s="93"/>
      <c r="AM107" s="93"/>
      <c r="AN107" s="616"/>
      <c r="AO107" s="93"/>
      <c r="AP107" s="93"/>
      <c r="AQ107" s="93"/>
      <c r="AR107" s="616"/>
      <c r="AS107" s="93"/>
      <c r="AT107" s="93"/>
      <c r="AU107" s="93"/>
      <c r="AV107" s="616"/>
      <c r="AW107" s="93"/>
      <c r="AX107" s="93"/>
      <c r="AY107" s="93"/>
      <c r="AZ107" s="93"/>
      <c r="BA107" s="93"/>
      <c r="BB107" s="638"/>
      <c r="BC107" s="638"/>
      <c r="BD107" s="638"/>
    </row>
    <row r="108" customFormat="false" ht="15.75" hidden="false" customHeight="false" outlineLevel="0" collapsed="false">
      <c r="A108" s="589" t="s">
        <v>1489</v>
      </c>
      <c r="B108" s="589"/>
      <c r="C108" s="589"/>
      <c r="D108" s="610" t="s">
        <v>839</v>
      </c>
      <c r="E108" s="591" t="s">
        <v>1117</v>
      </c>
      <c r="F108" s="582" t="n">
        <v>15</v>
      </c>
      <c r="G108" s="582" t="n">
        <v>70</v>
      </c>
      <c r="H108" s="592" t="n">
        <v>1</v>
      </c>
      <c r="I108" s="593"/>
      <c r="J108" s="589" t="s">
        <v>1490</v>
      </c>
      <c r="K108" s="589"/>
      <c r="L108" s="589"/>
      <c r="M108" s="594" t="s">
        <v>839</v>
      </c>
      <c r="N108" s="581" t="s">
        <v>1200</v>
      </c>
      <c r="O108" s="582" t="n">
        <v>30</v>
      </c>
      <c r="P108" s="583" t="s">
        <v>1120</v>
      </c>
      <c r="Q108" s="595"/>
      <c r="R108" s="93"/>
      <c r="S108" s="585" t="str">
        <f aca="false" t="array" ref="S108:S108">IF(ISNA(INDEX(Source!$U$7:$U$95,MATCH(T108,Source!$V$7:$V$95,0))),"-",INDEX(Source!$U$7:$U$95,MATCH(T108,Source!$V$7:$V$95,0)))</f>
        <v>-</v>
      </c>
      <c r="T108" s="586" t="s">
        <v>330</v>
      </c>
      <c r="U108" s="182" t="s">
        <v>1106</v>
      </c>
      <c r="V108" s="93"/>
      <c r="W108" s="93"/>
      <c r="X108" s="616"/>
      <c r="Y108" s="93"/>
      <c r="Z108" s="93"/>
      <c r="AA108" s="93"/>
      <c r="AB108" s="616"/>
      <c r="AC108" s="93"/>
      <c r="AD108" s="93"/>
      <c r="AE108" s="93"/>
      <c r="AF108" s="616"/>
      <c r="AG108" s="93"/>
      <c r="AH108" s="93"/>
      <c r="AI108" s="585" t="str">
        <f aca="false" t="array" ref="AI108:AI108">IF(ISNA(INDEX(Source!$U$7:$U$95,MATCH(AJ108,Source!$V$7:$V$95,0))),"-",INDEX(Source!$U$7:$U$95,MATCH(AJ108,Source!$V$7:$V$95,0)))</f>
        <v>-</v>
      </c>
      <c r="AJ108" s="586" t="s">
        <v>752</v>
      </c>
      <c r="AK108" s="182" t="s">
        <v>1110</v>
      </c>
      <c r="AL108" s="93"/>
      <c r="AM108" s="93"/>
      <c r="AN108" s="616"/>
      <c r="AO108" s="93"/>
      <c r="AP108" s="93"/>
      <c r="AQ108" s="93"/>
      <c r="AR108" s="616"/>
      <c r="AS108" s="93"/>
      <c r="AT108" s="93"/>
      <c r="AU108" s="93"/>
      <c r="AV108" s="616"/>
      <c r="AW108" s="93"/>
      <c r="AX108" s="93"/>
      <c r="AY108" s="93"/>
      <c r="AZ108" s="93"/>
      <c r="BA108" s="93"/>
      <c r="BB108" s="638"/>
      <c r="BC108" s="638"/>
      <c r="BD108" s="638"/>
    </row>
    <row r="109" customFormat="false" ht="15.75" hidden="false" customHeight="false" outlineLevel="0" collapsed="false">
      <c r="A109" s="589" t="s">
        <v>1491</v>
      </c>
      <c r="B109" s="589"/>
      <c r="C109" s="589"/>
      <c r="D109" s="639" t="s">
        <v>828</v>
      </c>
      <c r="E109" s="591" t="s">
        <v>1117</v>
      </c>
      <c r="F109" s="582" t="n">
        <v>25</v>
      </c>
      <c r="G109" s="582" t="n">
        <v>60</v>
      </c>
      <c r="H109" s="592" t="n">
        <v>1</v>
      </c>
      <c r="I109" s="593"/>
      <c r="J109" s="589" t="s">
        <v>1492</v>
      </c>
      <c r="K109" s="589"/>
      <c r="L109" s="589"/>
      <c r="M109" s="598" t="s">
        <v>828</v>
      </c>
      <c r="N109" s="581" t="s">
        <v>1149</v>
      </c>
      <c r="O109" s="582" t="n">
        <v>10</v>
      </c>
      <c r="P109" s="583" t="s">
        <v>1120</v>
      </c>
      <c r="Q109" s="595"/>
      <c r="R109" s="93"/>
      <c r="S109" s="585" t="str">
        <f aca="false" t="array" ref="S109:S109">IF(ISNA(INDEX(Source!$U$7:$U$95,MATCH(T109,Source!$V$7:$V$95,0))),"-",INDEX(Source!$U$7:$U$95,MATCH(T109,Source!$V$7:$V$95,0)))</f>
        <v>-</v>
      </c>
      <c r="T109" s="586" t="s">
        <v>1332</v>
      </c>
      <c r="U109" s="182" t="s">
        <v>1106</v>
      </c>
      <c r="V109" s="93"/>
      <c r="W109" s="93"/>
      <c r="X109" s="616"/>
      <c r="Y109" s="93"/>
      <c r="Z109" s="93"/>
      <c r="AA109" s="93"/>
      <c r="AB109" s="616"/>
      <c r="AC109" s="93"/>
      <c r="AD109" s="93"/>
      <c r="AE109" s="93"/>
      <c r="AF109" s="616"/>
      <c r="AG109" s="93"/>
      <c r="AH109" s="93"/>
      <c r="AI109" s="585" t="str">
        <f aca="false" t="array" ref="AI109:AI109">IF(ISNA(INDEX(Source!$U$7:$U$95,MATCH(AJ109,Source!$V$7:$V$95,0))),"-",INDEX(Source!$U$7:$U$95,MATCH(AJ109,Source!$V$7:$V$95,0)))</f>
        <v>JVJ</v>
      </c>
      <c r="AJ109" s="586" t="s">
        <v>125</v>
      </c>
      <c r="AK109" s="182" t="s">
        <v>1110</v>
      </c>
      <c r="AL109" s="93"/>
      <c r="AM109" s="93"/>
      <c r="AN109" s="616"/>
      <c r="AO109" s="93"/>
      <c r="AP109" s="93"/>
      <c r="AQ109" s="93"/>
      <c r="AR109" s="616"/>
      <c r="AS109" s="93"/>
      <c r="AT109" s="93"/>
      <c r="AU109" s="93"/>
      <c r="AV109" s="616"/>
      <c r="AW109" s="93"/>
      <c r="AX109" s="93"/>
      <c r="AY109" s="93"/>
      <c r="AZ109" s="93"/>
      <c r="BA109" s="93"/>
      <c r="BB109" s="638"/>
      <c r="BC109" s="638"/>
      <c r="BD109" s="638"/>
    </row>
    <row r="110" customFormat="false" ht="15.75" hidden="false" customHeight="false" outlineLevel="0" collapsed="false">
      <c r="A110" s="589" t="s">
        <v>1493</v>
      </c>
      <c r="B110" s="589"/>
      <c r="C110" s="589"/>
      <c r="D110" s="618" t="s">
        <v>800</v>
      </c>
      <c r="E110" s="591" t="s">
        <v>1117</v>
      </c>
      <c r="F110" s="582" t="n">
        <v>10</v>
      </c>
      <c r="G110" s="582" t="s">
        <v>1183</v>
      </c>
      <c r="H110" s="592" t="n">
        <v>1</v>
      </c>
      <c r="I110" s="593"/>
      <c r="J110" s="589" t="s">
        <v>1494</v>
      </c>
      <c r="K110" s="589"/>
      <c r="L110" s="589"/>
      <c r="M110" s="598" t="s">
        <v>828</v>
      </c>
      <c r="N110" s="581" t="s">
        <v>1200</v>
      </c>
      <c r="O110" s="582" t="n">
        <v>15</v>
      </c>
      <c r="P110" s="583" t="s">
        <v>1120</v>
      </c>
      <c r="Q110" s="595"/>
      <c r="R110" s="93"/>
      <c r="S110" s="585" t="str">
        <f aca="false" t="array" ref="S110:S110">IF(ISNA(INDEX(Source!$U$7:$U$95,MATCH(T110,Source!$V$7:$V$95,0))),"-",INDEX(Source!$U$7:$U$95,MATCH(T110,Source!$V$7:$V$95,0)))</f>
        <v>-</v>
      </c>
      <c r="T110" s="586" t="s">
        <v>579</v>
      </c>
      <c r="U110" s="182" t="s">
        <v>1106</v>
      </c>
      <c r="V110" s="93"/>
      <c r="W110" s="93"/>
      <c r="X110" s="616"/>
      <c r="Y110" s="93"/>
      <c r="Z110" s="93"/>
      <c r="AA110" s="93"/>
      <c r="AB110" s="616"/>
      <c r="AC110" s="93"/>
      <c r="AD110" s="93"/>
      <c r="AE110" s="93"/>
      <c r="AF110" s="616"/>
      <c r="AG110" s="93"/>
      <c r="AH110" s="93"/>
      <c r="AI110" s="585" t="str">
        <f aca="false" t="array" ref="AI110:AI110">IF(ISNA(INDEX(Source!$U$7:$U$95,MATCH(AJ110,Source!$V$7:$V$95,0))),"-",INDEX(Source!$U$7:$U$95,MATCH(AJ110,Source!$V$7:$V$95,0)))</f>
        <v>-</v>
      </c>
      <c r="AJ110" s="586" t="s">
        <v>1495</v>
      </c>
      <c r="AK110" s="182" t="s">
        <v>1110</v>
      </c>
      <c r="AL110" s="93"/>
      <c r="AM110" s="93"/>
      <c r="AN110" s="616"/>
      <c r="AO110" s="93"/>
      <c r="AP110" s="93"/>
      <c r="AQ110" s="93"/>
      <c r="AR110" s="616"/>
      <c r="AS110" s="93"/>
      <c r="AT110" s="93"/>
      <c r="AU110" s="93"/>
      <c r="AV110" s="616"/>
      <c r="AW110" s="93"/>
      <c r="AX110" s="93"/>
      <c r="AY110" s="93"/>
      <c r="AZ110" s="93"/>
      <c r="BA110" s="93"/>
      <c r="BB110" s="638"/>
      <c r="BC110" s="638"/>
      <c r="BD110" s="638"/>
    </row>
    <row r="111" customFormat="false" ht="15.75" hidden="false" customHeight="false" outlineLevel="0" collapsed="false">
      <c r="A111" s="589" t="s">
        <v>1496</v>
      </c>
      <c r="B111" s="589"/>
      <c r="C111" s="589"/>
      <c r="D111" s="597" t="s">
        <v>810</v>
      </c>
      <c r="E111" s="591" t="s">
        <v>1117</v>
      </c>
      <c r="F111" s="582" t="n">
        <v>10</v>
      </c>
      <c r="G111" s="582" t="s">
        <v>1183</v>
      </c>
      <c r="H111" s="592" t="n">
        <v>1</v>
      </c>
      <c r="I111" s="593"/>
      <c r="J111" s="589" t="s">
        <v>1497</v>
      </c>
      <c r="K111" s="589"/>
      <c r="L111" s="589"/>
      <c r="M111" s="598" t="s">
        <v>828</v>
      </c>
      <c r="N111" s="581" t="s">
        <v>1328</v>
      </c>
      <c r="O111" s="582" t="n">
        <v>10</v>
      </c>
      <c r="P111" s="583" t="s">
        <v>1120</v>
      </c>
      <c r="Q111" s="595"/>
      <c r="R111" s="93"/>
      <c r="S111" s="585" t="str">
        <f aca="false" t="array" ref="S111:S111">IF(ISNA(INDEX(Source!$U$7:$U$95,MATCH(T111,Source!$V$7:$V$95,0))),"-",INDEX(Source!$U$7:$U$95,MATCH(T111,Source!$V$7:$V$95,0)))</f>
        <v>JVJ</v>
      </c>
      <c r="T111" s="586" t="s">
        <v>94</v>
      </c>
      <c r="U111" s="182" t="s">
        <v>1106</v>
      </c>
      <c r="V111" s="93"/>
      <c r="W111" s="93"/>
      <c r="X111" s="616"/>
      <c r="Y111" s="93"/>
      <c r="Z111" s="93"/>
      <c r="AA111" s="93"/>
      <c r="AB111" s="616"/>
      <c r="AC111" s="93"/>
      <c r="AD111" s="93"/>
      <c r="AE111" s="93"/>
      <c r="AF111" s="616"/>
      <c r="AG111" s="93"/>
      <c r="AH111" s="93"/>
      <c r="AI111" s="585" t="str">
        <f aca="false" t="array" ref="AI111:AI111">IF(ISNA(INDEX(Source!$U$7:$U$95,MATCH(AJ111,Source!$V$7:$V$95,0))),"-",INDEX(Source!$U$7:$U$95,MATCH(AJ111,Source!$V$7:$V$95,0)))</f>
        <v>SEA</v>
      </c>
      <c r="AJ111" s="586" t="s">
        <v>40</v>
      </c>
      <c r="AK111" s="182" t="s">
        <v>1110</v>
      </c>
      <c r="AL111" s="93"/>
      <c r="AM111" s="93"/>
      <c r="AN111" s="616"/>
      <c r="AO111" s="93"/>
      <c r="AP111" s="93"/>
      <c r="AQ111" s="93"/>
      <c r="AR111" s="616"/>
      <c r="AS111" s="93"/>
      <c r="AT111" s="93"/>
      <c r="AU111" s="93"/>
      <c r="AV111" s="616"/>
      <c r="AW111" s="93"/>
      <c r="AX111" s="93"/>
      <c r="AY111" s="93"/>
      <c r="AZ111" s="93"/>
      <c r="BA111" s="93"/>
      <c r="BB111" s="638"/>
      <c r="BC111" s="638"/>
      <c r="BD111" s="638"/>
    </row>
    <row r="112" customFormat="false" ht="15.75" hidden="false" customHeight="false" outlineLevel="0" collapsed="false">
      <c r="A112" s="589" t="s">
        <v>1498</v>
      </c>
      <c r="B112" s="589"/>
      <c r="C112" s="589"/>
      <c r="D112" s="620" t="s">
        <v>907</v>
      </c>
      <c r="E112" s="591" t="s">
        <v>1117</v>
      </c>
      <c r="F112" s="582" t="n">
        <v>10</v>
      </c>
      <c r="G112" s="582" t="n">
        <v>95</v>
      </c>
      <c r="H112" s="592" t="n">
        <v>0.95</v>
      </c>
      <c r="I112" s="593"/>
      <c r="J112" s="589" t="s">
        <v>1499</v>
      </c>
      <c r="K112" s="589"/>
      <c r="L112" s="589"/>
      <c r="M112" s="622" t="s">
        <v>845</v>
      </c>
      <c r="N112" s="581" t="s">
        <v>1200</v>
      </c>
      <c r="O112" s="582" t="n">
        <v>10</v>
      </c>
      <c r="P112" s="583" t="s">
        <v>1120</v>
      </c>
      <c r="Q112" s="595"/>
      <c r="R112" s="93"/>
      <c r="S112" s="585" t="str">
        <f aca="false" t="array" ref="S112:S112">IF(ISNA(INDEX(Source!$U$7:$U$95,MATCH(T112,Source!$V$7:$V$95,0))),"-",INDEX(Source!$U$7:$U$95,MATCH(T112,Source!$V$7:$V$95,0)))</f>
        <v>-</v>
      </c>
      <c r="T112" s="586" t="s">
        <v>1031</v>
      </c>
      <c r="U112" s="182" t="s">
        <v>1106</v>
      </c>
      <c r="V112" s="93"/>
      <c r="W112" s="93"/>
      <c r="X112" s="616"/>
      <c r="Y112" s="93"/>
      <c r="Z112" s="93"/>
      <c r="AA112" s="93"/>
      <c r="AB112" s="616"/>
      <c r="AC112" s="93"/>
      <c r="AD112" s="93"/>
      <c r="AE112" s="93"/>
      <c r="AF112" s="616"/>
      <c r="AG112" s="93"/>
      <c r="AH112" s="93"/>
      <c r="AI112" s="585" t="str">
        <f aca="false" t="array" ref="AI112:AI112">IF(ISNA(INDEX(Source!$U$7:$U$95,MATCH(AJ112,Source!$V$7:$V$95,0))),"-",INDEX(Source!$U$7:$U$95,MATCH(AJ112,Source!$V$7:$V$95,0)))</f>
        <v>-</v>
      </c>
      <c r="AJ112" s="586" t="s">
        <v>1500</v>
      </c>
      <c r="AK112" s="182" t="s">
        <v>1110</v>
      </c>
      <c r="AL112" s="93"/>
      <c r="AM112" s="93"/>
      <c r="AN112" s="616"/>
      <c r="AO112" s="93"/>
      <c r="AP112" s="93"/>
      <c r="AQ112" s="93"/>
      <c r="AR112" s="616"/>
      <c r="AS112" s="93"/>
      <c r="AT112" s="93"/>
      <c r="AU112" s="93"/>
      <c r="AV112" s="616"/>
      <c r="AW112" s="93"/>
      <c r="AX112" s="93"/>
      <c r="AY112" s="93"/>
      <c r="AZ112" s="93"/>
      <c r="BA112" s="93"/>
      <c r="BB112" s="638"/>
      <c r="BC112" s="638"/>
      <c r="BD112" s="638"/>
    </row>
    <row r="113" customFormat="false" ht="15.75" hidden="false" customHeight="false" outlineLevel="0" collapsed="false">
      <c r="A113" s="589" t="s">
        <v>1501</v>
      </c>
      <c r="B113" s="589"/>
      <c r="C113" s="589"/>
      <c r="D113" s="600" t="s">
        <v>881</v>
      </c>
      <c r="E113" s="591" t="s">
        <v>1117</v>
      </c>
      <c r="F113" s="582" t="n">
        <v>10</v>
      </c>
      <c r="G113" s="582" t="n">
        <v>130</v>
      </c>
      <c r="H113" s="592" t="n">
        <v>0.9</v>
      </c>
      <c r="I113" s="593"/>
      <c r="J113" s="589" t="s">
        <v>1502</v>
      </c>
      <c r="K113" s="589"/>
      <c r="L113" s="589"/>
      <c r="M113" s="622" t="s">
        <v>845</v>
      </c>
      <c r="N113" s="581" t="s">
        <v>1119</v>
      </c>
      <c r="O113" s="582" t="n">
        <v>20</v>
      </c>
      <c r="P113" s="583" t="s">
        <v>1120</v>
      </c>
      <c r="Q113" s="595"/>
      <c r="R113" s="93"/>
      <c r="S113" s="585" t="str">
        <f aca="false" t="array" ref="S113:S113">IF(ISNA(INDEX(Source!$U$7:$U$95,MATCH(T113,Source!$V$7:$V$95,0))),"-",INDEX(Source!$U$7:$U$95,MATCH(T113,Source!$V$7:$V$95,0)))</f>
        <v>-</v>
      </c>
      <c r="T113" s="586" t="s">
        <v>353</v>
      </c>
      <c r="U113" s="182" t="s">
        <v>1106</v>
      </c>
      <c r="V113" s="93"/>
      <c r="W113" s="93"/>
      <c r="X113" s="616"/>
      <c r="Y113" s="93"/>
      <c r="Z113" s="93"/>
      <c r="AA113" s="93"/>
      <c r="AB113" s="616"/>
      <c r="AC113" s="93"/>
      <c r="AD113" s="93"/>
      <c r="AE113" s="93"/>
      <c r="AF113" s="616"/>
      <c r="AG113" s="93"/>
      <c r="AH113" s="93"/>
      <c r="AI113" s="585" t="str">
        <f aca="false" t="array" ref="AI113:AI113">IF(ISNA(INDEX(Source!$U$7:$U$95,MATCH(AJ113,Source!$V$7:$V$95,0))),"-",INDEX(Source!$U$7:$U$95,MATCH(AJ113,Source!$V$7:$V$95,0)))</f>
        <v>-</v>
      </c>
      <c r="AJ113" s="586" t="s">
        <v>399</v>
      </c>
      <c r="AK113" s="182" t="s">
        <v>1110</v>
      </c>
      <c r="AL113" s="93"/>
      <c r="AM113" s="93"/>
      <c r="AN113" s="616"/>
      <c r="AO113" s="93"/>
      <c r="AP113" s="93"/>
      <c r="AQ113" s="93"/>
      <c r="AR113" s="616"/>
      <c r="AS113" s="93"/>
      <c r="AT113" s="93"/>
      <c r="AU113" s="93"/>
      <c r="AV113" s="616"/>
      <c r="AW113" s="93"/>
      <c r="AX113" s="93"/>
      <c r="AY113" s="93"/>
      <c r="AZ113" s="93"/>
      <c r="BA113" s="93"/>
      <c r="BB113" s="638"/>
      <c r="BC113" s="638"/>
      <c r="BD113" s="638"/>
    </row>
    <row r="114" customFormat="false" ht="15.75" hidden="false" customHeight="false" outlineLevel="0" collapsed="false">
      <c r="A114" s="589" t="s">
        <v>1503</v>
      </c>
      <c r="B114" s="589"/>
      <c r="C114" s="589"/>
      <c r="D114" s="610" t="s">
        <v>839</v>
      </c>
      <c r="E114" s="591" t="s">
        <v>1117</v>
      </c>
      <c r="F114" s="582" t="n">
        <v>40</v>
      </c>
      <c r="G114" s="582" t="n">
        <v>40</v>
      </c>
      <c r="H114" s="592" t="n">
        <v>1</v>
      </c>
      <c r="I114" s="593"/>
      <c r="J114" s="589" t="s">
        <v>1504</v>
      </c>
      <c r="K114" s="589"/>
      <c r="L114" s="589"/>
      <c r="M114" s="621" t="s">
        <v>881</v>
      </c>
      <c r="N114" s="581" t="s">
        <v>1200</v>
      </c>
      <c r="O114" s="582" t="n">
        <v>10</v>
      </c>
      <c r="P114" s="583" t="s">
        <v>1120</v>
      </c>
      <c r="Q114" s="595"/>
      <c r="R114" s="93"/>
      <c r="S114" s="585" t="str">
        <f aca="false" t="array" ref="S114:S114">IF(ISNA(INDEX(Source!$U$7:$U$95,MATCH(T114,Source!$V$7:$V$95,0))),"-",INDEX(Source!$U$7:$U$95,MATCH(T114,Source!$V$7:$V$95,0)))</f>
        <v>KKS</v>
      </c>
      <c r="T114" s="586" t="s">
        <v>85</v>
      </c>
      <c r="U114" s="182" t="s">
        <v>1106</v>
      </c>
      <c r="V114" s="93"/>
      <c r="W114" s="93"/>
      <c r="X114" s="616"/>
      <c r="Y114" s="93"/>
      <c r="Z114" s="93"/>
      <c r="AA114" s="93"/>
      <c r="AB114" s="616"/>
      <c r="AC114" s="93"/>
      <c r="AD114" s="93"/>
      <c r="AE114" s="93"/>
      <c r="AF114" s="616"/>
      <c r="AG114" s="93"/>
      <c r="AH114" s="93"/>
      <c r="AI114" s="585" t="str">
        <f aca="false" t="array" ref="AI114:AI114">IF(ISNA(INDEX(Source!$U$7:$U$95,MATCH(AJ114,Source!$V$7:$V$95,0))),"-",INDEX(Source!$U$7:$U$95,MATCH(AJ114,Source!$V$7:$V$95,0)))</f>
        <v>-</v>
      </c>
      <c r="AJ114" s="586" t="s">
        <v>737</v>
      </c>
      <c r="AK114" s="182" t="s">
        <v>1110</v>
      </c>
      <c r="AL114" s="93"/>
      <c r="AM114" s="93"/>
      <c r="AN114" s="616"/>
      <c r="AO114" s="93"/>
      <c r="AP114" s="93"/>
      <c r="AQ114" s="93"/>
      <c r="AR114" s="616"/>
      <c r="AS114" s="93"/>
      <c r="AT114" s="93"/>
      <c r="AU114" s="93"/>
      <c r="AV114" s="616"/>
      <c r="AW114" s="93"/>
      <c r="AX114" s="93"/>
      <c r="AY114" s="93"/>
      <c r="AZ114" s="93"/>
      <c r="BA114" s="93"/>
      <c r="BB114" s="638"/>
      <c r="BC114" s="638"/>
      <c r="BD114" s="638"/>
    </row>
    <row r="115" customFormat="false" ht="15.75" hidden="false" customHeight="false" outlineLevel="0" collapsed="false">
      <c r="A115" s="589" t="s">
        <v>1505</v>
      </c>
      <c r="B115" s="589"/>
      <c r="C115" s="589"/>
      <c r="D115" s="610" t="s">
        <v>839</v>
      </c>
      <c r="E115" s="591" t="s">
        <v>1117</v>
      </c>
      <c r="F115" s="582" t="n">
        <v>25</v>
      </c>
      <c r="G115" s="582" t="n">
        <v>65</v>
      </c>
      <c r="H115" s="592" t="n">
        <v>1</v>
      </c>
      <c r="I115" s="593"/>
      <c r="J115" s="589" t="s">
        <v>1506</v>
      </c>
      <c r="K115" s="589"/>
      <c r="L115" s="589"/>
      <c r="M115" s="594" t="s">
        <v>839</v>
      </c>
      <c r="N115" s="581" t="s">
        <v>1129</v>
      </c>
      <c r="O115" s="582" t="n">
        <v>20</v>
      </c>
      <c r="P115" s="583" t="s">
        <v>1120</v>
      </c>
      <c r="Q115" s="595"/>
      <c r="R115" s="93"/>
      <c r="S115" s="585" t="str">
        <f aca="false" t="array" ref="S115:S115">IF(ISNA(INDEX(Source!$U$7:$U$95,MATCH(T115,Source!$V$7:$V$95,0))),"-",INDEX(Source!$U$7:$U$95,MATCH(T115,Source!$V$7:$V$95,0)))</f>
        <v>-</v>
      </c>
      <c r="T115" s="586" t="s">
        <v>507</v>
      </c>
      <c r="U115" s="182" t="s">
        <v>1106</v>
      </c>
      <c r="V115" s="93"/>
      <c r="W115" s="93"/>
      <c r="X115" s="616"/>
      <c r="Y115" s="93"/>
      <c r="Z115" s="93"/>
      <c r="AA115" s="93"/>
      <c r="AB115" s="616"/>
      <c r="AC115" s="93"/>
      <c r="AD115" s="93"/>
      <c r="AE115" s="93"/>
      <c r="AF115" s="616"/>
      <c r="AG115" s="93"/>
      <c r="AH115" s="93"/>
      <c r="AI115" s="585" t="str">
        <f aca="false" t="array" ref="AI115:AI115">IF(ISNA(INDEX(Source!$U$7:$U$95,MATCH(AJ115,Source!$V$7:$V$95,0))),"-",INDEX(Source!$U$7:$U$95,MATCH(AJ115,Source!$V$7:$V$95,0)))</f>
        <v>-</v>
      </c>
      <c r="AJ115" s="586" t="s">
        <v>557</v>
      </c>
      <c r="AK115" s="182" t="s">
        <v>1110</v>
      </c>
      <c r="AL115" s="93"/>
      <c r="AM115" s="93"/>
      <c r="AN115" s="616"/>
      <c r="AO115" s="93"/>
      <c r="AP115" s="93"/>
      <c r="AQ115" s="93"/>
      <c r="AR115" s="616"/>
      <c r="AS115" s="93"/>
      <c r="AT115" s="93"/>
      <c r="AU115" s="93"/>
      <c r="AV115" s="616"/>
      <c r="AW115" s="93"/>
      <c r="AX115" s="93"/>
      <c r="AY115" s="93"/>
      <c r="AZ115" s="93"/>
      <c r="BA115" s="93"/>
      <c r="BB115" s="638"/>
      <c r="BC115" s="638"/>
      <c r="BD115" s="638"/>
    </row>
    <row r="116" customFormat="false" ht="15.75" hidden="false" customHeight="false" outlineLevel="0" collapsed="false">
      <c r="A116" s="589" t="s">
        <v>1507</v>
      </c>
      <c r="B116" s="589"/>
      <c r="C116" s="589"/>
      <c r="D116" s="610" t="s">
        <v>839</v>
      </c>
      <c r="E116" s="591" t="s">
        <v>1117</v>
      </c>
      <c r="F116" s="582" t="n">
        <v>5</v>
      </c>
      <c r="G116" s="582" t="s">
        <v>1422</v>
      </c>
      <c r="H116" s="592" t="n">
        <v>0.3</v>
      </c>
      <c r="I116" s="593"/>
      <c r="J116" s="589" t="s">
        <v>1508</v>
      </c>
      <c r="K116" s="589"/>
      <c r="L116" s="589"/>
      <c r="M116" s="594" t="s">
        <v>839</v>
      </c>
      <c r="N116" s="581" t="s">
        <v>1200</v>
      </c>
      <c r="O116" s="582" t="n">
        <v>5</v>
      </c>
      <c r="P116" s="592" t="n">
        <v>1</v>
      </c>
      <c r="Q116" s="595"/>
      <c r="R116" s="93"/>
      <c r="S116" s="585" t="str">
        <f aca="false" t="array" ref="S116:S116">IF(ISNA(INDEX(Source!$U$7:$U$95,MATCH(T116,Source!$V$7:$V$95,0))),"-",INDEX(Source!$U$7:$U$95,MATCH(T116,Source!$V$7:$V$95,0)))</f>
        <v>JVJ</v>
      </c>
      <c r="T116" s="586" t="s">
        <v>248</v>
      </c>
      <c r="U116" s="182" t="s">
        <v>1106</v>
      </c>
      <c r="V116" s="93"/>
      <c r="W116" s="93"/>
      <c r="X116" s="616"/>
      <c r="Y116" s="93"/>
      <c r="Z116" s="93"/>
      <c r="AA116" s="93"/>
      <c r="AB116" s="616"/>
      <c r="AC116" s="93"/>
      <c r="AD116" s="93"/>
      <c r="AE116" s="93"/>
      <c r="AF116" s="616"/>
      <c r="AG116" s="93"/>
      <c r="AH116" s="93"/>
      <c r="AI116" s="585" t="str">
        <f aca="false" t="array" ref="AI116:AI116">IF(ISNA(INDEX(Source!$U$7:$U$95,MATCH(AJ116,Source!$V$7:$V$95,0))),"-",INDEX(Source!$U$7:$U$95,MATCH(AJ116,Source!$V$7:$V$95,0)))</f>
        <v>-</v>
      </c>
      <c r="AJ116" s="586" t="s">
        <v>1509</v>
      </c>
      <c r="AK116" s="182" t="s">
        <v>1110</v>
      </c>
      <c r="AL116" s="93"/>
      <c r="AM116" s="93"/>
      <c r="AN116" s="616"/>
      <c r="AO116" s="93"/>
      <c r="AP116" s="93"/>
      <c r="AQ116" s="93"/>
      <c r="AR116" s="616"/>
      <c r="AS116" s="93"/>
      <c r="AT116" s="93"/>
      <c r="AU116" s="93"/>
      <c r="AV116" s="616"/>
      <c r="AW116" s="93"/>
      <c r="AX116" s="93"/>
      <c r="AY116" s="93"/>
      <c r="AZ116" s="93"/>
      <c r="BA116" s="93"/>
      <c r="BB116" s="638"/>
      <c r="BC116" s="638"/>
      <c r="BD116" s="638"/>
    </row>
    <row r="117" customFormat="false" ht="15.75" hidden="false" customHeight="false" outlineLevel="0" collapsed="false">
      <c r="A117" s="589" t="s">
        <v>1510</v>
      </c>
      <c r="B117" s="589"/>
      <c r="C117" s="589"/>
      <c r="D117" s="624" t="s">
        <v>803</v>
      </c>
      <c r="E117" s="591" t="s">
        <v>1117</v>
      </c>
      <c r="F117" s="582" t="n">
        <v>10</v>
      </c>
      <c r="G117" s="582" t="n">
        <v>75</v>
      </c>
      <c r="H117" s="592" t="n">
        <v>1</v>
      </c>
      <c r="I117" s="593"/>
      <c r="J117" s="589" t="s">
        <v>1511</v>
      </c>
      <c r="K117" s="589"/>
      <c r="L117" s="589"/>
      <c r="M117" s="598" t="s">
        <v>828</v>
      </c>
      <c r="N117" s="581" t="s">
        <v>1119</v>
      </c>
      <c r="O117" s="582" t="n">
        <v>40</v>
      </c>
      <c r="P117" s="583" t="s">
        <v>1120</v>
      </c>
      <c r="Q117" s="595"/>
      <c r="R117" s="93"/>
      <c r="S117" s="585" t="str">
        <f aca="false" t="array" ref="S117:S117">IF(ISNA(INDEX(Source!$U$7:$U$95,MATCH(T117,Source!$V$7:$V$95,0))),"-",INDEX(Source!$U$7:$U$95,MATCH(T117,Source!$V$7:$V$95,0)))</f>
        <v>-</v>
      </c>
      <c r="T117" s="586" t="s">
        <v>759</v>
      </c>
      <c r="U117" s="182" t="s">
        <v>1106</v>
      </c>
      <c r="V117" s="93"/>
      <c r="W117" s="93"/>
      <c r="X117" s="616"/>
      <c r="Y117" s="93"/>
      <c r="Z117" s="93"/>
      <c r="AA117" s="93"/>
      <c r="AB117" s="616"/>
      <c r="AC117" s="93"/>
      <c r="AD117" s="93"/>
      <c r="AE117" s="93"/>
      <c r="AF117" s="616"/>
      <c r="AG117" s="93"/>
      <c r="AH117" s="93"/>
      <c r="AI117" s="585" t="str">
        <f aca="false" t="array" ref="AI117:AI117">IF(ISNA(INDEX(Source!$U$7:$U$95,MATCH(AJ117,Source!$V$7:$V$95,0))),"-",INDEX(Source!$U$7:$U$95,MATCH(AJ117,Source!$V$7:$V$95,0)))</f>
        <v>-</v>
      </c>
      <c r="AJ117" s="586" t="s">
        <v>404</v>
      </c>
      <c r="AK117" s="182" t="s">
        <v>1110</v>
      </c>
      <c r="AL117" s="93"/>
      <c r="AM117" s="93"/>
      <c r="AN117" s="616"/>
      <c r="AO117" s="93"/>
      <c r="AP117" s="93"/>
      <c r="AQ117" s="93"/>
      <c r="AR117" s="616"/>
      <c r="AS117" s="93"/>
      <c r="AT117" s="93"/>
      <c r="AU117" s="93"/>
      <c r="AV117" s="616"/>
      <c r="AW117" s="93"/>
      <c r="AX117" s="93"/>
      <c r="AY117" s="93"/>
      <c r="AZ117" s="93"/>
      <c r="BA117" s="93"/>
      <c r="BB117" s="638"/>
      <c r="BC117" s="638"/>
      <c r="BD117" s="638"/>
    </row>
    <row r="118" customFormat="false" ht="15.75" hidden="false" customHeight="false" outlineLevel="0" collapsed="false">
      <c r="A118" s="589" t="s">
        <v>1512</v>
      </c>
      <c r="B118" s="589"/>
      <c r="C118" s="589"/>
      <c r="D118" s="610" t="s">
        <v>839</v>
      </c>
      <c r="E118" s="591" t="s">
        <v>1117</v>
      </c>
      <c r="F118" s="582" t="n">
        <v>15</v>
      </c>
      <c r="G118" s="582" t="n">
        <v>80</v>
      </c>
      <c r="H118" s="592" t="n">
        <v>0.9</v>
      </c>
      <c r="I118" s="593"/>
      <c r="J118" s="589" t="s">
        <v>1513</v>
      </c>
      <c r="K118" s="589"/>
      <c r="L118" s="589"/>
      <c r="M118" s="625" t="s">
        <v>795</v>
      </c>
      <c r="N118" s="581" t="s">
        <v>1200</v>
      </c>
      <c r="O118" s="582" t="n">
        <v>10</v>
      </c>
      <c r="P118" s="592" t="n">
        <v>1</v>
      </c>
      <c r="Q118" s="595"/>
      <c r="R118" s="93"/>
      <c r="S118" s="585" t="str">
        <f aca="false" t="array" ref="S118:S118">IF(ISNA(INDEX(Source!$U$7:$U$95,MATCH(T118,Source!$V$7:$V$95,0))),"-",INDEX(Source!$U$7:$U$95,MATCH(T118,Source!$V$7:$V$95,0)))</f>
        <v>FTT</v>
      </c>
      <c r="T118" s="586" t="s">
        <v>76</v>
      </c>
      <c r="U118" s="182" t="s">
        <v>1106</v>
      </c>
      <c r="V118" s="93"/>
      <c r="W118" s="93"/>
      <c r="X118" s="616"/>
      <c r="Y118" s="93"/>
      <c r="Z118" s="93"/>
      <c r="AA118" s="93"/>
      <c r="AB118" s="616"/>
      <c r="AC118" s="93"/>
      <c r="AD118" s="93"/>
      <c r="AE118" s="93"/>
      <c r="AF118" s="616"/>
      <c r="AG118" s="93"/>
      <c r="AH118" s="93"/>
      <c r="AI118" s="585" t="str">
        <f aca="false" t="array" ref="AI118:AI118">IF(ISNA(INDEX(Source!$U$7:$U$95,MATCH(AJ118,Source!$V$7:$V$95,0))),"-",INDEX(Source!$U$7:$U$95,MATCH(AJ118,Source!$V$7:$V$95,0)))</f>
        <v>-</v>
      </c>
      <c r="AJ118" s="586" t="s">
        <v>565</v>
      </c>
      <c r="AK118" s="182" t="s">
        <v>1110</v>
      </c>
      <c r="AL118" s="93"/>
      <c r="AM118" s="93"/>
      <c r="AN118" s="616"/>
      <c r="AO118" s="93"/>
      <c r="AP118" s="93"/>
      <c r="AQ118" s="93"/>
      <c r="AR118" s="616"/>
      <c r="AS118" s="93"/>
      <c r="AT118" s="93"/>
      <c r="AU118" s="93"/>
      <c r="AV118" s="616"/>
      <c r="AW118" s="93"/>
      <c r="AX118" s="93"/>
      <c r="AY118" s="93"/>
      <c r="AZ118" s="93"/>
      <c r="BA118" s="93"/>
      <c r="BB118" s="638"/>
      <c r="BC118" s="638"/>
      <c r="BD118" s="638"/>
    </row>
    <row r="119" customFormat="false" ht="15.75" hidden="false" customHeight="false" outlineLevel="0" collapsed="false">
      <c r="A119" s="589" t="s">
        <v>1514</v>
      </c>
      <c r="B119" s="589"/>
      <c r="C119" s="589"/>
      <c r="D119" s="603" t="s">
        <v>795</v>
      </c>
      <c r="E119" s="591" t="s">
        <v>1117</v>
      </c>
      <c r="F119" s="582" t="n">
        <v>5</v>
      </c>
      <c r="G119" s="582" t="n">
        <v>100</v>
      </c>
      <c r="H119" s="583" t="s">
        <v>1120</v>
      </c>
      <c r="I119" s="593"/>
      <c r="J119" s="589" t="s">
        <v>1515</v>
      </c>
      <c r="K119" s="589"/>
      <c r="L119" s="589"/>
      <c r="M119" s="611" t="s">
        <v>810</v>
      </c>
      <c r="N119" s="581" t="s">
        <v>1185</v>
      </c>
      <c r="O119" s="582" t="n">
        <v>40</v>
      </c>
      <c r="P119" s="592" t="n">
        <v>0.85</v>
      </c>
      <c r="Q119" s="595"/>
      <c r="R119" s="93"/>
      <c r="S119" s="585" t="str">
        <f aca="false" t="array" ref="S119:S119">IF(ISNA(INDEX(Source!$U$7:$U$95,MATCH(T119,Source!$V$7:$V$95,0))),"-",INDEX(Source!$U$7:$U$95,MATCH(T119,Source!$V$7:$V$95,0)))</f>
        <v>-</v>
      </c>
      <c r="T119" s="586" t="s">
        <v>1039</v>
      </c>
      <c r="U119" s="182" t="s">
        <v>1106</v>
      </c>
      <c r="V119" s="93"/>
      <c r="W119" s="93"/>
      <c r="X119" s="616"/>
      <c r="Y119" s="93"/>
      <c r="Z119" s="93"/>
      <c r="AA119" s="93"/>
      <c r="AB119" s="616"/>
      <c r="AC119" s="93"/>
      <c r="AD119" s="93"/>
      <c r="AE119" s="93"/>
      <c r="AF119" s="616"/>
      <c r="AG119" s="93"/>
      <c r="AH119" s="93"/>
      <c r="AI119" s="585" t="str">
        <f aca="false" t="array" ref="AI119:AI119">IF(ISNA(INDEX(Source!$U$7:$U$95,MATCH(AJ119,Source!$V$7:$V$95,0))),"-",INDEX(Source!$U$7:$U$95,MATCH(AJ119,Source!$V$7:$V$95,0)))</f>
        <v>-</v>
      </c>
      <c r="AJ119" s="586" t="s">
        <v>635</v>
      </c>
      <c r="AK119" s="182" t="s">
        <v>1110</v>
      </c>
      <c r="AL119" s="93"/>
      <c r="AM119" s="93"/>
      <c r="AN119" s="616"/>
      <c r="AO119" s="93"/>
      <c r="AP119" s="93"/>
      <c r="AQ119" s="93"/>
      <c r="AR119" s="616"/>
      <c r="AS119" s="93"/>
      <c r="AT119" s="93"/>
      <c r="AU119" s="93"/>
      <c r="AV119" s="616"/>
      <c r="AW119" s="93"/>
      <c r="AX119" s="93"/>
      <c r="AY119" s="93"/>
      <c r="AZ119" s="93"/>
      <c r="BA119" s="93"/>
      <c r="BB119" s="638"/>
      <c r="BC119" s="638"/>
      <c r="BD119" s="638"/>
    </row>
    <row r="120" customFormat="false" ht="15.75" hidden="false" customHeight="false" outlineLevel="0" collapsed="false">
      <c r="A120" s="589" t="s">
        <v>1516</v>
      </c>
      <c r="B120" s="589"/>
      <c r="C120" s="589"/>
      <c r="D120" s="608" t="s">
        <v>805</v>
      </c>
      <c r="E120" s="591" t="s">
        <v>1117</v>
      </c>
      <c r="F120" s="582" t="n">
        <v>20</v>
      </c>
      <c r="G120" s="582" t="n">
        <v>30</v>
      </c>
      <c r="H120" s="592" t="n">
        <v>0.9</v>
      </c>
      <c r="I120" s="593"/>
      <c r="J120" s="589" t="s">
        <v>1517</v>
      </c>
      <c r="K120" s="589"/>
      <c r="L120" s="589"/>
      <c r="M120" s="594" t="s">
        <v>839</v>
      </c>
      <c r="N120" s="581" t="s">
        <v>1200</v>
      </c>
      <c r="O120" s="582" t="n">
        <v>10</v>
      </c>
      <c r="P120" s="583" t="s">
        <v>1120</v>
      </c>
      <c r="Q120" s="595"/>
      <c r="R120" s="93"/>
      <c r="S120" s="585" t="str">
        <f aca="false" t="array" ref="S120:S120">IF(ISNA(INDEX(Source!$U$7:$U$95,MATCH(T120,Source!$V$7:$V$95,0))),"-",INDEX(Source!$U$7:$U$95,MATCH(T120,Source!$V$7:$V$95,0)))</f>
        <v>-</v>
      </c>
      <c r="T120" s="586" t="s">
        <v>1040</v>
      </c>
      <c r="U120" s="182" t="s">
        <v>1106</v>
      </c>
      <c r="V120" s="93"/>
      <c r="W120" s="93"/>
      <c r="X120" s="616"/>
      <c r="Y120" s="93"/>
      <c r="Z120" s="93"/>
      <c r="AA120" s="93"/>
      <c r="AB120" s="616"/>
      <c r="AC120" s="93"/>
      <c r="AD120" s="93"/>
      <c r="AE120" s="93"/>
      <c r="AF120" s="616"/>
      <c r="AG120" s="93"/>
      <c r="AH120" s="93"/>
      <c r="AI120" s="585" t="str">
        <f aca="false" t="array" ref="AI120:AI120">IF(ISNA(INDEX(Source!$U$7:$U$95,MATCH(AJ120,Source!$V$7:$V$95,0))),"-",INDEX(Source!$U$7:$U$95,MATCH(AJ120,Source!$V$7:$V$95,0)))</f>
        <v>-</v>
      </c>
      <c r="AJ120" s="586" t="s">
        <v>96</v>
      </c>
      <c r="AK120" s="182" t="s">
        <v>1110</v>
      </c>
      <c r="AL120" s="93"/>
      <c r="AM120" s="93"/>
      <c r="AN120" s="616"/>
      <c r="AO120" s="93"/>
      <c r="AP120" s="93"/>
      <c r="AQ120" s="93"/>
      <c r="AR120" s="616"/>
      <c r="AS120" s="93"/>
      <c r="AT120" s="93"/>
      <c r="AU120" s="93"/>
      <c r="AV120" s="616"/>
      <c r="AW120" s="93"/>
      <c r="AX120" s="93"/>
      <c r="AY120" s="93"/>
      <c r="AZ120" s="93"/>
      <c r="BA120" s="93"/>
      <c r="BB120" s="638"/>
      <c r="BC120" s="638"/>
      <c r="BD120" s="638"/>
    </row>
    <row r="121" customFormat="false" ht="15.75" hidden="false" customHeight="false" outlineLevel="0" collapsed="false">
      <c r="A121" s="589" t="s">
        <v>1518</v>
      </c>
      <c r="B121" s="589"/>
      <c r="C121" s="589"/>
      <c r="D121" s="608" t="s">
        <v>805</v>
      </c>
      <c r="E121" s="591" t="s">
        <v>1117</v>
      </c>
      <c r="F121" s="582" t="n">
        <v>15</v>
      </c>
      <c r="G121" s="582" t="n">
        <v>65</v>
      </c>
      <c r="H121" s="592" t="n">
        <v>0.95</v>
      </c>
      <c r="I121" s="593"/>
      <c r="J121" s="589" t="s">
        <v>1519</v>
      </c>
      <c r="K121" s="589"/>
      <c r="L121" s="589"/>
      <c r="M121" s="594" t="s">
        <v>839</v>
      </c>
      <c r="N121" s="581" t="s">
        <v>1149</v>
      </c>
      <c r="O121" s="582" t="n">
        <v>10</v>
      </c>
      <c r="P121" s="583" t="s">
        <v>1120</v>
      </c>
      <c r="Q121" s="595"/>
      <c r="R121" s="93"/>
      <c r="S121" s="585" t="str">
        <f aca="false" t="array" ref="S121:S121">IF(ISNA(INDEX(Source!$U$7:$U$95,MATCH(T121,Source!$V$7:$V$95,0))),"-",INDEX(Source!$U$7:$U$95,MATCH(T121,Source!$V$7:$V$95,0)))</f>
        <v>-</v>
      </c>
      <c r="T121" s="586" t="s">
        <v>1041</v>
      </c>
      <c r="U121" s="182" t="s">
        <v>1106</v>
      </c>
      <c r="V121" s="93"/>
      <c r="W121" s="93"/>
      <c r="X121" s="616"/>
      <c r="Y121" s="93"/>
      <c r="Z121" s="93"/>
      <c r="AA121" s="93"/>
      <c r="AB121" s="616"/>
      <c r="AC121" s="93"/>
      <c r="AD121" s="93"/>
      <c r="AE121" s="93"/>
      <c r="AF121" s="616"/>
      <c r="AG121" s="93"/>
      <c r="AH121" s="93"/>
      <c r="AI121" s="585" t="str">
        <f aca="false" t="array" ref="AI121:AI121">IF(ISNA(INDEX(Source!$U$7:$U$95,MATCH(AJ121,Source!$V$7:$V$95,0))),"-",INDEX(Source!$U$7:$U$95,MATCH(AJ121,Source!$V$7:$V$95,0)))</f>
        <v>LVC</v>
      </c>
      <c r="AJ121" s="586" t="s">
        <v>257</v>
      </c>
      <c r="AK121" s="182" t="s">
        <v>1110</v>
      </c>
      <c r="AL121" s="93"/>
      <c r="AM121" s="93"/>
      <c r="AN121" s="616"/>
      <c r="AO121" s="93"/>
      <c r="AP121" s="93"/>
      <c r="AQ121" s="93"/>
      <c r="AR121" s="616"/>
      <c r="AS121" s="93"/>
      <c r="AT121" s="93"/>
      <c r="AU121" s="93"/>
      <c r="AV121" s="616"/>
      <c r="AW121" s="93"/>
      <c r="AX121" s="93"/>
      <c r="AY121" s="93"/>
      <c r="AZ121" s="93"/>
      <c r="BA121" s="93"/>
      <c r="BB121" s="638"/>
      <c r="BC121" s="638"/>
      <c r="BD121" s="638"/>
    </row>
    <row r="122" customFormat="false" ht="15.75" hidden="false" customHeight="false" outlineLevel="0" collapsed="false">
      <c r="A122" s="589" t="s">
        <v>1520</v>
      </c>
      <c r="B122" s="589"/>
      <c r="C122" s="589"/>
      <c r="D122" s="608" t="s">
        <v>805</v>
      </c>
      <c r="E122" s="591" t="s">
        <v>1117</v>
      </c>
      <c r="F122" s="582" t="n">
        <v>10</v>
      </c>
      <c r="G122" s="582" t="n">
        <v>100</v>
      </c>
      <c r="H122" s="592" t="n">
        <v>0.9</v>
      </c>
      <c r="I122" s="593"/>
      <c r="J122" s="589" t="s">
        <v>1521</v>
      </c>
      <c r="K122" s="589"/>
      <c r="L122" s="589"/>
      <c r="M122" s="594" t="s">
        <v>839</v>
      </c>
      <c r="N122" s="581" t="s">
        <v>1200</v>
      </c>
      <c r="O122" s="582" t="n">
        <v>10</v>
      </c>
      <c r="P122" s="592" t="n">
        <v>1</v>
      </c>
      <c r="Q122" s="595"/>
      <c r="R122" s="93"/>
      <c r="S122" s="585" t="str">
        <f aca="false" t="array" ref="S122:S122">IF(ISNA(INDEX(Source!$U$7:$U$95,MATCH(T122,Source!$V$7:$V$95,0))),"-",INDEX(Source!$U$7:$U$95,MATCH(T122,Source!$V$7:$V$95,0)))</f>
        <v>-</v>
      </c>
      <c r="T122" s="586" t="s">
        <v>514</v>
      </c>
      <c r="U122" s="182" t="s">
        <v>1106</v>
      </c>
      <c r="V122" s="93"/>
      <c r="W122" s="93"/>
      <c r="X122" s="616"/>
      <c r="Y122" s="93"/>
      <c r="Z122" s="93"/>
      <c r="AA122" s="93"/>
      <c r="AB122" s="616"/>
      <c r="AC122" s="93"/>
      <c r="AD122" s="93"/>
      <c r="AE122" s="93"/>
      <c r="AF122" s="616"/>
      <c r="AG122" s="93"/>
      <c r="AH122" s="93"/>
      <c r="AI122" s="585" t="str">
        <f aca="false" t="array" ref="AI122:AI122">IF(ISNA(INDEX(Source!$U$7:$U$95,MATCH(AJ122,Source!$V$7:$V$95,0))),"-",INDEX(Source!$U$7:$U$95,MATCH(AJ122,Source!$V$7:$V$95,0)))</f>
        <v>-</v>
      </c>
      <c r="AJ122" s="586" t="s">
        <v>409</v>
      </c>
      <c r="AK122" s="182" t="s">
        <v>1110</v>
      </c>
      <c r="AL122" s="93"/>
      <c r="AM122" s="93"/>
      <c r="AN122" s="616"/>
      <c r="AO122" s="93"/>
      <c r="AP122" s="93"/>
      <c r="AQ122" s="93"/>
      <c r="AR122" s="616"/>
      <c r="AS122" s="93"/>
      <c r="AT122" s="93"/>
      <c r="AU122" s="93"/>
      <c r="AV122" s="616"/>
      <c r="AW122" s="93"/>
      <c r="AX122" s="93"/>
      <c r="AY122" s="93"/>
      <c r="AZ122" s="93"/>
      <c r="BA122" s="93"/>
      <c r="BB122" s="638"/>
      <c r="BC122" s="638"/>
      <c r="BD122" s="638"/>
    </row>
    <row r="123" customFormat="false" ht="15.75" hidden="false" customHeight="false" outlineLevel="0" collapsed="false">
      <c r="A123" s="589" t="s">
        <v>1522</v>
      </c>
      <c r="B123" s="589"/>
      <c r="C123" s="589"/>
      <c r="D123" s="608" t="s">
        <v>805</v>
      </c>
      <c r="E123" s="591" t="s">
        <v>1117</v>
      </c>
      <c r="F123" s="582" t="n">
        <v>15</v>
      </c>
      <c r="G123" s="582" t="n">
        <v>75</v>
      </c>
      <c r="H123" s="592" t="n">
        <v>1</v>
      </c>
      <c r="I123" s="593"/>
      <c r="J123" s="589" t="s">
        <v>1523</v>
      </c>
      <c r="K123" s="589"/>
      <c r="L123" s="589"/>
      <c r="M123" s="594" t="s">
        <v>839</v>
      </c>
      <c r="N123" s="581" t="s">
        <v>1200</v>
      </c>
      <c r="O123" s="582" t="n">
        <v>5</v>
      </c>
      <c r="P123" s="592" t="n">
        <v>1</v>
      </c>
      <c r="Q123" s="595"/>
      <c r="R123" s="93"/>
      <c r="S123" s="585" t="str">
        <f aca="false" t="array" ref="S123:S123">IF(ISNA(INDEX(Source!$U$7:$U$95,MATCH(T123,Source!$V$7:$V$95,0))),"-",INDEX(Source!$U$7:$U$95,MATCH(T123,Source!$V$7:$V$95,0)))</f>
        <v>FTT</v>
      </c>
      <c r="T123" s="586" t="s">
        <v>82</v>
      </c>
      <c r="U123" s="182" t="s">
        <v>1106</v>
      </c>
      <c r="V123" s="93"/>
      <c r="W123" s="93"/>
      <c r="X123" s="616"/>
      <c r="Y123" s="93"/>
      <c r="Z123" s="93"/>
      <c r="AA123" s="93"/>
      <c r="AB123" s="616"/>
      <c r="AC123" s="93"/>
      <c r="AD123" s="93"/>
      <c r="AE123" s="93"/>
      <c r="AF123" s="616"/>
      <c r="AG123" s="93"/>
      <c r="AH123" s="93"/>
      <c r="AI123" s="585" t="str">
        <f aca="false" t="array" ref="AI123:AI123">IF(ISNA(INDEX(Source!$U$7:$U$95,MATCH(AJ123,Source!$V$7:$V$95,0))),"-",INDEX(Source!$U$7:$U$95,MATCH(AJ123,Source!$V$7:$V$95,0)))</f>
        <v>-</v>
      </c>
      <c r="AJ123" s="586" t="s">
        <v>644</v>
      </c>
      <c r="AK123" s="182" t="s">
        <v>1110</v>
      </c>
      <c r="AL123" s="93"/>
      <c r="AM123" s="93"/>
      <c r="AN123" s="616"/>
      <c r="AO123" s="93"/>
      <c r="AP123" s="93"/>
      <c r="AQ123" s="93"/>
      <c r="AR123" s="616"/>
      <c r="AS123" s="93"/>
      <c r="AT123" s="93"/>
      <c r="AU123" s="93"/>
      <c r="AV123" s="616"/>
      <c r="AW123" s="93"/>
      <c r="AX123" s="93"/>
      <c r="AY123" s="93"/>
      <c r="AZ123" s="93"/>
      <c r="BA123" s="93"/>
      <c r="BB123" s="638"/>
      <c r="BC123" s="638"/>
      <c r="BD123" s="638"/>
    </row>
    <row r="124" customFormat="false" ht="15.75" hidden="false" customHeight="false" outlineLevel="0" collapsed="false">
      <c r="A124" s="589" t="s">
        <v>1524</v>
      </c>
      <c r="B124" s="589"/>
      <c r="C124" s="589"/>
      <c r="D124" s="608" t="s">
        <v>805</v>
      </c>
      <c r="E124" s="591" t="s">
        <v>1117</v>
      </c>
      <c r="F124" s="582" t="n">
        <v>30</v>
      </c>
      <c r="G124" s="582" t="n">
        <v>40</v>
      </c>
      <c r="H124" s="592" t="n">
        <v>1</v>
      </c>
      <c r="I124" s="593"/>
      <c r="J124" s="589" t="s">
        <v>1525</v>
      </c>
      <c r="K124" s="589"/>
      <c r="L124" s="589"/>
      <c r="M124" s="594" t="s">
        <v>839</v>
      </c>
      <c r="N124" s="581" t="s">
        <v>1317</v>
      </c>
      <c r="O124" s="582" t="n">
        <v>10</v>
      </c>
      <c r="P124" s="583" t="s">
        <v>1120</v>
      </c>
      <c r="Q124" s="595"/>
      <c r="R124" s="93"/>
      <c r="S124" s="585" t="str">
        <f aca="false" t="array" ref="S124:S124">IF(ISNA(INDEX(Source!$U$7:$U$95,MATCH(T124,Source!$V$7:$V$95,0))),"-",INDEX(Source!$U$7:$U$95,MATCH(T124,Source!$V$7:$V$95,0)))</f>
        <v>-</v>
      </c>
      <c r="T124" s="586" t="s">
        <v>471</v>
      </c>
      <c r="U124" s="182" t="s">
        <v>1106</v>
      </c>
      <c r="V124" s="93"/>
      <c r="W124" s="93"/>
      <c r="X124" s="616"/>
      <c r="Y124" s="93"/>
      <c r="Z124" s="93"/>
      <c r="AA124" s="93"/>
      <c r="AB124" s="616"/>
      <c r="AC124" s="93"/>
      <c r="AD124" s="93"/>
      <c r="AE124" s="93"/>
      <c r="AF124" s="616"/>
      <c r="AG124" s="93"/>
      <c r="AH124" s="93"/>
      <c r="AI124" s="585" t="str">
        <f aca="false" t="array" ref="AI124:AI124">IF(ISNA(INDEX(Source!$U$7:$U$95,MATCH(AJ124,Source!$V$7:$V$95,0))),"-",INDEX(Source!$U$7:$U$95,MATCH(AJ124,Source!$V$7:$V$95,0)))</f>
        <v>-</v>
      </c>
      <c r="AJ124" s="586" t="s">
        <v>1287</v>
      </c>
      <c r="AK124" s="182" t="s">
        <v>1110</v>
      </c>
      <c r="AL124" s="93"/>
      <c r="AM124" s="93"/>
      <c r="AN124" s="616"/>
      <c r="AO124" s="93"/>
      <c r="AP124" s="93"/>
      <c r="AQ124" s="93"/>
      <c r="AR124" s="616"/>
      <c r="AS124" s="93"/>
      <c r="AT124" s="93"/>
      <c r="AU124" s="93"/>
      <c r="AV124" s="616"/>
      <c r="AW124" s="93"/>
      <c r="AX124" s="93"/>
      <c r="AY124" s="93"/>
      <c r="AZ124" s="93"/>
      <c r="BA124" s="93"/>
      <c r="BB124" s="638"/>
      <c r="BC124" s="638"/>
      <c r="BD124" s="638"/>
    </row>
    <row r="125" customFormat="false" ht="15.75" hidden="false" customHeight="false" outlineLevel="0" collapsed="false">
      <c r="A125" s="589" t="s">
        <v>1526</v>
      </c>
      <c r="B125" s="589"/>
      <c r="C125" s="589"/>
      <c r="D125" s="608" t="s">
        <v>805</v>
      </c>
      <c r="E125" s="591" t="s">
        <v>1117</v>
      </c>
      <c r="F125" s="582" t="n">
        <v>10</v>
      </c>
      <c r="G125" s="582" t="n">
        <v>85</v>
      </c>
      <c r="H125" s="592" t="n">
        <v>0.9</v>
      </c>
      <c r="I125" s="593"/>
      <c r="J125" s="589" t="s">
        <v>1527</v>
      </c>
      <c r="K125" s="589"/>
      <c r="L125" s="589"/>
      <c r="M125" s="598" t="s">
        <v>828</v>
      </c>
      <c r="N125" s="581" t="s">
        <v>1200</v>
      </c>
      <c r="O125" s="582" t="n">
        <v>40</v>
      </c>
      <c r="P125" s="583" t="s">
        <v>1120</v>
      </c>
      <c r="Q125" s="595"/>
      <c r="R125" s="93"/>
      <c r="S125" s="585" t="str">
        <f aca="false" t="array" ref="S125:S125">IF(ISNA(INDEX(Source!$U$7:$U$95,MATCH(T125,Source!$V$7:$V$95,0))),"-",INDEX(Source!$U$7:$U$95,MATCH(T125,Source!$V$7:$V$95,0)))</f>
        <v>-</v>
      </c>
      <c r="T125" s="586" t="s">
        <v>1528</v>
      </c>
      <c r="U125" s="182" t="s">
        <v>1106</v>
      </c>
      <c r="V125" s="93"/>
      <c r="W125" s="93"/>
      <c r="X125" s="616"/>
      <c r="Y125" s="93"/>
      <c r="Z125" s="93"/>
      <c r="AA125" s="93"/>
      <c r="AB125" s="616"/>
      <c r="AC125" s="93"/>
      <c r="AD125" s="93"/>
      <c r="AE125" s="93"/>
      <c r="AF125" s="616"/>
      <c r="AG125" s="93"/>
      <c r="AH125" s="93"/>
      <c r="AI125" s="585" t="str">
        <f aca="false" t="array" ref="AI125:AI125">IF(ISNA(INDEX(Source!$U$7:$U$95,MATCH(AJ125,Source!$V$7:$V$95,0))),"-",INDEX(Source!$U$7:$U$95,MATCH(AJ125,Source!$V$7:$V$95,0)))</f>
        <v>-</v>
      </c>
      <c r="AJ125" s="586" t="s">
        <v>1437</v>
      </c>
      <c r="AK125" s="182" t="s">
        <v>1110</v>
      </c>
      <c r="AL125" s="93"/>
      <c r="AM125" s="93"/>
      <c r="AN125" s="616"/>
      <c r="AO125" s="93"/>
      <c r="AP125" s="93"/>
      <c r="AQ125" s="93"/>
      <c r="AR125" s="616"/>
      <c r="AS125" s="93"/>
      <c r="AT125" s="93"/>
      <c r="AU125" s="93"/>
      <c r="AV125" s="616"/>
      <c r="AW125" s="93"/>
      <c r="AX125" s="93"/>
      <c r="AY125" s="93"/>
      <c r="AZ125" s="93"/>
      <c r="BA125" s="93"/>
      <c r="BB125" s="638"/>
      <c r="BC125" s="638"/>
      <c r="BD125" s="638"/>
    </row>
    <row r="126" customFormat="false" ht="15.75" hidden="false" customHeight="false" outlineLevel="0" collapsed="false">
      <c r="A126" s="589" t="s">
        <v>1529</v>
      </c>
      <c r="B126" s="589"/>
      <c r="C126" s="589"/>
      <c r="D126" s="608" t="s">
        <v>805</v>
      </c>
      <c r="E126" s="591" t="s">
        <v>1117</v>
      </c>
      <c r="F126" s="582" t="n">
        <v>30</v>
      </c>
      <c r="G126" s="582" t="n">
        <v>25</v>
      </c>
      <c r="H126" s="592" t="n">
        <v>1</v>
      </c>
      <c r="I126" s="593"/>
      <c r="J126" s="589" t="s">
        <v>1530</v>
      </c>
      <c r="K126" s="589"/>
      <c r="L126" s="589"/>
      <c r="M126" s="630" t="s">
        <v>801</v>
      </c>
      <c r="N126" s="581" t="s">
        <v>1200</v>
      </c>
      <c r="O126" s="582" t="n">
        <v>20</v>
      </c>
      <c r="P126" s="583" t="s">
        <v>1120</v>
      </c>
      <c r="Q126" s="595"/>
      <c r="R126" s="93"/>
      <c r="S126" s="585" t="str">
        <f aca="false" t="array" ref="S126:S126">IF(ISNA(INDEX(Source!$U$7:$U$95,MATCH(T126,Source!$V$7:$V$95,0))),"-",INDEX(Source!$U$7:$U$95,MATCH(T126,Source!$V$7:$V$95,0)))</f>
        <v>-</v>
      </c>
      <c r="T126" s="586" t="s">
        <v>1531</v>
      </c>
      <c r="U126" s="182" t="s">
        <v>1106</v>
      </c>
      <c r="V126" s="93"/>
      <c r="W126" s="93"/>
      <c r="X126" s="616"/>
      <c r="Y126" s="93"/>
      <c r="Z126" s="93"/>
      <c r="AA126" s="93"/>
      <c r="AB126" s="616"/>
      <c r="AC126" s="93"/>
      <c r="AD126" s="93"/>
      <c r="AE126" s="93"/>
      <c r="AF126" s="616"/>
      <c r="AG126" s="93"/>
      <c r="AH126" s="93"/>
      <c r="AI126" s="585" t="str">
        <f aca="false" t="array" ref="AI126:AI126">IF(ISNA(INDEX(Source!$U$7:$U$95,MATCH(AJ126,Source!$V$7:$V$95,0))),"-",INDEX(Source!$U$7:$U$95,MATCH(AJ126,Source!$V$7:$V$95,0)))</f>
        <v>-</v>
      </c>
      <c r="AJ126" s="586" t="s">
        <v>498</v>
      </c>
      <c r="AK126" s="182" t="s">
        <v>1110</v>
      </c>
      <c r="AL126" s="93"/>
      <c r="AM126" s="93"/>
      <c r="AN126" s="616"/>
      <c r="AO126" s="93"/>
      <c r="AP126" s="93"/>
      <c r="AQ126" s="93"/>
      <c r="AR126" s="616"/>
      <c r="AS126" s="93"/>
      <c r="AT126" s="93"/>
      <c r="AU126" s="93"/>
      <c r="AV126" s="616"/>
      <c r="AW126" s="93"/>
      <c r="AX126" s="93"/>
      <c r="AY126" s="93"/>
      <c r="AZ126" s="93"/>
      <c r="BA126" s="93"/>
      <c r="BB126" s="638"/>
      <c r="BC126" s="638"/>
      <c r="BD126" s="638"/>
    </row>
    <row r="127" customFormat="false" ht="15.75" hidden="false" customHeight="false" outlineLevel="0" collapsed="false">
      <c r="A127" s="589" t="s">
        <v>1532</v>
      </c>
      <c r="B127" s="589"/>
      <c r="C127" s="589"/>
      <c r="D127" s="597" t="s">
        <v>810</v>
      </c>
      <c r="E127" s="591" t="s">
        <v>1117</v>
      </c>
      <c r="F127" s="582" t="n">
        <v>15</v>
      </c>
      <c r="G127" s="582" t="n">
        <v>80</v>
      </c>
      <c r="H127" s="592" t="n">
        <v>1</v>
      </c>
      <c r="I127" s="593"/>
      <c r="J127" s="589" t="s">
        <v>1533</v>
      </c>
      <c r="K127" s="589"/>
      <c r="L127" s="589"/>
      <c r="M127" s="636" t="s">
        <v>805</v>
      </c>
      <c r="N127" s="581" t="s">
        <v>1200</v>
      </c>
      <c r="O127" s="582" t="n">
        <v>30</v>
      </c>
      <c r="P127" s="583" t="s">
        <v>1120</v>
      </c>
      <c r="Q127" s="595"/>
      <c r="R127" s="93"/>
      <c r="S127" s="585" t="str">
        <f aca="false" t="array" ref="S127:S127">IF(ISNA(INDEX(Source!$U$7:$U$95,MATCH(T127,Source!$V$7:$V$95,0))),"-",INDEX(Source!$U$7:$U$95,MATCH(T127,Source!$V$7:$V$95,0)))</f>
        <v>-</v>
      </c>
      <c r="T127" s="586" t="s">
        <v>1226</v>
      </c>
      <c r="U127" s="182" t="s">
        <v>1106</v>
      </c>
      <c r="V127" s="93"/>
      <c r="W127" s="93"/>
      <c r="X127" s="616"/>
      <c r="Y127" s="93"/>
      <c r="Z127" s="93"/>
      <c r="AA127" s="93"/>
      <c r="AB127" s="616"/>
      <c r="AC127" s="93"/>
      <c r="AD127" s="93"/>
      <c r="AE127" s="93"/>
      <c r="AF127" s="616"/>
      <c r="AG127" s="93"/>
      <c r="AH127" s="93"/>
      <c r="AI127" s="585" t="str">
        <f aca="false" t="array" ref="AI127:AI127">IF(ISNA(INDEX(Source!$U$7:$U$95,MATCH(AJ127,Source!$V$7:$V$95,0))),"-",INDEX(Source!$U$7:$U$95,MATCH(AJ127,Source!$V$7:$V$95,0)))</f>
        <v>-</v>
      </c>
      <c r="AJ127" s="586" t="s">
        <v>1534</v>
      </c>
      <c r="AK127" s="182" t="s">
        <v>1110</v>
      </c>
      <c r="AL127" s="93"/>
      <c r="AM127" s="93"/>
      <c r="AN127" s="616"/>
      <c r="AO127" s="93"/>
      <c r="AP127" s="93"/>
      <c r="AQ127" s="93"/>
      <c r="AR127" s="616"/>
      <c r="AS127" s="93"/>
      <c r="AT127" s="93"/>
      <c r="AU127" s="93"/>
      <c r="AV127" s="616"/>
      <c r="AW127" s="93"/>
      <c r="AX127" s="93"/>
      <c r="AY127" s="93"/>
      <c r="AZ127" s="93"/>
      <c r="BA127" s="93"/>
      <c r="BB127" s="638"/>
      <c r="BC127" s="638"/>
      <c r="BD127" s="638"/>
    </row>
    <row r="128" customFormat="false" ht="15.75" hidden="false" customHeight="false" outlineLevel="0" collapsed="false">
      <c r="A128" s="589" t="s">
        <v>1535</v>
      </c>
      <c r="B128" s="589"/>
      <c r="C128" s="589"/>
      <c r="D128" s="597" t="s">
        <v>810</v>
      </c>
      <c r="E128" s="591" t="s">
        <v>1117</v>
      </c>
      <c r="F128" s="582" t="n">
        <v>15</v>
      </c>
      <c r="G128" s="582" t="n">
        <v>100</v>
      </c>
      <c r="H128" s="592" t="n">
        <v>0.75</v>
      </c>
      <c r="I128" s="593"/>
      <c r="J128" s="589" t="s">
        <v>1536</v>
      </c>
      <c r="K128" s="589"/>
      <c r="L128" s="589"/>
      <c r="M128" s="606" t="s">
        <v>798</v>
      </c>
      <c r="N128" s="581" t="s">
        <v>1328</v>
      </c>
      <c r="O128" s="582" t="n">
        <v>10</v>
      </c>
      <c r="P128" s="583" t="s">
        <v>1120</v>
      </c>
      <c r="Q128" s="595"/>
      <c r="R128" s="93"/>
      <c r="S128" s="585" t="str">
        <f aca="false" t="array" ref="S128:S128">IF(ISNA(INDEX(Source!$U$7:$U$95,MATCH(T128,Source!$V$7:$V$95,0))),"-",INDEX(Source!$U$7:$U$95,MATCH(T128,Source!$V$7:$V$95,0)))</f>
        <v>-</v>
      </c>
      <c r="T128" s="586" t="s">
        <v>597</v>
      </c>
      <c r="U128" s="182" t="s">
        <v>1106</v>
      </c>
      <c r="V128" s="93"/>
      <c r="W128" s="93"/>
      <c r="X128" s="616"/>
      <c r="Y128" s="93"/>
      <c r="Z128" s="93"/>
      <c r="AA128" s="93"/>
      <c r="AB128" s="616"/>
      <c r="AC128" s="93"/>
      <c r="AD128" s="93"/>
      <c r="AE128" s="93"/>
      <c r="AF128" s="616"/>
      <c r="AG128" s="93"/>
      <c r="AH128" s="93"/>
      <c r="AI128" s="585" t="str">
        <f aca="false" t="array" ref="AI128:AI128">IF(ISNA(INDEX(Source!$U$7:$U$95,MATCH(AJ128,Source!$V$7:$V$95,0))),"-",INDEX(Source!$U$7:$U$95,MATCH(AJ128,Source!$V$7:$V$95,0)))</f>
        <v>-</v>
      </c>
      <c r="AJ128" s="586" t="s">
        <v>1537</v>
      </c>
      <c r="AK128" s="182" t="s">
        <v>1110</v>
      </c>
      <c r="AL128" s="93"/>
      <c r="AM128" s="93"/>
      <c r="AN128" s="616"/>
      <c r="AO128" s="93"/>
      <c r="AP128" s="93"/>
      <c r="AQ128" s="93"/>
      <c r="AR128" s="616"/>
      <c r="AS128" s="93"/>
      <c r="AT128" s="93"/>
      <c r="AU128" s="93"/>
      <c r="AV128" s="616"/>
      <c r="AW128" s="93"/>
      <c r="AX128" s="93"/>
      <c r="AY128" s="93"/>
      <c r="AZ128" s="93"/>
      <c r="BA128" s="93"/>
      <c r="BB128" s="638"/>
      <c r="BC128" s="638"/>
      <c r="BD128" s="638"/>
    </row>
    <row r="129" customFormat="false" ht="15.75" hidden="false" customHeight="false" outlineLevel="0" collapsed="false">
      <c r="A129" s="589" t="s">
        <v>1538</v>
      </c>
      <c r="B129" s="589"/>
      <c r="C129" s="589"/>
      <c r="D129" s="600" t="s">
        <v>881</v>
      </c>
      <c r="E129" s="591" t="s">
        <v>1117</v>
      </c>
      <c r="F129" s="582" t="n">
        <v>10</v>
      </c>
      <c r="G129" s="582" t="n">
        <v>100</v>
      </c>
      <c r="H129" s="592" t="n">
        <v>0.95</v>
      </c>
      <c r="I129" s="593"/>
      <c r="J129" s="589" t="s">
        <v>1539</v>
      </c>
      <c r="K129" s="589"/>
      <c r="L129" s="589"/>
      <c r="M129" s="606" t="s">
        <v>798</v>
      </c>
      <c r="N129" s="581" t="s">
        <v>1149</v>
      </c>
      <c r="O129" s="582" t="n">
        <v>5</v>
      </c>
      <c r="P129" s="583" t="s">
        <v>1120</v>
      </c>
      <c r="Q129" s="595"/>
      <c r="R129" s="93"/>
      <c r="S129" s="585" t="str">
        <f aca="false" t="array" ref="S129:S129">IF(ISNA(INDEX(Source!$U$7:$U$95,MATCH(T129,Source!$V$7:$V$95,0))),"-",INDEX(Source!$U$7:$U$95,MATCH(T129,Source!$V$7:$V$95,0)))</f>
        <v>-</v>
      </c>
      <c r="T129" s="586" t="s">
        <v>1540</v>
      </c>
      <c r="U129" s="182" t="s">
        <v>1106</v>
      </c>
      <c r="V129" s="93"/>
      <c r="W129" s="93"/>
      <c r="X129" s="616"/>
      <c r="Y129" s="93"/>
      <c r="Z129" s="93"/>
      <c r="AA129" s="93"/>
      <c r="AB129" s="616"/>
      <c r="AC129" s="93"/>
      <c r="AD129" s="93"/>
      <c r="AE129" s="93"/>
      <c r="AF129" s="616"/>
      <c r="AG129" s="93"/>
      <c r="AH129" s="93"/>
      <c r="AI129" s="585" t="str">
        <f aca="false" t="array" ref="AI129:AI129">IF(ISNA(INDEX(Source!$U$7:$U$95,MATCH(AJ129,Source!$V$7:$V$95,0))),"-",INDEX(Source!$U$7:$U$95,MATCH(AJ129,Source!$V$7:$V$95,0)))</f>
        <v>-</v>
      </c>
      <c r="AJ129" s="586" t="s">
        <v>1541</v>
      </c>
      <c r="AK129" s="182" t="s">
        <v>1110</v>
      </c>
      <c r="AL129" s="93"/>
      <c r="AM129" s="93"/>
      <c r="AN129" s="616"/>
      <c r="AO129" s="93"/>
      <c r="AP129" s="93"/>
      <c r="AQ129" s="93"/>
      <c r="AR129" s="616"/>
      <c r="AS129" s="93"/>
      <c r="AT129" s="93"/>
      <c r="AU129" s="93"/>
      <c r="AV129" s="616"/>
      <c r="AW129" s="93"/>
      <c r="AX129" s="93"/>
      <c r="AY129" s="93"/>
      <c r="AZ129" s="93"/>
      <c r="BA129" s="93"/>
      <c r="BB129" s="638"/>
      <c r="BC129" s="638"/>
      <c r="BD129" s="638"/>
    </row>
    <row r="130" customFormat="false" ht="15.75" hidden="false" customHeight="false" outlineLevel="0" collapsed="false">
      <c r="A130" s="589" t="s">
        <v>1542</v>
      </c>
      <c r="B130" s="589"/>
      <c r="C130" s="589"/>
      <c r="D130" s="600" t="s">
        <v>881</v>
      </c>
      <c r="E130" s="591" t="s">
        <v>1117</v>
      </c>
      <c r="F130" s="582" t="n">
        <v>25</v>
      </c>
      <c r="G130" s="582" t="n">
        <v>50</v>
      </c>
      <c r="H130" s="592" t="n">
        <v>1</v>
      </c>
      <c r="I130" s="593"/>
      <c r="J130" s="589" t="s">
        <v>1543</v>
      </c>
      <c r="K130" s="589"/>
      <c r="L130" s="589"/>
      <c r="M130" s="594" t="s">
        <v>839</v>
      </c>
      <c r="N130" s="581" t="s">
        <v>1149</v>
      </c>
      <c r="O130" s="582" t="n">
        <v>5</v>
      </c>
      <c r="P130" s="583" t="s">
        <v>1120</v>
      </c>
      <c r="Q130" s="595"/>
      <c r="R130" s="93"/>
      <c r="S130" s="585" t="str">
        <f aca="false" t="array" ref="S130:S130">IF(ISNA(INDEX(Source!$U$7:$U$95,MATCH(T130,Source!$V$7:$V$95,0))),"-",INDEX(Source!$U$7:$U$95,MATCH(T130,Source!$V$7:$V$95,0)))</f>
        <v>SGP</v>
      </c>
      <c r="T130" s="586" t="s">
        <v>126</v>
      </c>
      <c r="U130" s="182" t="s">
        <v>1106</v>
      </c>
      <c r="V130" s="93"/>
      <c r="W130" s="93"/>
      <c r="X130" s="616"/>
      <c r="Y130" s="93"/>
      <c r="Z130" s="93"/>
      <c r="AA130" s="93"/>
      <c r="AB130" s="616"/>
      <c r="AC130" s="93"/>
      <c r="AD130" s="93"/>
      <c r="AE130" s="93"/>
      <c r="AF130" s="616"/>
      <c r="AG130" s="93"/>
      <c r="AH130" s="93"/>
      <c r="AI130" s="585" t="str">
        <f aca="false" t="array" ref="AI130:AI130">IF(ISNA(INDEX(Source!$U$7:$U$95,MATCH(AJ130,Source!$V$7:$V$95,0))),"-",INDEX(Source!$U$7:$U$95,MATCH(AJ130,Source!$V$7:$V$95,0)))</f>
        <v>-</v>
      </c>
      <c r="AJ130" s="586" t="s">
        <v>1410</v>
      </c>
      <c r="AK130" s="182" t="s">
        <v>1110</v>
      </c>
      <c r="AL130" s="93"/>
      <c r="AM130" s="93"/>
      <c r="AN130" s="616"/>
      <c r="AO130" s="93"/>
      <c r="AP130" s="93"/>
      <c r="AQ130" s="93"/>
      <c r="AR130" s="616"/>
      <c r="AS130" s="93"/>
      <c r="AT130" s="93"/>
      <c r="AU130" s="93"/>
      <c r="AV130" s="616"/>
      <c r="AW130" s="93"/>
      <c r="AX130" s="93"/>
      <c r="AY130" s="93"/>
      <c r="AZ130" s="93"/>
      <c r="BA130" s="93"/>
      <c r="BB130" s="638"/>
      <c r="BC130" s="638"/>
      <c r="BD130" s="638"/>
    </row>
    <row r="131" customFormat="false" ht="15.75" hidden="false" customHeight="false" outlineLevel="0" collapsed="false">
      <c r="A131" s="589" t="s">
        <v>1544</v>
      </c>
      <c r="B131" s="589"/>
      <c r="C131" s="589"/>
      <c r="D131" s="603" t="s">
        <v>795</v>
      </c>
      <c r="E131" s="591" t="s">
        <v>1117</v>
      </c>
      <c r="F131" s="582" t="n">
        <v>20</v>
      </c>
      <c r="G131" s="582" t="n">
        <v>65</v>
      </c>
      <c r="H131" s="592" t="n">
        <v>1</v>
      </c>
      <c r="I131" s="593"/>
      <c r="J131" s="589" t="s">
        <v>1545</v>
      </c>
      <c r="K131" s="589"/>
      <c r="L131" s="589"/>
      <c r="M131" s="640" t="s">
        <v>907</v>
      </c>
      <c r="N131" s="581" t="s">
        <v>1185</v>
      </c>
      <c r="O131" s="582" t="n">
        <v>15</v>
      </c>
      <c r="P131" s="592" t="n">
        <v>1</v>
      </c>
      <c r="Q131" s="595"/>
      <c r="R131" s="93"/>
      <c r="S131" s="585" t="str">
        <f aca="false" t="array" ref="S131:S131">IF(ISNA(INDEX(Source!$U$7:$U$95,MATCH(T131,Source!$V$7:$V$95,0))),"-",INDEX(Source!$U$7:$U$95,MATCH(T131,Source!$V$7:$V$95,0)))</f>
        <v>-</v>
      </c>
      <c r="T131" s="586" t="s">
        <v>1546</v>
      </c>
      <c r="U131" s="182" t="s">
        <v>1106</v>
      </c>
      <c r="V131" s="93"/>
      <c r="W131" s="93"/>
      <c r="X131" s="616"/>
      <c r="Y131" s="93"/>
      <c r="Z131" s="93"/>
      <c r="AA131" s="93"/>
      <c r="AB131" s="616"/>
      <c r="AC131" s="93"/>
      <c r="AD131" s="93"/>
      <c r="AE131" s="93"/>
      <c r="AF131" s="616"/>
      <c r="AG131" s="93"/>
      <c r="AH131" s="93"/>
      <c r="AI131" s="585" t="str">
        <f aca="false" t="array" ref="AI131:AI131">IF(ISNA(INDEX(Source!$U$7:$U$95,MATCH(AJ131,Source!$V$7:$V$95,0))),"-",INDEX(Source!$U$7:$U$95,MATCH(AJ131,Source!$V$7:$V$95,0)))</f>
        <v>-</v>
      </c>
      <c r="AJ131" s="586" t="s">
        <v>625</v>
      </c>
      <c r="AK131" s="182" t="s">
        <v>1110</v>
      </c>
      <c r="AL131" s="93"/>
      <c r="AM131" s="93"/>
      <c r="AN131" s="616"/>
      <c r="AO131" s="93"/>
      <c r="AP131" s="93"/>
      <c r="AQ131" s="93"/>
      <c r="AR131" s="616"/>
      <c r="AS131" s="93"/>
      <c r="AT131" s="93"/>
      <c r="AU131" s="93"/>
      <c r="AV131" s="616"/>
      <c r="AW131" s="93"/>
      <c r="AX131" s="93"/>
      <c r="AY131" s="93"/>
      <c r="AZ131" s="93"/>
      <c r="BA131" s="93"/>
      <c r="BB131" s="638"/>
      <c r="BC131" s="638"/>
      <c r="BD131" s="638"/>
    </row>
    <row r="132" customFormat="false" ht="15.75" hidden="false" customHeight="false" outlineLevel="0" collapsed="false">
      <c r="A132" s="589" t="s">
        <v>1547</v>
      </c>
      <c r="B132" s="589"/>
      <c r="C132" s="589"/>
      <c r="D132" s="620" t="s">
        <v>907</v>
      </c>
      <c r="E132" s="591" t="s">
        <v>1117</v>
      </c>
      <c r="F132" s="582" t="n">
        <v>10</v>
      </c>
      <c r="G132" s="582" t="n">
        <v>90</v>
      </c>
      <c r="H132" s="592" t="n">
        <v>1</v>
      </c>
      <c r="I132" s="593"/>
      <c r="J132" s="589" t="s">
        <v>1548</v>
      </c>
      <c r="K132" s="589"/>
      <c r="L132" s="589"/>
      <c r="M132" s="625" t="s">
        <v>795</v>
      </c>
      <c r="N132" s="581" t="s">
        <v>1119</v>
      </c>
      <c r="O132" s="582" t="n">
        <v>20</v>
      </c>
      <c r="P132" s="583" t="s">
        <v>1120</v>
      </c>
      <c r="Q132" s="595"/>
      <c r="R132" s="93"/>
      <c r="S132" s="585" t="str">
        <f aca="false" t="array" ref="S132:S132">IF(ISNA(INDEX(Source!$U$7:$U$95,MATCH(T132,Source!$V$7:$V$95,0))),"-",INDEX(Source!$U$7:$U$95,MATCH(T132,Source!$V$7:$V$95,0)))</f>
        <v>-</v>
      </c>
      <c r="T132" s="586" t="s">
        <v>761</v>
      </c>
      <c r="U132" s="182" t="s">
        <v>1106</v>
      </c>
      <c r="V132" s="93"/>
      <c r="W132" s="93"/>
      <c r="X132" s="616"/>
      <c r="Y132" s="93"/>
      <c r="Z132" s="93"/>
      <c r="AA132" s="93"/>
      <c r="AB132" s="616"/>
      <c r="AC132" s="93"/>
      <c r="AD132" s="93"/>
      <c r="AE132" s="93"/>
      <c r="AF132" s="616"/>
      <c r="AG132" s="93"/>
      <c r="AH132" s="93"/>
      <c r="AI132" s="585" t="str">
        <f aca="false" t="array" ref="AI132:AI132">IF(ISNA(INDEX(Source!$U$7:$U$95,MATCH(AJ132,Source!$V$7:$V$95,0))),"-",INDEX(Source!$U$7:$U$95,MATCH(AJ132,Source!$V$7:$V$95,0)))</f>
        <v>JVJ</v>
      </c>
      <c r="AJ132" s="586" t="s">
        <v>258</v>
      </c>
      <c r="AK132" s="182" t="s">
        <v>1110</v>
      </c>
      <c r="AL132" s="93"/>
      <c r="AM132" s="93"/>
      <c r="AN132" s="616"/>
      <c r="AO132" s="93"/>
      <c r="AP132" s="93"/>
      <c r="AQ132" s="93"/>
      <c r="AR132" s="616"/>
      <c r="AS132" s="93"/>
      <c r="AT132" s="93"/>
      <c r="AU132" s="93"/>
      <c r="AV132" s="616"/>
      <c r="AW132" s="93"/>
      <c r="AX132" s="93"/>
      <c r="AY132" s="93"/>
      <c r="AZ132" s="93"/>
      <c r="BA132" s="93"/>
      <c r="BB132" s="638"/>
      <c r="BC132" s="638"/>
      <c r="BD132" s="638"/>
    </row>
    <row r="133" customFormat="false" ht="15.75" hidden="false" customHeight="false" outlineLevel="0" collapsed="false">
      <c r="A133" s="589" t="s">
        <v>1549</v>
      </c>
      <c r="B133" s="589"/>
      <c r="C133" s="589"/>
      <c r="D133" s="610" t="s">
        <v>839</v>
      </c>
      <c r="E133" s="591" t="s">
        <v>1117</v>
      </c>
      <c r="F133" s="582" t="n">
        <v>5</v>
      </c>
      <c r="G133" s="582" t="n">
        <v>140</v>
      </c>
      <c r="H133" s="592" t="n">
        <v>1</v>
      </c>
      <c r="I133" s="593"/>
      <c r="J133" s="589" t="s">
        <v>1550</v>
      </c>
      <c r="K133" s="589"/>
      <c r="L133" s="589"/>
      <c r="M133" s="623" t="s">
        <v>802</v>
      </c>
      <c r="N133" s="581" t="s">
        <v>1166</v>
      </c>
      <c r="O133" s="582" t="n">
        <v>15</v>
      </c>
      <c r="P133" s="592" t="n">
        <v>1</v>
      </c>
      <c r="Q133" s="595"/>
      <c r="R133" s="93"/>
      <c r="S133" s="585" t="str">
        <f aca="false" t="array" ref="S133:S133">IF(ISNA(INDEX(Source!$U$7:$U$95,MATCH(T133,Source!$V$7:$V$95,0))),"-",INDEX(Source!$U$7:$U$95,MATCH(T133,Source!$V$7:$V$95,0)))</f>
        <v>-</v>
      </c>
      <c r="T133" s="586" t="s">
        <v>1551</v>
      </c>
      <c r="U133" s="182" t="s">
        <v>1106</v>
      </c>
      <c r="V133" s="93"/>
      <c r="W133" s="93"/>
      <c r="X133" s="616"/>
      <c r="Y133" s="93"/>
      <c r="Z133" s="93"/>
      <c r="AA133" s="93"/>
      <c r="AB133" s="616"/>
      <c r="AC133" s="93"/>
      <c r="AD133" s="93"/>
      <c r="AE133" s="93"/>
      <c r="AF133" s="616"/>
      <c r="AG133" s="93"/>
      <c r="AH133" s="93"/>
      <c r="AI133" s="585" t="str">
        <f aca="false" t="array" ref="AI133:AI133">IF(ISNA(INDEX(Source!$U$7:$U$95,MATCH(AJ133,Source!$V$7:$V$95,0))),"-",INDEX(Source!$U$7:$U$95,MATCH(AJ133,Source!$V$7:$V$95,0)))</f>
        <v>-</v>
      </c>
      <c r="AJ133" s="586" t="s">
        <v>628</v>
      </c>
      <c r="AK133" s="182" t="s">
        <v>1110</v>
      </c>
      <c r="AL133" s="93"/>
      <c r="AM133" s="93"/>
      <c r="AN133" s="616"/>
      <c r="AO133" s="93"/>
      <c r="AP133" s="93"/>
      <c r="AQ133" s="93"/>
      <c r="AR133" s="616"/>
      <c r="AS133" s="93"/>
      <c r="AT133" s="93"/>
      <c r="AU133" s="93"/>
      <c r="AV133" s="616"/>
      <c r="AW133" s="93"/>
      <c r="AX133" s="93"/>
      <c r="AY133" s="93"/>
      <c r="AZ133" s="93"/>
      <c r="BA133" s="93"/>
      <c r="BB133" s="638"/>
      <c r="BC133" s="638"/>
      <c r="BD133" s="638"/>
    </row>
    <row r="134" customFormat="false" ht="15.75" hidden="false" customHeight="false" outlineLevel="0" collapsed="false">
      <c r="A134" s="589" t="s">
        <v>1552</v>
      </c>
      <c r="B134" s="589"/>
      <c r="C134" s="589"/>
      <c r="D134" s="624" t="s">
        <v>803</v>
      </c>
      <c r="E134" s="591" t="s">
        <v>1117</v>
      </c>
      <c r="F134" s="582" t="n">
        <v>15</v>
      </c>
      <c r="G134" s="582" t="n">
        <v>90</v>
      </c>
      <c r="H134" s="592" t="n">
        <v>1</v>
      </c>
      <c r="I134" s="593"/>
      <c r="J134" s="589" t="s">
        <v>1553</v>
      </c>
      <c r="K134" s="589"/>
      <c r="L134" s="589"/>
      <c r="M134" s="594" t="s">
        <v>839</v>
      </c>
      <c r="N134" s="581" t="s">
        <v>1185</v>
      </c>
      <c r="O134" s="582" t="n">
        <v>30</v>
      </c>
      <c r="P134" s="592" t="n">
        <v>1</v>
      </c>
      <c r="Q134" s="595"/>
      <c r="R134" s="93"/>
      <c r="S134" s="585" t="str">
        <f aca="false" t="array" ref="S134:S134">IF(ISNA(INDEX(Source!$U$7:$U$95,MATCH(T134,Source!$V$7:$V$95,0))),"-",INDEX(Source!$U$7:$U$95,MATCH(T134,Source!$V$7:$V$95,0)))</f>
        <v>-</v>
      </c>
      <c r="T134" s="586" t="s">
        <v>453</v>
      </c>
      <c r="U134" s="182" t="s">
        <v>1106</v>
      </c>
      <c r="V134" s="93"/>
      <c r="W134" s="93"/>
      <c r="X134" s="616"/>
      <c r="Y134" s="93"/>
      <c r="Z134" s="93"/>
      <c r="AA134" s="93"/>
      <c r="AB134" s="616"/>
      <c r="AC134" s="93"/>
      <c r="AD134" s="93"/>
      <c r="AE134" s="93"/>
      <c r="AF134" s="616"/>
      <c r="AG134" s="93"/>
      <c r="AH134" s="93"/>
      <c r="AI134" s="585" t="str">
        <f aca="false" t="array" ref="AI134:AI134">IF(ISNA(INDEX(Source!$U$7:$U$95,MATCH(AJ134,Source!$V$7:$V$95,0))),"-",INDEX(Source!$U$7:$U$95,MATCH(AJ134,Source!$V$7:$V$95,0)))</f>
        <v>-</v>
      </c>
      <c r="AJ134" s="586" t="s">
        <v>1554</v>
      </c>
      <c r="AK134" s="182" t="s">
        <v>1110</v>
      </c>
      <c r="AL134" s="93"/>
      <c r="AM134" s="93"/>
      <c r="AN134" s="616"/>
      <c r="AO134" s="93"/>
      <c r="AP134" s="93"/>
      <c r="AQ134" s="93"/>
      <c r="AR134" s="616"/>
      <c r="AS134" s="93"/>
      <c r="AT134" s="93"/>
      <c r="AU134" s="93"/>
      <c r="AV134" s="616"/>
      <c r="AW134" s="93"/>
      <c r="AX134" s="93"/>
      <c r="AY134" s="93"/>
      <c r="AZ134" s="93"/>
      <c r="BA134" s="93"/>
      <c r="BB134" s="638"/>
      <c r="BC134" s="638"/>
      <c r="BD134" s="638"/>
    </row>
    <row r="135" customFormat="false" ht="15.75" hidden="false" customHeight="false" outlineLevel="0" collapsed="false">
      <c r="A135" s="589" t="s">
        <v>1555</v>
      </c>
      <c r="B135" s="589"/>
      <c r="C135" s="589"/>
      <c r="D135" s="624" t="s">
        <v>803</v>
      </c>
      <c r="E135" s="591" t="s">
        <v>1117</v>
      </c>
      <c r="F135" s="582" t="n">
        <v>40</v>
      </c>
      <c r="G135" s="582" t="n">
        <v>40</v>
      </c>
      <c r="H135" s="592" t="n">
        <v>1</v>
      </c>
      <c r="I135" s="593"/>
      <c r="J135" s="589" t="s">
        <v>1556</v>
      </c>
      <c r="K135" s="589"/>
      <c r="L135" s="589"/>
      <c r="M135" s="594" t="s">
        <v>839</v>
      </c>
      <c r="N135" s="581" t="s">
        <v>1200</v>
      </c>
      <c r="O135" s="582" t="n">
        <v>40</v>
      </c>
      <c r="P135" s="592" t="n">
        <v>1</v>
      </c>
      <c r="Q135" s="595"/>
      <c r="R135" s="93"/>
      <c r="S135" s="585" t="str">
        <f aca="false" t="array" ref="S135:S135">IF(ISNA(INDEX(Source!$U$7:$U$95,MATCH(T135,Source!$V$7:$V$95,0))),"-",INDEX(Source!$U$7:$U$95,MATCH(T135,Source!$V$7:$V$95,0)))</f>
        <v>-</v>
      </c>
      <c r="T135" s="586" t="s">
        <v>1233</v>
      </c>
      <c r="U135" s="182" t="s">
        <v>1106</v>
      </c>
      <c r="V135" s="93"/>
      <c r="W135" s="93"/>
      <c r="X135" s="616"/>
      <c r="Y135" s="93"/>
      <c r="Z135" s="93"/>
      <c r="AA135" s="93"/>
      <c r="AB135" s="616"/>
      <c r="AC135" s="93"/>
      <c r="AD135" s="93"/>
      <c r="AE135" s="93"/>
      <c r="AF135" s="616"/>
      <c r="AG135" s="93"/>
      <c r="AH135" s="93"/>
      <c r="AI135" s="585" t="str">
        <f aca="false" t="array" ref="AI135:AI135">IF(ISNA(INDEX(Source!$U$7:$U$95,MATCH(AJ135,Source!$V$7:$V$95,0))),"-",INDEX(Source!$U$7:$U$95,MATCH(AJ135,Source!$V$7:$V$95,0)))</f>
        <v>-</v>
      </c>
      <c r="AJ135" s="586" t="s">
        <v>582</v>
      </c>
      <c r="AK135" s="182" t="s">
        <v>1110</v>
      </c>
      <c r="AL135" s="93"/>
      <c r="AM135" s="93"/>
      <c r="AN135" s="616"/>
      <c r="AO135" s="93"/>
      <c r="AP135" s="93"/>
      <c r="AQ135" s="93"/>
      <c r="AR135" s="616"/>
      <c r="AS135" s="93"/>
      <c r="AT135" s="93"/>
      <c r="AU135" s="93"/>
      <c r="AV135" s="616"/>
      <c r="AW135" s="93"/>
      <c r="AX135" s="93"/>
      <c r="AY135" s="93"/>
      <c r="AZ135" s="93"/>
      <c r="BA135" s="93"/>
      <c r="BB135" s="638"/>
      <c r="BC135" s="638"/>
      <c r="BD135" s="638"/>
    </row>
    <row r="136" customFormat="false" ht="15.75" hidden="false" customHeight="false" outlineLevel="0" collapsed="false">
      <c r="A136" s="589" t="s">
        <v>1557</v>
      </c>
      <c r="B136" s="589"/>
      <c r="C136" s="589"/>
      <c r="D136" s="607" t="s">
        <v>794</v>
      </c>
      <c r="E136" s="591" t="s">
        <v>1117</v>
      </c>
      <c r="F136" s="582" t="n">
        <v>10</v>
      </c>
      <c r="G136" s="582" t="n">
        <v>80</v>
      </c>
      <c r="H136" s="592" t="n">
        <v>1</v>
      </c>
      <c r="I136" s="593"/>
      <c r="J136" s="589" t="s">
        <v>1558</v>
      </c>
      <c r="K136" s="589"/>
      <c r="L136" s="589"/>
      <c r="M136" s="594" t="s">
        <v>839</v>
      </c>
      <c r="N136" s="581" t="s">
        <v>1149</v>
      </c>
      <c r="O136" s="582" t="n">
        <v>20</v>
      </c>
      <c r="P136" s="592" t="n">
        <v>1</v>
      </c>
      <c r="Q136" s="595"/>
      <c r="R136" s="93"/>
      <c r="S136" s="585" t="str">
        <f aca="false" t="array" ref="S136:S136">IF(ISNA(INDEX(Source!$U$7:$U$95,MATCH(T136,Source!$V$7:$V$95,0))),"-",INDEX(Source!$U$7:$U$95,MATCH(T136,Source!$V$7:$V$95,0)))</f>
        <v>-</v>
      </c>
      <c r="T136" s="586" t="s">
        <v>458</v>
      </c>
      <c r="U136" s="182" t="s">
        <v>1106</v>
      </c>
      <c r="V136" s="93"/>
      <c r="W136" s="93"/>
      <c r="X136" s="616"/>
      <c r="Y136" s="93"/>
      <c r="Z136" s="93"/>
      <c r="AA136" s="93"/>
      <c r="AB136" s="616"/>
      <c r="AC136" s="93"/>
      <c r="AD136" s="93"/>
      <c r="AE136" s="93"/>
      <c r="AF136" s="616"/>
      <c r="AG136" s="93"/>
      <c r="AH136" s="93"/>
      <c r="AI136" s="585" t="str">
        <f aca="false" t="array" ref="AI136:AI136">IF(ISNA(INDEX(Source!$U$7:$U$95,MATCH(AJ136,Source!$V$7:$V$95,0))),"-",INDEX(Source!$U$7:$U$95,MATCH(AJ136,Source!$V$7:$V$95,0)))</f>
        <v>-</v>
      </c>
      <c r="AJ136" s="586" t="s">
        <v>27</v>
      </c>
      <c r="AK136" s="182" t="s">
        <v>1110</v>
      </c>
      <c r="AL136" s="93"/>
      <c r="AM136" s="93"/>
      <c r="AN136" s="616"/>
      <c r="AO136" s="93"/>
      <c r="AP136" s="93"/>
      <c r="AQ136" s="93"/>
      <c r="AR136" s="616"/>
      <c r="AS136" s="93"/>
      <c r="AT136" s="93"/>
      <c r="AU136" s="93"/>
      <c r="AV136" s="616"/>
      <c r="AW136" s="93"/>
      <c r="AX136" s="93"/>
      <c r="AY136" s="93"/>
      <c r="AZ136" s="93"/>
      <c r="BA136" s="93"/>
      <c r="BB136" s="638"/>
      <c r="BC136" s="638"/>
      <c r="BD136" s="638"/>
    </row>
    <row r="137" customFormat="false" ht="15.75" hidden="false" customHeight="false" outlineLevel="0" collapsed="false">
      <c r="A137" s="589" t="s">
        <v>1559</v>
      </c>
      <c r="B137" s="589"/>
      <c r="C137" s="589"/>
      <c r="D137" s="605" t="s">
        <v>802</v>
      </c>
      <c r="E137" s="591" t="s">
        <v>1117</v>
      </c>
      <c r="F137" s="582" t="n">
        <v>30</v>
      </c>
      <c r="G137" s="582" t="n">
        <v>30</v>
      </c>
      <c r="H137" s="592" t="n">
        <v>1</v>
      </c>
      <c r="I137" s="593"/>
      <c r="J137" s="589" t="s">
        <v>1560</v>
      </c>
      <c r="K137" s="589"/>
      <c r="L137" s="589"/>
      <c r="M137" s="625" t="s">
        <v>795</v>
      </c>
      <c r="N137" s="581" t="s">
        <v>1185</v>
      </c>
      <c r="O137" s="582" t="n">
        <v>20</v>
      </c>
      <c r="P137" s="592" t="n">
        <v>1</v>
      </c>
      <c r="Q137" s="595"/>
      <c r="R137" s="93"/>
      <c r="S137" s="585" t="str">
        <f aca="false" t="array" ref="S137:S137">IF(ISNA(INDEX(Source!$U$7:$U$95,MATCH(T137,Source!$V$7:$V$95,0))),"-",INDEX(Source!$U$7:$U$95,MATCH(T137,Source!$V$7:$V$95,0)))</f>
        <v>-</v>
      </c>
      <c r="T137" s="586" t="s">
        <v>734</v>
      </c>
      <c r="U137" s="182" t="s">
        <v>1106</v>
      </c>
      <c r="V137" s="93"/>
      <c r="W137" s="93"/>
      <c r="X137" s="616"/>
      <c r="Y137" s="93"/>
      <c r="Z137" s="93"/>
      <c r="AA137" s="93"/>
      <c r="AB137" s="616"/>
      <c r="AC137" s="93"/>
      <c r="AD137" s="93"/>
      <c r="AE137" s="93"/>
      <c r="AF137" s="616"/>
      <c r="AG137" s="93"/>
      <c r="AH137" s="93"/>
      <c r="AI137" s="585" t="str">
        <f aca="false" t="array" ref="AI137:AI137">IF(ISNA(INDEX(Source!$U$7:$U$95,MATCH(AJ137,Source!$V$7:$V$95,0))),"-",INDEX(Source!$U$7:$U$95,MATCH(AJ137,Source!$V$7:$V$95,0)))</f>
        <v>LVC</v>
      </c>
      <c r="AJ137" s="586" t="s">
        <v>60</v>
      </c>
      <c r="AK137" s="182" t="s">
        <v>1110</v>
      </c>
      <c r="AL137" s="93"/>
      <c r="AM137" s="93"/>
      <c r="AN137" s="616"/>
      <c r="AO137" s="93"/>
      <c r="AP137" s="93"/>
      <c r="AQ137" s="93"/>
      <c r="AR137" s="616"/>
      <c r="AS137" s="93"/>
      <c r="AT137" s="93"/>
      <c r="AU137" s="93"/>
      <c r="AV137" s="616"/>
      <c r="AW137" s="93"/>
      <c r="AX137" s="93"/>
      <c r="AY137" s="93"/>
      <c r="AZ137" s="93"/>
      <c r="BA137" s="93"/>
      <c r="BB137" s="638"/>
      <c r="BC137" s="638"/>
      <c r="BD137" s="638"/>
    </row>
    <row r="138" customFormat="false" ht="15.75" hidden="false" customHeight="false" outlineLevel="0" collapsed="false">
      <c r="A138" s="589" t="s">
        <v>1561</v>
      </c>
      <c r="B138" s="589"/>
      <c r="C138" s="589"/>
      <c r="D138" s="599" t="s">
        <v>811</v>
      </c>
      <c r="E138" s="591" t="s">
        <v>1117</v>
      </c>
      <c r="F138" s="582" t="n">
        <v>10</v>
      </c>
      <c r="G138" s="582" t="n">
        <v>85</v>
      </c>
      <c r="H138" s="592" t="n">
        <v>1</v>
      </c>
      <c r="I138" s="593"/>
      <c r="J138" s="589" t="s">
        <v>1562</v>
      </c>
      <c r="K138" s="589"/>
      <c r="L138" s="589"/>
      <c r="M138" s="594" t="s">
        <v>839</v>
      </c>
      <c r="N138" s="581" t="s">
        <v>1200</v>
      </c>
      <c r="O138" s="582" t="n">
        <v>5</v>
      </c>
      <c r="P138" s="583" t="s">
        <v>1120</v>
      </c>
      <c r="Q138" s="595"/>
      <c r="R138" s="93"/>
      <c r="S138" s="585" t="str">
        <f aca="false" t="array" ref="S138:S138">IF(ISNA(INDEX(Source!$U$7:$U$95,MATCH(T138,Source!$V$7:$V$95,0))),"-",INDEX(Source!$U$7:$U$95,MATCH(T138,Source!$V$7:$V$95,0)))</f>
        <v>-</v>
      </c>
      <c r="T138" s="586" t="s">
        <v>763</v>
      </c>
      <c r="U138" s="182" t="s">
        <v>1106</v>
      </c>
      <c r="V138" s="93"/>
      <c r="W138" s="93"/>
      <c r="X138" s="616"/>
      <c r="Y138" s="93"/>
      <c r="Z138" s="93"/>
      <c r="AA138" s="93"/>
      <c r="AB138" s="616"/>
      <c r="AC138" s="93"/>
      <c r="AD138" s="93"/>
      <c r="AE138" s="93"/>
      <c r="AF138" s="616"/>
      <c r="AG138" s="93"/>
      <c r="AH138" s="93"/>
      <c r="AI138" s="585" t="str">
        <f aca="false" t="array" ref="AI138:AI138">IF(ISNA(INDEX(Source!$U$7:$U$95,MATCH(AJ138,Source!$V$7:$V$95,0))),"-",INDEX(Source!$U$7:$U$95,MATCH(AJ138,Source!$V$7:$V$95,0)))</f>
        <v>-</v>
      </c>
      <c r="AJ138" s="586" t="s">
        <v>437</v>
      </c>
      <c r="AK138" s="182" t="s">
        <v>1110</v>
      </c>
      <c r="AL138" s="93"/>
      <c r="AM138" s="93"/>
      <c r="AN138" s="616"/>
      <c r="AO138" s="93"/>
      <c r="AP138" s="93"/>
      <c r="AQ138" s="93"/>
      <c r="AR138" s="616"/>
      <c r="AS138" s="93"/>
      <c r="AT138" s="93"/>
      <c r="AU138" s="93"/>
      <c r="AV138" s="616"/>
      <c r="AW138" s="93"/>
      <c r="AX138" s="93"/>
      <c r="AY138" s="93"/>
      <c r="AZ138" s="93"/>
      <c r="BA138" s="93"/>
      <c r="BB138" s="638"/>
      <c r="BC138" s="638"/>
      <c r="BD138" s="638"/>
    </row>
    <row r="139" customFormat="false" ht="15.75" hidden="false" customHeight="false" outlineLevel="0" collapsed="false">
      <c r="A139" s="589" t="s">
        <v>1563</v>
      </c>
      <c r="B139" s="589"/>
      <c r="C139" s="589"/>
      <c r="D139" s="600" t="s">
        <v>881</v>
      </c>
      <c r="E139" s="591" t="s">
        <v>1117</v>
      </c>
      <c r="F139" s="582" t="n">
        <v>20</v>
      </c>
      <c r="G139" s="582" t="s">
        <v>1183</v>
      </c>
      <c r="H139" s="592" t="n">
        <v>1</v>
      </c>
      <c r="I139" s="593"/>
      <c r="J139" s="589" t="s">
        <v>1564</v>
      </c>
      <c r="K139" s="589"/>
      <c r="L139" s="589"/>
      <c r="M139" s="594" t="s">
        <v>839</v>
      </c>
      <c r="N139" s="581" t="s">
        <v>1185</v>
      </c>
      <c r="O139" s="582" t="n">
        <v>20</v>
      </c>
      <c r="P139" s="583" t="s">
        <v>1120</v>
      </c>
      <c r="Q139" s="595"/>
      <c r="R139" s="93"/>
      <c r="S139" s="585" t="str">
        <f aca="false" t="array" ref="S139:S139">IF(ISNA(INDEX(Source!$U$7:$U$95,MATCH(T139,Source!$V$7:$V$95,0))),"-",INDEX(Source!$U$7:$U$95,MATCH(T139,Source!$V$7:$V$95,0)))</f>
        <v>-</v>
      </c>
      <c r="T139" s="586" t="s">
        <v>474</v>
      </c>
      <c r="U139" s="182" t="s">
        <v>1106</v>
      </c>
      <c r="V139" s="93"/>
      <c r="W139" s="93"/>
      <c r="X139" s="616"/>
      <c r="Y139" s="93"/>
      <c r="Z139" s="93"/>
      <c r="AA139" s="93"/>
      <c r="AB139" s="616"/>
      <c r="AC139" s="93"/>
      <c r="AD139" s="93"/>
      <c r="AE139" s="93"/>
      <c r="AF139" s="616"/>
      <c r="AG139" s="93"/>
      <c r="AH139" s="93"/>
      <c r="AI139" s="585" t="str">
        <f aca="false" t="array" ref="AI139:AI139">IF(ISNA(INDEX(Source!$U$7:$U$95,MATCH(AJ139,Source!$V$7:$V$95,0))),"-",INDEX(Source!$U$7:$U$95,MATCH(AJ139,Source!$V$7:$V$95,0)))</f>
        <v>-</v>
      </c>
      <c r="AJ139" s="586" t="s">
        <v>442</v>
      </c>
      <c r="AK139" s="182" t="s">
        <v>1110</v>
      </c>
      <c r="AL139" s="93"/>
      <c r="AM139" s="93"/>
      <c r="AN139" s="616"/>
      <c r="AO139" s="93"/>
      <c r="AP139" s="93"/>
      <c r="AQ139" s="93"/>
      <c r="AR139" s="616"/>
      <c r="AS139" s="93"/>
      <c r="AT139" s="93"/>
      <c r="AU139" s="93"/>
      <c r="AV139" s="616"/>
      <c r="AW139" s="93"/>
      <c r="AX139" s="93"/>
      <c r="AY139" s="93"/>
      <c r="AZ139" s="93"/>
      <c r="BA139" s="93"/>
      <c r="BB139" s="638"/>
      <c r="BC139" s="638"/>
      <c r="BD139" s="638"/>
    </row>
    <row r="140" customFormat="false" ht="15.75" hidden="false" customHeight="false" outlineLevel="0" collapsed="false">
      <c r="A140" s="589" t="s">
        <v>1565</v>
      </c>
      <c r="B140" s="589"/>
      <c r="C140" s="589"/>
      <c r="D140" s="600" t="s">
        <v>881</v>
      </c>
      <c r="E140" s="591" t="s">
        <v>1117</v>
      </c>
      <c r="F140" s="582" t="n">
        <v>20</v>
      </c>
      <c r="G140" s="582" t="n">
        <v>65</v>
      </c>
      <c r="H140" s="592" t="n">
        <v>1</v>
      </c>
      <c r="I140" s="593"/>
      <c r="J140" s="589" t="s">
        <v>1566</v>
      </c>
      <c r="K140" s="589"/>
      <c r="L140" s="589"/>
      <c r="M140" s="580" t="s">
        <v>843</v>
      </c>
      <c r="N140" s="581" t="s">
        <v>1166</v>
      </c>
      <c r="O140" s="582" t="n">
        <v>40</v>
      </c>
      <c r="P140" s="592" t="n">
        <v>0.9</v>
      </c>
      <c r="Q140" s="595"/>
      <c r="R140" s="93"/>
      <c r="S140" s="585" t="str">
        <f aca="false" t="array" ref="S140:S140">IF(ISNA(INDEX(Source!$U$7:$U$95,MATCH(T140,Source!$V$7:$V$95,0))),"-",INDEX(Source!$U$7:$U$95,MATCH(T140,Source!$V$7:$V$95,0)))</f>
        <v>-</v>
      </c>
      <c r="T140" s="586" t="s">
        <v>479</v>
      </c>
      <c r="U140" s="182" t="s">
        <v>1106</v>
      </c>
      <c r="V140" s="93"/>
      <c r="W140" s="93"/>
      <c r="X140" s="616"/>
      <c r="Y140" s="93"/>
      <c r="Z140" s="93"/>
      <c r="AA140" s="93"/>
      <c r="AB140" s="616"/>
      <c r="AC140" s="93"/>
      <c r="AD140" s="93"/>
      <c r="AE140" s="93"/>
      <c r="AF140" s="616"/>
      <c r="AG140" s="93"/>
      <c r="AH140" s="93"/>
      <c r="AI140" s="585" t="str">
        <f aca="false" t="array" ref="AI140:AI140">IF(ISNA(INDEX(Source!$U$7:$U$95,MATCH(AJ140,Source!$V$7:$V$95,0))),"-",INDEX(Source!$U$7:$U$95,MATCH(AJ140,Source!$V$7:$V$95,0)))</f>
        <v>-</v>
      </c>
      <c r="AJ140" s="586" t="s">
        <v>77</v>
      </c>
      <c r="AK140" s="182" t="s">
        <v>1110</v>
      </c>
      <c r="AL140" s="93"/>
      <c r="AM140" s="93"/>
      <c r="AN140" s="616"/>
      <c r="AO140" s="93"/>
      <c r="AP140" s="93"/>
      <c r="AQ140" s="93"/>
      <c r="AR140" s="616"/>
      <c r="AS140" s="93"/>
      <c r="AT140" s="93"/>
      <c r="AU140" s="93"/>
      <c r="AV140" s="616"/>
      <c r="AW140" s="93"/>
      <c r="AX140" s="93"/>
      <c r="AY140" s="93"/>
      <c r="AZ140" s="93"/>
      <c r="BA140" s="93"/>
      <c r="BB140" s="638"/>
      <c r="BC140" s="638"/>
      <c r="BD140" s="638"/>
    </row>
    <row r="141" customFormat="false" ht="15.75" hidden="false" customHeight="false" outlineLevel="0" collapsed="false">
      <c r="A141" s="589" t="s">
        <v>1567</v>
      </c>
      <c r="B141" s="589"/>
      <c r="C141" s="589"/>
      <c r="D141" s="607" t="s">
        <v>794</v>
      </c>
      <c r="E141" s="591" t="s">
        <v>1117</v>
      </c>
      <c r="F141" s="582" t="n">
        <v>15</v>
      </c>
      <c r="G141" s="582" t="n">
        <v>80</v>
      </c>
      <c r="H141" s="592" t="n">
        <v>1</v>
      </c>
      <c r="I141" s="593"/>
      <c r="J141" s="589" t="s">
        <v>1568</v>
      </c>
      <c r="K141" s="589"/>
      <c r="L141" s="589"/>
      <c r="M141" s="580" t="s">
        <v>843</v>
      </c>
      <c r="N141" s="581" t="s">
        <v>1166</v>
      </c>
      <c r="O141" s="582" t="n">
        <v>35</v>
      </c>
      <c r="P141" s="592" t="n">
        <v>0.75</v>
      </c>
      <c r="Q141" s="595"/>
      <c r="R141" s="93"/>
      <c r="S141" s="585" t="str">
        <f aca="false" t="array" ref="S141:S141">IF(ISNA(INDEX(Source!$U$7:$U$95,MATCH(T141,Source!$V$7:$V$95,0))),"-",INDEX(Source!$U$7:$U$95,MATCH(T141,Source!$V$7:$V$95,0)))</f>
        <v>-</v>
      </c>
      <c r="T141" s="586" t="s">
        <v>1569</v>
      </c>
      <c r="U141" s="182" t="s">
        <v>1106</v>
      </c>
      <c r="V141" s="93"/>
      <c r="W141" s="93"/>
      <c r="X141" s="616"/>
      <c r="Y141" s="93"/>
      <c r="Z141" s="93"/>
      <c r="AA141" s="93"/>
      <c r="AB141" s="616"/>
      <c r="AC141" s="93"/>
      <c r="AD141" s="93"/>
      <c r="AE141" s="93"/>
      <c r="AF141" s="616"/>
      <c r="AG141" s="93"/>
      <c r="AH141" s="93"/>
      <c r="AI141" s="585" t="str">
        <f aca="false" t="array" ref="AI141:AI141">IF(ISNA(INDEX(Source!$U$7:$U$95,MATCH(AJ141,Source!$V$7:$V$95,0))),"-",INDEX(Source!$U$7:$U$95,MATCH(AJ141,Source!$V$7:$V$95,0)))</f>
        <v>-</v>
      </c>
      <c r="AJ141" s="586" t="s">
        <v>659</v>
      </c>
      <c r="AK141" s="182" t="s">
        <v>1110</v>
      </c>
      <c r="AL141" s="93"/>
      <c r="AM141" s="93"/>
      <c r="AN141" s="616"/>
      <c r="AO141" s="93"/>
      <c r="AP141" s="93"/>
      <c r="AQ141" s="93"/>
      <c r="AR141" s="616"/>
      <c r="AS141" s="93"/>
      <c r="AT141" s="93"/>
      <c r="AU141" s="93"/>
      <c r="AV141" s="616"/>
      <c r="AW141" s="93"/>
      <c r="AX141" s="93"/>
      <c r="AY141" s="93"/>
      <c r="AZ141" s="93"/>
      <c r="BA141" s="93"/>
      <c r="BB141" s="638"/>
      <c r="BC141" s="638"/>
      <c r="BD141" s="638"/>
    </row>
    <row r="142" customFormat="false" ht="15.75" hidden="false" customHeight="false" outlineLevel="0" collapsed="false">
      <c r="A142" s="589" t="s">
        <v>1570</v>
      </c>
      <c r="B142" s="589"/>
      <c r="C142" s="589"/>
      <c r="D142" s="600" t="s">
        <v>881</v>
      </c>
      <c r="E142" s="591" t="s">
        <v>1117</v>
      </c>
      <c r="F142" s="582" t="n">
        <v>30</v>
      </c>
      <c r="G142" s="582" t="n">
        <v>40</v>
      </c>
      <c r="H142" s="592" t="n">
        <v>1</v>
      </c>
      <c r="I142" s="593"/>
      <c r="J142" s="589" t="s">
        <v>1571</v>
      </c>
      <c r="K142" s="589"/>
      <c r="L142" s="589"/>
      <c r="M142" s="626" t="s">
        <v>794</v>
      </c>
      <c r="N142" s="581" t="s">
        <v>1200</v>
      </c>
      <c r="O142" s="582" t="n">
        <v>20</v>
      </c>
      <c r="P142" s="592" t="n">
        <v>1</v>
      </c>
      <c r="Q142" s="595"/>
      <c r="R142" s="93"/>
      <c r="S142" s="585" t="str">
        <f aca="false" t="array" ref="S142:S142">IF(ISNA(INDEX(Source!$U$7:$U$95,MATCH(T142,Source!$V$7:$V$95,0))),"-",INDEX(Source!$U$7:$U$95,MATCH(T142,Source!$V$7:$V$95,0)))</f>
        <v>-</v>
      </c>
      <c r="T142" s="586" t="s">
        <v>501</v>
      </c>
      <c r="U142" s="182" t="s">
        <v>1106</v>
      </c>
      <c r="V142" s="93"/>
      <c r="W142" s="93"/>
      <c r="X142" s="616"/>
      <c r="Y142" s="93"/>
      <c r="Z142" s="93"/>
      <c r="AA142" s="93"/>
      <c r="AB142" s="616"/>
      <c r="AC142" s="93"/>
      <c r="AD142" s="93"/>
      <c r="AE142" s="93"/>
      <c r="AF142" s="616"/>
      <c r="AG142" s="93"/>
      <c r="AH142" s="93"/>
      <c r="AI142" s="585" t="str">
        <f aca="false" t="array" ref="AI142:AI142">IF(ISNA(INDEX(Source!$U$7:$U$95,MATCH(AJ142,Source!$V$7:$V$95,0))),"-",INDEX(Source!$U$7:$U$95,MATCH(AJ142,Source!$V$7:$V$95,0)))</f>
        <v>-</v>
      </c>
      <c r="AJ142" s="586" t="s">
        <v>593</v>
      </c>
      <c r="AK142" s="182" t="s">
        <v>1110</v>
      </c>
      <c r="AL142" s="93"/>
      <c r="AM142" s="93"/>
      <c r="AN142" s="616"/>
      <c r="AO142" s="93"/>
      <c r="AP142" s="93"/>
      <c r="AQ142" s="93"/>
      <c r="AR142" s="616"/>
      <c r="AS142" s="93"/>
      <c r="AT142" s="93"/>
      <c r="AU142" s="93"/>
      <c r="AV142" s="616"/>
      <c r="AW142" s="93"/>
      <c r="AX142" s="93"/>
      <c r="AY142" s="93"/>
      <c r="AZ142" s="93"/>
      <c r="BA142" s="93"/>
      <c r="BB142" s="638"/>
      <c r="BC142" s="638"/>
      <c r="BD142" s="638"/>
    </row>
    <row r="143" customFormat="false" ht="15.75" hidden="false" customHeight="false" outlineLevel="0" collapsed="false">
      <c r="A143" s="589" t="s">
        <v>1572</v>
      </c>
      <c r="B143" s="589"/>
      <c r="C143" s="589"/>
      <c r="D143" s="597" t="s">
        <v>810</v>
      </c>
      <c r="E143" s="591" t="s">
        <v>1117</v>
      </c>
      <c r="F143" s="582" t="n">
        <v>20</v>
      </c>
      <c r="G143" s="582" t="n">
        <v>60</v>
      </c>
      <c r="H143" s="583" t="s">
        <v>1120</v>
      </c>
      <c r="I143" s="593"/>
      <c r="J143" s="589" t="s">
        <v>1573</v>
      </c>
      <c r="K143" s="589"/>
      <c r="L143" s="589"/>
      <c r="M143" s="598" t="s">
        <v>828</v>
      </c>
      <c r="N143" s="581" t="s">
        <v>1200</v>
      </c>
      <c r="O143" s="582" t="n">
        <v>10</v>
      </c>
      <c r="P143" s="583" t="s">
        <v>1120</v>
      </c>
      <c r="Q143" s="595"/>
      <c r="R143" s="93"/>
      <c r="S143" s="585" t="str">
        <f aca="false" t="array" ref="S143:S143">IF(ISNA(INDEX(Source!$U$7:$U$95,MATCH(T143,Source!$V$7:$V$95,0))),"-",INDEX(Source!$U$7:$U$95,MATCH(T143,Source!$V$7:$V$95,0)))</f>
        <v>-</v>
      </c>
      <c r="T143" s="586" t="s">
        <v>614</v>
      </c>
      <c r="U143" s="182" t="s">
        <v>1106</v>
      </c>
      <c r="V143" s="93"/>
      <c r="W143" s="93"/>
      <c r="X143" s="616"/>
      <c r="Y143" s="93"/>
      <c r="Z143" s="93"/>
      <c r="AA143" s="93"/>
      <c r="AB143" s="616"/>
      <c r="AC143" s="93"/>
      <c r="AD143" s="93"/>
      <c r="AE143" s="93"/>
      <c r="AF143" s="616"/>
      <c r="AG143" s="93"/>
      <c r="AH143" s="93"/>
      <c r="AI143" s="585" t="str">
        <f aca="false" t="array" ref="AI143:AI143">IF(ISNA(INDEX(Source!$U$7:$U$95,MATCH(AJ143,Source!$V$7:$V$95,0))),"-",INDEX(Source!$U$7:$U$95,MATCH(AJ143,Source!$V$7:$V$95,0)))</f>
        <v>-</v>
      </c>
      <c r="AJ143" s="586" t="s">
        <v>446</v>
      </c>
      <c r="AK143" s="182" t="s">
        <v>1110</v>
      </c>
      <c r="AL143" s="93"/>
      <c r="AM143" s="93"/>
      <c r="AN143" s="616"/>
      <c r="AO143" s="93"/>
      <c r="AP143" s="93"/>
      <c r="AQ143" s="93"/>
      <c r="AR143" s="616"/>
      <c r="AS143" s="93"/>
      <c r="AT143" s="93"/>
      <c r="AU143" s="93"/>
      <c r="AV143" s="616"/>
      <c r="AW143" s="93"/>
      <c r="AX143" s="93"/>
      <c r="AY143" s="93"/>
      <c r="AZ143" s="93"/>
      <c r="BA143" s="93"/>
      <c r="BB143" s="638"/>
      <c r="BC143" s="638"/>
      <c r="BD143" s="638"/>
    </row>
    <row r="144" customFormat="false" ht="15.75" hidden="false" customHeight="false" outlineLevel="0" collapsed="false">
      <c r="A144" s="589" t="s">
        <v>1574</v>
      </c>
      <c r="B144" s="589"/>
      <c r="C144" s="589"/>
      <c r="D144" s="620" t="s">
        <v>907</v>
      </c>
      <c r="E144" s="591" t="s">
        <v>1117</v>
      </c>
      <c r="F144" s="582" t="n">
        <v>30</v>
      </c>
      <c r="G144" s="582" t="s">
        <v>1183</v>
      </c>
      <c r="H144" s="592" t="n">
        <v>1</v>
      </c>
      <c r="I144" s="593"/>
      <c r="J144" s="589" t="s">
        <v>1575</v>
      </c>
      <c r="K144" s="589"/>
      <c r="L144" s="589"/>
      <c r="M144" s="598" t="s">
        <v>828</v>
      </c>
      <c r="N144" s="581" t="s">
        <v>1200</v>
      </c>
      <c r="O144" s="582" t="n">
        <v>10</v>
      </c>
      <c r="P144" s="583" t="s">
        <v>1120</v>
      </c>
      <c r="Q144" s="595"/>
      <c r="R144" s="93"/>
      <c r="S144" s="585" t="str">
        <f aca="false" t="array" ref="S144:S144">IF(ISNA(INDEX(Source!$U$7:$U$95,MATCH(T144,Source!$V$7:$V$95,0))),"-",INDEX(Source!$U$7:$U$95,MATCH(T144,Source!$V$7:$V$95,0)))</f>
        <v>-</v>
      </c>
      <c r="T144" s="586" t="s">
        <v>618</v>
      </c>
      <c r="U144" s="182" t="s">
        <v>1106</v>
      </c>
      <c r="V144" s="93"/>
      <c r="W144" s="93"/>
      <c r="X144" s="616"/>
      <c r="Y144" s="93"/>
      <c r="Z144" s="93"/>
      <c r="AA144" s="93"/>
      <c r="AB144" s="616"/>
      <c r="AC144" s="93"/>
      <c r="AD144" s="93"/>
      <c r="AE144" s="93"/>
      <c r="AF144" s="616"/>
      <c r="AG144" s="93"/>
      <c r="AH144" s="93"/>
      <c r="AI144" s="585" t="str">
        <f aca="false" t="array" ref="AI144:AI144">IF(ISNA(INDEX(Source!$U$7:$U$95,MATCH(AJ144,Source!$V$7:$V$95,0))),"-",INDEX(Source!$U$7:$U$95,MATCH(AJ144,Source!$V$7:$V$95,0)))</f>
        <v>-</v>
      </c>
      <c r="AJ144" s="586" t="s">
        <v>1466</v>
      </c>
      <c r="AK144" s="182" t="s">
        <v>1110</v>
      </c>
      <c r="AL144" s="93"/>
      <c r="AM144" s="93"/>
      <c r="AN144" s="616"/>
      <c r="AO144" s="93"/>
      <c r="AP144" s="93"/>
      <c r="AQ144" s="93"/>
      <c r="AR144" s="616"/>
      <c r="AS144" s="93"/>
      <c r="AT144" s="93"/>
      <c r="AU144" s="93"/>
      <c r="AV144" s="616"/>
      <c r="AW144" s="93"/>
      <c r="AX144" s="93"/>
      <c r="AY144" s="93"/>
      <c r="AZ144" s="93"/>
      <c r="BA144" s="93"/>
      <c r="BB144" s="638"/>
      <c r="BC144" s="638"/>
      <c r="BD144" s="638"/>
    </row>
    <row r="145" customFormat="false" ht="15.75" hidden="false" customHeight="false" outlineLevel="0" collapsed="false">
      <c r="A145" s="589" t="s">
        <v>1576</v>
      </c>
      <c r="B145" s="589"/>
      <c r="C145" s="589"/>
      <c r="D145" s="610" t="s">
        <v>839</v>
      </c>
      <c r="E145" s="591" t="s">
        <v>1117</v>
      </c>
      <c r="F145" s="582" t="n">
        <v>5</v>
      </c>
      <c r="G145" s="582" t="n">
        <v>120</v>
      </c>
      <c r="H145" s="592" t="n">
        <v>0.75</v>
      </c>
      <c r="I145" s="593"/>
      <c r="J145" s="589" t="s">
        <v>1577</v>
      </c>
      <c r="K145" s="589"/>
      <c r="L145" s="589"/>
      <c r="M145" s="598" t="s">
        <v>828</v>
      </c>
      <c r="N145" s="581" t="s">
        <v>1200</v>
      </c>
      <c r="O145" s="582" t="n">
        <v>10</v>
      </c>
      <c r="P145" s="583" t="s">
        <v>1120</v>
      </c>
      <c r="Q145" s="595"/>
      <c r="R145" s="93"/>
      <c r="S145" s="585" t="str">
        <f aca="false" t="array" ref="S145:S145">IF(ISNA(INDEX(Source!$U$7:$U$95,MATCH(T145,Source!$V$7:$V$95,0))),"-",INDEX(Source!$U$7:$U$95,MATCH(T145,Source!$V$7:$V$95,0)))</f>
        <v>-</v>
      </c>
      <c r="T145" s="586" t="s">
        <v>521</v>
      </c>
      <c r="U145" s="182" t="s">
        <v>1106</v>
      </c>
      <c r="V145" s="93"/>
      <c r="W145" s="93"/>
      <c r="X145" s="616"/>
      <c r="Y145" s="93"/>
      <c r="Z145" s="93"/>
      <c r="AA145" s="93"/>
      <c r="AB145" s="616"/>
      <c r="AC145" s="93"/>
      <c r="AD145" s="93"/>
      <c r="AE145" s="93"/>
      <c r="AF145" s="616"/>
      <c r="AG145" s="93"/>
      <c r="AH145" s="93"/>
      <c r="AI145" s="585" t="str">
        <f aca="false" t="array" ref="AI145:AI145">IF(ISNA(INDEX(Source!$U$7:$U$95,MATCH(AJ145,Source!$V$7:$V$95,0))),"-",INDEX(Source!$U$7:$U$95,MATCH(AJ145,Source!$V$7:$V$95,0)))</f>
        <v>-</v>
      </c>
      <c r="AJ145" s="586" t="s">
        <v>643</v>
      </c>
      <c r="AK145" s="182" t="s">
        <v>1110</v>
      </c>
      <c r="AL145" s="93"/>
      <c r="AM145" s="93"/>
      <c r="AN145" s="616"/>
      <c r="AO145" s="93"/>
      <c r="AP145" s="93"/>
      <c r="AQ145" s="93"/>
      <c r="AR145" s="616"/>
      <c r="AS145" s="93"/>
      <c r="AT145" s="93"/>
      <c r="AU145" s="93"/>
      <c r="AV145" s="616"/>
      <c r="AW145" s="93"/>
      <c r="AX145" s="93"/>
      <c r="AY145" s="93"/>
      <c r="AZ145" s="93"/>
      <c r="BA145" s="93"/>
      <c r="BB145" s="638"/>
      <c r="BC145" s="638"/>
      <c r="BD145" s="638"/>
    </row>
    <row r="146" customFormat="false" ht="15.75" hidden="false" customHeight="false" outlineLevel="0" collapsed="false">
      <c r="A146" s="589" t="s">
        <v>1578</v>
      </c>
      <c r="B146" s="589"/>
      <c r="C146" s="589"/>
      <c r="D146" s="610" t="s">
        <v>839</v>
      </c>
      <c r="E146" s="591" t="s">
        <v>1117</v>
      </c>
      <c r="F146" s="582" t="n">
        <v>20</v>
      </c>
      <c r="G146" s="582" t="n">
        <v>80</v>
      </c>
      <c r="H146" s="592" t="n">
        <v>0.85</v>
      </c>
      <c r="I146" s="593"/>
      <c r="J146" s="589" t="s">
        <v>1579</v>
      </c>
      <c r="K146" s="589"/>
      <c r="L146" s="589"/>
      <c r="M146" s="594" t="s">
        <v>839</v>
      </c>
      <c r="N146" s="581" t="s">
        <v>1170</v>
      </c>
      <c r="O146" s="582" t="n">
        <v>10</v>
      </c>
      <c r="P146" s="583" t="s">
        <v>1120</v>
      </c>
      <c r="Q146" s="595"/>
      <c r="R146" s="93"/>
      <c r="S146" s="585" t="str">
        <f aca="false" t="array" ref="S146:S146">IF(ISNA(INDEX(Source!$U$7:$U$95,MATCH(T146,Source!$V$7:$V$95,0))),"-",INDEX(Source!$U$7:$U$95,MATCH(T146,Source!$V$7:$V$95,0)))</f>
        <v>-</v>
      </c>
      <c r="T146" s="586" t="s">
        <v>525</v>
      </c>
      <c r="U146" s="182" t="s">
        <v>1106</v>
      </c>
      <c r="V146" s="93"/>
      <c r="W146" s="93"/>
      <c r="X146" s="616"/>
      <c r="Y146" s="93"/>
      <c r="Z146" s="93"/>
      <c r="AA146" s="93"/>
      <c r="AB146" s="616"/>
      <c r="AC146" s="93"/>
      <c r="AD146" s="93"/>
      <c r="AE146" s="93"/>
      <c r="AF146" s="616"/>
      <c r="AG146" s="93"/>
      <c r="AH146" s="93"/>
      <c r="AI146" s="585" t="str">
        <f aca="false" t="array" ref="AI146:AI146">IF(ISNA(INDEX(Source!$U$7:$U$95,MATCH(AJ146,Source!$V$7:$V$95,0))),"-",INDEX(Source!$U$7:$U$95,MATCH(AJ146,Source!$V$7:$V$95,0)))</f>
        <v>-</v>
      </c>
      <c r="AJ146" s="586" t="s">
        <v>1580</v>
      </c>
      <c r="AK146" s="182" t="s">
        <v>1110</v>
      </c>
      <c r="AL146" s="93"/>
      <c r="AM146" s="93"/>
      <c r="AN146" s="616"/>
      <c r="AO146" s="93"/>
      <c r="AP146" s="93"/>
      <c r="AQ146" s="93"/>
      <c r="AR146" s="616"/>
      <c r="AS146" s="93"/>
      <c r="AT146" s="93"/>
      <c r="AU146" s="93"/>
      <c r="AV146" s="616"/>
      <c r="AW146" s="93"/>
      <c r="AX146" s="93"/>
      <c r="AY146" s="93"/>
      <c r="AZ146" s="93"/>
      <c r="BA146" s="93"/>
      <c r="BB146" s="638"/>
      <c r="BC146" s="638"/>
      <c r="BD146" s="638"/>
    </row>
    <row r="147" customFormat="false" ht="15.75" hidden="false" customHeight="false" outlineLevel="0" collapsed="false">
      <c r="A147" s="589" t="s">
        <v>1581</v>
      </c>
      <c r="B147" s="589"/>
      <c r="C147" s="589"/>
      <c r="D147" s="607" t="s">
        <v>794</v>
      </c>
      <c r="E147" s="591" t="s">
        <v>1117</v>
      </c>
      <c r="F147" s="582" t="n">
        <v>10</v>
      </c>
      <c r="G147" s="582" t="n">
        <v>120</v>
      </c>
      <c r="H147" s="592" t="n">
        <v>0.85</v>
      </c>
      <c r="I147" s="593"/>
      <c r="J147" s="589" t="s">
        <v>1582</v>
      </c>
      <c r="K147" s="589"/>
      <c r="L147" s="589"/>
      <c r="M147" s="594" t="s">
        <v>839</v>
      </c>
      <c r="N147" s="581" t="s">
        <v>1200</v>
      </c>
      <c r="O147" s="582" t="n">
        <v>10</v>
      </c>
      <c r="P147" s="583" t="s">
        <v>1120</v>
      </c>
      <c r="Q147" s="595"/>
      <c r="R147" s="93"/>
      <c r="S147" s="585" t="str">
        <f aca="false" t="array" ref="S147:S147">IF(ISNA(INDEX(Source!$U$7:$U$95,MATCH(T147,Source!$V$7:$V$95,0))),"-",INDEX(Source!$U$7:$U$95,MATCH(T147,Source!$V$7:$V$95,0)))</f>
        <v>-</v>
      </c>
      <c r="T147" s="586" t="s">
        <v>1583</v>
      </c>
      <c r="U147" s="182" t="s">
        <v>1106</v>
      </c>
      <c r="V147" s="93"/>
      <c r="W147" s="93"/>
      <c r="X147" s="616"/>
      <c r="Y147" s="93"/>
      <c r="Z147" s="93"/>
      <c r="AA147" s="93"/>
      <c r="AB147" s="616"/>
      <c r="AC147" s="93"/>
      <c r="AD147" s="93"/>
      <c r="AE147" s="93"/>
      <c r="AF147" s="616"/>
      <c r="AG147" s="93"/>
      <c r="AH147" s="93"/>
      <c r="AI147" s="585" t="str">
        <f aca="false" t="array" ref="AI147:AI147">IF(ISNA(INDEX(Source!$U$7:$U$95,MATCH(AJ147,Source!$V$7:$V$95,0))),"-",INDEX(Source!$U$7:$U$95,MATCH(AJ147,Source!$V$7:$V$95,0)))</f>
        <v>-</v>
      </c>
      <c r="AJ147" s="586" t="s">
        <v>646</v>
      </c>
      <c r="AK147" s="182" t="s">
        <v>1110</v>
      </c>
      <c r="AL147" s="93"/>
      <c r="AM147" s="93"/>
      <c r="AN147" s="616"/>
      <c r="AO147" s="93"/>
      <c r="AP147" s="93"/>
      <c r="AQ147" s="93"/>
      <c r="AR147" s="616"/>
      <c r="AS147" s="93"/>
      <c r="AT147" s="93"/>
      <c r="AU147" s="93"/>
      <c r="AV147" s="616"/>
      <c r="AW147" s="93"/>
      <c r="AX147" s="93"/>
      <c r="AY147" s="93"/>
      <c r="AZ147" s="93"/>
      <c r="BA147" s="93"/>
      <c r="BB147" s="638"/>
      <c r="BC147" s="638"/>
      <c r="BD147" s="638"/>
    </row>
    <row r="148" customFormat="false" ht="15.75" hidden="false" customHeight="false" outlineLevel="0" collapsed="false">
      <c r="A148" s="589" t="s">
        <v>1584</v>
      </c>
      <c r="B148" s="589"/>
      <c r="C148" s="589"/>
      <c r="D148" s="597" t="s">
        <v>810</v>
      </c>
      <c r="E148" s="591" t="s">
        <v>1117</v>
      </c>
      <c r="F148" s="582" t="n">
        <v>10</v>
      </c>
      <c r="G148" s="582" t="s">
        <v>1191</v>
      </c>
      <c r="H148" s="592" t="n">
        <v>1</v>
      </c>
      <c r="I148" s="593"/>
      <c r="J148" s="589" t="s">
        <v>1585</v>
      </c>
      <c r="K148" s="589"/>
      <c r="L148" s="589"/>
      <c r="M148" s="598" t="s">
        <v>828</v>
      </c>
      <c r="N148" s="581" t="s">
        <v>1328</v>
      </c>
      <c r="O148" s="582" t="n">
        <v>5</v>
      </c>
      <c r="P148" s="583" t="s">
        <v>1120</v>
      </c>
      <c r="Q148" s="595"/>
      <c r="R148" s="93"/>
      <c r="S148" s="585" t="str">
        <f aca="false" t="array" ref="S148:S148">IF(ISNA(INDEX(Source!$U$7:$U$95,MATCH(T148,Source!$V$7:$V$95,0))),"-",INDEX(Source!$U$7:$U$95,MATCH(T148,Source!$V$7:$V$95,0)))</f>
        <v>-</v>
      </c>
      <c r="T148" s="586" t="s">
        <v>270</v>
      </c>
      <c r="U148" s="182" t="s">
        <v>1106</v>
      </c>
      <c r="V148" s="93"/>
      <c r="W148" s="93"/>
      <c r="X148" s="616"/>
      <c r="Y148" s="93"/>
      <c r="Z148" s="93"/>
      <c r="AA148" s="93"/>
      <c r="AB148" s="616"/>
      <c r="AC148" s="93"/>
      <c r="AD148" s="93"/>
      <c r="AE148" s="93"/>
      <c r="AF148" s="616"/>
      <c r="AG148" s="93"/>
      <c r="AH148" s="93"/>
      <c r="AI148" s="585" t="str">
        <f aca="false" t="array" ref="AI148:AI148">IF(ISNA(INDEX(Source!$U$7:$U$95,MATCH(AJ148,Source!$V$7:$V$95,0))),"-",INDEX(Source!$U$7:$U$95,MATCH(AJ148,Source!$V$7:$V$95,0)))</f>
        <v>-</v>
      </c>
      <c r="AJ148" s="586" t="s">
        <v>1586</v>
      </c>
      <c r="AK148" s="182" t="s">
        <v>1110</v>
      </c>
      <c r="AL148" s="93"/>
      <c r="AM148" s="93"/>
      <c r="AN148" s="616"/>
      <c r="AO148" s="93"/>
      <c r="AP148" s="93"/>
      <c r="AQ148" s="93"/>
      <c r="AR148" s="616"/>
      <c r="AS148" s="93"/>
      <c r="AT148" s="93"/>
      <c r="AU148" s="93"/>
      <c r="AV148" s="616"/>
      <c r="AW148" s="93"/>
      <c r="AX148" s="93"/>
      <c r="AY148" s="93"/>
      <c r="AZ148" s="93"/>
      <c r="BA148" s="93"/>
      <c r="BB148" s="638"/>
      <c r="BC148" s="638"/>
      <c r="BD148" s="638"/>
    </row>
    <row r="149" customFormat="false" ht="15.75" hidden="false" customHeight="false" outlineLevel="0" collapsed="false">
      <c r="A149" s="589" t="s">
        <v>1587</v>
      </c>
      <c r="B149" s="589"/>
      <c r="C149" s="589"/>
      <c r="D149" s="597" t="s">
        <v>810</v>
      </c>
      <c r="E149" s="591" t="s">
        <v>1117</v>
      </c>
      <c r="F149" s="582" t="n">
        <v>35</v>
      </c>
      <c r="G149" s="582" t="n">
        <v>50</v>
      </c>
      <c r="H149" s="592" t="n">
        <v>0.95</v>
      </c>
      <c r="I149" s="593"/>
      <c r="J149" s="589" t="s">
        <v>1588</v>
      </c>
      <c r="K149" s="589"/>
      <c r="L149" s="589"/>
      <c r="M149" s="598" t="s">
        <v>828</v>
      </c>
      <c r="N149" s="581" t="s">
        <v>1166</v>
      </c>
      <c r="O149" s="582" t="n">
        <v>10</v>
      </c>
      <c r="P149" s="592" t="n">
        <v>1</v>
      </c>
      <c r="Q149" s="595"/>
      <c r="R149" s="93"/>
      <c r="S149" s="585" t="str">
        <f aca="false" t="array" ref="S149:S149">IF(ISNA(INDEX(Source!$U$7:$U$95,MATCH(T149,Source!$V$7:$V$95,0))),"-",INDEX(Source!$U$7:$U$95,MATCH(T149,Source!$V$7:$V$95,0)))</f>
        <v>-</v>
      </c>
      <c r="T149" s="586" t="s">
        <v>1589</v>
      </c>
      <c r="U149" s="182" t="s">
        <v>1106</v>
      </c>
      <c r="V149" s="93"/>
      <c r="W149" s="93"/>
      <c r="X149" s="616"/>
      <c r="Y149" s="93"/>
      <c r="Z149" s="93"/>
      <c r="AA149" s="93"/>
      <c r="AB149" s="616"/>
      <c r="AC149" s="93"/>
      <c r="AD149" s="93"/>
      <c r="AE149" s="93"/>
      <c r="AF149" s="616"/>
      <c r="AG149" s="93"/>
      <c r="AH149" s="93"/>
      <c r="AI149" s="585" t="str">
        <f aca="false" t="array" ref="AI149:AI149">IF(ISNA(INDEX(Source!$U$7:$U$95,MATCH(AJ149,Source!$V$7:$V$95,0))),"-",INDEX(Source!$U$7:$U$95,MATCH(AJ149,Source!$V$7:$V$95,0)))</f>
        <v>-</v>
      </c>
      <c r="AJ149" s="586" t="s">
        <v>651</v>
      </c>
      <c r="AK149" s="182" t="s">
        <v>1110</v>
      </c>
      <c r="AL149" s="93"/>
      <c r="AM149" s="93"/>
      <c r="AN149" s="616"/>
      <c r="AO149" s="93"/>
      <c r="AP149" s="93"/>
      <c r="AQ149" s="93"/>
      <c r="AR149" s="616"/>
      <c r="AS149" s="93"/>
      <c r="AT149" s="93"/>
      <c r="AU149" s="93"/>
      <c r="AV149" s="616"/>
      <c r="AW149" s="93"/>
      <c r="AX149" s="93"/>
      <c r="AY149" s="93"/>
      <c r="AZ149" s="93"/>
      <c r="BA149" s="93"/>
      <c r="BB149" s="638"/>
      <c r="BC149" s="638"/>
      <c r="BD149" s="638"/>
    </row>
    <row r="150" customFormat="false" ht="15.75" hidden="false" customHeight="false" outlineLevel="0" collapsed="false">
      <c r="A150" s="589" t="s">
        <v>1590</v>
      </c>
      <c r="B150" s="589"/>
      <c r="C150" s="589"/>
      <c r="D150" s="597" t="s">
        <v>810</v>
      </c>
      <c r="E150" s="591" t="s">
        <v>1117</v>
      </c>
      <c r="F150" s="582" t="n">
        <v>10</v>
      </c>
      <c r="G150" s="582" t="n">
        <v>90</v>
      </c>
      <c r="H150" s="592" t="n">
        <v>0.9</v>
      </c>
      <c r="I150" s="593"/>
      <c r="J150" s="589" t="s">
        <v>1591</v>
      </c>
      <c r="K150" s="589"/>
      <c r="L150" s="589"/>
      <c r="M150" s="580" t="s">
        <v>843</v>
      </c>
      <c r="N150" s="581" t="s">
        <v>1149</v>
      </c>
      <c r="O150" s="582" t="n">
        <v>20</v>
      </c>
      <c r="P150" s="583" t="s">
        <v>1120</v>
      </c>
      <c r="Q150" s="595"/>
      <c r="R150" s="93"/>
      <c r="S150" s="585" t="str">
        <f aca="false" t="array" ref="S150:S150">IF(ISNA(INDEX(Source!$U$7:$U$95,MATCH(T150,Source!$V$7:$V$95,0))),"-",INDEX(Source!$U$7:$U$95,MATCH(T150,Source!$V$7:$V$95,0)))</f>
        <v>-</v>
      </c>
      <c r="T150" s="586" t="s">
        <v>1592</v>
      </c>
      <c r="U150" s="182" t="s">
        <v>1106</v>
      </c>
      <c r="V150" s="93"/>
      <c r="W150" s="93"/>
      <c r="X150" s="616"/>
      <c r="Y150" s="93"/>
      <c r="Z150" s="93"/>
      <c r="AA150" s="93"/>
      <c r="AB150" s="616"/>
      <c r="AC150" s="93"/>
      <c r="AD150" s="93"/>
      <c r="AE150" s="93"/>
      <c r="AF150" s="616"/>
      <c r="AG150" s="93"/>
      <c r="AH150" s="93"/>
      <c r="AI150" s="585" t="str">
        <f aca="false" t="array" ref="AI150:AI150">IF(ISNA(INDEX(Source!$U$7:$U$95,MATCH(AJ150,Source!$V$7:$V$95,0))),"-",INDEX(Source!$U$7:$U$95,MATCH(AJ150,Source!$V$7:$V$95,0)))</f>
        <v>-</v>
      </c>
      <c r="AJ150" s="586" t="s">
        <v>673</v>
      </c>
      <c r="AK150" s="182" t="s">
        <v>1110</v>
      </c>
      <c r="AL150" s="93"/>
      <c r="AM150" s="93"/>
      <c r="AN150" s="616"/>
      <c r="AO150" s="93"/>
      <c r="AP150" s="93"/>
      <c r="AQ150" s="93"/>
      <c r="AR150" s="616"/>
      <c r="AS150" s="93"/>
      <c r="AT150" s="93"/>
      <c r="AU150" s="93"/>
      <c r="AV150" s="616"/>
      <c r="AW150" s="93"/>
      <c r="AX150" s="93"/>
      <c r="AY150" s="93"/>
      <c r="AZ150" s="93"/>
      <c r="BA150" s="93"/>
      <c r="BB150" s="638"/>
      <c r="BC150" s="638"/>
      <c r="BD150" s="638"/>
    </row>
    <row r="151" customFormat="false" ht="15.75" hidden="false" customHeight="false" outlineLevel="0" collapsed="false">
      <c r="A151" s="589" t="s">
        <v>1593</v>
      </c>
      <c r="B151" s="589"/>
      <c r="C151" s="589"/>
      <c r="D151" s="610" t="s">
        <v>839</v>
      </c>
      <c r="E151" s="591" t="s">
        <v>1117</v>
      </c>
      <c r="F151" s="582" t="n">
        <v>15</v>
      </c>
      <c r="G151" s="582" t="s">
        <v>1183</v>
      </c>
      <c r="H151" s="592" t="n">
        <v>1</v>
      </c>
      <c r="I151" s="593"/>
      <c r="J151" s="589" t="s">
        <v>1594</v>
      </c>
      <c r="K151" s="589"/>
      <c r="L151" s="589"/>
      <c r="M151" s="625" t="s">
        <v>795</v>
      </c>
      <c r="N151" s="581" t="s">
        <v>1129</v>
      </c>
      <c r="O151" s="582" t="n">
        <v>15</v>
      </c>
      <c r="P151" s="592" t="n">
        <v>1</v>
      </c>
      <c r="Q151" s="595"/>
      <c r="R151" s="93"/>
      <c r="S151" s="585" t="str">
        <f aca="false" t="array" ref="S151:S151">IF(ISNA(INDEX(Source!$U$7:$U$95,MATCH(T151,Source!$V$7:$V$95,0))),"-",INDEX(Source!$U$7:$U$95,MATCH(T151,Source!$V$7:$V$95,0)))</f>
        <v>-</v>
      </c>
      <c r="T151" s="586" t="s">
        <v>1595</v>
      </c>
      <c r="U151" s="182" t="s">
        <v>1106</v>
      </c>
      <c r="V151" s="93"/>
      <c r="W151" s="93"/>
      <c r="X151" s="616"/>
      <c r="Y151" s="93"/>
      <c r="Z151" s="93"/>
      <c r="AA151" s="93"/>
      <c r="AB151" s="616"/>
      <c r="AC151" s="93"/>
      <c r="AD151" s="93"/>
      <c r="AE151" s="93"/>
      <c r="AF151" s="616"/>
      <c r="AG151" s="93"/>
      <c r="AH151" s="93"/>
      <c r="AI151" s="585" t="str">
        <f aca="false" t="array" ref="AI151:AI151">IF(ISNA(INDEX(Source!$U$7:$U$95,MATCH(AJ151,Source!$V$7:$V$95,0))),"-",INDEX(Source!$U$7:$U$95,MATCH(AJ151,Source!$V$7:$V$95,0)))</f>
        <v>-</v>
      </c>
      <c r="AJ151" s="586" t="s">
        <v>661</v>
      </c>
      <c r="AK151" s="182" t="s">
        <v>1110</v>
      </c>
      <c r="AL151" s="93"/>
      <c r="AM151" s="93"/>
      <c r="AN151" s="616"/>
      <c r="AO151" s="93"/>
      <c r="AP151" s="93"/>
      <c r="AQ151" s="93"/>
      <c r="AR151" s="616"/>
      <c r="AS151" s="93"/>
      <c r="AT151" s="93"/>
      <c r="AU151" s="93"/>
      <c r="AV151" s="616"/>
      <c r="AW151" s="93"/>
      <c r="AX151" s="93"/>
      <c r="AY151" s="93"/>
      <c r="AZ151" s="93"/>
      <c r="BA151" s="93"/>
      <c r="BB151" s="638"/>
      <c r="BC151" s="638"/>
      <c r="BD151" s="638"/>
    </row>
    <row r="152" customFormat="false" ht="15.75" hidden="false" customHeight="false" outlineLevel="0" collapsed="false">
      <c r="A152" s="589" t="s">
        <v>1596</v>
      </c>
      <c r="B152" s="589"/>
      <c r="C152" s="589"/>
      <c r="D152" s="624" t="s">
        <v>803</v>
      </c>
      <c r="E152" s="591" t="s">
        <v>1117</v>
      </c>
      <c r="F152" s="582" t="n">
        <v>15</v>
      </c>
      <c r="G152" s="582" t="n">
        <v>60</v>
      </c>
      <c r="H152" s="592" t="n">
        <v>1</v>
      </c>
      <c r="I152" s="593"/>
      <c r="J152" s="589" t="s">
        <v>1597</v>
      </c>
      <c r="K152" s="589"/>
      <c r="L152" s="589"/>
      <c r="M152" s="621" t="s">
        <v>881</v>
      </c>
      <c r="N152" s="581" t="s">
        <v>1170</v>
      </c>
      <c r="O152" s="582" t="n">
        <v>15</v>
      </c>
      <c r="P152" s="583" t="s">
        <v>1120</v>
      </c>
      <c r="Q152" s="595"/>
      <c r="R152" s="93"/>
      <c r="S152" s="585" t="str">
        <f aca="false" t="array" ref="S152:S152">IF(ISNA(INDEX(Source!$U$7:$U$95,MATCH(T152,Source!$V$7:$V$95,0))),"-",INDEX(Source!$U$7:$U$95,MATCH(T152,Source!$V$7:$V$95,0)))</f>
        <v>-</v>
      </c>
      <c r="T152" s="586" t="s">
        <v>1238</v>
      </c>
      <c r="U152" s="182" t="s">
        <v>1106</v>
      </c>
      <c r="V152" s="93"/>
      <c r="W152" s="93"/>
      <c r="X152" s="616"/>
      <c r="Y152" s="93"/>
      <c r="Z152" s="93"/>
      <c r="AA152" s="93"/>
      <c r="AB152" s="616"/>
      <c r="AC152" s="93"/>
      <c r="AD152" s="93"/>
      <c r="AE152" s="93"/>
      <c r="AF152" s="616"/>
      <c r="AG152" s="93"/>
      <c r="AH152" s="93"/>
      <c r="AI152" s="585" t="str">
        <f aca="false" t="array" ref="AI152:AI152">IF(ISNA(INDEX(Source!$U$7:$U$95,MATCH(AJ152,Source!$V$7:$V$95,0))),"-",INDEX(Source!$U$7:$U$95,MATCH(AJ152,Source!$V$7:$V$95,0)))</f>
        <v>-</v>
      </c>
      <c r="AJ152" s="586" t="s">
        <v>767</v>
      </c>
      <c r="AK152" s="182" t="s">
        <v>1110</v>
      </c>
      <c r="AL152" s="93"/>
      <c r="AM152" s="93"/>
      <c r="AN152" s="616"/>
      <c r="AO152" s="93"/>
      <c r="AP152" s="93"/>
      <c r="AQ152" s="93"/>
      <c r="AR152" s="616"/>
      <c r="AS152" s="93"/>
      <c r="AT152" s="93"/>
      <c r="AU152" s="93"/>
      <c r="AV152" s="616"/>
      <c r="AW152" s="93"/>
      <c r="AX152" s="93"/>
      <c r="AY152" s="93"/>
      <c r="AZ152" s="93"/>
      <c r="BA152" s="93"/>
      <c r="BB152" s="638"/>
      <c r="BC152" s="638"/>
      <c r="BD152" s="638"/>
    </row>
    <row r="153" customFormat="false" ht="15.75" hidden="false" customHeight="false" outlineLevel="0" collapsed="false">
      <c r="A153" s="589" t="s">
        <v>1598</v>
      </c>
      <c r="B153" s="589"/>
      <c r="C153" s="589"/>
      <c r="D153" s="603" t="s">
        <v>795</v>
      </c>
      <c r="E153" s="591" t="s">
        <v>1117</v>
      </c>
      <c r="F153" s="582" t="n">
        <v>15</v>
      </c>
      <c r="G153" s="582" t="n">
        <v>70</v>
      </c>
      <c r="H153" s="592" t="n">
        <v>1</v>
      </c>
      <c r="I153" s="593"/>
      <c r="J153" s="589" t="s">
        <v>1599</v>
      </c>
      <c r="K153" s="589"/>
      <c r="L153" s="589"/>
      <c r="M153" s="626" t="s">
        <v>794</v>
      </c>
      <c r="N153" s="581" t="s">
        <v>1119</v>
      </c>
      <c r="O153" s="582" t="n">
        <v>20</v>
      </c>
      <c r="P153" s="583" t="s">
        <v>1120</v>
      </c>
      <c r="Q153" s="595"/>
      <c r="R153" s="93"/>
      <c r="S153" s="585" t="str">
        <f aca="false" t="array" ref="S153:S153">IF(ISNA(INDEX(Source!$U$7:$U$95,MATCH(T153,Source!$V$7:$V$95,0))),"-",INDEX(Source!$U$7:$U$95,MATCH(T153,Source!$V$7:$V$95,0)))</f>
        <v>-</v>
      </c>
      <c r="T153" s="586" t="s">
        <v>1242</v>
      </c>
      <c r="U153" s="182" t="s">
        <v>1106</v>
      </c>
      <c r="V153" s="93"/>
      <c r="W153" s="93"/>
      <c r="X153" s="616"/>
      <c r="Y153" s="93"/>
      <c r="Z153" s="93"/>
      <c r="AA153" s="93"/>
      <c r="AB153" s="616"/>
      <c r="AC153" s="93"/>
      <c r="AD153" s="93"/>
      <c r="AE153" s="93"/>
      <c r="AF153" s="616"/>
      <c r="AG153" s="93"/>
      <c r="AH153" s="93"/>
      <c r="AI153" s="585" t="str">
        <f aca="false" t="array" ref="AI153:AI153">IF(ISNA(INDEX(Source!$U$7:$U$95,MATCH(AJ153,Source!$V$7:$V$95,0))),"-",INDEX(Source!$U$7:$U$95,MATCH(AJ153,Source!$V$7:$V$95,0)))</f>
        <v>-</v>
      </c>
      <c r="AJ153" s="586" t="s">
        <v>669</v>
      </c>
      <c r="AK153" s="182" t="s">
        <v>1110</v>
      </c>
      <c r="AL153" s="93"/>
      <c r="AM153" s="93"/>
      <c r="AN153" s="616"/>
      <c r="AO153" s="93"/>
      <c r="AP153" s="93"/>
      <c r="AQ153" s="93"/>
      <c r="AR153" s="616"/>
      <c r="AS153" s="93"/>
      <c r="AT153" s="93"/>
      <c r="AU153" s="93"/>
      <c r="AV153" s="616"/>
      <c r="AW153" s="93"/>
      <c r="AX153" s="93"/>
      <c r="AY153" s="93"/>
      <c r="AZ153" s="93"/>
      <c r="BA153" s="93"/>
      <c r="BB153" s="638"/>
      <c r="BC153" s="638"/>
      <c r="BD153" s="638"/>
    </row>
    <row r="154" customFormat="false" ht="15.75" hidden="false" customHeight="false" outlineLevel="0" collapsed="false">
      <c r="A154" s="589" t="s">
        <v>1600</v>
      </c>
      <c r="B154" s="589"/>
      <c r="C154" s="589"/>
      <c r="D154" s="619" t="s">
        <v>845</v>
      </c>
      <c r="E154" s="591" t="s">
        <v>1117</v>
      </c>
      <c r="F154" s="582" t="n">
        <v>20</v>
      </c>
      <c r="G154" s="582" t="n">
        <v>20</v>
      </c>
      <c r="H154" s="592" t="n">
        <v>1</v>
      </c>
      <c r="I154" s="593"/>
      <c r="J154" s="589" t="s">
        <v>1601</v>
      </c>
      <c r="K154" s="589"/>
      <c r="L154" s="589"/>
      <c r="M154" s="626" t="s">
        <v>794</v>
      </c>
      <c r="N154" s="581" t="s">
        <v>1129</v>
      </c>
      <c r="O154" s="582" t="n">
        <v>20</v>
      </c>
      <c r="P154" s="583" t="s">
        <v>1120</v>
      </c>
      <c r="Q154" s="595"/>
      <c r="R154" s="93"/>
      <c r="S154" s="585" t="str">
        <f aca="false" t="array" ref="S154:S154">IF(ISNA(INDEX(Source!$U$7:$U$95,MATCH(T154,Source!$V$7:$V$95,0))),"-",INDEX(Source!$U$7:$U$95,MATCH(T154,Source!$V$7:$V$95,0)))</f>
        <v>KKS</v>
      </c>
      <c r="T154" s="586" t="s">
        <v>111</v>
      </c>
      <c r="U154" s="182" t="s">
        <v>1106</v>
      </c>
      <c r="V154" s="93"/>
      <c r="W154" s="93"/>
      <c r="X154" s="616"/>
      <c r="Y154" s="93"/>
      <c r="Z154" s="93"/>
      <c r="AA154" s="93"/>
      <c r="AB154" s="616"/>
      <c r="AC154" s="93"/>
      <c r="AD154" s="93"/>
      <c r="AE154" s="93"/>
      <c r="AF154" s="616"/>
      <c r="AG154" s="93"/>
      <c r="AH154" s="93"/>
      <c r="AI154" s="585" t="str">
        <f aca="false" t="array" ref="AI154:AI154">IF(ISNA(INDEX(Source!$U$7:$U$95,MATCH(AJ154,Source!$V$7:$V$95,0))),"-",INDEX(Source!$U$7:$U$95,MATCH(AJ154,Source!$V$7:$V$95,0)))</f>
        <v>-</v>
      </c>
      <c r="AJ154" s="586" t="s">
        <v>518</v>
      </c>
      <c r="AK154" s="182" t="s">
        <v>1110</v>
      </c>
      <c r="AL154" s="93"/>
      <c r="AM154" s="93"/>
      <c r="AN154" s="616"/>
      <c r="AO154" s="93"/>
      <c r="AP154" s="93"/>
      <c r="AQ154" s="93"/>
      <c r="AR154" s="616"/>
      <c r="AS154" s="93"/>
      <c r="AT154" s="93"/>
      <c r="AU154" s="93"/>
      <c r="AV154" s="616"/>
      <c r="AW154" s="93"/>
      <c r="AX154" s="93"/>
      <c r="AY154" s="93"/>
      <c r="AZ154" s="93"/>
      <c r="BA154" s="93"/>
      <c r="BB154" s="638"/>
      <c r="BC154" s="638"/>
      <c r="BD154" s="638"/>
    </row>
    <row r="155" customFormat="false" ht="15.75" hidden="false" customHeight="false" outlineLevel="0" collapsed="false">
      <c r="A155" s="589" t="s">
        <v>1602</v>
      </c>
      <c r="B155" s="589"/>
      <c r="C155" s="589"/>
      <c r="D155" s="634" t="s">
        <v>835</v>
      </c>
      <c r="E155" s="591" t="s">
        <v>1117</v>
      </c>
      <c r="F155" s="582" t="n">
        <v>10</v>
      </c>
      <c r="G155" s="582" t="n">
        <v>120</v>
      </c>
      <c r="H155" s="592" t="n">
        <v>1</v>
      </c>
      <c r="I155" s="593"/>
      <c r="J155" s="589" t="s">
        <v>1603</v>
      </c>
      <c r="K155" s="589"/>
      <c r="L155" s="589"/>
      <c r="M155" s="601" t="s">
        <v>811</v>
      </c>
      <c r="N155" s="581" t="s">
        <v>1328</v>
      </c>
      <c r="O155" s="582" t="n">
        <v>5</v>
      </c>
      <c r="P155" s="583" t="s">
        <v>1120</v>
      </c>
      <c r="Q155" s="595"/>
      <c r="R155" s="93"/>
      <c r="S155" s="585" t="str">
        <f aca="false" t="array" ref="S155:S155">IF(ISNA(INDEX(Source!$U$7:$U$95,MATCH(T155,Source!$V$7:$V$95,0))),"-",INDEX(Source!$U$7:$U$95,MATCH(T155,Source!$V$7:$V$95,0)))</f>
        <v>-</v>
      </c>
      <c r="T155" s="586" t="s">
        <v>753</v>
      </c>
      <c r="U155" s="182" t="s">
        <v>1106</v>
      </c>
      <c r="V155" s="93"/>
      <c r="W155" s="93"/>
      <c r="X155" s="616"/>
      <c r="Y155" s="93"/>
      <c r="Z155" s="93"/>
      <c r="AA155" s="93"/>
      <c r="AB155" s="616"/>
      <c r="AC155" s="93"/>
      <c r="AD155" s="93"/>
      <c r="AE155" s="93"/>
      <c r="AF155" s="616"/>
      <c r="AG155" s="93"/>
      <c r="AH155" s="93"/>
      <c r="AI155" s="585" t="str">
        <f aca="false" t="array" ref="AI155:AI155">IF(ISNA(INDEX(Source!$U$7:$U$95,MATCH(AJ155,Source!$V$7:$V$95,0))),"-",INDEX(Source!$U$7:$U$95,MATCH(AJ155,Source!$V$7:$V$95,0)))</f>
        <v>-</v>
      </c>
      <c r="AJ155" s="586" t="s">
        <v>672</v>
      </c>
      <c r="AK155" s="182" t="s">
        <v>1110</v>
      </c>
      <c r="AL155" s="93"/>
      <c r="AM155" s="93"/>
      <c r="AN155" s="616"/>
      <c r="AO155" s="93"/>
      <c r="AP155" s="93"/>
      <c r="AQ155" s="93"/>
      <c r="AR155" s="616"/>
      <c r="AS155" s="93"/>
      <c r="AT155" s="93"/>
      <c r="AU155" s="93"/>
      <c r="AV155" s="616"/>
      <c r="AW155" s="93"/>
      <c r="AX155" s="93"/>
      <c r="AY155" s="93"/>
      <c r="AZ155" s="93"/>
      <c r="BA155" s="93"/>
      <c r="BB155" s="638"/>
      <c r="BC155" s="638"/>
      <c r="BD155" s="638"/>
    </row>
    <row r="156" customFormat="false" ht="15.75" hidden="false" customHeight="false" outlineLevel="0" collapsed="false">
      <c r="A156" s="589" t="s">
        <v>1604</v>
      </c>
      <c r="B156" s="589"/>
      <c r="C156" s="589"/>
      <c r="D156" s="610" t="s">
        <v>839</v>
      </c>
      <c r="E156" s="591" t="s">
        <v>1117</v>
      </c>
      <c r="F156" s="582" t="n">
        <v>20</v>
      </c>
      <c r="G156" s="582" t="n">
        <v>40</v>
      </c>
      <c r="H156" s="592" t="n">
        <v>1</v>
      </c>
      <c r="I156" s="593"/>
      <c r="J156" s="589" t="s">
        <v>1605</v>
      </c>
      <c r="K156" s="589"/>
      <c r="L156" s="589"/>
      <c r="M156" s="594" t="s">
        <v>839</v>
      </c>
      <c r="N156" s="581" t="s">
        <v>1149</v>
      </c>
      <c r="O156" s="582" t="n">
        <v>10</v>
      </c>
      <c r="P156" s="583" t="s">
        <v>1120</v>
      </c>
      <c r="Q156" s="595"/>
      <c r="R156" s="93"/>
      <c r="S156" s="585" t="str">
        <f aca="false" t="array" ref="S156:S156">IF(ISNA(INDEX(Source!$U$7:$U$95,MATCH(T156,Source!$V$7:$V$95,0))),"-",INDEX(Source!$U$7:$U$95,MATCH(T156,Source!$V$7:$V$95,0)))</f>
        <v>-</v>
      </c>
      <c r="T156" s="586" t="s">
        <v>632</v>
      </c>
      <c r="U156" s="182" t="s">
        <v>1106</v>
      </c>
      <c r="V156" s="93"/>
      <c r="W156" s="93"/>
      <c r="X156" s="616"/>
      <c r="Y156" s="93"/>
      <c r="Z156" s="93"/>
      <c r="AA156" s="93"/>
      <c r="AB156" s="616"/>
      <c r="AC156" s="93"/>
      <c r="AD156" s="93"/>
      <c r="AE156" s="93"/>
      <c r="AF156" s="616"/>
      <c r="AG156" s="93"/>
      <c r="AH156" s="93"/>
      <c r="AI156" s="585" t="str">
        <f aca="false" t="array" ref="AI156:AI156">IF(ISNA(INDEX(Source!$U$7:$U$95,MATCH(AJ156,Source!$V$7:$V$95,0))),"-",INDEX(Source!$U$7:$U$95,MATCH(AJ156,Source!$V$7:$V$95,0)))</f>
        <v>-</v>
      </c>
      <c r="AJ156" s="586" t="s">
        <v>459</v>
      </c>
      <c r="AK156" s="182" t="s">
        <v>1110</v>
      </c>
      <c r="AL156" s="93"/>
      <c r="AM156" s="93"/>
      <c r="AN156" s="616"/>
      <c r="AO156" s="93"/>
      <c r="AP156" s="93"/>
      <c r="AQ156" s="93"/>
      <c r="AR156" s="616"/>
      <c r="AS156" s="93"/>
      <c r="AT156" s="93"/>
      <c r="AU156" s="93"/>
      <c r="AV156" s="616"/>
      <c r="AW156" s="93"/>
      <c r="AX156" s="93"/>
      <c r="AY156" s="93"/>
      <c r="AZ156" s="93"/>
      <c r="BA156" s="93"/>
      <c r="BB156" s="638"/>
      <c r="BC156" s="638"/>
      <c r="BD156" s="638"/>
    </row>
    <row r="157" customFormat="false" ht="15.75" hidden="false" customHeight="false" outlineLevel="0" collapsed="false">
      <c r="A157" s="589" t="s">
        <v>1606</v>
      </c>
      <c r="B157" s="589"/>
      <c r="C157" s="589"/>
      <c r="D157" s="603" t="s">
        <v>795</v>
      </c>
      <c r="E157" s="591" t="s">
        <v>1117</v>
      </c>
      <c r="F157" s="582" t="n">
        <v>10</v>
      </c>
      <c r="G157" s="582" t="n">
        <v>50</v>
      </c>
      <c r="H157" s="592" t="n">
        <v>1</v>
      </c>
      <c r="I157" s="593"/>
      <c r="J157" s="589" t="s">
        <v>1607</v>
      </c>
      <c r="K157" s="589"/>
      <c r="L157" s="589"/>
      <c r="M157" s="594" t="s">
        <v>839</v>
      </c>
      <c r="N157" s="581" t="s">
        <v>1200</v>
      </c>
      <c r="O157" s="582" t="n">
        <v>10</v>
      </c>
      <c r="P157" s="592" t="n">
        <v>1</v>
      </c>
      <c r="Q157" s="595"/>
      <c r="R157" s="93"/>
      <c r="S157" s="585" t="str">
        <f aca="false" t="array" ref="S157:S157">IF(ISNA(INDEX(Source!$U$7:$U$95,MATCH(T157,Source!$V$7:$V$95,0))),"-",INDEX(Source!$U$7:$U$95,MATCH(T157,Source!$V$7:$V$95,0)))</f>
        <v>-</v>
      </c>
      <c r="T157" s="586" t="s">
        <v>1608</v>
      </c>
      <c r="U157" s="182" t="s">
        <v>1106</v>
      </c>
      <c r="V157" s="93"/>
      <c r="W157" s="93"/>
      <c r="X157" s="616"/>
      <c r="Y157" s="93"/>
      <c r="Z157" s="93"/>
      <c r="AA157" s="93"/>
      <c r="AB157" s="616"/>
      <c r="AC157" s="93"/>
      <c r="AD157" s="93"/>
      <c r="AE157" s="93"/>
      <c r="AF157" s="616"/>
      <c r="AG157" s="93"/>
      <c r="AH157" s="93"/>
      <c r="AI157" s="585" t="str">
        <f aca="false" t="array" ref="AI157:AI157">IF(ISNA(INDEX(Source!$U$7:$U$95,MATCH(AJ157,Source!$V$7:$V$95,0))),"-",INDEX(Source!$U$7:$U$95,MATCH(AJ157,Source!$V$7:$V$95,0)))</f>
        <v>-</v>
      </c>
      <c r="AJ157" s="586" t="s">
        <v>768</v>
      </c>
      <c r="AK157" s="182" t="s">
        <v>1110</v>
      </c>
      <c r="AL157" s="93"/>
      <c r="AM157" s="93"/>
      <c r="AN157" s="616"/>
      <c r="AO157" s="93"/>
      <c r="AP157" s="93"/>
      <c r="AQ157" s="93"/>
      <c r="AR157" s="616"/>
      <c r="AS157" s="93"/>
      <c r="AT157" s="93"/>
      <c r="AU157" s="93"/>
      <c r="AV157" s="616"/>
      <c r="AW157" s="93"/>
      <c r="AX157" s="93"/>
      <c r="AY157" s="93"/>
      <c r="AZ157" s="93"/>
      <c r="BA157" s="93"/>
      <c r="BB157" s="638"/>
      <c r="BC157" s="638"/>
      <c r="BD157" s="638"/>
    </row>
    <row r="158" customFormat="false" ht="15.75" hidden="false" customHeight="false" outlineLevel="0" collapsed="false">
      <c r="A158" s="589" t="s">
        <v>1609</v>
      </c>
      <c r="B158" s="589"/>
      <c r="C158" s="589"/>
      <c r="D158" s="590" t="s">
        <v>801</v>
      </c>
      <c r="E158" s="591" t="s">
        <v>1117</v>
      </c>
      <c r="F158" s="582" t="n">
        <v>35</v>
      </c>
      <c r="G158" s="582" t="n">
        <v>35</v>
      </c>
      <c r="H158" s="592" t="n">
        <v>1</v>
      </c>
      <c r="I158" s="593"/>
      <c r="J158" s="589" t="s">
        <v>1610</v>
      </c>
      <c r="K158" s="589"/>
      <c r="L158" s="589"/>
      <c r="M158" s="598" t="s">
        <v>828</v>
      </c>
      <c r="N158" s="581" t="s">
        <v>1170</v>
      </c>
      <c r="O158" s="582" t="n">
        <v>20</v>
      </c>
      <c r="P158" s="583" t="s">
        <v>1120</v>
      </c>
      <c r="Q158" s="595"/>
      <c r="R158" s="93"/>
      <c r="S158" s="585" t="str">
        <f aca="false" t="array" ref="S158:S158">IF(ISNA(INDEX(Source!$U$7:$U$95,MATCH(T158,Source!$V$7:$V$95,0))),"-",INDEX(Source!$U$7:$U$95,MATCH(T158,Source!$V$7:$V$95,0)))</f>
        <v>-</v>
      </c>
      <c r="T158" s="586" t="s">
        <v>639</v>
      </c>
      <c r="U158" s="182" t="s">
        <v>1106</v>
      </c>
      <c r="V158" s="93"/>
      <c r="W158" s="93"/>
      <c r="X158" s="616"/>
      <c r="Y158" s="93"/>
      <c r="Z158" s="93"/>
      <c r="AA158" s="93"/>
      <c r="AB158" s="616"/>
      <c r="AC158" s="93"/>
      <c r="AD158" s="93"/>
      <c r="AE158" s="93"/>
      <c r="AF158" s="616"/>
      <c r="AG158" s="93"/>
      <c r="AH158" s="93"/>
      <c r="AI158" s="585" t="str">
        <f aca="false" t="array" ref="AI158:AI158">IF(ISNA(INDEX(Source!$U$7:$U$95,MATCH(AJ158,Source!$V$7:$V$95,0))),"-",INDEX(Source!$U$7:$U$95,MATCH(AJ158,Source!$V$7:$V$95,0)))</f>
        <v>-</v>
      </c>
      <c r="AJ158" s="586" t="s">
        <v>266</v>
      </c>
      <c r="AK158" s="182" t="s">
        <v>1110</v>
      </c>
      <c r="AL158" s="93"/>
      <c r="AM158" s="93"/>
      <c r="AN158" s="616"/>
      <c r="AO158" s="93"/>
      <c r="AP158" s="93"/>
      <c r="AQ158" s="93"/>
      <c r="AR158" s="616"/>
      <c r="AS158" s="93"/>
      <c r="AT158" s="93"/>
      <c r="AU158" s="93"/>
      <c r="AV158" s="616"/>
      <c r="AW158" s="93"/>
      <c r="AX158" s="93"/>
      <c r="AY158" s="93"/>
      <c r="AZ158" s="93"/>
      <c r="BA158" s="93"/>
      <c r="BB158" s="638"/>
      <c r="BC158" s="638"/>
      <c r="BD158" s="638"/>
    </row>
    <row r="159" customFormat="false" ht="15.75" hidden="false" customHeight="false" outlineLevel="0" collapsed="false">
      <c r="A159" s="589" t="s">
        <v>1611</v>
      </c>
      <c r="B159" s="589"/>
      <c r="C159" s="589"/>
      <c r="D159" s="624" t="s">
        <v>803</v>
      </c>
      <c r="E159" s="591" t="s">
        <v>1117</v>
      </c>
      <c r="F159" s="582" t="n">
        <v>15</v>
      </c>
      <c r="G159" s="582" t="n">
        <v>90</v>
      </c>
      <c r="H159" s="592" t="n">
        <v>1</v>
      </c>
      <c r="I159" s="593"/>
      <c r="J159" s="589" t="s">
        <v>1612</v>
      </c>
      <c r="K159" s="589"/>
      <c r="L159" s="589"/>
      <c r="M159" s="594" t="s">
        <v>839</v>
      </c>
      <c r="N159" s="581" t="s">
        <v>1200</v>
      </c>
      <c r="O159" s="582" t="n">
        <v>15</v>
      </c>
      <c r="P159" s="583" t="s">
        <v>1120</v>
      </c>
      <c r="Q159" s="595"/>
      <c r="R159" s="93"/>
      <c r="S159" s="585" t="str">
        <f aca="false" t="array" ref="S159:S159">IF(ISNA(INDEX(Source!$U$7:$U$95,MATCH(T159,Source!$V$7:$V$95,0))),"-",INDEX(Source!$U$7:$U$95,MATCH(T159,Source!$V$7:$V$95,0)))</f>
        <v>-</v>
      </c>
      <c r="T159" s="586" t="s">
        <v>409</v>
      </c>
      <c r="U159" s="182" t="s">
        <v>1106</v>
      </c>
      <c r="V159" s="93"/>
      <c r="W159" s="93"/>
      <c r="X159" s="616"/>
      <c r="Y159" s="93"/>
      <c r="Z159" s="93"/>
      <c r="AA159" s="93"/>
      <c r="AB159" s="616"/>
      <c r="AC159" s="93"/>
      <c r="AD159" s="93"/>
      <c r="AE159" s="93"/>
      <c r="AF159" s="616"/>
      <c r="AG159" s="93"/>
      <c r="AH159" s="93"/>
      <c r="AI159" s="585" t="str">
        <f aca="false" t="array" ref="AI159:AI159">IF(ISNA(INDEX(Source!$U$7:$U$95,MATCH(AJ159,Source!$V$7:$V$95,0))),"-",INDEX(Source!$U$7:$U$95,MATCH(AJ159,Source!$V$7:$V$95,0)))</f>
        <v>-</v>
      </c>
      <c r="AJ159" s="586" t="s">
        <v>1613</v>
      </c>
      <c r="AK159" s="182" t="s">
        <v>1110</v>
      </c>
      <c r="AL159" s="93"/>
      <c r="AM159" s="93"/>
      <c r="AN159" s="616"/>
      <c r="AO159" s="93"/>
      <c r="AP159" s="93"/>
      <c r="AQ159" s="93"/>
      <c r="AR159" s="616"/>
      <c r="AS159" s="93"/>
      <c r="AT159" s="93"/>
      <c r="AU159" s="93"/>
      <c r="AV159" s="616"/>
      <c r="AW159" s="93"/>
      <c r="AX159" s="93"/>
      <c r="AY159" s="93"/>
      <c r="AZ159" s="93"/>
      <c r="BA159" s="93"/>
      <c r="BB159" s="638"/>
      <c r="BC159" s="638"/>
      <c r="BD159" s="638"/>
    </row>
    <row r="160" customFormat="false" ht="15.75" hidden="false" customHeight="false" outlineLevel="0" collapsed="false">
      <c r="A160" s="589" t="s">
        <v>1614</v>
      </c>
      <c r="B160" s="589"/>
      <c r="C160" s="589"/>
      <c r="D160" s="605" t="s">
        <v>802</v>
      </c>
      <c r="E160" s="591" t="s">
        <v>1117</v>
      </c>
      <c r="F160" s="582" t="n">
        <v>10</v>
      </c>
      <c r="G160" s="582" t="n">
        <v>90</v>
      </c>
      <c r="H160" s="592" t="n">
        <v>1</v>
      </c>
      <c r="I160" s="593"/>
      <c r="J160" s="589" t="s">
        <v>1615</v>
      </c>
      <c r="K160" s="589"/>
      <c r="L160" s="589"/>
      <c r="M160" s="594" t="s">
        <v>839</v>
      </c>
      <c r="N160" s="581" t="s">
        <v>1149</v>
      </c>
      <c r="O160" s="582" t="n">
        <v>20</v>
      </c>
      <c r="P160" s="592" t="n">
        <v>1</v>
      </c>
      <c r="Q160" s="595"/>
      <c r="R160" s="93"/>
      <c r="S160" s="585" t="str">
        <f aca="false" t="array" ref="S160:S160">IF(ISNA(INDEX(Source!$U$7:$U$95,MATCH(T160,Source!$V$7:$V$95,0))),"-",INDEX(Source!$U$7:$U$95,MATCH(T160,Source!$V$7:$V$95,0)))</f>
        <v>-</v>
      </c>
      <c r="T160" s="586" t="s">
        <v>599</v>
      </c>
      <c r="U160" s="182" t="s">
        <v>1106</v>
      </c>
      <c r="V160" s="93"/>
      <c r="W160" s="93"/>
      <c r="X160" s="616"/>
      <c r="Y160" s="93"/>
      <c r="Z160" s="93"/>
      <c r="AA160" s="93"/>
      <c r="AB160" s="616"/>
      <c r="AC160" s="93"/>
      <c r="AD160" s="93"/>
      <c r="AE160" s="93"/>
      <c r="AF160" s="616"/>
      <c r="AG160" s="93"/>
      <c r="AH160" s="93"/>
      <c r="AI160" s="585" t="str">
        <f aca="false" t="array" ref="AI160:AI160">IF(ISNA(INDEX(Source!$U$7:$U$95,MATCH(AJ160,Source!$V$7:$V$95,0))),"-",INDEX(Source!$U$7:$U$95,MATCH(AJ160,Source!$V$7:$V$95,0)))</f>
        <v>-</v>
      </c>
      <c r="AJ160" s="586" t="s">
        <v>1616</v>
      </c>
      <c r="AK160" s="182" t="s">
        <v>1110</v>
      </c>
      <c r="AL160" s="93"/>
      <c r="AM160" s="93"/>
      <c r="AN160" s="616"/>
      <c r="AO160" s="93"/>
      <c r="AP160" s="93"/>
      <c r="AQ160" s="93"/>
      <c r="AR160" s="616"/>
      <c r="AS160" s="93"/>
      <c r="AT160" s="93"/>
      <c r="AU160" s="93"/>
      <c r="AV160" s="616"/>
      <c r="AW160" s="93"/>
      <c r="AX160" s="93"/>
      <c r="AY160" s="93"/>
      <c r="AZ160" s="93"/>
      <c r="BA160" s="93"/>
      <c r="BB160" s="638"/>
      <c r="BC160" s="638"/>
      <c r="BD160" s="638"/>
    </row>
    <row r="161" customFormat="false" ht="15.75" hidden="false" customHeight="false" outlineLevel="0" collapsed="false">
      <c r="A161" s="589" t="s">
        <v>1617</v>
      </c>
      <c r="B161" s="589"/>
      <c r="C161" s="589"/>
      <c r="D161" s="607" t="s">
        <v>794</v>
      </c>
      <c r="E161" s="591" t="s">
        <v>1117</v>
      </c>
      <c r="F161" s="582" t="n">
        <v>20</v>
      </c>
      <c r="G161" s="582" t="n">
        <v>25</v>
      </c>
      <c r="H161" s="592" t="n">
        <v>0.95</v>
      </c>
      <c r="I161" s="593"/>
      <c r="J161" s="589" t="s">
        <v>1618</v>
      </c>
      <c r="K161" s="589"/>
      <c r="L161" s="589"/>
      <c r="M161" s="598" t="s">
        <v>828</v>
      </c>
      <c r="N161" s="581" t="s">
        <v>1149</v>
      </c>
      <c r="O161" s="582" t="n">
        <v>10</v>
      </c>
      <c r="P161" s="583" t="s">
        <v>1120</v>
      </c>
      <c r="Q161" s="595"/>
      <c r="R161" s="93"/>
      <c r="S161" s="585" t="str">
        <f aca="false" t="array" ref="S161:S161">IF(ISNA(INDEX(Source!$U$7:$U$95,MATCH(T161,Source!$V$7:$V$95,0))),"-",INDEX(Source!$U$7:$U$95,MATCH(T161,Source!$V$7:$V$95,0)))</f>
        <v>-</v>
      </c>
      <c r="T161" s="586" t="s">
        <v>1069</v>
      </c>
      <c r="U161" s="182" t="s">
        <v>1106</v>
      </c>
      <c r="V161" s="93"/>
      <c r="W161" s="93"/>
      <c r="X161" s="616"/>
      <c r="Y161" s="93"/>
      <c r="Z161" s="93"/>
      <c r="AA161" s="93"/>
      <c r="AB161" s="616"/>
      <c r="AC161" s="93"/>
      <c r="AD161" s="93"/>
      <c r="AE161" s="93"/>
      <c r="AF161" s="616"/>
      <c r="AG161" s="93"/>
      <c r="AH161" s="93"/>
      <c r="AI161" s="585" t="str">
        <f aca="false" t="array" ref="AI161:AI161">IF(ISNA(INDEX(Source!$U$7:$U$95,MATCH(AJ161,Source!$V$7:$V$95,0))),"-",INDEX(Source!$U$7:$U$95,MATCH(AJ161,Source!$V$7:$V$95,0)))</f>
        <v>-</v>
      </c>
      <c r="AJ161" s="586" t="s">
        <v>694</v>
      </c>
      <c r="AK161" s="182" t="s">
        <v>1110</v>
      </c>
      <c r="AL161" s="93"/>
      <c r="AM161" s="93"/>
      <c r="AN161" s="616"/>
      <c r="AO161" s="93"/>
      <c r="AP161" s="93"/>
      <c r="AQ161" s="93"/>
      <c r="AR161" s="616"/>
      <c r="AS161" s="93"/>
      <c r="AT161" s="93"/>
      <c r="AU161" s="93"/>
      <c r="AV161" s="616"/>
      <c r="AW161" s="93"/>
      <c r="AX161" s="93"/>
      <c r="AY161" s="93"/>
      <c r="AZ161" s="93"/>
      <c r="BA161" s="93"/>
      <c r="BB161" s="638"/>
      <c r="BC161" s="638"/>
      <c r="BD161" s="638"/>
    </row>
    <row r="162" customFormat="false" ht="15.75" hidden="false" customHeight="false" outlineLevel="0" collapsed="false">
      <c r="A162" s="589" t="s">
        <v>1619</v>
      </c>
      <c r="B162" s="589"/>
      <c r="C162" s="589"/>
      <c r="D162" s="635" t="s">
        <v>798</v>
      </c>
      <c r="E162" s="591" t="s">
        <v>1117</v>
      </c>
      <c r="F162" s="582" t="n">
        <v>10</v>
      </c>
      <c r="G162" s="582" t="n">
        <v>90</v>
      </c>
      <c r="H162" s="592" t="n">
        <v>0.9</v>
      </c>
      <c r="I162" s="593"/>
      <c r="J162" s="589" t="s">
        <v>1620</v>
      </c>
      <c r="K162" s="589"/>
      <c r="L162" s="589"/>
      <c r="M162" s="594" t="s">
        <v>839</v>
      </c>
      <c r="N162" s="581" t="s">
        <v>1200</v>
      </c>
      <c r="O162" s="582" t="n">
        <v>20</v>
      </c>
      <c r="P162" s="583" t="s">
        <v>1120</v>
      </c>
      <c r="Q162" s="595"/>
      <c r="R162" s="93"/>
      <c r="S162" s="585" t="str">
        <f aca="false" t="array" ref="S162:S162">IF(ISNA(INDEX(Source!$U$7:$U$95,MATCH(T162,Source!$V$7:$V$95,0))),"-",INDEX(Source!$U$7:$U$95,MATCH(T162,Source!$V$7:$V$95,0)))</f>
        <v>-</v>
      </c>
      <c r="T162" s="586" t="s">
        <v>609</v>
      </c>
      <c r="U162" s="182" t="s">
        <v>1106</v>
      </c>
      <c r="V162" s="93"/>
      <c r="W162" s="93"/>
      <c r="X162" s="616"/>
      <c r="Y162" s="93"/>
      <c r="Z162" s="93"/>
      <c r="AA162" s="93"/>
      <c r="AB162" s="616"/>
      <c r="AC162" s="93"/>
      <c r="AD162" s="93"/>
      <c r="AE162" s="93"/>
      <c r="AF162" s="616"/>
      <c r="AG162" s="93"/>
      <c r="AH162" s="93"/>
      <c r="AI162" s="585" t="str">
        <f aca="false" t="array" ref="AI162:AI162">IF(ISNA(INDEX(Source!$U$7:$U$95,MATCH(AJ162,Source!$V$7:$V$95,0))),"-",INDEX(Source!$U$7:$U$95,MATCH(AJ162,Source!$V$7:$V$95,0)))</f>
        <v>-</v>
      </c>
      <c r="AJ162" s="586" t="s">
        <v>1318</v>
      </c>
      <c r="AK162" s="182" t="s">
        <v>1110</v>
      </c>
      <c r="AL162" s="93"/>
      <c r="AM162" s="93"/>
      <c r="AN162" s="616"/>
      <c r="AO162" s="93"/>
      <c r="AP162" s="93"/>
      <c r="AQ162" s="93"/>
      <c r="AR162" s="616"/>
      <c r="AS162" s="93"/>
      <c r="AT162" s="93"/>
      <c r="AU162" s="93"/>
      <c r="AV162" s="616"/>
      <c r="AW162" s="93"/>
      <c r="AX162" s="93"/>
      <c r="AY162" s="93"/>
      <c r="AZ162" s="93"/>
      <c r="BA162" s="93"/>
      <c r="BB162" s="638"/>
      <c r="BC162" s="638"/>
      <c r="BD162" s="638"/>
    </row>
    <row r="163" customFormat="false" ht="15.75" hidden="false" customHeight="false" outlineLevel="0" collapsed="false">
      <c r="A163" s="589" t="s">
        <v>1621</v>
      </c>
      <c r="B163" s="589"/>
      <c r="C163" s="589"/>
      <c r="D163" s="590" t="s">
        <v>801</v>
      </c>
      <c r="E163" s="591" t="s">
        <v>1117</v>
      </c>
      <c r="F163" s="582" t="n">
        <v>20</v>
      </c>
      <c r="G163" s="582" t="n">
        <v>60</v>
      </c>
      <c r="H163" s="592" t="n">
        <v>1</v>
      </c>
      <c r="I163" s="593"/>
      <c r="J163" s="589" t="s">
        <v>1622</v>
      </c>
      <c r="K163" s="589"/>
      <c r="L163" s="589"/>
      <c r="M163" s="641" t="s">
        <v>809</v>
      </c>
      <c r="N163" s="581" t="s">
        <v>1119</v>
      </c>
      <c r="O163" s="582" t="n">
        <v>20</v>
      </c>
      <c r="P163" s="583" t="s">
        <v>1120</v>
      </c>
      <c r="Q163" s="595"/>
      <c r="R163" s="93"/>
      <c r="S163" s="585" t="str">
        <f aca="false" t="array" ref="S163:S163">IF(ISNA(INDEX(Source!$U$7:$U$95,MATCH(T163,Source!$V$7:$V$95,0))),"-",INDEX(Source!$U$7:$U$95,MATCH(T163,Source!$V$7:$V$95,0)))</f>
        <v>-</v>
      </c>
      <c r="T163" s="586" t="s">
        <v>733</v>
      </c>
      <c r="U163" s="182" t="s">
        <v>1106</v>
      </c>
      <c r="V163" s="93"/>
      <c r="W163" s="93"/>
      <c r="X163" s="616"/>
      <c r="Y163" s="93"/>
      <c r="Z163" s="93"/>
      <c r="AA163" s="93"/>
      <c r="AB163" s="616"/>
      <c r="AC163" s="93"/>
      <c r="AD163" s="93"/>
      <c r="AE163" s="93"/>
      <c r="AF163" s="616"/>
      <c r="AG163" s="93"/>
      <c r="AH163" s="93"/>
      <c r="AI163" s="585" t="str">
        <f aca="false" t="array" ref="AI163:AI163">IF(ISNA(INDEX(Source!$U$7:$U$95,MATCH(AJ163,Source!$V$7:$V$95,0))),"-",INDEX(Source!$U$7:$U$95,MATCH(AJ163,Source!$V$7:$V$95,0)))</f>
        <v>-</v>
      </c>
      <c r="AJ163" s="586" t="s">
        <v>1623</v>
      </c>
      <c r="AK163" s="182" t="s">
        <v>1110</v>
      </c>
      <c r="AL163" s="93"/>
      <c r="AM163" s="93"/>
      <c r="AN163" s="616"/>
      <c r="AO163" s="93"/>
      <c r="AP163" s="93"/>
      <c r="AQ163" s="93"/>
      <c r="AR163" s="616"/>
      <c r="AS163" s="93"/>
      <c r="AT163" s="93"/>
      <c r="AU163" s="93"/>
      <c r="AV163" s="616"/>
      <c r="AW163" s="93"/>
      <c r="AX163" s="93"/>
      <c r="AY163" s="93"/>
      <c r="AZ163" s="93"/>
      <c r="BA163" s="93"/>
      <c r="BB163" s="638"/>
      <c r="BC163" s="638"/>
      <c r="BD163" s="638"/>
    </row>
    <row r="164" customFormat="false" ht="15.75" hidden="false" customHeight="false" outlineLevel="0" collapsed="false">
      <c r="A164" s="589" t="s">
        <v>1624</v>
      </c>
      <c r="B164" s="589"/>
      <c r="C164" s="589"/>
      <c r="D164" s="629" t="s">
        <v>843</v>
      </c>
      <c r="E164" s="591" t="s">
        <v>1117</v>
      </c>
      <c r="F164" s="582" t="n">
        <v>15</v>
      </c>
      <c r="G164" s="582" t="n">
        <v>50</v>
      </c>
      <c r="H164" s="592" t="n">
        <v>1</v>
      </c>
      <c r="I164" s="593"/>
      <c r="J164" s="589" t="s">
        <v>1625</v>
      </c>
      <c r="K164" s="589"/>
      <c r="L164" s="589"/>
      <c r="M164" s="598" t="s">
        <v>828</v>
      </c>
      <c r="N164" s="581" t="s">
        <v>1200</v>
      </c>
      <c r="O164" s="582" t="n">
        <v>10</v>
      </c>
      <c r="P164" s="583" t="s">
        <v>1120</v>
      </c>
      <c r="Q164" s="595"/>
      <c r="R164" s="93"/>
      <c r="S164" s="585" t="str">
        <f aca="false" t="array" ref="S164:S164">IF(ISNA(INDEX(Source!$U$7:$U$95,MATCH(T164,Source!$V$7:$V$95,0))),"-",INDEX(Source!$U$7:$U$95,MATCH(T164,Source!$V$7:$V$95,0)))</f>
        <v>-</v>
      </c>
      <c r="T164" s="586" t="s">
        <v>613</v>
      </c>
      <c r="U164" s="182" t="s">
        <v>1106</v>
      </c>
      <c r="V164" s="93"/>
      <c r="W164" s="93"/>
      <c r="X164" s="616"/>
      <c r="Y164" s="93"/>
      <c r="Z164" s="93"/>
      <c r="AA164" s="93"/>
      <c r="AB164" s="616"/>
      <c r="AC164" s="93"/>
      <c r="AD164" s="93"/>
      <c r="AE164" s="93"/>
      <c r="AF164" s="616"/>
      <c r="AG164" s="93"/>
      <c r="AH164" s="93"/>
      <c r="AI164" s="585" t="str">
        <f aca="false" t="array" ref="AI164:AI164">IF(ISNA(INDEX(Source!$U$7:$U$95,MATCH(AJ164,Source!$V$7:$V$95,0))),"-",INDEX(Source!$U$7:$U$95,MATCH(AJ164,Source!$V$7:$V$95,0)))</f>
        <v>-</v>
      </c>
      <c r="AJ164" s="586" t="s">
        <v>1626</v>
      </c>
      <c r="AK164" s="182" t="s">
        <v>1110</v>
      </c>
      <c r="AL164" s="93"/>
      <c r="AM164" s="93"/>
      <c r="AN164" s="616"/>
      <c r="AO164" s="93"/>
      <c r="AP164" s="93"/>
      <c r="AQ164" s="93"/>
      <c r="AR164" s="616"/>
      <c r="AS164" s="93"/>
      <c r="AT164" s="93"/>
      <c r="AU164" s="93"/>
      <c r="AV164" s="616"/>
      <c r="AW164" s="93"/>
      <c r="AX164" s="93"/>
      <c r="AY164" s="93"/>
      <c r="AZ164" s="93"/>
      <c r="BA164" s="93"/>
      <c r="BB164" s="638"/>
      <c r="BC164" s="638"/>
      <c r="BD164" s="638"/>
    </row>
    <row r="165" customFormat="false" ht="15.75" hidden="false" customHeight="false" outlineLevel="0" collapsed="false">
      <c r="A165" s="589" t="s">
        <v>1627</v>
      </c>
      <c r="B165" s="589"/>
      <c r="C165" s="589"/>
      <c r="D165" s="629" t="s">
        <v>843</v>
      </c>
      <c r="E165" s="591" t="s">
        <v>1117</v>
      </c>
      <c r="F165" s="582" t="n">
        <v>20</v>
      </c>
      <c r="G165" s="582" t="n">
        <v>80</v>
      </c>
      <c r="H165" s="592" t="n">
        <v>1</v>
      </c>
      <c r="I165" s="593"/>
      <c r="J165" s="589" t="s">
        <v>1628</v>
      </c>
      <c r="K165" s="589"/>
      <c r="L165" s="589"/>
      <c r="M165" s="630" t="s">
        <v>801</v>
      </c>
      <c r="N165" s="581" t="s">
        <v>1149</v>
      </c>
      <c r="O165" s="582" t="n">
        <v>10</v>
      </c>
      <c r="P165" s="583" t="s">
        <v>1120</v>
      </c>
      <c r="Q165" s="595"/>
      <c r="R165" s="93"/>
      <c r="S165" s="585" t="str">
        <f aca="false" t="array" ref="S165:S165">IF(ISNA(INDEX(Source!$U$7:$U$95,MATCH(T165,Source!$V$7:$V$95,0))),"-",INDEX(Source!$U$7:$U$95,MATCH(T165,Source!$V$7:$V$95,0)))</f>
        <v>-</v>
      </c>
      <c r="T165" s="586" t="s">
        <v>616</v>
      </c>
      <c r="U165" s="182" t="s">
        <v>1106</v>
      </c>
      <c r="V165" s="93"/>
      <c r="W165" s="93"/>
      <c r="X165" s="616"/>
      <c r="Y165" s="93"/>
      <c r="Z165" s="93"/>
      <c r="AA165" s="93"/>
      <c r="AB165" s="616"/>
      <c r="AC165" s="93"/>
      <c r="AD165" s="93"/>
      <c r="AE165" s="93"/>
      <c r="AF165" s="616"/>
      <c r="AG165" s="93"/>
      <c r="AH165" s="93"/>
      <c r="AI165" s="585" t="str">
        <f aca="false" t="array" ref="AI165:AI165">IF(ISNA(INDEX(Source!$U$7:$U$95,MATCH(AJ165,Source!$V$7:$V$95,0))),"-",INDEX(Source!$U$7:$U$95,MATCH(AJ165,Source!$V$7:$V$95,0)))</f>
        <v>-</v>
      </c>
      <c r="AJ165" s="586" t="s">
        <v>691</v>
      </c>
      <c r="AK165" s="182" t="s">
        <v>1110</v>
      </c>
      <c r="AL165" s="93"/>
      <c r="AM165" s="93"/>
      <c r="AN165" s="616"/>
      <c r="AO165" s="93"/>
      <c r="AP165" s="93"/>
      <c r="AQ165" s="93"/>
      <c r="AR165" s="616"/>
      <c r="AS165" s="93"/>
      <c r="AT165" s="93"/>
      <c r="AU165" s="93"/>
      <c r="AV165" s="616"/>
      <c r="AW165" s="93"/>
      <c r="AX165" s="93"/>
      <c r="AY165" s="93"/>
      <c r="AZ165" s="93"/>
      <c r="BA165" s="93"/>
      <c r="BB165" s="638"/>
      <c r="BC165" s="638"/>
      <c r="BD165" s="638"/>
    </row>
    <row r="166" customFormat="false" ht="15.75" hidden="false" customHeight="false" outlineLevel="0" collapsed="false">
      <c r="A166" s="589" t="s">
        <v>1629</v>
      </c>
      <c r="B166" s="589"/>
      <c r="C166" s="589"/>
      <c r="D166" s="629" t="s">
        <v>843</v>
      </c>
      <c r="E166" s="591" t="s">
        <v>1117</v>
      </c>
      <c r="F166" s="582" t="n">
        <v>35</v>
      </c>
      <c r="G166" s="582" t="n">
        <v>15</v>
      </c>
      <c r="H166" s="592" t="n">
        <v>1</v>
      </c>
      <c r="I166" s="593"/>
      <c r="J166" s="589" t="s">
        <v>1630</v>
      </c>
      <c r="K166" s="589"/>
      <c r="L166" s="589"/>
      <c r="M166" s="640" t="s">
        <v>907</v>
      </c>
      <c r="N166" s="581" t="s">
        <v>1185</v>
      </c>
      <c r="O166" s="582" t="n">
        <v>10</v>
      </c>
      <c r="P166" s="583" t="s">
        <v>1120</v>
      </c>
      <c r="Q166" s="595"/>
      <c r="R166" s="93"/>
      <c r="S166" s="585" t="str">
        <f aca="false" t="array" ref="S166:S166">IF(ISNA(INDEX(Source!$U$7:$U$95,MATCH(T166,Source!$V$7:$V$95,0))),"-",INDEX(Source!$U$7:$U$95,MATCH(T166,Source!$V$7:$V$95,0)))</f>
        <v>-</v>
      </c>
      <c r="T166" s="586" t="s">
        <v>578</v>
      </c>
      <c r="U166" s="182" t="s">
        <v>1106</v>
      </c>
      <c r="V166" s="93"/>
      <c r="W166" s="93"/>
      <c r="X166" s="616"/>
      <c r="Y166" s="93"/>
      <c r="Z166" s="93"/>
      <c r="AA166" s="93"/>
      <c r="AB166" s="616"/>
      <c r="AC166" s="93"/>
      <c r="AD166" s="93"/>
      <c r="AE166" s="93"/>
      <c r="AF166" s="616"/>
      <c r="AG166" s="93"/>
      <c r="AH166" s="93"/>
      <c r="AI166" s="585" t="str">
        <f aca="false" t="array" ref="AI166:AI166">IF(ISNA(INDEX(Source!$U$7:$U$95,MATCH(AJ166,Source!$V$7:$V$95,0))),"-",INDEX(Source!$U$7:$U$95,MATCH(AJ166,Source!$V$7:$V$95,0)))</f>
        <v>-</v>
      </c>
      <c r="AJ166" s="586" t="s">
        <v>470</v>
      </c>
      <c r="AK166" s="182" t="s">
        <v>1110</v>
      </c>
      <c r="AL166" s="93"/>
      <c r="AM166" s="93"/>
      <c r="AN166" s="616"/>
      <c r="AO166" s="93"/>
      <c r="AP166" s="93"/>
      <c r="AQ166" s="93"/>
      <c r="AR166" s="616"/>
      <c r="AS166" s="93"/>
      <c r="AT166" s="93"/>
      <c r="AU166" s="93"/>
      <c r="AV166" s="616"/>
      <c r="AW166" s="93"/>
      <c r="AX166" s="93"/>
      <c r="AY166" s="93"/>
      <c r="AZ166" s="93"/>
      <c r="BA166" s="93"/>
      <c r="BB166" s="638"/>
      <c r="BC166" s="638"/>
      <c r="BD166" s="638"/>
    </row>
    <row r="167" customFormat="false" ht="15.75" hidden="false" customHeight="false" outlineLevel="0" collapsed="false">
      <c r="A167" s="589" t="s">
        <v>1631</v>
      </c>
      <c r="B167" s="589"/>
      <c r="C167" s="589"/>
      <c r="D167" s="629" t="s">
        <v>843</v>
      </c>
      <c r="E167" s="591" t="s">
        <v>1117</v>
      </c>
      <c r="F167" s="582" t="n">
        <v>25</v>
      </c>
      <c r="G167" s="582" t="n">
        <v>50</v>
      </c>
      <c r="H167" s="592" t="n">
        <v>1</v>
      </c>
      <c r="I167" s="593"/>
      <c r="J167" s="589" t="s">
        <v>1632</v>
      </c>
      <c r="K167" s="589"/>
      <c r="L167" s="589"/>
      <c r="M167" s="594" t="s">
        <v>839</v>
      </c>
      <c r="N167" s="581" t="s">
        <v>1170</v>
      </c>
      <c r="O167" s="582" t="n">
        <v>25</v>
      </c>
      <c r="P167" s="583" t="s">
        <v>1120</v>
      </c>
      <c r="Q167" s="595"/>
      <c r="R167" s="93"/>
      <c r="S167" s="585" t="str">
        <f aca="false" t="array" ref="S167:S167">IF(ISNA(INDEX(Source!$U$7:$U$95,MATCH(T167,Source!$V$7:$V$95,0))),"-",INDEX(Source!$U$7:$U$95,MATCH(T167,Source!$V$7:$V$95,0)))</f>
        <v>-</v>
      </c>
      <c r="T167" s="586" t="s">
        <v>735</v>
      </c>
      <c r="U167" s="182" t="s">
        <v>1106</v>
      </c>
      <c r="V167" s="93"/>
      <c r="W167" s="93"/>
      <c r="X167" s="616"/>
      <c r="Y167" s="93"/>
      <c r="Z167" s="93"/>
      <c r="AA167" s="93"/>
      <c r="AB167" s="616"/>
      <c r="AC167" s="93"/>
      <c r="AD167" s="93"/>
      <c r="AE167" s="93"/>
      <c r="AF167" s="616"/>
      <c r="AG167" s="93"/>
      <c r="AH167" s="93"/>
      <c r="AI167" s="585" t="str">
        <f aca="false" t="array" ref="AI167:AI167">IF(ISNA(INDEX(Source!$U$7:$U$95,MATCH(AJ167,Source!$V$7:$V$95,0))),"-",INDEX(Source!$U$7:$U$95,MATCH(AJ167,Source!$V$7:$V$95,0)))</f>
        <v>-</v>
      </c>
      <c r="AJ167" s="586" t="s">
        <v>1633</v>
      </c>
      <c r="AK167" s="182" t="s">
        <v>1110</v>
      </c>
      <c r="AL167" s="93"/>
      <c r="AM167" s="93"/>
      <c r="AN167" s="616"/>
      <c r="AO167" s="93"/>
      <c r="AP167" s="93"/>
      <c r="AQ167" s="93"/>
      <c r="AR167" s="616"/>
      <c r="AS167" s="93"/>
      <c r="AT167" s="93"/>
      <c r="AU167" s="93"/>
      <c r="AV167" s="616"/>
      <c r="AW167" s="93"/>
      <c r="AX167" s="93"/>
      <c r="AY167" s="93"/>
      <c r="AZ167" s="93"/>
      <c r="BA167" s="93"/>
      <c r="BB167" s="638"/>
      <c r="BC167" s="638"/>
      <c r="BD167" s="638"/>
    </row>
    <row r="168" customFormat="false" ht="15.75" hidden="false" customHeight="false" outlineLevel="0" collapsed="false">
      <c r="A168" s="589" t="s">
        <v>1634</v>
      </c>
      <c r="B168" s="589"/>
      <c r="C168" s="589"/>
      <c r="D168" s="610" t="s">
        <v>839</v>
      </c>
      <c r="E168" s="591" t="s">
        <v>1117</v>
      </c>
      <c r="F168" s="582" t="n">
        <v>35</v>
      </c>
      <c r="G168" s="582" t="n">
        <v>40</v>
      </c>
      <c r="H168" s="592" t="n">
        <v>1</v>
      </c>
      <c r="I168" s="593"/>
      <c r="J168" s="589" t="s">
        <v>1635</v>
      </c>
      <c r="K168" s="589"/>
      <c r="L168" s="589"/>
      <c r="M168" s="640" t="s">
        <v>907</v>
      </c>
      <c r="N168" s="581" t="s">
        <v>1185</v>
      </c>
      <c r="O168" s="582" t="n">
        <v>15</v>
      </c>
      <c r="P168" s="592" t="n">
        <v>1</v>
      </c>
      <c r="Q168" s="595"/>
      <c r="R168" s="93"/>
      <c r="S168" s="585" t="str">
        <f aca="false" t="array" ref="S168:S168">IF(ISNA(INDEX(Source!$U$7:$U$95,MATCH(T168,Source!$V$7:$V$95,0))),"-",INDEX(Source!$U$7:$U$95,MATCH(T168,Source!$V$7:$V$95,0)))</f>
        <v>-</v>
      </c>
      <c r="T168" s="586" t="s">
        <v>1636</v>
      </c>
      <c r="U168" s="182" t="s">
        <v>1106</v>
      </c>
      <c r="V168" s="93"/>
      <c r="W168" s="93"/>
      <c r="X168" s="616"/>
      <c r="Y168" s="93"/>
      <c r="Z168" s="93"/>
      <c r="AA168" s="93"/>
      <c r="AB168" s="616"/>
      <c r="AC168" s="93"/>
      <c r="AD168" s="93"/>
      <c r="AE168" s="93"/>
      <c r="AF168" s="616"/>
      <c r="AG168" s="93"/>
      <c r="AH168" s="93"/>
      <c r="AI168" s="613" t="str">
        <f aca="false" t="array" ref="AI168:AI168">IF(ISNA(INDEX(Source!$U$7:$U$95,MATCH(AJ168,Source!$V$7:$V$95,0))),"-",INDEX(Source!$U$7:$U$95,MATCH(AJ168,Source!$V$7:$V$95,0)))</f>
        <v>-</v>
      </c>
      <c r="AJ168" s="631" t="s">
        <v>1637</v>
      </c>
      <c r="AK168" s="193" t="s">
        <v>1110</v>
      </c>
      <c r="AL168" s="93"/>
      <c r="AM168" s="93"/>
      <c r="AN168" s="616"/>
      <c r="AO168" s="93"/>
      <c r="AP168" s="93"/>
      <c r="AQ168" s="93"/>
      <c r="AR168" s="616"/>
      <c r="AS168" s="93"/>
      <c r="AT168" s="93"/>
      <c r="AU168" s="93"/>
      <c r="AV168" s="616"/>
      <c r="AW168" s="93"/>
      <c r="AX168" s="93"/>
      <c r="AY168" s="93"/>
      <c r="AZ168" s="93"/>
      <c r="BA168" s="93"/>
      <c r="BB168" s="638"/>
      <c r="BC168" s="638"/>
      <c r="BD168" s="638"/>
    </row>
    <row r="169" customFormat="false" ht="15.75" hidden="false" customHeight="false" outlineLevel="0" collapsed="false">
      <c r="A169" s="589" t="s">
        <v>1638</v>
      </c>
      <c r="B169" s="589"/>
      <c r="C169" s="589"/>
      <c r="D169" s="603" t="s">
        <v>795</v>
      </c>
      <c r="E169" s="591" t="s">
        <v>1117</v>
      </c>
      <c r="F169" s="582" t="n">
        <v>10</v>
      </c>
      <c r="G169" s="582" t="n">
        <v>20</v>
      </c>
      <c r="H169" s="592" t="n">
        <v>1</v>
      </c>
      <c r="I169" s="593"/>
      <c r="J169" s="589" t="s">
        <v>1639</v>
      </c>
      <c r="K169" s="589"/>
      <c r="L169" s="589"/>
      <c r="M169" s="641" t="s">
        <v>809</v>
      </c>
      <c r="N169" s="581" t="s">
        <v>1328</v>
      </c>
      <c r="O169" s="582" t="n">
        <v>10</v>
      </c>
      <c r="P169" s="583" t="s">
        <v>1120</v>
      </c>
      <c r="Q169" s="595"/>
      <c r="R169" s="93"/>
      <c r="S169" s="585" t="str">
        <f aca="false" t="array" ref="S169:S169">IF(ISNA(INDEX(Source!$U$7:$U$95,MATCH(T169,Source!$V$7:$V$95,0))),"-",INDEX(Source!$U$7:$U$95,MATCH(T169,Source!$V$7:$V$95,0)))</f>
        <v>-</v>
      </c>
      <c r="T169" s="586" t="s">
        <v>431</v>
      </c>
      <c r="U169" s="182" t="s">
        <v>1106</v>
      </c>
      <c r="V169" s="93"/>
      <c r="W169" s="93"/>
      <c r="X169" s="616"/>
      <c r="Y169" s="93"/>
      <c r="Z169" s="93"/>
      <c r="AA169" s="93"/>
      <c r="AB169" s="616"/>
      <c r="AC169" s="93"/>
      <c r="AD169" s="93"/>
      <c r="AE169" s="93"/>
      <c r="AF169" s="616"/>
      <c r="AG169" s="93"/>
      <c r="AH169" s="93"/>
      <c r="AI169" s="93"/>
      <c r="AJ169" s="616"/>
      <c r="AK169" s="93"/>
      <c r="AL169" s="93"/>
      <c r="AM169" s="93"/>
      <c r="AN169" s="616"/>
      <c r="AO169" s="93"/>
      <c r="AP169" s="93"/>
      <c r="AQ169" s="93"/>
      <c r="AR169" s="616"/>
      <c r="AS169" s="93"/>
      <c r="AT169" s="93"/>
      <c r="AU169" s="93"/>
      <c r="AV169" s="616"/>
      <c r="AW169" s="93"/>
      <c r="AX169" s="93"/>
      <c r="AY169" s="93"/>
      <c r="AZ169" s="93"/>
      <c r="BA169" s="93"/>
      <c r="BB169" s="638"/>
      <c r="BC169" s="638"/>
      <c r="BD169" s="638"/>
    </row>
    <row r="170" customFormat="false" ht="15.75" hidden="false" customHeight="false" outlineLevel="0" collapsed="false">
      <c r="A170" s="589" t="s">
        <v>1640</v>
      </c>
      <c r="B170" s="589"/>
      <c r="C170" s="589"/>
      <c r="D170" s="624" t="s">
        <v>803</v>
      </c>
      <c r="E170" s="591" t="s">
        <v>1117</v>
      </c>
      <c r="F170" s="582" t="n">
        <v>10</v>
      </c>
      <c r="G170" s="582" t="n">
        <v>120</v>
      </c>
      <c r="H170" s="592" t="n">
        <v>0.85</v>
      </c>
      <c r="I170" s="593"/>
      <c r="J170" s="589" t="s">
        <v>1641</v>
      </c>
      <c r="K170" s="589"/>
      <c r="L170" s="589"/>
      <c r="M170" s="594" t="s">
        <v>839</v>
      </c>
      <c r="N170" s="581" t="s">
        <v>1185</v>
      </c>
      <c r="O170" s="582" t="n">
        <v>10</v>
      </c>
      <c r="P170" s="592" t="n">
        <v>1</v>
      </c>
      <c r="Q170" s="595"/>
      <c r="R170" s="93"/>
      <c r="S170" s="585" t="str">
        <f aca="false" t="array" ref="S170:S170">IF(ISNA(INDEX(Source!$U$7:$U$95,MATCH(T170,Source!$V$7:$V$95,0))),"-",INDEX(Source!$U$7:$U$95,MATCH(T170,Source!$V$7:$V$95,0)))</f>
        <v>-</v>
      </c>
      <c r="T170" s="586" t="s">
        <v>1642</v>
      </c>
      <c r="U170" s="182" t="s">
        <v>1106</v>
      </c>
      <c r="V170" s="93"/>
      <c r="W170" s="93"/>
      <c r="X170" s="616"/>
      <c r="Y170" s="93"/>
      <c r="Z170" s="93"/>
      <c r="AA170" s="93"/>
      <c r="AB170" s="616"/>
      <c r="AC170" s="93"/>
      <c r="AD170" s="93"/>
      <c r="AE170" s="93"/>
      <c r="AF170" s="616"/>
      <c r="AG170" s="93"/>
      <c r="AH170" s="93"/>
      <c r="AI170" s="93"/>
      <c r="AJ170" s="616"/>
      <c r="AK170" s="93"/>
      <c r="AL170" s="93"/>
      <c r="AM170" s="93"/>
      <c r="AN170" s="616"/>
      <c r="AO170" s="93"/>
      <c r="AP170" s="93"/>
      <c r="AQ170" s="93"/>
      <c r="AR170" s="616"/>
      <c r="AS170" s="93"/>
      <c r="AT170" s="93"/>
      <c r="AU170" s="93"/>
      <c r="AV170" s="616"/>
      <c r="AW170" s="93"/>
      <c r="AX170" s="93"/>
      <c r="AY170" s="93"/>
      <c r="AZ170" s="93"/>
      <c r="BA170" s="93"/>
      <c r="BB170" s="638"/>
      <c r="BC170" s="638"/>
      <c r="BD170" s="638"/>
    </row>
    <row r="171" customFormat="false" ht="15.75" hidden="false" customHeight="false" outlineLevel="0" collapsed="false">
      <c r="A171" s="589" t="s">
        <v>1643</v>
      </c>
      <c r="B171" s="589"/>
      <c r="C171" s="589"/>
      <c r="D171" s="600" t="s">
        <v>881</v>
      </c>
      <c r="E171" s="591" t="s">
        <v>1117</v>
      </c>
      <c r="F171" s="582" t="n">
        <v>20</v>
      </c>
      <c r="G171" s="582" t="n">
        <v>40</v>
      </c>
      <c r="H171" s="592" t="n">
        <v>1</v>
      </c>
      <c r="I171" s="593"/>
      <c r="J171" s="589" t="s">
        <v>1644</v>
      </c>
      <c r="K171" s="589"/>
      <c r="L171" s="589"/>
      <c r="M171" s="594" t="s">
        <v>839</v>
      </c>
      <c r="N171" s="581" t="s">
        <v>1185</v>
      </c>
      <c r="O171" s="582" t="n">
        <v>40</v>
      </c>
      <c r="P171" s="592" t="n">
        <v>0.85</v>
      </c>
      <c r="Q171" s="595"/>
      <c r="R171" s="93"/>
      <c r="S171" s="585" t="str">
        <f aca="false" t="array" ref="S171:S171">IF(ISNA(INDEX(Source!$U$7:$U$95,MATCH(T171,Source!$V$7:$V$95,0))),"-",INDEX(Source!$U$7:$U$95,MATCH(T171,Source!$V$7:$V$95,0)))</f>
        <v>SEA</v>
      </c>
      <c r="T171" s="586" t="s">
        <v>43</v>
      </c>
      <c r="U171" s="182" t="s">
        <v>1106</v>
      </c>
      <c r="V171" s="93"/>
      <c r="W171" s="93"/>
      <c r="X171" s="616"/>
      <c r="Y171" s="93"/>
      <c r="Z171" s="93"/>
      <c r="AA171" s="93"/>
      <c r="AB171" s="616"/>
      <c r="AC171" s="93"/>
      <c r="AD171" s="93"/>
      <c r="AE171" s="93"/>
      <c r="AF171" s="616"/>
      <c r="AG171" s="93"/>
      <c r="AH171" s="93"/>
      <c r="AI171" s="93"/>
      <c r="AJ171" s="616"/>
      <c r="AK171" s="93"/>
      <c r="AL171" s="93"/>
      <c r="AM171" s="93"/>
      <c r="AN171" s="616"/>
      <c r="AO171" s="93"/>
      <c r="AP171" s="93"/>
      <c r="AQ171" s="93"/>
      <c r="AR171" s="616"/>
      <c r="AS171" s="93"/>
      <c r="AT171" s="93"/>
      <c r="AU171" s="93"/>
      <c r="AV171" s="616"/>
      <c r="AW171" s="93"/>
      <c r="AX171" s="93"/>
      <c r="AY171" s="93"/>
      <c r="AZ171" s="93"/>
      <c r="BA171" s="93"/>
      <c r="BB171" s="638"/>
      <c r="BC171" s="638"/>
      <c r="BD171" s="638"/>
    </row>
    <row r="172" customFormat="false" ht="15.75" hidden="false" customHeight="false" outlineLevel="0" collapsed="false">
      <c r="A172" s="589" t="s">
        <v>1645</v>
      </c>
      <c r="B172" s="589"/>
      <c r="C172" s="589"/>
      <c r="D172" s="620" t="s">
        <v>907</v>
      </c>
      <c r="E172" s="591" t="s">
        <v>1117</v>
      </c>
      <c r="F172" s="582" t="n">
        <v>10</v>
      </c>
      <c r="G172" s="582" t="n">
        <v>120</v>
      </c>
      <c r="H172" s="592" t="n">
        <v>0.85</v>
      </c>
      <c r="I172" s="593"/>
      <c r="J172" s="589" t="s">
        <v>1646</v>
      </c>
      <c r="K172" s="589"/>
      <c r="L172" s="589"/>
      <c r="M172" s="594" t="s">
        <v>839</v>
      </c>
      <c r="N172" s="581" t="s">
        <v>1119</v>
      </c>
      <c r="O172" s="582" t="n">
        <v>30</v>
      </c>
      <c r="P172" s="583" t="s">
        <v>1120</v>
      </c>
      <c r="Q172" s="595"/>
      <c r="R172" s="93"/>
      <c r="S172" s="585" t="str">
        <f aca="false" t="array" ref="S172:S172">IF(ISNA(INDEX(Source!$U$7:$U$95,MATCH(T172,Source!$V$7:$V$95,0))),"-",INDEX(Source!$U$7:$U$95,MATCH(T172,Source!$V$7:$V$95,0)))</f>
        <v>-</v>
      </c>
      <c r="T172" s="586" t="s">
        <v>641</v>
      </c>
      <c r="U172" s="182" t="s">
        <v>1106</v>
      </c>
      <c r="V172" s="93"/>
      <c r="W172" s="93"/>
      <c r="X172" s="616"/>
      <c r="Y172" s="93"/>
      <c r="Z172" s="93"/>
      <c r="AA172" s="93"/>
      <c r="AB172" s="616"/>
      <c r="AC172" s="93"/>
      <c r="AD172" s="93"/>
      <c r="AE172" s="93"/>
      <c r="AF172" s="616"/>
      <c r="AG172" s="93"/>
      <c r="AH172" s="93"/>
      <c r="AI172" s="93"/>
      <c r="AJ172" s="616"/>
      <c r="AK172" s="93"/>
      <c r="AL172" s="93"/>
      <c r="AM172" s="93"/>
      <c r="AN172" s="616"/>
      <c r="AO172" s="93"/>
      <c r="AP172" s="93"/>
      <c r="AQ172" s="93"/>
      <c r="AR172" s="616"/>
      <c r="AS172" s="93"/>
      <c r="AT172" s="93"/>
      <c r="AU172" s="93"/>
      <c r="AV172" s="616"/>
      <c r="AW172" s="93"/>
      <c r="AX172" s="93"/>
      <c r="AY172" s="93"/>
      <c r="AZ172" s="93"/>
      <c r="BA172" s="93"/>
      <c r="BB172" s="638"/>
      <c r="BC172" s="638"/>
      <c r="BD172" s="638"/>
    </row>
    <row r="173" customFormat="false" ht="15.75" hidden="false" customHeight="false" outlineLevel="0" collapsed="false">
      <c r="A173" s="589" t="s">
        <v>1647</v>
      </c>
      <c r="B173" s="589"/>
      <c r="C173" s="589"/>
      <c r="D173" s="610" t="s">
        <v>839</v>
      </c>
      <c r="E173" s="591" t="s">
        <v>1117</v>
      </c>
      <c r="F173" s="582" t="n">
        <v>15</v>
      </c>
      <c r="G173" s="582" t="s">
        <v>1183</v>
      </c>
      <c r="H173" s="592" t="n">
        <v>0.9</v>
      </c>
      <c r="I173" s="593"/>
      <c r="J173" s="589" t="s">
        <v>1648</v>
      </c>
      <c r="K173" s="589"/>
      <c r="L173" s="589"/>
      <c r="M173" s="594" t="s">
        <v>839</v>
      </c>
      <c r="N173" s="581" t="s">
        <v>1119</v>
      </c>
      <c r="O173" s="582" t="n">
        <v>15</v>
      </c>
      <c r="P173" s="583" t="s">
        <v>1120</v>
      </c>
      <c r="Q173" s="595"/>
      <c r="R173" s="93"/>
      <c r="S173" s="585" t="str">
        <f aca="false" t="array" ref="S173:S173">IF(ISNA(INDEX(Source!$U$7:$U$95,MATCH(T173,Source!$V$7:$V$95,0))),"-",INDEX(Source!$U$7:$U$95,MATCH(T173,Source!$V$7:$V$95,0)))</f>
        <v>-</v>
      </c>
      <c r="T173" s="586" t="s">
        <v>1649</v>
      </c>
      <c r="U173" s="182" t="s">
        <v>1106</v>
      </c>
      <c r="V173" s="93"/>
      <c r="W173" s="93"/>
      <c r="X173" s="616"/>
      <c r="Y173" s="93"/>
      <c r="Z173" s="93"/>
      <c r="AA173" s="93"/>
      <c r="AB173" s="616"/>
      <c r="AC173" s="93"/>
      <c r="AD173" s="93"/>
      <c r="AE173" s="93"/>
      <c r="AF173" s="616"/>
      <c r="AG173" s="93"/>
      <c r="AH173" s="93"/>
      <c r="AI173" s="93"/>
      <c r="AJ173" s="616"/>
      <c r="AK173" s="93"/>
      <c r="AL173" s="93"/>
      <c r="AM173" s="93"/>
      <c r="AN173" s="616"/>
      <c r="AO173" s="93"/>
      <c r="AP173" s="93"/>
      <c r="AQ173" s="93"/>
      <c r="AR173" s="616"/>
      <c r="AS173" s="93"/>
      <c r="AT173" s="93"/>
      <c r="AU173" s="93"/>
      <c r="AV173" s="616"/>
      <c r="AW173" s="93"/>
      <c r="AX173" s="93"/>
      <c r="AY173" s="93"/>
      <c r="AZ173" s="93"/>
      <c r="BA173" s="93"/>
      <c r="BB173" s="638"/>
      <c r="BC173" s="638"/>
      <c r="BD173" s="638"/>
    </row>
    <row r="174" customFormat="false" ht="15.75" hidden="false" customHeight="false" outlineLevel="0" collapsed="false">
      <c r="A174" s="589" t="s">
        <v>1650</v>
      </c>
      <c r="B174" s="589"/>
      <c r="C174" s="589"/>
      <c r="D174" s="639" t="s">
        <v>828</v>
      </c>
      <c r="E174" s="591" t="s">
        <v>1117</v>
      </c>
      <c r="F174" s="582" t="n">
        <v>10</v>
      </c>
      <c r="G174" s="582" t="n">
        <v>85</v>
      </c>
      <c r="H174" s="592" t="n">
        <v>1</v>
      </c>
      <c r="I174" s="593"/>
      <c r="J174" s="589" t="s">
        <v>1651</v>
      </c>
      <c r="K174" s="589"/>
      <c r="L174" s="589"/>
      <c r="M174" s="611" t="s">
        <v>810</v>
      </c>
      <c r="N174" s="581" t="s">
        <v>1119</v>
      </c>
      <c r="O174" s="582" t="n">
        <v>10</v>
      </c>
      <c r="P174" s="583" t="s">
        <v>1120</v>
      </c>
      <c r="Q174" s="595"/>
      <c r="R174" s="93"/>
      <c r="S174" s="585" t="str">
        <f aca="false" t="array" ref="S174:S174">IF(ISNA(INDEX(Source!$U$7:$U$95,MATCH(T174,Source!$V$7:$V$95,0))),"-",INDEX(Source!$U$7:$U$95,MATCH(T174,Source!$V$7:$V$95,0)))</f>
        <v>BTB</v>
      </c>
      <c r="T174" s="586" t="s">
        <v>256</v>
      </c>
      <c r="U174" s="182" t="s">
        <v>1106</v>
      </c>
      <c r="V174" s="93"/>
      <c r="W174" s="93"/>
      <c r="X174" s="616"/>
      <c r="Y174" s="93"/>
      <c r="Z174" s="93"/>
      <c r="AA174" s="93"/>
      <c r="AB174" s="616"/>
      <c r="AC174" s="93"/>
      <c r="AD174" s="93"/>
      <c r="AE174" s="93"/>
      <c r="AF174" s="616"/>
      <c r="AG174" s="93"/>
      <c r="AH174" s="93"/>
      <c r="AI174" s="93"/>
      <c r="AJ174" s="616"/>
      <c r="AK174" s="93"/>
      <c r="AL174" s="93"/>
      <c r="AM174" s="93"/>
      <c r="AN174" s="616"/>
      <c r="AO174" s="93"/>
      <c r="AP174" s="93"/>
      <c r="AQ174" s="93"/>
      <c r="AR174" s="616"/>
      <c r="AS174" s="93"/>
      <c r="AT174" s="93"/>
      <c r="AU174" s="93"/>
      <c r="AV174" s="616"/>
      <c r="AW174" s="93"/>
      <c r="AX174" s="93"/>
      <c r="AY174" s="93"/>
      <c r="AZ174" s="93"/>
      <c r="BA174" s="93"/>
      <c r="BB174" s="638"/>
      <c r="BC174" s="638"/>
      <c r="BD174" s="638"/>
    </row>
    <row r="175" customFormat="false" ht="15.75" hidden="false" customHeight="false" outlineLevel="0" collapsed="false">
      <c r="A175" s="589" t="s">
        <v>1652</v>
      </c>
      <c r="B175" s="589"/>
      <c r="C175" s="589"/>
      <c r="D175" s="639" t="s">
        <v>828</v>
      </c>
      <c r="E175" s="591" t="s">
        <v>1117</v>
      </c>
      <c r="F175" s="582" t="n">
        <v>20</v>
      </c>
      <c r="G175" s="582" t="n">
        <v>70</v>
      </c>
      <c r="H175" s="592" t="n">
        <v>1</v>
      </c>
      <c r="I175" s="593"/>
      <c r="J175" s="589" t="s">
        <v>1653</v>
      </c>
      <c r="K175" s="589"/>
      <c r="L175" s="589"/>
      <c r="M175" s="620" t="s">
        <v>907</v>
      </c>
      <c r="N175" s="581" t="s">
        <v>1149</v>
      </c>
      <c r="O175" s="582" t="n">
        <v>10</v>
      </c>
      <c r="P175" s="583" t="s">
        <v>1120</v>
      </c>
      <c r="Q175" s="595"/>
      <c r="R175" s="93"/>
      <c r="S175" s="585" t="str">
        <f aca="false" t="array" ref="S175:S175">IF(ISNA(INDEX(Source!$U$7:$U$95,MATCH(T175,Source!$V$7:$V$95,0))),"-",INDEX(Source!$U$7:$U$95,MATCH(T175,Source!$V$7:$V$95,0)))</f>
        <v>-</v>
      </c>
      <c r="T175" s="586" t="s">
        <v>739</v>
      </c>
      <c r="U175" s="182" t="s">
        <v>1106</v>
      </c>
      <c r="V175" s="93"/>
      <c r="W175" s="93"/>
      <c r="X175" s="616"/>
      <c r="Y175" s="93"/>
      <c r="Z175" s="93"/>
      <c r="AA175" s="93"/>
      <c r="AB175" s="616"/>
      <c r="AC175" s="93"/>
      <c r="AD175" s="93"/>
      <c r="AE175" s="93"/>
      <c r="AF175" s="616"/>
      <c r="AG175" s="93"/>
      <c r="AH175" s="93"/>
      <c r="AI175" s="93"/>
      <c r="AJ175" s="616"/>
      <c r="AK175" s="93"/>
      <c r="AL175" s="93"/>
      <c r="AM175" s="93"/>
      <c r="AN175" s="616"/>
      <c r="AO175" s="93"/>
      <c r="AP175" s="93"/>
      <c r="AQ175" s="93"/>
      <c r="AR175" s="616"/>
      <c r="AS175" s="93"/>
      <c r="AT175" s="93"/>
      <c r="AU175" s="93"/>
      <c r="AV175" s="616"/>
      <c r="AW175" s="93"/>
      <c r="AX175" s="93"/>
      <c r="AY175" s="93"/>
      <c r="AZ175" s="93"/>
      <c r="BA175" s="93"/>
      <c r="BB175" s="638"/>
      <c r="BC175" s="638"/>
      <c r="BD175" s="638"/>
    </row>
    <row r="176" customFormat="false" ht="15.75" hidden="false" customHeight="false" outlineLevel="0" collapsed="false">
      <c r="A176" s="589" t="s">
        <v>1654</v>
      </c>
      <c r="B176" s="589"/>
      <c r="C176" s="589"/>
      <c r="D176" s="603" t="s">
        <v>795</v>
      </c>
      <c r="E176" s="591" t="s">
        <v>1117</v>
      </c>
      <c r="F176" s="582" t="n">
        <v>5</v>
      </c>
      <c r="G176" s="582" t="s">
        <v>1183</v>
      </c>
      <c r="H176" s="592" t="n">
        <v>1</v>
      </c>
      <c r="I176" s="593"/>
      <c r="J176" s="589" t="s">
        <v>1655</v>
      </c>
      <c r="K176" s="589"/>
      <c r="L176" s="589"/>
      <c r="M176" s="594" t="s">
        <v>839</v>
      </c>
      <c r="N176" s="581" t="s">
        <v>1200</v>
      </c>
      <c r="O176" s="582" t="n">
        <v>15</v>
      </c>
      <c r="P176" s="592" t="n">
        <v>1</v>
      </c>
      <c r="Q176" s="595"/>
      <c r="R176" s="93"/>
      <c r="S176" s="585" t="str">
        <f aca="false" t="array" ref="S176:S176">IF(ISNA(INDEX(Source!$U$7:$U$95,MATCH(T176,Source!$V$7:$V$95,0))),"-",INDEX(Source!$U$7:$U$95,MATCH(T176,Source!$V$7:$V$95,0)))</f>
        <v>-</v>
      </c>
      <c r="T176" s="586" t="s">
        <v>603</v>
      </c>
      <c r="U176" s="182" t="s">
        <v>1106</v>
      </c>
      <c r="V176" s="93"/>
      <c r="W176" s="93"/>
      <c r="X176" s="616"/>
      <c r="Y176" s="93"/>
      <c r="Z176" s="93"/>
      <c r="AA176" s="93"/>
      <c r="AB176" s="616"/>
      <c r="AC176" s="93"/>
      <c r="AD176" s="93"/>
      <c r="AE176" s="93"/>
      <c r="AF176" s="616"/>
      <c r="AG176" s="93"/>
      <c r="AH176" s="93"/>
      <c r="AI176" s="93"/>
      <c r="AJ176" s="616"/>
      <c r="AK176" s="93"/>
      <c r="AL176" s="93"/>
      <c r="AM176" s="93"/>
      <c r="AN176" s="616"/>
      <c r="AO176" s="93"/>
      <c r="AP176" s="93"/>
      <c r="AQ176" s="93"/>
      <c r="AR176" s="616"/>
      <c r="AS176" s="93"/>
      <c r="AT176" s="93"/>
      <c r="AU176" s="93"/>
      <c r="AV176" s="616"/>
      <c r="AW176" s="93"/>
      <c r="AX176" s="93"/>
      <c r="AY176" s="93"/>
      <c r="AZ176" s="93"/>
      <c r="BA176" s="93"/>
      <c r="BB176" s="638"/>
      <c r="BC176" s="638"/>
      <c r="BD176" s="638"/>
    </row>
    <row r="177" customFormat="false" ht="15.75" hidden="false" customHeight="false" outlineLevel="0" collapsed="false">
      <c r="A177" s="589" t="s">
        <v>1656</v>
      </c>
      <c r="B177" s="589"/>
      <c r="C177" s="589"/>
      <c r="D177" s="603" t="s">
        <v>795</v>
      </c>
      <c r="E177" s="591" t="s">
        <v>1117</v>
      </c>
      <c r="F177" s="582" t="n">
        <v>20</v>
      </c>
      <c r="G177" s="582" t="n">
        <v>40</v>
      </c>
      <c r="H177" s="592" t="n">
        <v>1</v>
      </c>
      <c r="I177" s="593"/>
      <c r="J177" s="589" t="s">
        <v>1657</v>
      </c>
      <c r="K177" s="589"/>
      <c r="L177" s="589"/>
      <c r="M177" s="594" t="s">
        <v>839</v>
      </c>
      <c r="N177" s="581" t="s">
        <v>1166</v>
      </c>
      <c r="O177" s="582" t="n">
        <v>15</v>
      </c>
      <c r="P177" s="592" t="n">
        <v>0.55</v>
      </c>
      <c r="Q177" s="595"/>
      <c r="R177" s="93"/>
      <c r="S177" s="585" t="str">
        <f aca="false" t="array" ref="S177:S177">IF(ISNA(INDEX(Source!$U$7:$U$95,MATCH(T177,Source!$V$7:$V$95,0))),"-",INDEX(Source!$U$7:$U$95,MATCH(T177,Source!$V$7:$V$95,0)))</f>
        <v>-</v>
      </c>
      <c r="T177" s="586" t="s">
        <v>1658</v>
      </c>
      <c r="U177" s="182" t="s">
        <v>1106</v>
      </c>
      <c r="V177" s="93"/>
      <c r="W177" s="93"/>
      <c r="X177" s="616"/>
      <c r="Y177" s="93"/>
      <c r="Z177" s="93"/>
      <c r="AA177" s="93"/>
      <c r="AB177" s="616"/>
      <c r="AC177" s="93"/>
      <c r="AD177" s="93"/>
      <c r="AE177" s="93"/>
      <c r="AF177" s="616"/>
      <c r="AG177" s="93"/>
      <c r="AH177" s="93"/>
      <c r="AI177" s="93"/>
      <c r="AJ177" s="616"/>
      <c r="AK177" s="93"/>
      <c r="AL177" s="93"/>
      <c r="AM177" s="93"/>
      <c r="AN177" s="616"/>
      <c r="AO177" s="93"/>
      <c r="AP177" s="93"/>
      <c r="AQ177" s="93"/>
      <c r="AR177" s="616"/>
      <c r="AS177" s="93"/>
      <c r="AT177" s="93"/>
      <c r="AU177" s="93"/>
      <c r="AV177" s="616"/>
      <c r="AW177" s="93"/>
      <c r="AX177" s="93"/>
      <c r="AY177" s="93"/>
      <c r="AZ177" s="93"/>
      <c r="BA177" s="93"/>
      <c r="BB177" s="638"/>
      <c r="BC177" s="638"/>
      <c r="BD177" s="638"/>
    </row>
    <row r="178" customFormat="false" ht="15.75" hidden="false" customHeight="false" outlineLevel="0" collapsed="false">
      <c r="A178" s="589" t="s">
        <v>1659</v>
      </c>
      <c r="B178" s="589"/>
      <c r="C178" s="589"/>
      <c r="D178" s="610" t="s">
        <v>839</v>
      </c>
      <c r="E178" s="591" t="s">
        <v>1117</v>
      </c>
      <c r="F178" s="582" t="n">
        <v>30</v>
      </c>
      <c r="G178" s="582" t="n">
        <v>40</v>
      </c>
      <c r="H178" s="592" t="n">
        <v>1</v>
      </c>
      <c r="I178" s="593"/>
      <c r="J178" s="589" t="s">
        <v>1660</v>
      </c>
      <c r="K178" s="589"/>
      <c r="L178" s="589"/>
      <c r="M178" s="594" t="s">
        <v>839</v>
      </c>
      <c r="N178" s="581" t="s">
        <v>1200</v>
      </c>
      <c r="O178" s="582" t="n">
        <v>1</v>
      </c>
      <c r="P178" s="583" t="s">
        <v>1120</v>
      </c>
      <c r="Q178" s="595"/>
      <c r="R178" s="93"/>
      <c r="S178" s="585" t="str">
        <f aca="false" t="array" ref="S178:S178">IF(ISNA(INDEX(Source!$U$7:$U$95,MATCH(T178,Source!$V$7:$V$95,0))),"-",INDEX(Source!$U$7:$U$95,MATCH(T178,Source!$V$7:$V$95,0)))</f>
        <v>-</v>
      </c>
      <c r="T178" s="586" t="s">
        <v>670</v>
      </c>
      <c r="U178" s="182" t="s">
        <v>1106</v>
      </c>
      <c r="V178" s="93"/>
      <c r="W178" s="93"/>
      <c r="X178" s="616"/>
      <c r="Y178" s="93"/>
      <c r="Z178" s="93"/>
      <c r="AA178" s="93"/>
      <c r="AB178" s="616"/>
      <c r="AC178" s="93"/>
      <c r="AD178" s="93"/>
      <c r="AE178" s="93"/>
      <c r="AF178" s="616"/>
      <c r="AG178" s="93"/>
      <c r="AH178" s="93"/>
      <c r="AI178" s="93"/>
      <c r="AJ178" s="616"/>
      <c r="AK178" s="93"/>
      <c r="AL178" s="93"/>
      <c r="AM178" s="93"/>
      <c r="AN178" s="616"/>
      <c r="AO178" s="93"/>
      <c r="AP178" s="93"/>
      <c r="AQ178" s="93"/>
      <c r="AR178" s="616"/>
      <c r="AS178" s="93"/>
      <c r="AT178" s="93"/>
      <c r="AU178" s="93"/>
      <c r="AV178" s="616"/>
      <c r="AW178" s="93"/>
      <c r="AX178" s="93"/>
      <c r="AY178" s="93"/>
      <c r="AZ178" s="93"/>
      <c r="BA178" s="93"/>
      <c r="BB178" s="638"/>
      <c r="BC178" s="638"/>
      <c r="BD178" s="638"/>
    </row>
    <row r="179" customFormat="false" ht="15.75" hidden="false" customHeight="false" outlineLevel="0" collapsed="false">
      <c r="A179" s="589" t="s">
        <v>1661</v>
      </c>
      <c r="B179" s="589"/>
      <c r="C179" s="589"/>
      <c r="D179" s="610" t="s">
        <v>839</v>
      </c>
      <c r="E179" s="591" t="s">
        <v>1117</v>
      </c>
      <c r="F179" s="582" t="n">
        <v>20</v>
      </c>
      <c r="G179" s="582" t="n">
        <v>20</v>
      </c>
      <c r="H179" s="592" t="n">
        <v>1</v>
      </c>
      <c r="I179" s="593"/>
      <c r="J179" s="589" t="s">
        <v>1662</v>
      </c>
      <c r="K179" s="589"/>
      <c r="L179" s="589"/>
      <c r="M179" s="598" t="s">
        <v>828</v>
      </c>
      <c r="N179" s="581" t="s">
        <v>1200</v>
      </c>
      <c r="O179" s="582" t="n">
        <v>10</v>
      </c>
      <c r="P179" s="592" t="n">
        <v>1</v>
      </c>
      <c r="Q179" s="595"/>
      <c r="R179" s="93"/>
      <c r="S179" s="585" t="str">
        <f aca="false" t="array" ref="S179:S179">IF(ISNA(INDEX(Source!$U$7:$U$95,MATCH(T179,Source!$V$7:$V$95,0))),"-",INDEX(Source!$U$7:$U$95,MATCH(T179,Source!$V$7:$V$95,0)))</f>
        <v>-</v>
      </c>
      <c r="T179" s="586" t="s">
        <v>687</v>
      </c>
      <c r="U179" s="182" t="s">
        <v>1106</v>
      </c>
      <c r="V179" s="93"/>
      <c r="W179" s="93"/>
      <c r="X179" s="616"/>
      <c r="Y179" s="93"/>
      <c r="Z179" s="93"/>
      <c r="AA179" s="93"/>
      <c r="AB179" s="616"/>
      <c r="AC179" s="93"/>
      <c r="AD179" s="93"/>
      <c r="AE179" s="93"/>
      <c r="AF179" s="616"/>
      <c r="AG179" s="93"/>
      <c r="AH179" s="93"/>
      <c r="AI179" s="93"/>
      <c r="AJ179" s="616"/>
      <c r="AK179" s="93"/>
      <c r="AL179" s="93"/>
      <c r="AM179" s="93"/>
      <c r="AN179" s="616"/>
      <c r="AO179" s="93"/>
      <c r="AP179" s="93"/>
      <c r="AQ179" s="93"/>
      <c r="AR179" s="616"/>
      <c r="AS179" s="93"/>
      <c r="AT179" s="93"/>
      <c r="AU179" s="93"/>
      <c r="AV179" s="616"/>
      <c r="AW179" s="93"/>
      <c r="AX179" s="93"/>
      <c r="AY179" s="93"/>
      <c r="AZ179" s="93"/>
      <c r="BA179" s="93"/>
      <c r="BB179" s="638"/>
      <c r="BC179" s="638"/>
      <c r="BD179" s="638"/>
    </row>
    <row r="180" customFormat="false" ht="15.75" hidden="false" customHeight="false" outlineLevel="0" collapsed="false">
      <c r="A180" s="589" t="s">
        <v>1112</v>
      </c>
      <c r="B180" s="589"/>
      <c r="C180" s="589"/>
      <c r="D180" s="610" t="s">
        <v>839</v>
      </c>
      <c r="E180" s="591" t="s">
        <v>1117</v>
      </c>
      <c r="F180" s="582" t="n">
        <v>40</v>
      </c>
      <c r="G180" s="582" t="n">
        <v>20</v>
      </c>
      <c r="H180" s="592" t="n">
        <v>1</v>
      </c>
      <c r="I180" s="593"/>
      <c r="J180" s="589" t="s">
        <v>1663</v>
      </c>
      <c r="K180" s="589"/>
      <c r="L180" s="589"/>
      <c r="M180" s="594" t="s">
        <v>839</v>
      </c>
      <c r="N180" s="581" t="s">
        <v>1149</v>
      </c>
      <c r="O180" s="582" t="n">
        <v>10</v>
      </c>
      <c r="P180" s="592" t="n">
        <v>1</v>
      </c>
      <c r="Q180" s="595"/>
      <c r="R180" s="93"/>
      <c r="S180" s="585" t="str">
        <f aca="false" t="array" ref="S180:S180">IF(ISNA(INDEX(Source!$U$7:$U$95,MATCH(T180,Source!$V$7:$V$95,0))),"-",INDEX(Source!$U$7:$U$95,MATCH(T180,Source!$V$7:$V$95,0)))</f>
        <v>-</v>
      </c>
      <c r="T180" s="586" t="s">
        <v>771</v>
      </c>
      <c r="U180" s="182" t="s">
        <v>1106</v>
      </c>
      <c r="V180" s="93"/>
      <c r="W180" s="93"/>
      <c r="X180" s="616"/>
      <c r="Y180" s="93"/>
      <c r="Z180" s="93"/>
      <c r="AA180" s="93"/>
      <c r="AB180" s="616"/>
      <c r="AC180" s="93"/>
      <c r="AD180" s="93"/>
      <c r="AE180" s="93"/>
      <c r="AF180" s="616"/>
      <c r="AG180" s="93"/>
      <c r="AH180" s="93"/>
      <c r="AI180" s="93"/>
      <c r="AJ180" s="616"/>
      <c r="AK180" s="93"/>
      <c r="AL180" s="93"/>
      <c r="AM180" s="93"/>
      <c r="AN180" s="616"/>
      <c r="AO180" s="93"/>
      <c r="AP180" s="93"/>
      <c r="AQ180" s="93"/>
      <c r="AR180" s="616"/>
      <c r="AS180" s="93"/>
      <c r="AT180" s="93"/>
      <c r="AU180" s="93"/>
      <c r="AV180" s="616"/>
      <c r="AW180" s="93"/>
      <c r="AX180" s="93"/>
      <c r="AY180" s="93"/>
      <c r="AZ180" s="93"/>
      <c r="BA180" s="93"/>
      <c r="BB180" s="638"/>
      <c r="BC180" s="638"/>
      <c r="BD180" s="638"/>
    </row>
    <row r="181" customFormat="false" ht="15.75" hidden="false" customHeight="false" outlineLevel="0" collapsed="false">
      <c r="A181" s="589" t="s">
        <v>1664</v>
      </c>
      <c r="B181" s="589"/>
      <c r="C181" s="589"/>
      <c r="D181" s="624" t="s">
        <v>803</v>
      </c>
      <c r="E181" s="591" t="s">
        <v>1117</v>
      </c>
      <c r="F181" s="582" t="n">
        <v>25</v>
      </c>
      <c r="G181" s="582" t="n">
        <v>55</v>
      </c>
      <c r="H181" s="592" t="n">
        <v>0.95</v>
      </c>
      <c r="I181" s="593"/>
      <c r="J181" s="589" t="s">
        <v>1665</v>
      </c>
      <c r="K181" s="589"/>
      <c r="L181" s="589"/>
      <c r="M181" s="604" t="s">
        <v>803</v>
      </c>
      <c r="N181" s="581" t="s">
        <v>1166</v>
      </c>
      <c r="O181" s="582" t="n">
        <v>15</v>
      </c>
      <c r="P181" s="592" t="n">
        <v>0.75</v>
      </c>
      <c r="Q181" s="595"/>
      <c r="R181" s="93"/>
      <c r="S181" s="613" t="str">
        <f aca="false" t="array" ref="S181:S181">IF(ISNA(INDEX(Source!$U$7:$U$94,MATCH(T181,Source!$V$7:$V$94,0))),"-",INDEX(Source!$U$7:$U$94,MATCH(T181,Source!$V$7:$V$94,0)))</f>
        <v>-</v>
      </c>
      <c r="T181" s="631" t="s">
        <v>772</v>
      </c>
      <c r="U181" s="193" t="s">
        <v>1106</v>
      </c>
      <c r="V181" s="93"/>
      <c r="W181" s="93"/>
      <c r="X181" s="616"/>
      <c r="Y181" s="93"/>
      <c r="Z181" s="93"/>
      <c r="AA181" s="93"/>
      <c r="AB181" s="616"/>
      <c r="AC181" s="93"/>
      <c r="AD181" s="93"/>
      <c r="AE181" s="93"/>
      <c r="AF181" s="616"/>
      <c r="AG181" s="93"/>
      <c r="AH181" s="93"/>
      <c r="AI181" s="93"/>
      <c r="AJ181" s="616"/>
      <c r="AK181" s="93"/>
      <c r="AL181" s="93"/>
      <c r="AM181" s="93"/>
      <c r="AN181" s="616"/>
      <c r="AO181" s="93"/>
      <c r="AP181" s="93"/>
      <c r="AQ181" s="93"/>
      <c r="AR181" s="616"/>
      <c r="AS181" s="93"/>
      <c r="AT181" s="93"/>
      <c r="AU181" s="93"/>
      <c r="AV181" s="616"/>
      <c r="AW181" s="93"/>
      <c r="AX181" s="93"/>
      <c r="AY181" s="93"/>
      <c r="AZ181" s="93"/>
      <c r="BA181" s="93"/>
      <c r="BB181" s="638"/>
      <c r="BC181" s="638"/>
      <c r="BD181" s="638"/>
    </row>
    <row r="182" customFormat="false" ht="15.75" hidden="false" customHeight="false" outlineLevel="0" collapsed="false">
      <c r="A182" s="589" t="s">
        <v>1666</v>
      </c>
      <c r="B182" s="589"/>
      <c r="C182" s="589"/>
      <c r="D182" s="599" t="s">
        <v>811</v>
      </c>
      <c r="E182" s="591" t="s">
        <v>1117</v>
      </c>
      <c r="F182" s="582" t="n">
        <v>10</v>
      </c>
      <c r="G182" s="582" t="n">
        <v>75</v>
      </c>
      <c r="H182" s="592" t="n">
        <v>0.95</v>
      </c>
      <c r="I182" s="593"/>
      <c r="J182" s="589" t="s">
        <v>1667</v>
      </c>
      <c r="K182" s="589"/>
      <c r="L182" s="589"/>
      <c r="M182" s="594" t="s">
        <v>839</v>
      </c>
      <c r="N182" s="581" t="s">
        <v>1200</v>
      </c>
      <c r="O182" s="582" t="n">
        <v>10</v>
      </c>
      <c r="P182" s="583" t="s">
        <v>1120</v>
      </c>
      <c r="Q182" s="595"/>
      <c r="R182" s="93"/>
      <c r="S182" s="93"/>
      <c r="T182" s="616"/>
      <c r="U182" s="93"/>
      <c r="V182" s="93"/>
      <c r="W182" s="93"/>
      <c r="X182" s="616"/>
      <c r="Y182" s="93"/>
      <c r="Z182" s="93"/>
      <c r="AA182" s="93"/>
      <c r="AB182" s="616"/>
      <c r="AC182" s="93"/>
      <c r="AD182" s="93"/>
      <c r="AE182" s="93"/>
      <c r="AF182" s="616"/>
      <c r="AG182" s="93"/>
      <c r="AH182" s="93"/>
      <c r="AI182" s="93"/>
      <c r="AJ182" s="616"/>
      <c r="AK182" s="93"/>
      <c r="AL182" s="93"/>
      <c r="AM182" s="93"/>
      <c r="AN182" s="616"/>
      <c r="AO182" s="93"/>
      <c r="AP182" s="93"/>
      <c r="AQ182" s="93"/>
      <c r="AR182" s="616"/>
      <c r="AS182" s="93"/>
      <c r="AT182" s="93"/>
      <c r="AU182" s="93"/>
      <c r="AV182" s="616"/>
      <c r="AW182" s="93"/>
      <c r="AX182" s="93"/>
      <c r="AY182" s="93"/>
      <c r="AZ182" s="93"/>
      <c r="BA182" s="93"/>
      <c r="BB182" s="638"/>
      <c r="BC182" s="638"/>
      <c r="BD182" s="638"/>
    </row>
    <row r="183" customFormat="false" ht="15.75" hidden="false" customHeight="false" outlineLevel="0" collapsed="false">
      <c r="A183" s="589" t="s">
        <v>1668</v>
      </c>
      <c r="B183" s="589"/>
      <c r="C183" s="589"/>
      <c r="D183" s="610" t="s">
        <v>839</v>
      </c>
      <c r="E183" s="591" t="s">
        <v>1117</v>
      </c>
      <c r="F183" s="582" t="n">
        <v>5</v>
      </c>
      <c r="G183" s="582" t="n">
        <v>70</v>
      </c>
      <c r="H183" s="592" t="n">
        <v>1</v>
      </c>
      <c r="I183" s="593"/>
      <c r="J183" s="589" t="s">
        <v>1669</v>
      </c>
      <c r="K183" s="589"/>
      <c r="L183" s="589"/>
      <c r="M183" s="594" t="s">
        <v>839</v>
      </c>
      <c r="N183" s="581" t="s">
        <v>1185</v>
      </c>
      <c r="O183" s="582" t="n">
        <v>20</v>
      </c>
      <c r="P183" s="592" t="n">
        <v>1</v>
      </c>
      <c r="Q183" s="595"/>
      <c r="R183" s="93"/>
      <c r="S183" s="93"/>
      <c r="T183" s="616"/>
      <c r="U183" s="93"/>
      <c r="V183" s="93"/>
      <c r="W183" s="93"/>
      <c r="X183" s="616"/>
      <c r="Y183" s="93"/>
      <c r="Z183" s="93"/>
      <c r="AA183" s="93"/>
      <c r="AB183" s="616"/>
      <c r="AC183" s="93"/>
      <c r="AD183" s="93"/>
      <c r="AE183" s="93"/>
      <c r="AF183" s="616"/>
      <c r="AG183" s="93"/>
      <c r="AH183" s="93"/>
      <c r="AI183" s="93"/>
      <c r="AJ183" s="616"/>
      <c r="AK183" s="93"/>
      <c r="AL183" s="93"/>
      <c r="AM183" s="93"/>
      <c r="AN183" s="616"/>
      <c r="AO183" s="93"/>
      <c r="AP183" s="93"/>
      <c r="AQ183" s="93"/>
      <c r="AR183" s="616"/>
      <c r="AS183" s="93"/>
      <c r="AT183" s="93"/>
      <c r="AU183" s="93"/>
      <c r="AV183" s="616"/>
      <c r="AW183" s="93"/>
      <c r="AX183" s="93"/>
      <c r="AY183" s="93"/>
      <c r="AZ183" s="93"/>
      <c r="BA183" s="93"/>
      <c r="BB183" s="638"/>
      <c r="BC183" s="638"/>
      <c r="BD183" s="638"/>
    </row>
    <row r="184" customFormat="false" ht="15.75" hidden="false" customHeight="false" outlineLevel="0" collapsed="false">
      <c r="A184" s="589" t="s">
        <v>1670</v>
      </c>
      <c r="B184" s="589"/>
      <c r="C184" s="589"/>
      <c r="D184" s="610" t="s">
        <v>839</v>
      </c>
      <c r="E184" s="591" t="s">
        <v>1117</v>
      </c>
      <c r="F184" s="582" t="n">
        <v>20</v>
      </c>
      <c r="G184" s="582" t="n">
        <v>102</v>
      </c>
      <c r="H184" s="592" t="n">
        <v>1</v>
      </c>
      <c r="I184" s="593"/>
      <c r="J184" s="589" t="s">
        <v>1671</v>
      </c>
      <c r="K184" s="589"/>
      <c r="L184" s="589"/>
      <c r="M184" s="625" t="s">
        <v>795</v>
      </c>
      <c r="N184" s="581" t="s">
        <v>1200</v>
      </c>
      <c r="O184" s="582" t="n">
        <v>10</v>
      </c>
      <c r="P184" s="592" t="n">
        <v>1</v>
      </c>
      <c r="Q184" s="595"/>
      <c r="R184" s="93"/>
      <c r="S184" s="93"/>
      <c r="T184" s="616"/>
      <c r="U184" s="93"/>
      <c r="V184" s="93"/>
      <c r="W184" s="93"/>
      <c r="X184" s="616"/>
      <c r="Y184" s="93"/>
      <c r="Z184" s="93"/>
      <c r="AA184" s="93"/>
      <c r="AB184" s="616"/>
      <c r="AC184" s="93"/>
      <c r="AD184" s="93"/>
      <c r="AE184" s="93"/>
      <c r="AF184" s="616"/>
      <c r="AG184" s="93"/>
      <c r="AH184" s="93"/>
      <c r="AI184" s="93"/>
      <c r="AJ184" s="616"/>
      <c r="AK184" s="93"/>
      <c r="AL184" s="93"/>
      <c r="AM184" s="93"/>
      <c r="AN184" s="616"/>
      <c r="AO184" s="93"/>
      <c r="AP184" s="93"/>
      <c r="AQ184" s="93"/>
      <c r="AR184" s="616"/>
      <c r="AS184" s="93"/>
      <c r="AT184" s="93"/>
      <c r="AU184" s="93"/>
      <c r="AV184" s="616"/>
      <c r="AW184" s="93"/>
      <c r="AX184" s="93"/>
      <c r="AY184" s="93"/>
      <c r="AZ184" s="93"/>
      <c r="BA184" s="93"/>
      <c r="BB184" s="638"/>
      <c r="BC184" s="638"/>
      <c r="BD184" s="638"/>
    </row>
    <row r="185" customFormat="false" ht="15.75" hidden="false" customHeight="false" outlineLevel="0" collapsed="false">
      <c r="A185" s="589" t="s">
        <v>1672</v>
      </c>
      <c r="B185" s="589"/>
      <c r="C185" s="589"/>
      <c r="D185" s="600" t="s">
        <v>881</v>
      </c>
      <c r="E185" s="591" t="s">
        <v>1117</v>
      </c>
      <c r="F185" s="582" t="n">
        <v>10</v>
      </c>
      <c r="G185" s="582" t="n">
        <v>60</v>
      </c>
      <c r="H185" s="592" t="n">
        <v>1</v>
      </c>
      <c r="I185" s="593"/>
      <c r="J185" s="589" t="s">
        <v>1673</v>
      </c>
      <c r="K185" s="589"/>
      <c r="L185" s="589"/>
      <c r="M185" s="601" t="s">
        <v>811</v>
      </c>
      <c r="N185" s="581" t="s">
        <v>1200</v>
      </c>
      <c r="O185" s="582" t="n">
        <v>20</v>
      </c>
      <c r="P185" s="592" t="n">
        <v>1</v>
      </c>
      <c r="Q185" s="595"/>
      <c r="R185" s="93"/>
      <c r="S185" s="93"/>
      <c r="T185" s="616"/>
      <c r="U185" s="93"/>
      <c r="V185" s="93"/>
      <c r="W185" s="93"/>
      <c r="X185" s="616"/>
      <c r="Y185" s="93"/>
      <c r="Z185" s="93"/>
      <c r="AA185" s="93"/>
      <c r="AB185" s="616"/>
      <c r="AC185" s="93"/>
      <c r="AD185" s="93"/>
      <c r="AE185" s="93"/>
      <c r="AF185" s="616"/>
      <c r="AG185" s="93"/>
      <c r="AH185" s="93"/>
      <c r="AI185" s="93"/>
      <c r="AJ185" s="616"/>
      <c r="AK185" s="93"/>
      <c r="AL185" s="93"/>
      <c r="AM185" s="93"/>
      <c r="AN185" s="616"/>
      <c r="AO185" s="93"/>
      <c r="AP185" s="93"/>
      <c r="AQ185" s="93"/>
      <c r="AR185" s="616"/>
      <c r="AS185" s="93"/>
      <c r="AT185" s="93"/>
      <c r="AU185" s="93"/>
      <c r="AV185" s="616"/>
      <c r="AW185" s="93"/>
      <c r="AX185" s="93"/>
      <c r="AY185" s="93"/>
      <c r="AZ185" s="93"/>
      <c r="BA185" s="93"/>
      <c r="BB185" s="638"/>
      <c r="BC185" s="638"/>
      <c r="BD185" s="638"/>
    </row>
    <row r="186" customFormat="false" ht="15.75" hidden="false" customHeight="false" outlineLevel="0" collapsed="false">
      <c r="A186" s="589" t="s">
        <v>1674</v>
      </c>
      <c r="B186" s="589"/>
      <c r="C186" s="589"/>
      <c r="D186" s="600" t="s">
        <v>881</v>
      </c>
      <c r="E186" s="591" t="s">
        <v>1117</v>
      </c>
      <c r="F186" s="582" t="n">
        <v>15</v>
      </c>
      <c r="G186" s="582" t="s">
        <v>1183</v>
      </c>
      <c r="H186" s="592" t="n">
        <v>1</v>
      </c>
      <c r="I186" s="593"/>
      <c r="J186" s="589" t="s">
        <v>1675</v>
      </c>
      <c r="K186" s="589"/>
      <c r="L186" s="589"/>
      <c r="M186" s="594" t="s">
        <v>839</v>
      </c>
      <c r="N186" s="581" t="s">
        <v>1149</v>
      </c>
      <c r="O186" s="582" t="n">
        <v>10</v>
      </c>
      <c r="P186" s="583" t="s">
        <v>1120</v>
      </c>
      <c r="Q186" s="595"/>
      <c r="R186" s="93"/>
      <c r="S186" s="93"/>
      <c r="T186" s="616"/>
      <c r="U186" s="93"/>
      <c r="V186" s="93"/>
      <c r="W186" s="93"/>
      <c r="X186" s="616"/>
      <c r="Y186" s="93"/>
      <c r="Z186" s="93"/>
      <c r="AA186" s="93"/>
      <c r="AB186" s="616"/>
      <c r="AC186" s="93"/>
      <c r="AD186" s="93"/>
      <c r="AE186" s="93"/>
      <c r="AF186" s="616"/>
      <c r="AG186" s="93"/>
      <c r="AH186" s="93"/>
      <c r="AI186" s="93"/>
      <c r="AJ186" s="616"/>
      <c r="AK186" s="93"/>
      <c r="AL186" s="93"/>
      <c r="AM186" s="93"/>
      <c r="AN186" s="616"/>
      <c r="AO186" s="93"/>
      <c r="AP186" s="93"/>
      <c r="AQ186" s="93"/>
      <c r="AR186" s="616"/>
      <c r="AS186" s="93"/>
      <c r="AT186" s="93"/>
      <c r="AU186" s="93"/>
      <c r="AV186" s="616"/>
      <c r="AW186" s="93"/>
      <c r="AX186" s="93"/>
      <c r="AY186" s="93"/>
      <c r="AZ186" s="93"/>
      <c r="BA186" s="93"/>
      <c r="BB186" s="638"/>
      <c r="BC186" s="638"/>
      <c r="BD186" s="638"/>
    </row>
    <row r="187" customFormat="false" ht="15.75" hidden="false" customHeight="false" outlineLevel="0" collapsed="false">
      <c r="A187" s="589" t="s">
        <v>1676</v>
      </c>
      <c r="B187" s="589"/>
      <c r="C187" s="589"/>
      <c r="D187" s="633" t="s">
        <v>809</v>
      </c>
      <c r="E187" s="591" t="s">
        <v>1117</v>
      </c>
      <c r="F187" s="582" t="n">
        <v>10</v>
      </c>
      <c r="G187" s="582" t="n">
        <v>25</v>
      </c>
      <c r="H187" s="592" t="n">
        <v>0.9</v>
      </c>
      <c r="I187" s="593"/>
      <c r="J187" s="589" t="s">
        <v>1677</v>
      </c>
      <c r="K187" s="589"/>
      <c r="L187" s="589"/>
      <c r="M187" s="598" t="s">
        <v>828</v>
      </c>
      <c r="N187" s="581" t="s">
        <v>1200</v>
      </c>
      <c r="O187" s="582" t="n">
        <v>10</v>
      </c>
      <c r="P187" s="583" t="s">
        <v>1120</v>
      </c>
      <c r="Q187" s="595"/>
      <c r="R187" s="93"/>
      <c r="S187" s="93"/>
      <c r="T187" s="616"/>
      <c r="U187" s="93"/>
      <c r="V187" s="93"/>
      <c r="W187" s="93"/>
      <c r="X187" s="616"/>
      <c r="Y187" s="93"/>
      <c r="Z187" s="93"/>
      <c r="AA187" s="93"/>
      <c r="AB187" s="616"/>
      <c r="AC187" s="93"/>
      <c r="AD187" s="93"/>
      <c r="AE187" s="93"/>
      <c r="AF187" s="616"/>
      <c r="AG187" s="93"/>
      <c r="AH187" s="93"/>
      <c r="AI187" s="93"/>
      <c r="AJ187" s="616"/>
      <c r="AK187" s="93"/>
      <c r="AL187" s="93"/>
      <c r="AM187" s="93"/>
      <c r="AN187" s="616"/>
      <c r="AO187" s="93"/>
      <c r="AP187" s="93"/>
      <c r="AQ187" s="93"/>
      <c r="AR187" s="616"/>
      <c r="AS187" s="93"/>
      <c r="AT187" s="93"/>
      <c r="AU187" s="93"/>
      <c r="AV187" s="616"/>
      <c r="AW187" s="93"/>
      <c r="AX187" s="93"/>
      <c r="AY187" s="93"/>
      <c r="AZ187" s="93"/>
      <c r="BA187" s="93"/>
      <c r="BB187" s="638"/>
      <c r="BC187" s="638"/>
      <c r="BD187" s="638"/>
    </row>
    <row r="188" customFormat="false" ht="15.75" hidden="false" customHeight="false" outlineLevel="0" collapsed="false">
      <c r="A188" s="589" t="s">
        <v>1678</v>
      </c>
      <c r="B188" s="589"/>
      <c r="C188" s="589"/>
      <c r="D188" s="610" t="s">
        <v>839</v>
      </c>
      <c r="E188" s="591" t="s">
        <v>1117</v>
      </c>
      <c r="F188" s="582" t="n">
        <v>20</v>
      </c>
      <c r="G188" s="582" t="n">
        <v>90</v>
      </c>
      <c r="H188" s="592" t="n">
        <v>0.85</v>
      </c>
      <c r="I188" s="593"/>
      <c r="J188" s="589" t="s">
        <v>1679</v>
      </c>
      <c r="K188" s="589"/>
      <c r="L188" s="589"/>
      <c r="M188" s="626" t="s">
        <v>794</v>
      </c>
      <c r="N188" s="581" t="s">
        <v>1185</v>
      </c>
      <c r="O188" s="582" t="n">
        <v>10</v>
      </c>
      <c r="P188" s="592" t="n">
        <v>1</v>
      </c>
      <c r="Q188" s="595"/>
      <c r="R188" s="93"/>
      <c r="S188" s="93"/>
      <c r="T188" s="616"/>
      <c r="U188" s="93"/>
      <c r="V188" s="93"/>
      <c r="W188" s="93"/>
      <c r="X188" s="616"/>
      <c r="Y188" s="93"/>
      <c r="Z188" s="93"/>
      <c r="AA188" s="93"/>
      <c r="AB188" s="616"/>
      <c r="AC188" s="93"/>
      <c r="AD188" s="93"/>
      <c r="AE188" s="93"/>
      <c r="AF188" s="616"/>
      <c r="AG188" s="93"/>
      <c r="AH188" s="93"/>
      <c r="AI188" s="93"/>
      <c r="AJ188" s="616"/>
      <c r="AK188" s="93"/>
      <c r="AL188" s="93"/>
      <c r="AM188" s="93"/>
      <c r="AN188" s="616"/>
      <c r="AO188" s="93"/>
      <c r="AP188" s="93"/>
      <c r="AQ188" s="93"/>
      <c r="AR188" s="616"/>
      <c r="AS188" s="93"/>
      <c r="AT188" s="93"/>
      <c r="AU188" s="93"/>
      <c r="AV188" s="616"/>
      <c r="AW188" s="93"/>
      <c r="AX188" s="93"/>
      <c r="AY188" s="93"/>
      <c r="AZ188" s="93"/>
      <c r="BA188" s="93"/>
      <c r="BB188" s="638"/>
      <c r="BC188" s="638"/>
      <c r="BD188" s="638"/>
    </row>
    <row r="189" customFormat="false" ht="15.75" hidden="false" customHeight="false" outlineLevel="0" collapsed="false">
      <c r="A189" s="589" t="s">
        <v>1680</v>
      </c>
      <c r="B189" s="589"/>
      <c r="C189" s="589"/>
      <c r="D189" s="633" t="s">
        <v>809</v>
      </c>
      <c r="E189" s="591" t="s">
        <v>1117</v>
      </c>
      <c r="F189" s="582" t="n">
        <v>10</v>
      </c>
      <c r="G189" s="582" t="n">
        <v>75</v>
      </c>
      <c r="H189" s="592" t="n">
        <v>0.9</v>
      </c>
      <c r="I189" s="593"/>
      <c r="J189" s="589" t="s">
        <v>1107</v>
      </c>
      <c r="K189" s="589"/>
      <c r="L189" s="589"/>
      <c r="M189" s="640" t="s">
        <v>907</v>
      </c>
      <c r="N189" s="581" t="s">
        <v>1681</v>
      </c>
      <c r="O189" s="582" t="n">
        <v>20</v>
      </c>
      <c r="P189" s="583" t="s">
        <v>1120</v>
      </c>
      <c r="Q189" s="595"/>
      <c r="R189" s="93"/>
      <c r="S189" s="93"/>
      <c r="T189" s="616"/>
      <c r="U189" s="93"/>
      <c r="V189" s="93"/>
      <c r="W189" s="93"/>
      <c r="X189" s="616"/>
      <c r="Y189" s="93"/>
      <c r="Z189" s="93"/>
      <c r="AA189" s="93"/>
      <c r="AB189" s="616"/>
      <c r="AC189" s="93"/>
      <c r="AD189" s="93"/>
      <c r="AE189" s="93"/>
      <c r="AF189" s="616"/>
      <c r="AG189" s="93"/>
      <c r="AH189" s="93"/>
      <c r="AI189" s="93"/>
      <c r="AJ189" s="616"/>
      <c r="AK189" s="93"/>
      <c r="AL189" s="93"/>
      <c r="AM189" s="93"/>
      <c r="AN189" s="616"/>
      <c r="AO189" s="93"/>
      <c r="AP189" s="93"/>
      <c r="AQ189" s="93"/>
      <c r="AR189" s="616"/>
      <c r="AS189" s="93"/>
      <c r="AT189" s="93"/>
      <c r="AU189" s="93"/>
      <c r="AV189" s="616"/>
      <c r="AW189" s="93"/>
      <c r="AX189" s="93"/>
      <c r="AY189" s="93"/>
      <c r="AZ189" s="93"/>
      <c r="BA189" s="93"/>
      <c r="BB189" s="638"/>
      <c r="BC189" s="638"/>
      <c r="BD189" s="638"/>
    </row>
    <row r="190" customFormat="false" ht="15.75" hidden="false" customHeight="false" outlineLevel="0" collapsed="false">
      <c r="A190" s="589" t="s">
        <v>1682</v>
      </c>
      <c r="B190" s="589"/>
      <c r="C190" s="589"/>
      <c r="D190" s="600" t="s">
        <v>881</v>
      </c>
      <c r="E190" s="591" t="s">
        <v>1117</v>
      </c>
      <c r="F190" s="582" t="n">
        <v>15</v>
      </c>
      <c r="G190" s="582" t="n">
        <v>40</v>
      </c>
      <c r="H190" s="592" t="n">
        <v>1</v>
      </c>
      <c r="I190" s="593"/>
      <c r="J190" s="589" t="s">
        <v>1683</v>
      </c>
      <c r="K190" s="589"/>
      <c r="L190" s="589"/>
      <c r="M190" s="604" t="s">
        <v>803</v>
      </c>
      <c r="N190" s="581" t="s">
        <v>1170</v>
      </c>
      <c r="O190" s="582" t="n">
        <v>10</v>
      </c>
      <c r="P190" s="583" t="s">
        <v>1120</v>
      </c>
      <c r="Q190" s="595"/>
      <c r="R190" s="93"/>
      <c r="S190" s="93"/>
      <c r="T190" s="616"/>
      <c r="U190" s="93"/>
      <c r="V190" s="93"/>
      <c r="W190" s="93"/>
      <c r="X190" s="616"/>
      <c r="Y190" s="93"/>
      <c r="Z190" s="93"/>
      <c r="AA190" s="93"/>
      <c r="AB190" s="616"/>
      <c r="AC190" s="93"/>
      <c r="AD190" s="93"/>
      <c r="AE190" s="93"/>
      <c r="AF190" s="616"/>
      <c r="AG190" s="93"/>
      <c r="AH190" s="93"/>
      <c r="AI190" s="93"/>
      <c r="AJ190" s="616"/>
      <c r="AK190" s="93"/>
      <c r="AL190" s="93"/>
      <c r="AM190" s="93"/>
      <c r="AN190" s="616"/>
      <c r="AO190" s="93"/>
      <c r="AP190" s="93"/>
      <c r="AQ190" s="93"/>
      <c r="AR190" s="616"/>
      <c r="AS190" s="93"/>
      <c r="AT190" s="93"/>
      <c r="AU190" s="93"/>
      <c r="AV190" s="616"/>
      <c r="AW190" s="93"/>
      <c r="AX190" s="93"/>
      <c r="AY190" s="93"/>
      <c r="AZ190" s="93"/>
      <c r="BA190" s="93"/>
      <c r="BB190" s="638"/>
      <c r="BC190" s="638"/>
      <c r="BD190" s="638"/>
    </row>
    <row r="191" customFormat="false" ht="15.75" hidden="false" customHeight="false" outlineLevel="0" collapsed="false">
      <c r="A191" s="589" t="s">
        <v>1684</v>
      </c>
      <c r="B191" s="589"/>
      <c r="C191" s="589"/>
      <c r="D191" s="633" t="s">
        <v>809</v>
      </c>
      <c r="E191" s="591" t="s">
        <v>1117</v>
      </c>
      <c r="F191" s="582" t="n">
        <v>15</v>
      </c>
      <c r="G191" s="582" t="n">
        <v>50</v>
      </c>
      <c r="H191" s="592" t="n">
        <v>0.9</v>
      </c>
      <c r="I191" s="593"/>
      <c r="J191" s="589" t="s">
        <v>1685</v>
      </c>
      <c r="K191" s="589"/>
      <c r="L191" s="589"/>
      <c r="M191" s="623" t="s">
        <v>802</v>
      </c>
      <c r="N191" s="581" t="s">
        <v>1200</v>
      </c>
      <c r="O191" s="582" t="n">
        <v>10</v>
      </c>
      <c r="P191" s="592" t="n">
        <v>1</v>
      </c>
      <c r="Q191" s="595"/>
      <c r="R191" s="93"/>
      <c r="S191" s="93"/>
      <c r="T191" s="616"/>
      <c r="U191" s="93"/>
      <c r="V191" s="93"/>
      <c r="W191" s="93"/>
      <c r="X191" s="616"/>
      <c r="Y191" s="93"/>
      <c r="Z191" s="93"/>
      <c r="AA191" s="93"/>
      <c r="AB191" s="616"/>
      <c r="AC191" s="93"/>
      <c r="AD191" s="93"/>
      <c r="AE191" s="93"/>
      <c r="AF191" s="616"/>
      <c r="AG191" s="93"/>
      <c r="AH191" s="93"/>
      <c r="AI191" s="93"/>
      <c r="AJ191" s="616"/>
      <c r="AK191" s="93"/>
      <c r="AL191" s="93"/>
      <c r="AM191" s="93"/>
      <c r="AN191" s="616"/>
      <c r="AO191" s="93"/>
      <c r="AP191" s="93"/>
      <c r="AQ191" s="93"/>
      <c r="AR191" s="616"/>
      <c r="AS191" s="93"/>
      <c r="AT191" s="93"/>
      <c r="AU191" s="93"/>
      <c r="AV191" s="616"/>
      <c r="AW191" s="93"/>
      <c r="AX191" s="93"/>
      <c r="AY191" s="93"/>
      <c r="AZ191" s="93"/>
      <c r="BA191" s="93"/>
      <c r="BB191" s="638"/>
      <c r="BC191" s="638"/>
      <c r="BD191" s="638"/>
    </row>
    <row r="192" customFormat="false" ht="15.75" hidden="false" customHeight="false" outlineLevel="0" collapsed="false">
      <c r="A192" s="589" t="s">
        <v>1686</v>
      </c>
      <c r="B192" s="589"/>
      <c r="C192" s="589"/>
      <c r="D192" s="633" t="s">
        <v>809</v>
      </c>
      <c r="E192" s="591" t="s">
        <v>1117</v>
      </c>
      <c r="F192" s="582" t="n">
        <v>15</v>
      </c>
      <c r="G192" s="582" t="n">
        <v>60</v>
      </c>
      <c r="H192" s="592" t="n">
        <v>0.95</v>
      </c>
      <c r="I192" s="593"/>
      <c r="J192" s="589" t="s">
        <v>1687</v>
      </c>
      <c r="K192" s="589"/>
      <c r="L192" s="589"/>
      <c r="M192" s="594" t="s">
        <v>839</v>
      </c>
      <c r="N192" s="581" t="s">
        <v>1200</v>
      </c>
      <c r="O192" s="582" t="n">
        <v>40</v>
      </c>
      <c r="P192" s="583" t="s">
        <v>1120</v>
      </c>
      <c r="Q192" s="595"/>
      <c r="R192" s="93"/>
      <c r="S192" s="93"/>
      <c r="T192" s="616"/>
      <c r="U192" s="93"/>
      <c r="V192" s="93"/>
      <c r="W192" s="93"/>
      <c r="X192" s="616"/>
      <c r="Y192" s="93"/>
      <c r="Z192" s="93"/>
      <c r="AA192" s="93"/>
      <c r="AB192" s="616"/>
      <c r="AC192" s="93"/>
      <c r="AD192" s="93"/>
      <c r="AE192" s="93"/>
      <c r="AF192" s="616"/>
      <c r="AG192" s="93"/>
      <c r="AH192" s="93"/>
      <c r="AI192" s="93"/>
      <c r="AJ192" s="616"/>
      <c r="AK192" s="93"/>
      <c r="AL192" s="93"/>
      <c r="AM192" s="93"/>
      <c r="AN192" s="616"/>
      <c r="AO192" s="93"/>
      <c r="AP192" s="93"/>
      <c r="AQ192" s="93"/>
      <c r="AR192" s="616"/>
      <c r="AS192" s="93"/>
      <c r="AT192" s="93"/>
      <c r="AU192" s="93"/>
      <c r="AV192" s="616"/>
      <c r="AW192" s="93"/>
      <c r="AX192" s="93"/>
      <c r="AY192" s="93"/>
      <c r="AZ192" s="93"/>
      <c r="BA192" s="93"/>
      <c r="BB192" s="638"/>
      <c r="BC192" s="638"/>
      <c r="BD192" s="638"/>
    </row>
    <row r="193" customFormat="false" ht="15.75" hidden="false" customHeight="false" outlineLevel="0" collapsed="false">
      <c r="A193" s="589" t="s">
        <v>1688</v>
      </c>
      <c r="B193" s="589"/>
      <c r="C193" s="589"/>
      <c r="D193" s="633" t="s">
        <v>809</v>
      </c>
      <c r="E193" s="591" t="s">
        <v>1117</v>
      </c>
      <c r="F193" s="582" t="n">
        <v>5</v>
      </c>
      <c r="G193" s="582" t="n">
        <v>150</v>
      </c>
      <c r="H193" s="592" t="n">
        <v>0.9</v>
      </c>
      <c r="I193" s="593"/>
      <c r="J193" s="589" t="s">
        <v>1689</v>
      </c>
      <c r="K193" s="589"/>
      <c r="L193" s="589"/>
      <c r="M193" s="604" t="s">
        <v>803</v>
      </c>
      <c r="N193" s="581" t="s">
        <v>1166</v>
      </c>
      <c r="O193" s="582" t="n">
        <v>15</v>
      </c>
      <c r="P193" s="592" t="n">
        <v>1</v>
      </c>
      <c r="Q193" s="595"/>
      <c r="R193" s="93"/>
      <c r="S193" s="93"/>
      <c r="T193" s="616"/>
      <c r="U193" s="93"/>
      <c r="V193" s="93"/>
      <c r="W193" s="93"/>
      <c r="X193" s="616"/>
      <c r="Y193" s="93"/>
      <c r="Z193" s="93"/>
      <c r="AA193" s="93"/>
      <c r="AB193" s="616"/>
      <c r="AC193" s="93"/>
      <c r="AD193" s="93"/>
      <c r="AE193" s="93"/>
      <c r="AF193" s="616"/>
      <c r="AG193" s="93"/>
      <c r="AH193" s="93"/>
      <c r="AI193" s="93"/>
      <c r="AJ193" s="616"/>
      <c r="AK193" s="93"/>
      <c r="AL193" s="93"/>
      <c r="AM193" s="93"/>
      <c r="AN193" s="616"/>
      <c r="AO193" s="93"/>
      <c r="AP193" s="93"/>
      <c r="AQ193" s="93"/>
      <c r="AR193" s="616"/>
      <c r="AS193" s="93"/>
      <c r="AT193" s="93"/>
      <c r="AU193" s="93"/>
      <c r="AV193" s="616"/>
      <c r="AW193" s="93"/>
      <c r="AX193" s="93"/>
      <c r="AY193" s="93"/>
      <c r="AZ193" s="93"/>
      <c r="BA193" s="93"/>
      <c r="BB193" s="638"/>
      <c r="BC193" s="638"/>
      <c r="BD193" s="638"/>
    </row>
    <row r="194" customFormat="false" ht="15.75" hidden="false" customHeight="false" outlineLevel="0" collapsed="false">
      <c r="A194" s="589" t="s">
        <v>1690</v>
      </c>
      <c r="B194" s="589"/>
      <c r="C194" s="589"/>
      <c r="D194" s="600" t="s">
        <v>881</v>
      </c>
      <c r="E194" s="591" t="s">
        <v>1117</v>
      </c>
      <c r="F194" s="582" t="n">
        <v>15</v>
      </c>
      <c r="G194" s="582" t="n">
        <v>60</v>
      </c>
      <c r="H194" s="592" t="n">
        <v>0.85</v>
      </c>
      <c r="I194" s="593"/>
      <c r="J194" s="589" t="s">
        <v>1691</v>
      </c>
      <c r="K194" s="589"/>
      <c r="L194" s="589"/>
      <c r="M194" s="594" t="s">
        <v>839</v>
      </c>
      <c r="N194" s="581" t="s">
        <v>1129</v>
      </c>
      <c r="O194" s="582" t="n">
        <v>15</v>
      </c>
      <c r="P194" s="583" t="s">
        <v>1120</v>
      </c>
      <c r="Q194" s="595"/>
      <c r="R194" s="93"/>
      <c r="S194" s="93"/>
      <c r="T194" s="616"/>
      <c r="U194" s="93"/>
      <c r="V194" s="93"/>
      <c r="W194" s="93"/>
      <c r="X194" s="616"/>
      <c r="Y194" s="93"/>
      <c r="Z194" s="93"/>
      <c r="AA194" s="93"/>
      <c r="AB194" s="616"/>
      <c r="AC194" s="93"/>
      <c r="AD194" s="93"/>
      <c r="AE194" s="93"/>
      <c r="AF194" s="616"/>
      <c r="AG194" s="93"/>
      <c r="AH194" s="93"/>
      <c r="AI194" s="93"/>
      <c r="AJ194" s="616"/>
      <c r="AK194" s="93"/>
      <c r="AL194" s="93"/>
      <c r="AM194" s="93"/>
      <c r="AN194" s="616"/>
      <c r="AO194" s="93"/>
      <c r="AP194" s="93"/>
      <c r="AQ194" s="93"/>
      <c r="AR194" s="616"/>
      <c r="AS194" s="93"/>
      <c r="AT194" s="93"/>
      <c r="AU194" s="93"/>
      <c r="AV194" s="616"/>
      <c r="AW194" s="93"/>
      <c r="AX194" s="93"/>
      <c r="AY194" s="93"/>
      <c r="AZ194" s="93"/>
      <c r="BA194" s="93"/>
      <c r="BB194" s="638"/>
      <c r="BC194" s="638"/>
      <c r="BD194" s="638"/>
    </row>
    <row r="195" customFormat="false" ht="15.75" hidden="false" customHeight="false" outlineLevel="0" collapsed="false">
      <c r="A195" s="589" t="s">
        <v>1692</v>
      </c>
      <c r="B195" s="589"/>
      <c r="C195" s="589"/>
      <c r="D195" s="633" t="s">
        <v>809</v>
      </c>
      <c r="E195" s="591" t="s">
        <v>1117</v>
      </c>
      <c r="F195" s="582" t="n">
        <v>20</v>
      </c>
      <c r="G195" s="582" t="n">
        <v>30</v>
      </c>
      <c r="H195" s="592" t="n">
        <v>0.9</v>
      </c>
      <c r="I195" s="593"/>
      <c r="J195" s="589" t="s">
        <v>1106</v>
      </c>
      <c r="K195" s="589"/>
      <c r="L195" s="589"/>
      <c r="M195" s="641" t="s">
        <v>809</v>
      </c>
      <c r="N195" s="581" t="s">
        <v>1681</v>
      </c>
      <c r="O195" s="582" t="n">
        <v>20</v>
      </c>
      <c r="P195" s="583" t="s">
        <v>1120</v>
      </c>
      <c r="Q195" s="595"/>
      <c r="R195" s="93"/>
      <c r="S195" s="93"/>
      <c r="T195" s="616"/>
      <c r="U195" s="93"/>
      <c r="V195" s="93"/>
      <c r="W195" s="93"/>
      <c r="X195" s="616"/>
      <c r="Y195" s="93"/>
      <c r="Z195" s="93"/>
      <c r="AA195" s="93"/>
      <c r="AB195" s="616"/>
      <c r="AC195" s="93"/>
      <c r="AD195" s="93"/>
      <c r="AE195" s="93"/>
      <c r="AF195" s="616"/>
      <c r="AG195" s="93"/>
      <c r="AH195" s="93"/>
      <c r="AI195" s="93"/>
      <c r="AJ195" s="616"/>
      <c r="AK195" s="93"/>
      <c r="AL195" s="93"/>
      <c r="AM195" s="93"/>
      <c r="AN195" s="616"/>
      <c r="AO195" s="93"/>
      <c r="AP195" s="93"/>
      <c r="AQ195" s="93"/>
      <c r="AR195" s="616"/>
      <c r="AS195" s="93"/>
      <c r="AT195" s="93"/>
      <c r="AU195" s="93"/>
      <c r="AV195" s="616"/>
      <c r="AW195" s="93"/>
      <c r="AX195" s="93"/>
      <c r="AY195" s="93"/>
      <c r="AZ195" s="93"/>
      <c r="BA195" s="93"/>
      <c r="BB195" s="638"/>
      <c r="BC195" s="638"/>
      <c r="BD195" s="638"/>
    </row>
    <row r="196" customFormat="false" ht="15.75" hidden="false" customHeight="false" outlineLevel="0" collapsed="false">
      <c r="A196" s="589" t="s">
        <v>1693</v>
      </c>
      <c r="B196" s="589"/>
      <c r="C196" s="589"/>
      <c r="D196" s="618" t="s">
        <v>800</v>
      </c>
      <c r="E196" s="591" t="s">
        <v>1117</v>
      </c>
      <c r="F196" s="582" t="n">
        <v>5</v>
      </c>
      <c r="G196" s="582" t="n">
        <v>100</v>
      </c>
      <c r="H196" s="592" t="n">
        <v>0.95</v>
      </c>
      <c r="I196" s="593"/>
      <c r="J196" s="589" t="s">
        <v>1109</v>
      </c>
      <c r="K196" s="589"/>
      <c r="L196" s="589"/>
      <c r="M196" s="626" t="s">
        <v>794</v>
      </c>
      <c r="N196" s="581" t="s">
        <v>1681</v>
      </c>
      <c r="O196" s="582" t="n">
        <v>20</v>
      </c>
      <c r="P196" s="583" t="s">
        <v>1120</v>
      </c>
      <c r="Q196" s="595"/>
      <c r="R196" s="93"/>
      <c r="S196" s="93"/>
      <c r="T196" s="616"/>
      <c r="U196" s="93"/>
      <c r="V196" s="93"/>
      <c r="W196" s="93"/>
      <c r="X196" s="616"/>
      <c r="Y196" s="93"/>
      <c r="Z196" s="93"/>
      <c r="AA196" s="93"/>
      <c r="AB196" s="616"/>
      <c r="AC196" s="93"/>
      <c r="AD196" s="93"/>
      <c r="AE196" s="93"/>
      <c r="AF196" s="616"/>
      <c r="AG196" s="93"/>
      <c r="AH196" s="93"/>
      <c r="AI196" s="93"/>
      <c r="AJ196" s="616"/>
      <c r="AK196" s="93"/>
      <c r="AL196" s="93"/>
      <c r="AM196" s="93"/>
      <c r="AN196" s="616"/>
      <c r="AO196" s="93"/>
      <c r="AP196" s="93"/>
      <c r="AQ196" s="93"/>
      <c r="AR196" s="616"/>
      <c r="AS196" s="93"/>
      <c r="AT196" s="93"/>
      <c r="AU196" s="93"/>
      <c r="AV196" s="616"/>
      <c r="AW196" s="93"/>
      <c r="AX196" s="93"/>
      <c r="AY196" s="93"/>
      <c r="AZ196" s="93"/>
      <c r="BA196" s="93"/>
      <c r="BB196" s="638"/>
      <c r="BC196" s="638"/>
      <c r="BD196" s="638"/>
    </row>
    <row r="197" customFormat="false" ht="15.75" hidden="false" customHeight="false" outlineLevel="0" collapsed="false">
      <c r="A197" s="589" t="s">
        <v>1694</v>
      </c>
      <c r="B197" s="589"/>
      <c r="C197" s="589"/>
      <c r="D197" s="600" t="s">
        <v>881</v>
      </c>
      <c r="E197" s="591" t="s">
        <v>1117</v>
      </c>
      <c r="F197" s="582" t="n">
        <v>15</v>
      </c>
      <c r="G197" s="582" t="n">
        <v>90</v>
      </c>
      <c r="H197" s="592" t="n">
        <v>1</v>
      </c>
      <c r="I197" s="593"/>
      <c r="J197" s="589" t="s">
        <v>1695</v>
      </c>
      <c r="K197" s="589"/>
      <c r="L197" s="589"/>
      <c r="M197" s="594" t="s">
        <v>839</v>
      </c>
      <c r="N197" s="581" t="s">
        <v>1119</v>
      </c>
      <c r="O197" s="582" t="n">
        <v>20</v>
      </c>
      <c r="P197" s="583" t="s">
        <v>1120</v>
      </c>
      <c r="Q197" s="595"/>
      <c r="R197" s="93"/>
      <c r="S197" s="93"/>
      <c r="T197" s="616"/>
      <c r="U197" s="93"/>
      <c r="V197" s="93"/>
      <c r="W197" s="93"/>
      <c r="X197" s="616"/>
      <c r="Y197" s="93"/>
      <c r="Z197" s="93"/>
      <c r="AA197" s="93"/>
      <c r="AB197" s="616"/>
      <c r="AC197" s="93"/>
      <c r="AD197" s="93"/>
      <c r="AE197" s="93"/>
      <c r="AF197" s="616"/>
      <c r="AG197" s="93"/>
      <c r="AH197" s="93"/>
      <c r="AI197" s="93"/>
      <c r="AJ197" s="616"/>
      <c r="AK197" s="93"/>
      <c r="AL197" s="93"/>
      <c r="AM197" s="93"/>
      <c r="AN197" s="616"/>
      <c r="AO197" s="93"/>
      <c r="AP197" s="93"/>
      <c r="AQ197" s="93"/>
      <c r="AR197" s="616"/>
      <c r="AS197" s="93"/>
      <c r="AT197" s="93"/>
      <c r="AU197" s="93"/>
      <c r="AV197" s="616"/>
      <c r="AW197" s="93"/>
      <c r="AX197" s="93"/>
      <c r="AY197" s="93"/>
      <c r="AZ197" s="93"/>
      <c r="BA197" s="93"/>
      <c r="BB197" s="638"/>
      <c r="BC197" s="638"/>
      <c r="BD197" s="638"/>
    </row>
    <row r="198" customFormat="false" ht="15.75" hidden="false" customHeight="false" outlineLevel="0" collapsed="false">
      <c r="A198" s="589" t="s">
        <v>1696</v>
      </c>
      <c r="B198" s="589"/>
      <c r="C198" s="589"/>
      <c r="D198" s="620" t="s">
        <v>907</v>
      </c>
      <c r="E198" s="591" t="s">
        <v>1117</v>
      </c>
      <c r="F198" s="582" t="n">
        <v>15</v>
      </c>
      <c r="G198" s="582" t="n">
        <v>35</v>
      </c>
      <c r="H198" s="592" t="n">
        <v>0.85</v>
      </c>
      <c r="I198" s="593"/>
      <c r="J198" s="589" t="s">
        <v>1697</v>
      </c>
      <c r="K198" s="589"/>
      <c r="L198" s="589"/>
      <c r="M198" s="604" t="s">
        <v>803</v>
      </c>
      <c r="N198" s="581" t="s">
        <v>1149</v>
      </c>
      <c r="O198" s="582" t="n">
        <v>10</v>
      </c>
      <c r="P198" s="583" t="s">
        <v>1120</v>
      </c>
      <c r="Q198" s="595"/>
      <c r="R198" s="93"/>
      <c r="S198" s="93"/>
      <c r="T198" s="616"/>
      <c r="U198" s="93"/>
      <c r="V198" s="93"/>
      <c r="W198" s="93"/>
      <c r="X198" s="616"/>
      <c r="Y198" s="93"/>
      <c r="Z198" s="93"/>
      <c r="AA198" s="93"/>
      <c r="AB198" s="616"/>
      <c r="AC198" s="93"/>
      <c r="AD198" s="93"/>
      <c r="AE198" s="93"/>
      <c r="AF198" s="616"/>
      <c r="AG198" s="93"/>
      <c r="AH198" s="93"/>
      <c r="AI198" s="93"/>
      <c r="AJ198" s="616"/>
      <c r="AK198" s="93"/>
      <c r="AL198" s="93"/>
      <c r="AM198" s="93"/>
      <c r="AN198" s="616"/>
      <c r="AO198" s="93"/>
      <c r="AP198" s="93"/>
      <c r="AQ198" s="93"/>
      <c r="AR198" s="616"/>
      <c r="AS198" s="93"/>
      <c r="AT198" s="93"/>
      <c r="AU198" s="93"/>
      <c r="AV198" s="616"/>
      <c r="AW198" s="93"/>
      <c r="AX198" s="93"/>
      <c r="AY198" s="93"/>
      <c r="AZ198" s="93"/>
      <c r="BA198" s="93"/>
      <c r="BB198" s="638"/>
      <c r="BC198" s="638"/>
      <c r="BD198" s="638"/>
    </row>
    <row r="199" customFormat="false" ht="15.75" hidden="false" customHeight="false" outlineLevel="0" collapsed="false">
      <c r="A199" s="589" t="s">
        <v>1698</v>
      </c>
      <c r="B199" s="589"/>
      <c r="C199" s="589"/>
      <c r="D199" s="610" t="s">
        <v>839</v>
      </c>
      <c r="E199" s="591" t="s">
        <v>1117</v>
      </c>
      <c r="F199" s="582" t="n">
        <v>35</v>
      </c>
      <c r="G199" s="582" t="n">
        <v>40</v>
      </c>
      <c r="H199" s="592" t="n">
        <v>1</v>
      </c>
      <c r="I199" s="593"/>
      <c r="J199" s="589" t="s">
        <v>1699</v>
      </c>
      <c r="K199" s="589"/>
      <c r="L199" s="589"/>
      <c r="M199" s="626" t="s">
        <v>794</v>
      </c>
      <c r="N199" s="581" t="s">
        <v>1185</v>
      </c>
      <c r="O199" s="582" t="n">
        <v>40</v>
      </c>
      <c r="P199" s="592" t="n">
        <v>0.95</v>
      </c>
      <c r="Q199" s="595"/>
      <c r="R199" s="93"/>
      <c r="S199" s="93"/>
      <c r="T199" s="616"/>
      <c r="U199" s="93"/>
      <c r="V199" s="93"/>
      <c r="W199" s="93"/>
      <c r="X199" s="616"/>
      <c r="Y199" s="93"/>
      <c r="Z199" s="93"/>
      <c r="AA199" s="93"/>
      <c r="AB199" s="616"/>
      <c r="AC199" s="93"/>
      <c r="AD199" s="93"/>
      <c r="AE199" s="93"/>
      <c r="AF199" s="616"/>
      <c r="AG199" s="93"/>
      <c r="AH199" s="93"/>
      <c r="AI199" s="93"/>
      <c r="AJ199" s="616"/>
      <c r="AK199" s="93"/>
      <c r="AL199" s="93"/>
      <c r="AM199" s="93"/>
      <c r="AN199" s="616"/>
      <c r="AO199" s="93"/>
      <c r="AP199" s="93"/>
      <c r="AQ199" s="93"/>
      <c r="AR199" s="616"/>
      <c r="AS199" s="93"/>
      <c r="AT199" s="93"/>
      <c r="AU199" s="93"/>
      <c r="AV199" s="616"/>
      <c r="AW199" s="93"/>
      <c r="AX199" s="93"/>
      <c r="AY199" s="93"/>
      <c r="AZ199" s="93"/>
      <c r="BA199" s="93"/>
      <c r="BB199" s="638"/>
      <c r="BC199" s="638"/>
      <c r="BD199" s="638"/>
    </row>
    <row r="200" customFormat="false" ht="15.75" hidden="false" customHeight="false" outlineLevel="0" collapsed="false">
      <c r="A200" s="589" t="s">
        <v>1700</v>
      </c>
      <c r="B200" s="589"/>
      <c r="C200" s="589"/>
      <c r="D200" s="610" t="s">
        <v>839</v>
      </c>
      <c r="E200" s="591" t="s">
        <v>1117</v>
      </c>
      <c r="F200" s="582" t="n">
        <v>20</v>
      </c>
      <c r="G200" s="582" t="n">
        <v>70</v>
      </c>
      <c r="H200" s="592" t="n">
        <v>1</v>
      </c>
      <c r="I200" s="593"/>
      <c r="J200" s="589" t="s">
        <v>1701</v>
      </c>
      <c r="K200" s="589"/>
      <c r="L200" s="589"/>
      <c r="M200" s="604" t="s">
        <v>803</v>
      </c>
      <c r="N200" s="581" t="s">
        <v>1166</v>
      </c>
      <c r="O200" s="582" t="n">
        <v>30</v>
      </c>
      <c r="P200" s="592" t="n">
        <v>0.75</v>
      </c>
      <c r="Q200" s="595"/>
      <c r="R200" s="93"/>
      <c r="S200" s="93"/>
      <c r="T200" s="616"/>
      <c r="U200" s="93"/>
      <c r="V200" s="93"/>
      <c r="W200" s="93"/>
      <c r="X200" s="616"/>
      <c r="Y200" s="93"/>
      <c r="Z200" s="93"/>
      <c r="AA200" s="93"/>
      <c r="AB200" s="616"/>
      <c r="AC200" s="93"/>
      <c r="AD200" s="93"/>
      <c r="AE200" s="93"/>
      <c r="AF200" s="616"/>
      <c r="AG200" s="93"/>
      <c r="AH200" s="93"/>
      <c r="AI200" s="93"/>
      <c r="AJ200" s="616"/>
      <c r="AK200" s="93"/>
      <c r="AL200" s="93"/>
      <c r="AM200" s="93"/>
      <c r="AN200" s="616"/>
      <c r="AO200" s="93"/>
      <c r="AP200" s="93"/>
      <c r="AQ200" s="93"/>
      <c r="AR200" s="616"/>
      <c r="AS200" s="93"/>
      <c r="AT200" s="93"/>
      <c r="AU200" s="93"/>
      <c r="AV200" s="616"/>
      <c r="AW200" s="93"/>
      <c r="AX200" s="93"/>
      <c r="AY200" s="93"/>
      <c r="AZ200" s="93"/>
      <c r="BA200" s="93"/>
      <c r="BB200" s="638"/>
      <c r="BC200" s="638"/>
      <c r="BD200" s="638"/>
    </row>
    <row r="201" customFormat="false" ht="15.75" hidden="false" customHeight="false" outlineLevel="0" collapsed="false">
      <c r="A201" s="589" t="s">
        <v>1702</v>
      </c>
      <c r="B201" s="589"/>
      <c r="C201" s="589"/>
      <c r="D201" s="624" t="s">
        <v>803</v>
      </c>
      <c r="E201" s="591" t="s">
        <v>1117</v>
      </c>
      <c r="F201" s="582" t="n">
        <v>15</v>
      </c>
      <c r="G201" s="582" t="n">
        <v>80</v>
      </c>
      <c r="H201" s="592" t="n">
        <v>1</v>
      </c>
      <c r="I201" s="593"/>
      <c r="J201" s="589" t="s">
        <v>1703</v>
      </c>
      <c r="K201" s="589"/>
      <c r="L201" s="589"/>
      <c r="M201" s="594" t="s">
        <v>839</v>
      </c>
      <c r="N201" s="581" t="s">
        <v>1170</v>
      </c>
      <c r="O201" s="582" t="n">
        <v>10</v>
      </c>
      <c r="P201" s="583" t="s">
        <v>1120</v>
      </c>
      <c r="Q201" s="595"/>
      <c r="R201" s="93"/>
      <c r="S201" s="93"/>
      <c r="T201" s="616"/>
      <c r="U201" s="93"/>
      <c r="V201" s="93"/>
      <c r="W201" s="93"/>
      <c r="X201" s="616"/>
      <c r="Y201" s="93"/>
      <c r="Z201" s="93"/>
      <c r="AA201" s="93"/>
      <c r="AB201" s="616"/>
      <c r="AC201" s="93"/>
      <c r="AD201" s="93"/>
      <c r="AE201" s="93"/>
      <c r="AF201" s="616"/>
      <c r="AG201" s="93"/>
      <c r="AH201" s="93"/>
      <c r="AI201" s="93"/>
      <c r="AJ201" s="616"/>
      <c r="AK201" s="93"/>
      <c r="AL201" s="93"/>
      <c r="AM201" s="93"/>
      <c r="AN201" s="616"/>
      <c r="AO201" s="93"/>
      <c r="AP201" s="93"/>
      <c r="AQ201" s="93"/>
      <c r="AR201" s="616"/>
      <c r="AS201" s="93"/>
      <c r="AT201" s="93"/>
      <c r="AU201" s="93"/>
      <c r="AV201" s="616"/>
      <c r="AW201" s="93"/>
      <c r="AX201" s="93"/>
      <c r="AY201" s="93"/>
      <c r="AZ201" s="93"/>
      <c r="BA201" s="93"/>
      <c r="BB201" s="638"/>
      <c r="BC201" s="638"/>
      <c r="BD201" s="638"/>
    </row>
    <row r="202" customFormat="false" ht="15.75" hidden="false" customHeight="false" outlineLevel="0" collapsed="false">
      <c r="A202" s="589" t="s">
        <v>1704</v>
      </c>
      <c r="B202" s="589"/>
      <c r="C202" s="589"/>
      <c r="D202" s="600" t="s">
        <v>881</v>
      </c>
      <c r="E202" s="591" t="s">
        <v>1117</v>
      </c>
      <c r="F202" s="582" t="n">
        <v>20</v>
      </c>
      <c r="G202" s="582" t="s">
        <v>1705</v>
      </c>
      <c r="H202" s="592" t="n">
        <v>1</v>
      </c>
      <c r="I202" s="593"/>
      <c r="J202" s="589" t="s">
        <v>1706</v>
      </c>
      <c r="K202" s="589"/>
      <c r="L202" s="589"/>
      <c r="M202" s="642" t="s">
        <v>800</v>
      </c>
      <c r="N202" s="581" t="s">
        <v>1328</v>
      </c>
      <c r="O202" s="582" t="n">
        <v>5</v>
      </c>
      <c r="P202" s="583" t="s">
        <v>1120</v>
      </c>
      <c r="Q202" s="595"/>
      <c r="R202" s="93"/>
      <c r="S202" s="93"/>
      <c r="T202" s="616"/>
      <c r="U202" s="93"/>
      <c r="V202" s="93"/>
      <c r="W202" s="93"/>
      <c r="X202" s="616"/>
      <c r="Y202" s="93"/>
      <c r="Z202" s="93"/>
      <c r="AA202" s="93"/>
      <c r="AB202" s="616"/>
      <c r="AC202" s="93"/>
      <c r="AD202" s="93"/>
      <c r="AE202" s="93"/>
      <c r="AF202" s="616"/>
      <c r="AG202" s="93"/>
      <c r="AH202" s="93"/>
      <c r="AI202" s="93"/>
      <c r="AJ202" s="616"/>
      <c r="AK202" s="93"/>
      <c r="AL202" s="93"/>
      <c r="AM202" s="93"/>
      <c r="AN202" s="616"/>
      <c r="AO202" s="93"/>
      <c r="AP202" s="93"/>
      <c r="AQ202" s="93"/>
      <c r="AR202" s="616"/>
      <c r="AS202" s="93"/>
      <c r="AT202" s="93"/>
      <c r="AU202" s="93"/>
      <c r="AV202" s="616"/>
      <c r="AW202" s="93"/>
      <c r="AX202" s="93"/>
      <c r="AY202" s="93"/>
      <c r="AZ202" s="93"/>
      <c r="BA202" s="93"/>
      <c r="BB202" s="638"/>
      <c r="BC202" s="638"/>
      <c r="BD202" s="638"/>
    </row>
    <row r="203" customFormat="false" ht="15.75" hidden="false" customHeight="false" outlineLevel="0" collapsed="false">
      <c r="A203" s="589" t="s">
        <v>1707</v>
      </c>
      <c r="B203" s="589"/>
      <c r="C203" s="589"/>
      <c r="D203" s="610" t="s">
        <v>839</v>
      </c>
      <c r="E203" s="591" t="s">
        <v>1117</v>
      </c>
      <c r="F203" s="582" t="n">
        <v>5</v>
      </c>
      <c r="G203" s="582" t="n">
        <v>200</v>
      </c>
      <c r="H203" s="592" t="n">
        <v>1</v>
      </c>
      <c r="I203" s="593"/>
      <c r="J203" s="589" t="s">
        <v>1708</v>
      </c>
      <c r="K203" s="589"/>
      <c r="L203" s="589"/>
      <c r="M203" s="594" t="s">
        <v>839</v>
      </c>
      <c r="N203" s="581" t="s">
        <v>1166</v>
      </c>
      <c r="O203" s="582" t="n">
        <v>20</v>
      </c>
      <c r="P203" s="592" t="n">
        <v>0.55</v>
      </c>
      <c r="Q203" s="595"/>
      <c r="R203" s="93"/>
      <c r="S203" s="93"/>
      <c r="T203" s="616"/>
      <c r="U203" s="93"/>
      <c r="V203" s="93"/>
      <c r="W203" s="93"/>
      <c r="X203" s="616"/>
      <c r="Y203" s="93"/>
      <c r="Z203" s="93"/>
      <c r="AA203" s="93"/>
      <c r="AB203" s="616"/>
      <c r="AC203" s="93"/>
      <c r="AD203" s="93"/>
      <c r="AE203" s="93"/>
      <c r="AF203" s="616"/>
      <c r="AG203" s="93"/>
      <c r="AH203" s="93"/>
      <c r="AI203" s="93"/>
      <c r="AJ203" s="616"/>
      <c r="AK203" s="93"/>
      <c r="AL203" s="93"/>
      <c r="AM203" s="93"/>
      <c r="AN203" s="616"/>
      <c r="AO203" s="93"/>
      <c r="AP203" s="93"/>
      <c r="AQ203" s="93"/>
      <c r="AR203" s="616"/>
      <c r="AS203" s="93"/>
      <c r="AT203" s="93"/>
      <c r="AU203" s="93"/>
      <c r="AV203" s="616"/>
      <c r="AW203" s="93"/>
      <c r="AX203" s="93"/>
      <c r="AY203" s="93"/>
      <c r="AZ203" s="93"/>
      <c r="BA203" s="93"/>
      <c r="BB203" s="638"/>
      <c r="BC203" s="638"/>
      <c r="BD203" s="638"/>
    </row>
    <row r="204" customFormat="false" ht="15.75" hidden="false" customHeight="false" outlineLevel="0" collapsed="false">
      <c r="A204" s="589" t="s">
        <v>1709</v>
      </c>
      <c r="B204" s="589"/>
      <c r="C204" s="589"/>
      <c r="D204" s="605" t="s">
        <v>802</v>
      </c>
      <c r="E204" s="591" t="s">
        <v>1117</v>
      </c>
      <c r="F204" s="582" t="n">
        <v>10</v>
      </c>
      <c r="G204" s="582" t="n">
        <v>85</v>
      </c>
      <c r="H204" s="592" t="n">
        <v>1</v>
      </c>
      <c r="I204" s="593"/>
      <c r="J204" s="589" t="s">
        <v>1710</v>
      </c>
      <c r="K204" s="589"/>
      <c r="L204" s="589"/>
      <c r="M204" s="594" t="s">
        <v>839</v>
      </c>
      <c r="N204" s="581" t="s">
        <v>1166</v>
      </c>
      <c r="O204" s="582" t="n">
        <v>15</v>
      </c>
      <c r="P204" s="592" t="n">
        <v>0.85</v>
      </c>
      <c r="Q204" s="595"/>
      <c r="R204" s="93"/>
      <c r="S204" s="93"/>
      <c r="T204" s="616"/>
      <c r="U204" s="93"/>
      <c r="V204" s="93"/>
      <c r="W204" s="93"/>
      <c r="X204" s="616"/>
      <c r="Y204" s="93"/>
      <c r="Z204" s="93"/>
      <c r="AA204" s="93"/>
      <c r="AB204" s="616"/>
      <c r="AC204" s="93"/>
      <c r="AD204" s="93"/>
      <c r="AE204" s="93"/>
      <c r="AF204" s="616"/>
      <c r="AG204" s="93"/>
      <c r="AH204" s="93"/>
      <c r="AI204" s="93"/>
      <c r="AJ204" s="616"/>
      <c r="AK204" s="93"/>
      <c r="AL204" s="93"/>
      <c r="AM204" s="93"/>
      <c r="AN204" s="616"/>
      <c r="AO204" s="93"/>
      <c r="AP204" s="93"/>
      <c r="AQ204" s="93"/>
      <c r="AR204" s="616"/>
      <c r="AS204" s="93"/>
      <c r="AT204" s="93"/>
      <c r="AU204" s="93"/>
      <c r="AV204" s="616"/>
      <c r="AW204" s="93"/>
      <c r="AX204" s="93"/>
      <c r="AY204" s="93"/>
      <c r="AZ204" s="93"/>
      <c r="BA204" s="93"/>
      <c r="BB204" s="638"/>
      <c r="BC204" s="638"/>
      <c r="BD204" s="638"/>
    </row>
    <row r="205" customFormat="false" ht="15.75" hidden="false" customHeight="false" outlineLevel="0" collapsed="false">
      <c r="A205" s="589" t="s">
        <v>1711</v>
      </c>
      <c r="B205" s="589"/>
      <c r="C205" s="589"/>
      <c r="D205" s="605" t="s">
        <v>802</v>
      </c>
      <c r="E205" s="591" t="s">
        <v>1117</v>
      </c>
      <c r="F205" s="582" t="n">
        <v>15</v>
      </c>
      <c r="G205" s="582" t="n">
        <v>70</v>
      </c>
      <c r="H205" s="592" t="n">
        <v>1</v>
      </c>
      <c r="I205" s="593"/>
      <c r="J205" s="589" t="s">
        <v>1712</v>
      </c>
      <c r="K205" s="589"/>
      <c r="L205" s="589"/>
      <c r="M205" s="594" t="s">
        <v>839</v>
      </c>
      <c r="N205" s="581" t="s">
        <v>1149</v>
      </c>
      <c r="O205" s="582" t="n">
        <v>10</v>
      </c>
      <c r="P205" s="583" t="s">
        <v>1120</v>
      </c>
      <c r="Q205" s="595"/>
      <c r="R205" s="93"/>
      <c r="S205" s="93"/>
      <c r="T205" s="616"/>
      <c r="U205" s="93"/>
      <c r="V205" s="93"/>
      <c r="W205" s="93"/>
      <c r="X205" s="616"/>
      <c r="Y205" s="93"/>
      <c r="Z205" s="93"/>
      <c r="AA205" s="93"/>
      <c r="AB205" s="616"/>
      <c r="AC205" s="93"/>
      <c r="AD205" s="93"/>
      <c r="AE205" s="93"/>
      <c r="AF205" s="616"/>
      <c r="AG205" s="93"/>
      <c r="AH205" s="93"/>
      <c r="AI205" s="93"/>
      <c r="AJ205" s="616"/>
      <c r="AK205" s="93"/>
      <c r="AL205" s="93"/>
      <c r="AM205" s="93"/>
      <c r="AN205" s="616"/>
      <c r="AO205" s="93"/>
      <c r="AP205" s="93"/>
      <c r="AQ205" s="93"/>
      <c r="AR205" s="616"/>
      <c r="AS205" s="93"/>
      <c r="AT205" s="93"/>
      <c r="AU205" s="93"/>
      <c r="AV205" s="616"/>
      <c r="AW205" s="93"/>
      <c r="AX205" s="93"/>
      <c r="AY205" s="93"/>
      <c r="AZ205" s="93"/>
      <c r="BA205" s="93"/>
      <c r="BB205" s="638"/>
      <c r="BC205" s="638"/>
      <c r="BD205" s="638"/>
    </row>
    <row r="206" customFormat="false" ht="15.75" hidden="false" customHeight="false" outlineLevel="0" collapsed="false">
      <c r="A206" s="589" t="s">
        <v>1713</v>
      </c>
      <c r="B206" s="589"/>
      <c r="C206" s="589"/>
      <c r="D206" s="605" t="s">
        <v>802</v>
      </c>
      <c r="E206" s="591" t="s">
        <v>1117</v>
      </c>
      <c r="F206" s="582" t="n">
        <v>5</v>
      </c>
      <c r="G206" s="582" t="n">
        <v>120</v>
      </c>
      <c r="H206" s="592" t="n">
        <v>1</v>
      </c>
      <c r="I206" s="593"/>
      <c r="J206" s="589" t="s">
        <v>1714</v>
      </c>
      <c r="K206" s="589"/>
      <c r="L206" s="589"/>
      <c r="M206" s="606" t="s">
        <v>798</v>
      </c>
      <c r="N206" s="581" t="s">
        <v>1166</v>
      </c>
      <c r="O206" s="582" t="n">
        <v>10</v>
      </c>
      <c r="P206" s="592" t="n">
        <v>0.75</v>
      </c>
      <c r="Q206" s="595"/>
      <c r="R206" s="93"/>
      <c r="S206" s="93"/>
      <c r="T206" s="616"/>
      <c r="U206" s="93"/>
      <c r="V206" s="93"/>
      <c r="W206" s="93"/>
      <c r="X206" s="616"/>
      <c r="Y206" s="93"/>
      <c r="Z206" s="93"/>
      <c r="AA206" s="93"/>
      <c r="AB206" s="616"/>
      <c r="AC206" s="93"/>
      <c r="AD206" s="93"/>
      <c r="AE206" s="93"/>
      <c r="AF206" s="616"/>
      <c r="AG206" s="93"/>
      <c r="AH206" s="93"/>
      <c r="AI206" s="93"/>
      <c r="AJ206" s="616"/>
      <c r="AK206" s="93"/>
      <c r="AL206" s="93"/>
      <c r="AM206" s="93"/>
      <c r="AN206" s="616"/>
      <c r="AO206" s="93"/>
      <c r="AP206" s="93"/>
      <c r="AQ206" s="93"/>
      <c r="AR206" s="616"/>
      <c r="AS206" s="93"/>
      <c r="AT206" s="93"/>
      <c r="AU206" s="93"/>
      <c r="AV206" s="616"/>
      <c r="AW206" s="93"/>
      <c r="AX206" s="93"/>
      <c r="AY206" s="93"/>
      <c r="AZ206" s="93"/>
      <c r="BA206" s="93"/>
      <c r="BB206" s="638"/>
      <c r="BC206" s="638"/>
      <c r="BD206" s="638"/>
    </row>
    <row r="207" customFormat="false" ht="15.75" hidden="false" customHeight="false" outlineLevel="0" collapsed="false">
      <c r="A207" s="589" t="s">
        <v>1715</v>
      </c>
      <c r="B207" s="589"/>
      <c r="C207" s="589"/>
      <c r="D207" s="605" t="s">
        <v>802</v>
      </c>
      <c r="E207" s="591" t="s">
        <v>1117</v>
      </c>
      <c r="F207" s="582" t="n">
        <v>20</v>
      </c>
      <c r="G207" s="582" t="n">
        <v>60</v>
      </c>
      <c r="H207" s="583" t="s">
        <v>1120</v>
      </c>
      <c r="I207" s="593"/>
      <c r="J207" s="589" t="s">
        <v>1716</v>
      </c>
      <c r="K207" s="589"/>
      <c r="L207" s="589"/>
      <c r="M207" s="594" t="s">
        <v>839</v>
      </c>
      <c r="N207" s="581" t="s">
        <v>1185</v>
      </c>
      <c r="O207" s="582" t="n">
        <v>20</v>
      </c>
      <c r="P207" s="592" t="n">
        <v>1</v>
      </c>
      <c r="Q207" s="595"/>
      <c r="R207" s="93"/>
      <c r="S207" s="93"/>
      <c r="T207" s="616"/>
      <c r="U207" s="93"/>
      <c r="V207" s="93"/>
      <c r="W207" s="93"/>
      <c r="X207" s="616"/>
      <c r="Y207" s="93"/>
      <c r="Z207" s="93"/>
      <c r="AA207" s="93"/>
      <c r="AB207" s="616"/>
      <c r="AC207" s="93"/>
      <c r="AD207" s="93"/>
      <c r="AE207" s="93"/>
      <c r="AF207" s="616"/>
      <c r="AG207" s="93"/>
      <c r="AH207" s="93"/>
      <c r="AI207" s="93"/>
      <c r="AJ207" s="616"/>
      <c r="AK207" s="93"/>
      <c r="AL207" s="93"/>
      <c r="AM207" s="93"/>
      <c r="AN207" s="616"/>
      <c r="AO207" s="93"/>
      <c r="AP207" s="93"/>
      <c r="AQ207" s="93"/>
      <c r="AR207" s="616"/>
      <c r="AS207" s="93"/>
      <c r="AT207" s="93"/>
      <c r="AU207" s="93"/>
      <c r="AV207" s="616"/>
      <c r="AW207" s="93"/>
      <c r="AX207" s="93"/>
      <c r="AY207" s="93"/>
      <c r="AZ207" s="93"/>
      <c r="BA207" s="93"/>
      <c r="BB207" s="638"/>
      <c r="BC207" s="638"/>
      <c r="BD207" s="638"/>
    </row>
    <row r="208" customFormat="false" ht="15.75" hidden="false" customHeight="false" outlineLevel="0" collapsed="false">
      <c r="A208" s="589" t="s">
        <v>1717</v>
      </c>
      <c r="B208" s="589"/>
      <c r="C208" s="589"/>
      <c r="D208" s="605" t="s">
        <v>802</v>
      </c>
      <c r="E208" s="591" t="s">
        <v>1117</v>
      </c>
      <c r="F208" s="582" t="n">
        <v>30</v>
      </c>
      <c r="G208" s="582" t="n">
        <v>40</v>
      </c>
      <c r="H208" s="592" t="n">
        <v>1</v>
      </c>
      <c r="I208" s="593"/>
      <c r="J208" s="589" t="s">
        <v>1718</v>
      </c>
      <c r="K208" s="589"/>
      <c r="L208" s="589"/>
      <c r="M208" s="625" t="s">
        <v>795</v>
      </c>
      <c r="N208" s="581" t="s">
        <v>1200</v>
      </c>
      <c r="O208" s="582" t="n">
        <v>10</v>
      </c>
      <c r="P208" s="592" t="n">
        <v>1</v>
      </c>
      <c r="Q208" s="595"/>
      <c r="R208" s="93"/>
      <c r="S208" s="93"/>
      <c r="T208" s="616"/>
      <c r="U208" s="93"/>
      <c r="V208" s="93"/>
      <c r="W208" s="93"/>
      <c r="X208" s="616"/>
      <c r="Y208" s="93"/>
      <c r="Z208" s="93"/>
      <c r="AA208" s="93"/>
      <c r="AB208" s="616"/>
      <c r="AC208" s="93"/>
      <c r="AD208" s="93"/>
      <c r="AE208" s="93"/>
      <c r="AF208" s="616"/>
      <c r="AG208" s="93"/>
      <c r="AH208" s="93"/>
      <c r="AI208" s="93"/>
      <c r="AJ208" s="616"/>
      <c r="AK208" s="93"/>
      <c r="AL208" s="93"/>
      <c r="AM208" s="93"/>
      <c r="AN208" s="616"/>
      <c r="AO208" s="93"/>
      <c r="AP208" s="93"/>
      <c r="AQ208" s="93"/>
      <c r="AR208" s="616"/>
      <c r="AS208" s="93"/>
      <c r="AT208" s="93"/>
      <c r="AU208" s="93"/>
      <c r="AV208" s="616"/>
      <c r="AW208" s="93"/>
      <c r="AX208" s="93"/>
      <c r="AY208" s="93"/>
      <c r="AZ208" s="93"/>
      <c r="BA208" s="93"/>
      <c r="BB208" s="638"/>
      <c r="BC208" s="638"/>
      <c r="BD208" s="638"/>
    </row>
    <row r="209" customFormat="false" ht="15.75" hidden="false" customHeight="false" outlineLevel="0" collapsed="false">
      <c r="A209" s="589" t="s">
        <v>1719</v>
      </c>
      <c r="B209" s="589"/>
      <c r="C209" s="589"/>
      <c r="D209" s="610" t="s">
        <v>839</v>
      </c>
      <c r="E209" s="591" t="s">
        <v>1117</v>
      </c>
      <c r="F209" s="582" t="n">
        <v>10</v>
      </c>
      <c r="G209" s="582" t="n">
        <v>130</v>
      </c>
      <c r="H209" s="592" t="n">
        <v>1</v>
      </c>
      <c r="I209" s="593"/>
      <c r="J209" s="589" t="s">
        <v>1720</v>
      </c>
      <c r="K209" s="589"/>
      <c r="L209" s="589"/>
      <c r="M209" s="594" t="s">
        <v>839</v>
      </c>
      <c r="N209" s="581" t="s">
        <v>1119</v>
      </c>
      <c r="O209" s="582" t="n">
        <v>20</v>
      </c>
      <c r="P209" s="583" t="s">
        <v>1120</v>
      </c>
      <c r="Q209" s="595"/>
      <c r="R209" s="93"/>
      <c r="S209" s="93"/>
      <c r="T209" s="616"/>
      <c r="U209" s="93"/>
      <c r="V209" s="93"/>
      <c r="W209" s="93"/>
      <c r="X209" s="616"/>
      <c r="Y209" s="93"/>
      <c r="Z209" s="93"/>
      <c r="AA209" s="93"/>
      <c r="AB209" s="616"/>
      <c r="AC209" s="93"/>
      <c r="AD209" s="93"/>
      <c r="AE209" s="93"/>
      <c r="AF209" s="616"/>
      <c r="AG209" s="93"/>
      <c r="AH209" s="93"/>
      <c r="AI209" s="93"/>
      <c r="AJ209" s="616"/>
      <c r="AK209" s="93"/>
      <c r="AL209" s="93"/>
      <c r="AM209" s="93"/>
      <c r="AN209" s="616"/>
      <c r="AO209" s="93"/>
      <c r="AP209" s="93"/>
      <c r="AQ209" s="93"/>
      <c r="AR209" s="616"/>
      <c r="AS209" s="93"/>
      <c r="AT209" s="93"/>
      <c r="AU209" s="93"/>
      <c r="AV209" s="616"/>
      <c r="AW209" s="93"/>
      <c r="AX209" s="93"/>
      <c r="AY209" s="93"/>
      <c r="AZ209" s="93"/>
      <c r="BA209" s="93"/>
      <c r="BB209" s="638"/>
      <c r="BC209" s="638"/>
      <c r="BD209" s="638"/>
    </row>
    <row r="210" customFormat="false" ht="15.75" hidden="false" customHeight="false" outlineLevel="0" collapsed="false">
      <c r="A210" s="589" t="s">
        <v>1721</v>
      </c>
      <c r="B210" s="589"/>
      <c r="C210" s="589"/>
      <c r="D210" s="590" t="s">
        <v>801</v>
      </c>
      <c r="E210" s="591" t="s">
        <v>1117</v>
      </c>
      <c r="F210" s="582" t="n">
        <v>5</v>
      </c>
      <c r="G210" s="582" t="n">
        <v>140</v>
      </c>
      <c r="H210" s="592" t="n">
        <v>0.9</v>
      </c>
      <c r="I210" s="593"/>
      <c r="J210" s="589" t="s">
        <v>1722</v>
      </c>
      <c r="K210" s="589"/>
      <c r="L210" s="589"/>
      <c r="M210" s="604" t="s">
        <v>803</v>
      </c>
      <c r="N210" s="581" t="s">
        <v>1149</v>
      </c>
      <c r="O210" s="582" t="n">
        <v>5</v>
      </c>
      <c r="P210" s="583" t="s">
        <v>1120</v>
      </c>
      <c r="Q210" s="595"/>
      <c r="R210" s="93"/>
      <c r="S210" s="93"/>
      <c r="T210" s="616"/>
      <c r="U210" s="93"/>
      <c r="V210" s="93"/>
      <c r="W210" s="93"/>
      <c r="X210" s="616"/>
      <c r="Y210" s="93"/>
      <c r="Z210" s="93"/>
      <c r="AA210" s="93"/>
      <c r="AB210" s="616"/>
      <c r="AC210" s="93"/>
      <c r="AD210" s="93"/>
      <c r="AE210" s="93"/>
      <c r="AF210" s="616"/>
      <c r="AG210" s="93"/>
      <c r="AH210" s="93"/>
      <c r="AI210" s="93"/>
      <c r="AJ210" s="616"/>
      <c r="AK210" s="93"/>
      <c r="AL210" s="93"/>
      <c r="AM210" s="93"/>
      <c r="AN210" s="616"/>
      <c r="AO210" s="93"/>
      <c r="AP210" s="93"/>
      <c r="AQ210" s="93"/>
      <c r="AR210" s="616"/>
      <c r="AS210" s="93"/>
      <c r="AT210" s="93"/>
      <c r="AU210" s="93"/>
      <c r="AV210" s="616"/>
      <c r="AW210" s="93"/>
      <c r="AX210" s="93"/>
      <c r="AY210" s="93"/>
      <c r="AZ210" s="93"/>
      <c r="BA210" s="93"/>
      <c r="BB210" s="638"/>
      <c r="BC210" s="638"/>
      <c r="BD210" s="638"/>
    </row>
    <row r="211" customFormat="false" ht="15.75" hidden="false" customHeight="false" outlineLevel="0" collapsed="false">
      <c r="A211" s="589" t="s">
        <v>1723</v>
      </c>
      <c r="B211" s="589"/>
      <c r="C211" s="589"/>
      <c r="D211" s="590" t="s">
        <v>801</v>
      </c>
      <c r="E211" s="591" t="s">
        <v>1117</v>
      </c>
      <c r="F211" s="582" t="n">
        <v>10</v>
      </c>
      <c r="G211" s="582" t="n">
        <v>60</v>
      </c>
      <c r="H211" s="592" t="n">
        <v>1</v>
      </c>
      <c r="I211" s="593"/>
      <c r="J211" s="589" t="s">
        <v>1724</v>
      </c>
      <c r="K211" s="589"/>
      <c r="L211" s="589"/>
      <c r="M211" s="626" t="s">
        <v>794</v>
      </c>
      <c r="N211" s="581" t="s">
        <v>1119</v>
      </c>
      <c r="O211" s="582" t="n">
        <v>20</v>
      </c>
      <c r="P211" s="592" t="n">
        <v>1</v>
      </c>
      <c r="Q211" s="595"/>
      <c r="R211" s="93"/>
      <c r="S211" s="93"/>
      <c r="T211" s="616"/>
      <c r="U211" s="93"/>
      <c r="V211" s="93"/>
      <c r="W211" s="93"/>
      <c r="X211" s="616"/>
      <c r="Y211" s="93"/>
      <c r="Z211" s="93"/>
      <c r="AA211" s="93"/>
      <c r="AB211" s="616"/>
      <c r="AC211" s="93"/>
      <c r="AD211" s="93"/>
      <c r="AE211" s="93"/>
      <c r="AF211" s="616"/>
      <c r="AG211" s="93"/>
      <c r="AH211" s="93"/>
      <c r="AI211" s="93"/>
      <c r="AJ211" s="616"/>
      <c r="AK211" s="93"/>
      <c r="AL211" s="93"/>
      <c r="AM211" s="93"/>
      <c r="AN211" s="616"/>
      <c r="AO211" s="93"/>
      <c r="AP211" s="93"/>
      <c r="AQ211" s="93"/>
      <c r="AR211" s="616"/>
      <c r="AS211" s="93"/>
      <c r="AT211" s="93"/>
      <c r="AU211" s="93"/>
      <c r="AV211" s="616"/>
      <c r="AW211" s="93"/>
      <c r="AX211" s="93"/>
      <c r="AY211" s="93"/>
      <c r="AZ211" s="93"/>
      <c r="BA211" s="93"/>
      <c r="BB211" s="638"/>
      <c r="BC211" s="638"/>
      <c r="BD211" s="638"/>
    </row>
    <row r="212" customFormat="false" ht="15.75" hidden="false" customHeight="false" outlineLevel="0" collapsed="false">
      <c r="A212" s="589" t="s">
        <v>1725</v>
      </c>
      <c r="B212" s="589"/>
      <c r="C212" s="589"/>
      <c r="D212" s="600" t="s">
        <v>881</v>
      </c>
      <c r="E212" s="591" t="s">
        <v>1117</v>
      </c>
      <c r="F212" s="582" t="n">
        <v>15</v>
      </c>
      <c r="G212" s="582" t="n">
        <v>85</v>
      </c>
      <c r="H212" s="592" t="n">
        <v>0.9</v>
      </c>
      <c r="I212" s="593"/>
      <c r="J212" s="589" t="s">
        <v>1726</v>
      </c>
      <c r="K212" s="589"/>
      <c r="L212" s="589"/>
      <c r="M212" s="594" t="s">
        <v>839</v>
      </c>
      <c r="N212" s="581" t="s">
        <v>1185</v>
      </c>
      <c r="O212" s="582" t="n">
        <v>30</v>
      </c>
      <c r="P212" s="592" t="n">
        <v>1</v>
      </c>
      <c r="Q212" s="595"/>
      <c r="R212" s="93"/>
      <c r="S212" s="93"/>
      <c r="T212" s="616"/>
      <c r="U212" s="93"/>
      <c r="V212" s="93"/>
      <c r="W212" s="93"/>
      <c r="X212" s="616"/>
      <c r="Y212" s="93"/>
      <c r="Z212" s="93"/>
      <c r="AA212" s="93"/>
      <c r="AB212" s="616"/>
      <c r="AC212" s="93"/>
      <c r="AD212" s="93"/>
      <c r="AE212" s="93"/>
      <c r="AF212" s="616"/>
      <c r="AG212" s="93"/>
      <c r="AH212" s="93"/>
      <c r="AI212" s="93"/>
      <c r="AJ212" s="616"/>
      <c r="AK212" s="93"/>
      <c r="AL212" s="93"/>
      <c r="AM212" s="93"/>
      <c r="AN212" s="616"/>
      <c r="AO212" s="93"/>
      <c r="AP212" s="93"/>
      <c r="AQ212" s="93"/>
      <c r="AR212" s="616"/>
      <c r="AS212" s="93"/>
      <c r="AT212" s="93"/>
      <c r="AU212" s="93"/>
      <c r="AV212" s="616"/>
      <c r="AW212" s="93"/>
      <c r="AX212" s="93"/>
      <c r="AY212" s="93"/>
      <c r="AZ212" s="93"/>
      <c r="BA212" s="93"/>
      <c r="BB212" s="638"/>
      <c r="BC212" s="638"/>
      <c r="BD212" s="638"/>
    </row>
    <row r="213" customFormat="false" ht="15.75" hidden="false" customHeight="false" outlineLevel="0" collapsed="false">
      <c r="A213" s="589" t="s">
        <v>1727</v>
      </c>
      <c r="B213" s="589"/>
      <c r="C213" s="589"/>
      <c r="D213" s="610" t="s">
        <v>839</v>
      </c>
      <c r="E213" s="591" t="s">
        <v>1117</v>
      </c>
      <c r="F213" s="582" t="n">
        <v>20</v>
      </c>
      <c r="G213" s="582" t="n">
        <v>80</v>
      </c>
      <c r="H213" s="592" t="n">
        <v>0.75</v>
      </c>
      <c r="I213" s="593"/>
      <c r="J213" s="589" t="s">
        <v>1728</v>
      </c>
      <c r="K213" s="589"/>
      <c r="L213" s="589"/>
      <c r="M213" s="630" t="s">
        <v>801</v>
      </c>
      <c r="N213" s="581" t="s">
        <v>1119</v>
      </c>
      <c r="O213" s="582" t="n">
        <v>15</v>
      </c>
      <c r="P213" s="583" t="s">
        <v>1120</v>
      </c>
      <c r="Q213" s="595"/>
      <c r="R213" s="93"/>
      <c r="S213" s="93"/>
      <c r="T213" s="616"/>
      <c r="U213" s="93"/>
      <c r="V213" s="93"/>
      <c r="W213" s="93"/>
      <c r="X213" s="616"/>
      <c r="Y213" s="93"/>
      <c r="Z213" s="93"/>
      <c r="AA213" s="93"/>
      <c r="AB213" s="616"/>
      <c r="AC213" s="93"/>
      <c r="AD213" s="93"/>
      <c r="AE213" s="93"/>
      <c r="AF213" s="616"/>
      <c r="AG213" s="93"/>
      <c r="AH213" s="93"/>
      <c r="AI213" s="93"/>
      <c r="AJ213" s="616"/>
      <c r="AK213" s="93"/>
      <c r="AL213" s="93"/>
      <c r="AM213" s="93"/>
      <c r="AN213" s="616"/>
      <c r="AO213" s="93"/>
      <c r="AP213" s="93"/>
      <c r="AQ213" s="93"/>
      <c r="AR213" s="616"/>
      <c r="AS213" s="93"/>
      <c r="AT213" s="93"/>
      <c r="AU213" s="93"/>
      <c r="AV213" s="616"/>
      <c r="AW213" s="93"/>
      <c r="AX213" s="93"/>
      <c r="AY213" s="93"/>
      <c r="AZ213" s="93"/>
      <c r="BA213" s="93"/>
      <c r="BB213" s="638"/>
      <c r="BC213" s="638"/>
      <c r="BD213" s="638"/>
    </row>
    <row r="214" customFormat="false" ht="15.75" hidden="false" customHeight="false" outlineLevel="0" collapsed="false">
      <c r="A214" s="589" t="s">
        <v>1729</v>
      </c>
      <c r="B214" s="589"/>
      <c r="C214" s="589"/>
      <c r="D214" s="610" t="s">
        <v>839</v>
      </c>
      <c r="E214" s="591" t="s">
        <v>1117</v>
      </c>
      <c r="F214" s="582" t="n">
        <v>20</v>
      </c>
      <c r="G214" s="582" t="n">
        <v>70</v>
      </c>
      <c r="H214" s="592" t="n">
        <v>1</v>
      </c>
      <c r="I214" s="593"/>
      <c r="J214" s="589" t="s">
        <v>1730</v>
      </c>
      <c r="K214" s="589"/>
      <c r="L214" s="589"/>
      <c r="M214" s="625" t="s">
        <v>795</v>
      </c>
      <c r="N214" s="581" t="s">
        <v>1166</v>
      </c>
      <c r="O214" s="582" t="n">
        <v>20</v>
      </c>
      <c r="P214" s="592" t="n">
        <v>1</v>
      </c>
      <c r="Q214" s="595"/>
      <c r="R214" s="93"/>
      <c r="S214" s="93"/>
      <c r="T214" s="616"/>
      <c r="U214" s="93"/>
      <c r="V214" s="93"/>
      <c r="W214" s="93"/>
      <c r="X214" s="616"/>
      <c r="Y214" s="93"/>
      <c r="Z214" s="93"/>
      <c r="AA214" s="93"/>
      <c r="AB214" s="616"/>
      <c r="AC214" s="93"/>
      <c r="AD214" s="93"/>
      <c r="AE214" s="93"/>
      <c r="AF214" s="616"/>
      <c r="AG214" s="93"/>
      <c r="AH214" s="93"/>
      <c r="AI214" s="93"/>
      <c r="AJ214" s="616"/>
      <c r="AK214" s="93"/>
      <c r="AL214" s="93"/>
      <c r="AM214" s="93"/>
      <c r="AN214" s="616"/>
      <c r="AO214" s="93"/>
      <c r="AP214" s="93"/>
      <c r="AQ214" s="93"/>
      <c r="AR214" s="616"/>
      <c r="AS214" s="93"/>
      <c r="AT214" s="93"/>
      <c r="AU214" s="93"/>
      <c r="AV214" s="616"/>
      <c r="AW214" s="93"/>
      <c r="AX214" s="93"/>
      <c r="AY214" s="93"/>
      <c r="AZ214" s="93"/>
      <c r="BA214" s="93"/>
      <c r="BB214" s="638"/>
      <c r="BC214" s="638"/>
      <c r="BD214" s="638"/>
    </row>
    <row r="215" customFormat="false" ht="15.75" hidden="false" customHeight="false" outlineLevel="0" collapsed="false">
      <c r="A215" s="589" t="s">
        <v>1731</v>
      </c>
      <c r="B215" s="589"/>
      <c r="C215" s="589"/>
      <c r="D215" s="633" t="s">
        <v>809</v>
      </c>
      <c r="E215" s="591" t="s">
        <v>1117</v>
      </c>
      <c r="F215" s="582" t="n">
        <v>15</v>
      </c>
      <c r="G215" s="582" t="n">
        <v>50</v>
      </c>
      <c r="H215" s="592" t="n">
        <v>1</v>
      </c>
      <c r="I215" s="593"/>
      <c r="J215" s="589" t="s">
        <v>1732</v>
      </c>
      <c r="K215" s="589"/>
      <c r="L215" s="589"/>
      <c r="M215" s="594" t="s">
        <v>839</v>
      </c>
      <c r="N215" s="581" t="s">
        <v>1185</v>
      </c>
      <c r="O215" s="582" t="n">
        <v>20</v>
      </c>
      <c r="P215" s="583" t="s">
        <v>1120</v>
      </c>
      <c r="Q215" s="595"/>
      <c r="R215" s="93"/>
      <c r="S215" s="93"/>
      <c r="T215" s="616"/>
      <c r="U215" s="93"/>
      <c r="V215" s="93"/>
      <c r="W215" s="93"/>
      <c r="X215" s="616"/>
      <c r="Y215" s="93"/>
      <c r="Z215" s="93"/>
      <c r="AA215" s="93"/>
      <c r="AB215" s="616"/>
      <c r="AC215" s="93"/>
      <c r="AD215" s="93"/>
      <c r="AE215" s="93"/>
      <c r="AF215" s="616"/>
      <c r="AG215" s="93"/>
      <c r="AH215" s="93"/>
      <c r="AI215" s="93"/>
      <c r="AJ215" s="616"/>
      <c r="AK215" s="93"/>
      <c r="AL215" s="93"/>
      <c r="AM215" s="93"/>
      <c r="AN215" s="616"/>
      <c r="AO215" s="93"/>
      <c r="AP215" s="93"/>
      <c r="AQ215" s="93"/>
      <c r="AR215" s="616"/>
      <c r="AS215" s="93"/>
      <c r="AT215" s="93"/>
      <c r="AU215" s="93"/>
      <c r="AV215" s="616"/>
      <c r="AW215" s="93"/>
      <c r="AX215" s="93"/>
      <c r="AY215" s="93"/>
      <c r="AZ215" s="93"/>
      <c r="BA215" s="93"/>
      <c r="BB215" s="638"/>
      <c r="BC215" s="638"/>
      <c r="BD215" s="638"/>
    </row>
    <row r="216" customFormat="false" ht="15.75" hidden="false" customHeight="false" outlineLevel="0" collapsed="false">
      <c r="A216" s="589" t="s">
        <v>1733</v>
      </c>
      <c r="B216" s="589"/>
      <c r="C216" s="589"/>
      <c r="D216" s="597" t="s">
        <v>810</v>
      </c>
      <c r="E216" s="591" t="s">
        <v>1117</v>
      </c>
      <c r="F216" s="582" t="n">
        <v>10</v>
      </c>
      <c r="G216" s="582" t="n">
        <v>70</v>
      </c>
      <c r="H216" s="592" t="n">
        <v>1</v>
      </c>
      <c r="I216" s="593"/>
      <c r="J216" s="589" t="s">
        <v>1734</v>
      </c>
      <c r="K216" s="589"/>
      <c r="L216" s="589"/>
      <c r="M216" s="594" t="s">
        <v>839</v>
      </c>
      <c r="N216" s="581" t="s">
        <v>1166</v>
      </c>
      <c r="O216" s="582" t="n">
        <v>20</v>
      </c>
      <c r="P216" s="592" t="n">
        <v>1</v>
      </c>
      <c r="Q216" s="595"/>
      <c r="R216" s="93"/>
      <c r="S216" s="93"/>
      <c r="T216" s="616"/>
      <c r="U216" s="93"/>
      <c r="V216" s="93"/>
      <c r="W216" s="93"/>
      <c r="X216" s="616"/>
      <c r="Y216" s="93"/>
      <c r="Z216" s="93"/>
      <c r="AA216" s="93"/>
      <c r="AB216" s="616"/>
      <c r="AC216" s="93"/>
      <c r="AD216" s="93"/>
      <c r="AE216" s="93"/>
      <c r="AF216" s="616"/>
      <c r="AG216" s="93"/>
      <c r="AH216" s="93"/>
      <c r="AI216" s="93"/>
      <c r="AJ216" s="616"/>
      <c r="AK216" s="93"/>
      <c r="AL216" s="93"/>
      <c r="AM216" s="93"/>
      <c r="AN216" s="616"/>
      <c r="AO216" s="93"/>
      <c r="AP216" s="93"/>
      <c r="AQ216" s="93"/>
      <c r="AR216" s="616"/>
      <c r="AS216" s="93"/>
      <c r="AT216" s="93"/>
      <c r="AU216" s="93"/>
      <c r="AV216" s="616"/>
      <c r="AW216" s="93"/>
      <c r="AX216" s="93"/>
      <c r="AY216" s="93"/>
      <c r="AZ216" s="93"/>
      <c r="BA216" s="93"/>
      <c r="BB216" s="638"/>
      <c r="BC216" s="638"/>
      <c r="BD216" s="638"/>
    </row>
    <row r="217" customFormat="false" ht="15.75" hidden="false" customHeight="false" outlineLevel="0" collapsed="false">
      <c r="A217" s="589" t="s">
        <v>1735</v>
      </c>
      <c r="B217" s="589"/>
      <c r="C217" s="589"/>
      <c r="D217" s="610" t="s">
        <v>839</v>
      </c>
      <c r="E217" s="591" t="s">
        <v>1117</v>
      </c>
      <c r="F217" s="582" t="n">
        <v>10</v>
      </c>
      <c r="G217" s="582" t="n">
        <v>70</v>
      </c>
      <c r="H217" s="592" t="n">
        <v>1</v>
      </c>
      <c r="I217" s="593"/>
      <c r="J217" s="589" t="s">
        <v>1736</v>
      </c>
      <c r="K217" s="589"/>
      <c r="L217" s="589"/>
      <c r="M217" s="598" t="s">
        <v>828</v>
      </c>
      <c r="N217" s="581" t="s">
        <v>1166</v>
      </c>
      <c r="O217" s="582" t="n">
        <v>15</v>
      </c>
      <c r="P217" s="583" t="s">
        <v>1120</v>
      </c>
      <c r="Q217" s="595"/>
      <c r="R217" s="93"/>
      <c r="S217" s="93"/>
      <c r="T217" s="616"/>
      <c r="U217" s="93"/>
      <c r="V217" s="93"/>
      <c r="W217" s="93"/>
      <c r="X217" s="616"/>
      <c r="Y217" s="93"/>
      <c r="Z217" s="93"/>
      <c r="AA217" s="93"/>
      <c r="AB217" s="616"/>
      <c r="AC217" s="93"/>
      <c r="AD217" s="93"/>
      <c r="AE217" s="93"/>
      <c r="AF217" s="616"/>
      <c r="AG217" s="93"/>
      <c r="AH217" s="93"/>
      <c r="AI217" s="93"/>
      <c r="AJ217" s="616"/>
      <c r="AK217" s="93"/>
      <c r="AL217" s="93"/>
      <c r="AM217" s="93"/>
      <c r="AN217" s="616"/>
      <c r="AO217" s="93"/>
      <c r="AP217" s="93"/>
      <c r="AQ217" s="93"/>
      <c r="AR217" s="616"/>
      <c r="AS217" s="93"/>
      <c r="AT217" s="93"/>
      <c r="AU217" s="93"/>
      <c r="AV217" s="616"/>
      <c r="AW217" s="93"/>
      <c r="AX217" s="93"/>
      <c r="AY217" s="93"/>
      <c r="AZ217" s="93"/>
      <c r="BA217" s="93"/>
      <c r="BB217" s="638"/>
      <c r="BC217" s="638"/>
      <c r="BD217" s="638"/>
    </row>
    <row r="218" customFormat="false" ht="15.75" hidden="false" customHeight="false" outlineLevel="0" collapsed="false">
      <c r="A218" s="589" t="s">
        <v>1737</v>
      </c>
      <c r="B218" s="589"/>
      <c r="C218" s="589"/>
      <c r="D218" s="624" t="s">
        <v>803</v>
      </c>
      <c r="E218" s="591" t="s">
        <v>1117</v>
      </c>
      <c r="F218" s="582" t="n">
        <v>10</v>
      </c>
      <c r="G218" s="582" t="n">
        <v>125</v>
      </c>
      <c r="H218" s="592" t="n">
        <v>1</v>
      </c>
      <c r="I218" s="593"/>
      <c r="J218" s="589" t="s">
        <v>1738</v>
      </c>
      <c r="K218" s="589"/>
      <c r="L218" s="589"/>
      <c r="M218" s="598" t="s">
        <v>828</v>
      </c>
      <c r="N218" s="581" t="s">
        <v>1200</v>
      </c>
      <c r="O218" s="582" t="n">
        <v>20</v>
      </c>
      <c r="P218" s="583" t="s">
        <v>1120</v>
      </c>
      <c r="Q218" s="595"/>
      <c r="R218" s="93"/>
      <c r="S218" s="93"/>
      <c r="T218" s="616"/>
      <c r="U218" s="93"/>
      <c r="V218" s="93"/>
      <c r="W218" s="93"/>
      <c r="X218" s="616"/>
      <c r="Y218" s="93"/>
      <c r="Z218" s="93"/>
      <c r="AA218" s="93"/>
      <c r="AB218" s="616"/>
      <c r="AC218" s="93"/>
      <c r="AD218" s="93"/>
      <c r="AE218" s="93"/>
      <c r="AF218" s="616"/>
      <c r="AG218" s="93"/>
      <c r="AH218" s="93"/>
      <c r="AI218" s="93"/>
      <c r="AJ218" s="616"/>
      <c r="AK218" s="93"/>
      <c r="AL218" s="93"/>
      <c r="AM218" s="93"/>
      <c r="AN218" s="616"/>
      <c r="AO218" s="93"/>
      <c r="AP218" s="93"/>
      <c r="AQ218" s="93"/>
      <c r="AR218" s="616"/>
      <c r="AS218" s="93"/>
      <c r="AT218" s="93"/>
      <c r="AU218" s="93"/>
      <c r="AV218" s="616"/>
      <c r="AW218" s="93"/>
      <c r="AX218" s="93"/>
      <c r="AY218" s="93"/>
      <c r="AZ218" s="93"/>
      <c r="BA218" s="93"/>
      <c r="BB218" s="638"/>
      <c r="BC218" s="638"/>
      <c r="BD218" s="638"/>
    </row>
    <row r="219" customFormat="false" ht="15.75" hidden="false" customHeight="false" outlineLevel="0" collapsed="false">
      <c r="A219" s="589" t="s">
        <v>1739</v>
      </c>
      <c r="B219" s="589"/>
      <c r="C219" s="589"/>
      <c r="D219" s="619" t="s">
        <v>845</v>
      </c>
      <c r="E219" s="591" t="s">
        <v>1117</v>
      </c>
      <c r="F219" s="582" t="n">
        <v>20</v>
      </c>
      <c r="G219" s="582" t="n">
        <v>65</v>
      </c>
      <c r="H219" s="592" t="n">
        <v>1</v>
      </c>
      <c r="I219" s="593"/>
      <c r="J219" s="589" t="s">
        <v>1740</v>
      </c>
      <c r="K219" s="589"/>
      <c r="L219" s="589"/>
      <c r="M219" s="622" t="s">
        <v>845</v>
      </c>
      <c r="N219" s="581" t="s">
        <v>1166</v>
      </c>
      <c r="O219" s="582" t="n">
        <v>20</v>
      </c>
      <c r="P219" s="592" t="n">
        <v>0.9</v>
      </c>
      <c r="Q219" s="595"/>
      <c r="R219" s="93"/>
      <c r="S219" s="93"/>
      <c r="T219" s="616"/>
      <c r="U219" s="93"/>
      <c r="V219" s="93"/>
      <c r="W219" s="93"/>
      <c r="X219" s="616"/>
      <c r="Y219" s="93"/>
      <c r="Z219" s="93"/>
      <c r="AA219" s="93"/>
      <c r="AB219" s="616"/>
      <c r="AC219" s="93"/>
      <c r="AD219" s="93"/>
      <c r="AE219" s="93"/>
      <c r="AF219" s="616"/>
      <c r="AG219" s="93"/>
      <c r="AH219" s="93"/>
      <c r="AI219" s="93"/>
      <c r="AJ219" s="616"/>
      <c r="AK219" s="93"/>
      <c r="AL219" s="93"/>
      <c r="AM219" s="93"/>
      <c r="AN219" s="616"/>
      <c r="AO219" s="93"/>
      <c r="AP219" s="93"/>
      <c r="AQ219" s="93"/>
      <c r="AR219" s="616"/>
      <c r="AS219" s="93"/>
      <c r="AT219" s="93"/>
      <c r="AU219" s="93"/>
      <c r="AV219" s="616"/>
      <c r="AW219" s="93"/>
      <c r="AX219" s="93"/>
      <c r="AY219" s="93"/>
      <c r="AZ219" s="93"/>
      <c r="BA219" s="93"/>
      <c r="BB219" s="638"/>
      <c r="BC219" s="638"/>
      <c r="BD219" s="638"/>
    </row>
    <row r="220" customFormat="false" ht="15.75" hidden="false" customHeight="false" outlineLevel="0" collapsed="false">
      <c r="A220" s="589" t="s">
        <v>1741</v>
      </c>
      <c r="B220" s="589"/>
      <c r="C220" s="589"/>
      <c r="D220" s="605" t="s">
        <v>802</v>
      </c>
      <c r="E220" s="591" t="s">
        <v>1117</v>
      </c>
      <c r="F220" s="582" t="n">
        <v>10</v>
      </c>
      <c r="G220" s="582" t="n">
        <v>90</v>
      </c>
      <c r="H220" s="592" t="n">
        <v>1</v>
      </c>
      <c r="I220" s="593"/>
      <c r="J220" s="589" t="s">
        <v>1742</v>
      </c>
      <c r="K220" s="589"/>
      <c r="L220" s="589"/>
      <c r="M220" s="594" t="s">
        <v>839</v>
      </c>
      <c r="N220" s="581" t="s">
        <v>1185</v>
      </c>
      <c r="O220" s="582" t="n">
        <v>20</v>
      </c>
      <c r="P220" s="592" t="n">
        <v>1</v>
      </c>
      <c r="Q220" s="595"/>
      <c r="R220" s="93"/>
      <c r="S220" s="93"/>
      <c r="T220" s="616"/>
      <c r="U220" s="93"/>
      <c r="V220" s="93"/>
      <c r="W220" s="93"/>
      <c r="X220" s="616"/>
      <c r="Y220" s="93"/>
      <c r="Z220" s="93"/>
      <c r="AA220" s="93"/>
      <c r="AB220" s="616"/>
      <c r="AC220" s="93"/>
      <c r="AD220" s="93"/>
      <c r="AE220" s="93"/>
      <c r="AF220" s="616"/>
      <c r="AG220" s="93"/>
      <c r="AH220" s="93"/>
      <c r="AI220" s="93"/>
      <c r="AJ220" s="616"/>
      <c r="AK220" s="93"/>
      <c r="AL220" s="93"/>
      <c r="AM220" s="93"/>
      <c r="AN220" s="616"/>
      <c r="AO220" s="93"/>
      <c r="AP220" s="93"/>
      <c r="AQ220" s="93"/>
      <c r="AR220" s="616"/>
      <c r="AS220" s="93"/>
      <c r="AT220" s="93"/>
      <c r="AU220" s="93"/>
      <c r="AV220" s="616"/>
      <c r="AW220" s="93"/>
      <c r="AX220" s="93"/>
      <c r="AY220" s="93"/>
      <c r="AZ220" s="93"/>
      <c r="BA220" s="93"/>
      <c r="BB220" s="638"/>
      <c r="BC220" s="638"/>
      <c r="BD220" s="638"/>
    </row>
    <row r="221" customFormat="false" ht="15.75" hidden="false" customHeight="false" outlineLevel="0" collapsed="false">
      <c r="A221" s="589" t="s">
        <v>1743</v>
      </c>
      <c r="B221" s="589"/>
      <c r="C221" s="589"/>
      <c r="D221" s="610" t="s">
        <v>839</v>
      </c>
      <c r="E221" s="591" t="s">
        <v>1117</v>
      </c>
      <c r="F221" s="582" t="n">
        <v>15</v>
      </c>
      <c r="G221" s="582" t="n">
        <v>20</v>
      </c>
      <c r="H221" s="592" t="n">
        <v>1</v>
      </c>
      <c r="I221" s="593"/>
      <c r="J221" s="589" t="s">
        <v>1744</v>
      </c>
      <c r="K221" s="589"/>
      <c r="L221" s="589"/>
      <c r="M221" s="625" t="s">
        <v>795</v>
      </c>
      <c r="N221" s="581" t="s">
        <v>1200</v>
      </c>
      <c r="O221" s="582" t="n">
        <v>20</v>
      </c>
      <c r="P221" s="583" t="s">
        <v>1120</v>
      </c>
      <c r="Q221" s="595"/>
      <c r="R221" s="93"/>
      <c r="S221" s="93"/>
      <c r="T221" s="616"/>
      <c r="U221" s="93"/>
      <c r="V221" s="93"/>
      <c r="W221" s="93"/>
      <c r="X221" s="616"/>
      <c r="Y221" s="93"/>
      <c r="Z221" s="93"/>
      <c r="AA221" s="93"/>
      <c r="AB221" s="616"/>
      <c r="AC221" s="93"/>
      <c r="AD221" s="93"/>
      <c r="AE221" s="93"/>
      <c r="AF221" s="616"/>
      <c r="AG221" s="93"/>
      <c r="AH221" s="93"/>
      <c r="AI221" s="93"/>
      <c r="AJ221" s="616"/>
      <c r="AK221" s="93"/>
      <c r="AL221" s="93"/>
      <c r="AM221" s="93"/>
      <c r="AN221" s="616"/>
      <c r="AO221" s="93"/>
      <c r="AP221" s="93"/>
      <c r="AQ221" s="93"/>
      <c r="AR221" s="616"/>
      <c r="AS221" s="93"/>
      <c r="AT221" s="93"/>
      <c r="AU221" s="93"/>
      <c r="AV221" s="616"/>
      <c r="AW221" s="93"/>
      <c r="AX221" s="93"/>
      <c r="AY221" s="93"/>
      <c r="AZ221" s="93"/>
      <c r="BA221" s="93"/>
      <c r="BB221" s="638"/>
      <c r="BC221" s="638"/>
      <c r="BD221" s="638"/>
    </row>
    <row r="222" customFormat="false" ht="15.75" hidden="false" customHeight="false" outlineLevel="0" collapsed="false">
      <c r="A222" s="589" t="s">
        <v>1745</v>
      </c>
      <c r="B222" s="589"/>
      <c r="C222" s="589"/>
      <c r="D222" s="605" t="s">
        <v>802</v>
      </c>
      <c r="E222" s="591" t="s">
        <v>1117</v>
      </c>
      <c r="F222" s="582" t="n">
        <v>10</v>
      </c>
      <c r="G222" s="582" t="n">
        <v>80</v>
      </c>
      <c r="H222" s="592" t="n">
        <v>1</v>
      </c>
      <c r="I222" s="593"/>
      <c r="J222" s="589" t="s">
        <v>1746</v>
      </c>
      <c r="K222" s="589"/>
      <c r="L222" s="589"/>
      <c r="M222" s="625" t="s">
        <v>795</v>
      </c>
      <c r="N222" s="581" t="s">
        <v>1166</v>
      </c>
      <c r="O222" s="582" t="n">
        <v>15</v>
      </c>
      <c r="P222" s="592" t="n">
        <v>1</v>
      </c>
      <c r="Q222" s="595"/>
      <c r="R222" s="93"/>
      <c r="S222" s="93"/>
      <c r="T222" s="616"/>
      <c r="U222" s="93"/>
      <c r="V222" s="93"/>
      <c r="W222" s="93"/>
      <c r="X222" s="616"/>
      <c r="Y222" s="93"/>
      <c r="Z222" s="93"/>
      <c r="AA222" s="93"/>
      <c r="AB222" s="616"/>
      <c r="AC222" s="93"/>
      <c r="AD222" s="93"/>
      <c r="AE222" s="93"/>
      <c r="AF222" s="616"/>
      <c r="AG222" s="93"/>
      <c r="AH222" s="93"/>
      <c r="AI222" s="93"/>
      <c r="AJ222" s="616"/>
      <c r="AK222" s="93"/>
      <c r="AL222" s="93"/>
      <c r="AM222" s="93"/>
      <c r="AN222" s="616"/>
      <c r="AO222" s="93"/>
      <c r="AP222" s="93"/>
      <c r="AQ222" s="93"/>
      <c r="AR222" s="616"/>
      <c r="AS222" s="93"/>
      <c r="AT222" s="93"/>
      <c r="AU222" s="93"/>
      <c r="AV222" s="616"/>
      <c r="AW222" s="93"/>
      <c r="AX222" s="93"/>
      <c r="AY222" s="93"/>
      <c r="AZ222" s="93"/>
      <c r="BA222" s="93"/>
      <c r="BB222" s="638"/>
      <c r="BC222" s="638"/>
      <c r="BD222" s="638"/>
    </row>
    <row r="223" customFormat="false" ht="15.75" hidden="false" customHeight="false" outlineLevel="0" collapsed="false">
      <c r="A223" s="589" t="s">
        <v>1747</v>
      </c>
      <c r="B223" s="589"/>
      <c r="C223" s="589"/>
      <c r="D223" s="607" t="s">
        <v>794</v>
      </c>
      <c r="E223" s="591" t="s">
        <v>1117</v>
      </c>
      <c r="F223" s="582" t="n">
        <v>20</v>
      </c>
      <c r="G223" s="582" t="n">
        <v>65</v>
      </c>
      <c r="H223" s="592" t="n">
        <v>1</v>
      </c>
      <c r="I223" s="593"/>
      <c r="J223" s="589" t="s">
        <v>1748</v>
      </c>
      <c r="K223" s="589"/>
      <c r="L223" s="589"/>
      <c r="M223" s="580" t="s">
        <v>843</v>
      </c>
      <c r="N223" s="581" t="s">
        <v>1166</v>
      </c>
      <c r="O223" s="582" t="n">
        <v>10</v>
      </c>
      <c r="P223" s="592" t="n">
        <v>0.9</v>
      </c>
      <c r="Q223" s="595"/>
      <c r="R223" s="93"/>
      <c r="S223" s="93"/>
      <c r="T223" s="616"/>
      <c r="U223" s="93"/>
      <c r="V223" s="93"/>
      <c r="W223" s="93"/>
      <c r="X223" s="616"/>
      <c r="Y223" s="93"/>
      <c r="Z223" s="93"/>
      <c r="AA223" s="93"/>
      <c r="AB223" s="616"/>
      <c r="AC223" s="93"/>
      <c r="AD223" s="93"/>
      <c r="AE223" s="93"/>
      <c r="AF223" s="616"/>
      <c r="AG223" s="93"/>
      <c r="AH223" s="93"/>
      <c r="AI223" s="93"/>
      <c r="AJ223" s="616"/>
      <c r="AK223" s="93"/>
      <c r="AL223" s="93"/>
      <c r="AM223" s="93"/>
      <c r="AN223" s="616"/>
      <c r="AO223" s="93"/>
      <c r="AP223" s="93"/>
      <c r="AQ223" s="93"/>
      <c r="AR223" s="616"/>
      <c r="AS223" s="93"/>
      <c r="AT223" s="93"/>
      <c r="AU223" s="93"/>
      <c r="AV223" s="616"/>
      <c r="AW223" s="93"/>
      <c r="AX223" s="93"/>
      <c r="AY223" s="93"/>
      <c r="AZ223" s="93"/>
      <c r="BA223" s="93"/>
      <c r="BB223" s="638"/>
      <c r="BC223" s="638"/>
      <c r="BD223" s="638"/>
    </row>
    <row r="224" customFormat="false" ht="15.75" hidden="false" customHeight="false" outlineLevel="0" collapsed="false">
      <c r="A224" s="589" t="s">
        <v>1749</v>
      </c>
      <c r="B224" s="589"/>
      <c r="C224" s="589"/>
      <c r="D224" s="597" t="s">
        <v>810</v>
      </c>
      <c r="E224" s="591" t="s">
        <v>1117</v>
      </c>
      <c r="F224" s="582" t="n">
        <v>25</v>
      </c>
      <c r="G224" s="582" t="n">
        <v>70</v>
      </c>
      <c r="H224" s="592" t="n">
        <v>0.9</v>
      </c>
      <c r="I224" s="593"/>
      <c r="J224" s="589" t="s">
        <v>1108</v>
      </c>
      <c r="K224" s="589"/>
      <c r="L224" s="589"/>
      <c r="M224" s="580" t="s">
        <v>843</v>
      </c>
      <c r="N224" s="581" t="s">
        <v>1681</v>
      </c>
      <c r="O224" s="582" t="n">
        <v>20</v>
      </c>
      <c r="P224" s="583" t="s">
        <v>1120</v>
      </c>
      <c r="Q224" s="595"/>
      <c r="R224" s="93"/>
      <c r="S224" s="93"/>
      <c r="T224" s="616"/>
      <c r="U224" s="93"/>
      <c r="V224" s="93"/>
      <c r="W224" s="93"/>
      <c r="X224" s="616"/>
      <c r="Y224" s="93"/>
      <c r="Z224" s="93"/>
      <c r="AA224" s="93"/>
      <c r="AB224" s="616"/>
      <c r="AC224" s="93"/>
      <c r="AD224" s="93"/>
      <c r="AE224" s="93"/>
      <c r="AF224" s="616"/>
      <c r="AG224" s="93"/>
      <c r="AH224" s="93"/>
      <c r="AI224" s="93"/>
      <c r="AJ224" s="616"/>
      <c r="AK224" s="93"/>
      <c r="AL224" s="93"/>
      <c r="AM224" s="93"/>
      <c r="AN224" s="616"/>
      <c r="AO224" s="93"/>
      <c r="AP224" s="93"/>
      <c r="AQ224" s="93"/>
      <c r="AR224" s="616"/>
      <c r="AS224" s="93"/>
      <c r="AT224" s="93"/>
      <c r="AU224" s="93"/>
      <c r="AV224" s="616"/>
      <c r="AW224" s="93"/>
      <c r="AX224" s="93"/>
      <c r="AY224" s="93"/>
      <c r="AZ224" s="93"/>
      <c r="BA224" s="93"/>
      <c r="BB224" s="638"/>
      <c r="BC224" s="638"/>
      <c r="BD224" s="638"/>
    </row>
    <row r="225" customFormat="false" ht="15.75" hidden="false" customHeight="false" outlineLevel="0" collapsed="false">
      <c r="A225" s="589" t="s">
        <v>1750</v>
      </c>
      <c r="B225" s="589"/>
      <c r="C225" s="589"/>
      <c r="D225" s="610" t="s">
        <v>839</v>
      </c>
      <c r="E225" s="591" t="s">
        <v>1117</v>
      </c>
      <c r="F225" s="582" t="n">
        <v>20</v>
      </c>
      <c r="G225" s="582" t="n">
        <v>65</v>
      </c>
      <c r="H225" s="592" t="n">
        <v>1</v>
      </c>
      <c r="I225" s="593"/>
      <c r="J225" s="589" t="s">
        <v>1751</v>
      </c>
      <c r="K225" s="589"/>
      <c r="L225" s="589"/>
      <c r="M225" s="580" t="s">
        <v>843</v>
      </c>
      <c r="N225" s="581" t="s">
        <v>1185</v>
      </c>
      <c r="O225" s="582" t="n">
        <v>20</v>
      </c>
      <c r="P225" s="583" t="s">
        <v>1120</v>
      </c>
      <c r="Q225" s="595"/>
      <c r="R225" s="93"/>
      <c r="S225" s="93"/>
      <c r="T225" s="616"/>
      <c r="U225" s="93"/>
      <c r="V225" s="93"/>
      <c r="W225" s="93"/>
      <c r="X225" s="616"/>
      <c r="Y225" s="93"/>
      <c r="Z225" s="93"/>
      <c r="AA225" s="93"/>
      <c r="AB225" s="616"/>
      <c r="AC225" s="93"/>
      <c r="AD225" s="93"/>
      <c r="AE225" s="93"/>
      <c r="AF225" s="616"/>
      <c r="AG225" s="93"/>
      <c r="AH225" s="93"/>
      <c r="AI225" s="93"/>
      <c r="AJ225" s="616"/>
      <c r="AK225" s="93"/>
      <c r="AL225" s="93"/>
      <c r="AM225" s="93"/>
      <c r="AN225" s="616"/>
      <c r="AO225" s="93"/>
      <c r="AP225" s="93"/>
      <c r="AQ225" s="93"/>
      <c r="AR225" s="616"/>
      <c r="AS225" s="93"/>
      <c r="AT225" s="93"/>
      <c r="AU225" s="93"/>
      <c r="AV225" s="616"/>
      <c r="AW225" s="93"/>
      <c r="AX225" s="93"/>
      <c r="AY225" s="93"/>
      <c r="AZ225" s="93"/>
      <c r="BA225" s="93"/>
      <c r="BB225" s="638"/>
      <c r="BC225" s="638"/>
      <c r="BD225" s="638"/>
    </row>
    <row r="226" customFormat="false" ht="15.75" hidden="false" customHeight="false" outlineLevel="0" collapsed="false">
      <c r="A226" s="589" t="s">
        <v>1752</v>
      </c>
      <c r="B226" s="589"/>
      <c r="C226" s="589"/>
      <c r="D226" s="620" t="s">
        <v>907</v>
      </c>
      <c r="E226" s="591" t="s">
        <v>1117</v>
      </c>
      <c r="F226" s="582" t="n">
        <v>10</v>
      </c>
      <c r="G226" s="582" t="n">
        <v>75</v>
      </c>
      <c r="H226" s="592" t="n">
        <v>1</v>
      </c>
      <c r="I226" s="593"/>
      <c r="J226" s="589" t="s">
        <v>1753</v>
      </c>
      <c r="K226" s="589"/>
      <c r="L226" s="589"/>
      <c r="M226" s="594" t="s">
        <v>839</v>
      </c>
      <c r="N226" s="581" t="s">
        <v>1200</v>
      </c>
      <c r="O226" s="582" t="n">
        <v>10</v>
      </c>
      <c r="P226" s="583" t="s">
        <v>1120</v>
      </c>
      <c r="Q226" s="595"/>
      <c r="R226" s="93"/>
      <c r="S226" s="93"/>
      <c r="T226" s="616"/>
      <c r="U226" s="93"/>
      <c r="V226" s="93"/>
      <c r="W226" s="93"/>
      <c r="X226" s="616"/>
      <c r="Y226" s="93"/>
      <c r="Z226" s="93"/>
      <c r="AA226" s="93"/>
      <c r="AB226" s="616"/>
      <c r="AC226" s="93"/>
      <c r="AD226" s="93"/>
      <c r="AE226" s="93"/>
      <c r="AF226" s="616"/>
      <c r="AG226" s="93"/>
      <c r="AH226" s="93"/>
      <c r="AI226" s="93"/>
      <c r="AJ226" s="616"/>
      <c r="AK226" s="93"/>
      <c r="AL226" s="93"/>
      <c r="AM226" s="93"/>
      <c r="AN226" s="616"/>
      <c r="AO226" s="93"/>
      <c r="AP226" s="93"/>
      <c r="AQ226" s="93"/>
      <c r="AR226" s="616"/>
      <c r="AS226" s="93"/>
      <c r="AT226" s="93"/>
      <c r="AU226" s="93"/>
      <c r="AV226" s="616"/>
      <c r="AW226" s="93"/>
      <c r="AX226" s="93"/>
      <c r="AY226" s="93"/>
      <c r="AZ226" s="93"/>
      <c r="BA226" s="93"/>
      <c r="BB226" s="638"/>
      <c r="BC226" s="638"/>
      <c r="BD226" s="638"/>
    </row>
    <row r="227" customFormat="false" ht="15.75" hidden="false" customHeight="false" outlineLevel="0" collapsed="false">
      <c r="A227" s="589" t="s">
        <v>1754</v>
      </c>
      <c r="B227" s="589"/>
      <c r="C227" s="589"/>
      <c r="D227" s="633" t="s">
        <v>809</v>
      </c>
      <c r="E227" s="591" t="s">
        <v>1117</v>
      </c>
      <c r="F227" s="582" t="n">
        <v>5</v>
      </c>
      <c r="G227" s="582" t="n">
        <v>100</v>
      </c>
      <c r="H227" s="592" t="n">
        <v>0.8</v>
      </c>
      <c r="I227" s="593"/>
      <c r="J227" s="643" t="s">
        <v>1755</v>
      </c>
      <c r="K227" s="643"/>
      <c r="L227" s="643"/>
      <c r="M227" s="644" t="s">
        <v>828</v>
      </c>
      <c r="N227" s="645" t="s">
        <v>1200</v>
      </c>
      <c r="O227" s="646" t="n">
        <v>10</v>
      </c>
      <c r="P227" s="647" t="n">
        <v>1</v>
      </c>
      <c r="Q227" s="595"/>
      <c r="R227" s="93"/>
      <c r="S227" s="93"/>
      <c r="T227" s="616"/>
      <c r="U227" s="93"/>
      <c r="V227" s="93"/>
      <c r="W227" s="93"/>
      <c r="X227" s="616"/>
      <c r="Y227" s="93"/>
      <c r="Z227" s="93"/>
      <c r="AA227" s="93"/>
      <c r="AB227" s="616"/>
      <c r="AC227" s="93"/>
      <c r="AD227" s="93"/>
      <c r="AE227" s="93"/>
      <c r="AF227" s="616"/>
      <c r="AG227" s="93"/>
      <c r="AH227" s="93"/>
      <c r="AI227" s="93"/>
      <c r="AJ227" s="616"/>
      <c r="AK227" s="93"/>
      <c r="AL227" s="93"/>
      <c r="AM227" s="93"/>
      <c r="AN227" s="616"/>
      <c r="AO227" s="93"/>
      <c r="AP227" s="93"/>
      <c r="AQ227" s="93"/>
      <c r="AR227" s="616"/>
      <c r="AS227" s="93"/>
      <c r="AT227" s="93"/>
      <c r="AU227" s="93"/>
      <c r="AV227" s="616"/>
      <c r="AW227" s="93"/>
      <c r="AX227" s="93"/>
      <c r="AY227" s="93"/>
      <c r="AZ227" s="93"/>
      <c r="BA227" s="93"/>
      <c r="BB227" s="638"/>
      <c r="BC227" s="638"/>
      <c r="BD227" s="638"/>
    </row>
    <row r="228" customFormat="false" ht="15.75" hidden="false" customHeight="false" outlineLevel="0" collapsed="false">
      <c r="A228" s="589" t="s">
        <v>1756</v>
      </c>
      <c r="B228" s="589"/>
      <c r="C228" s="589"/>
      <c r="D228" s="600" t="s">
        <v>881</v>
      </c>
      <c r="E228" s="591" t="s">
        <v>1117</v>
      </c>
      <c r="F228" s="582" t="n">
        <v>10</v>
      </c>
      <c r="G228" s="582" t="n">
        <v>60</v>
      </c>
      <c r="H228" s="592" t="n">
        <v>1</v>
      </c>
      <c r="I228" s="593"/>
      <c r="J228" s="648" t="s">
        <v>1757</v>
      </c>
      <c r="K228" s="648"/>
      <c r="L228" s="648"/>
      <c r="M228" s="649" t="s">
        <v>828</v>
      </c>
      <c r="N228" s="650" t="s">
        <v>1328</v>
      </c>
      <c r="O228" s="50" t="n">
        <v>5</v>
      </c>
      <c r="P228" s="477" t="s">
        <v>1120</v>
      </c>
      <c r="Q228" s="651"/>
      <c r="R228" s="93"/>
      <c r="S228" s="93"/>
      <c r="T228" s="616"/>
      <c r="U228" s="93"/>
      <c r="V228" s="93"/>
      <c r="W228" s="93"/>
      <c r="X228" s="616"/>
      <c r="Y228" s="93"/>
      <c r="Z228" s="93"/>
      <c r="AA228" s="93"/>
      <c r="AB228" s="616"/>
      <c r="AC228" s="93"/>
      <c r="AD228" s="93"/>
      <c r="AE228" s="93"/>
      <c r="AF228" s="616"/>
      <c r="AG228" s="93"/>
      <c r="AH228" s="93"/>
      <c r="AI228" s="93"/>
      <c r="AJ228" s="616"/>
      <c r="AK228" s="93"/>
      <c r="AL228" s="93"/>
      <c r="AM228" s="93"/>
      <c r="AN228" s="616"/>
      <c r="AO228" s="93"/>
      <c r="AP228" s="93"/>
      <c r="AQ228" s="93"/>
      <c r="AR228" s="616"/>
      <c r="AS228" s="93"/>
      <c r="AT228" s="93"/>
      <c r="AU228" s="93"/>
      <c r="AV228" s="616"/>
      <c r="AW228" s="93"/>
      <c r="AX228" s="93"/>
      <c r="AY228" s="93"/>
      <c r="AZ228" s="93"/>
      <c r="BA228" s="93"/>
      <c r="BB228" s="638"/>
      <c r="BC228" s="638"/>
      <c r="BD228" s="638"/>
    </row>
    <row r="229" customFormat="false" ht="15.75" hidden="false" customHeight="false" outlineLevel="0" collapsed="false">
      <c r="A229" s="589" t="s">
        <v>1758</v>
      </c>
      <c r="B229" s="589"/>
      <c r="C229" s="589"/>
      <c r="D229" s="610" t="s">
        <v>839</v>
      </c>
      <c r="E229" s="591" t="s">
        <v>1117</v>
      </c>
      <c r="F229" s="582" t="n">
        <v>15</v>
      </c>
      <c r="G229" s="582" t="n">
        <v>80</v>
      </c>
      <c r="H229" s="592" t="n">
        <v>1</v>
      </c>
      <c r="I229" s="593"/>
      <c r="J229" s="573" t="s">
        <v>1759</v>
      </c>
      <c r="K229" s="573"/>
      <c r="L229" s="573"/>
      <c r="M229" s="652" t="s">
        <v>802</v>
      </c>
      <c r="N229" s="653" t="s">
        <v>1200</v>
      </c>
      <c r="O229" s="654" t="n">
        <v>20</v>
      </c>
      <c r="P229" s="655" t="n">
        <v>1</v>
      </c>
      <c r="Q229" s="595"/>
      <c r="R229" s="93"/>
      <c r="S229" s="93"/>
      <c r="T229" s="616"/>
      <c r="U229" s="93"/>
      <c r="V229" s="93"/>
      <c r="W229" s="93"/>
      <c r="X229" s="616"/>
      <c r="Y229" s="93"/>
      <c r="Z229" s="93"/>
      <c r="AA229" s="93"/>
      <c r="AB229" s="616"/>
      <c r="AC229" s="93"/>
      <c r="AD229" s="93"/>
      <c r="AE229" s="93"/>
      <c r="AF229" s="616"/>
      <c r="AG229" s="93"/>
      <c r="AH229" s="93"/>
      <c r="AI229" s="93"/>
      <c r="AJ229" s="616"/>
      <c r="AK229" s="93"/>
      <c r="AL229" s="93"/>
      <c r="AM229" s="93"/>
      <c r="AN229" s="616"/>
      <c r="AO229" s="93"/>
      <c r="AP229" s="93"/>
      <c r="AQ229" s="93"/>
      <c r="AR229" s="616"/>
      <c r="AS229" s="93"/>
      <c r="AT229" s="93"/>
      <c r="AU229" s="93"/>
      <c r="AV229" s="616"/>
      <c r="AW229" s="93"/>
      <c r="AX229" s="93"/>
      <c r="AY229" s="93"/>
      <c r="AZ229" s="93"/>
      <c r="BA229" s="93"/>
      <c r="BB229" s="638"/>
      <c r="BC229" s="638"/>
      <c r="BD229" s="638"/>
    </row>
    <row r="230" customFormat="false" ht="15.75" hidden="false" customHeight="false" outlineLevel="0" collapsed="false">
      <c r="A230" s="589" t="s">
        <v>1760</v>
      </c>
      <c r="B230" s="589"/>
      <c r="C230" s="589"/>
      <c r="D230" s="610" t="s">
        <v>839</v>
      </c>
      <c r="E230" s="591" t="s">
        <v>1117</v>
      </c>
      <c r="F230" s="582" t="n">
        <v>1</v>
      </c>
      <c r="G230" s="582" t="n">
        <v>50</v>
      </c>
      <c r="H230" s="583" t="s">
        <v>1120</v>
      </c>
      <c r="I230" s="593"/>
      <c r="J230" s="589" t="s">
        <v>1761</v>
      </c>
      <c r="K230" s="589"/>
      <c r="L230" s="589"/>
      <c r="M230" s="580" t="s">
        <v>843</v>
      </c>
      <c r="N230" s="581" t="s">
        <v>1185</v>
      </c>
      <c r="O230" s="582" t="n">
        <v>20</v>
      </c>
      <c r="P230" s="592" t="n">
        <v>1</v>
      </c>
      <c r="Q230" s="595"/>
      <c r="R230" s="93"/>
      <c r="S230" s="93"/>
      <c r="T230" s="616"/>
      <c r="U230" s="93"/>
      <c r="V230" s="93"/>
      <c r="W230" s="93"/>
      <c r="X230" s="616"/>
      <c r="Y230" s="93"/>
      <c r="Z230" s="93"/>
      <c r="AA230" s="93"/>
      <c r="AB230" s="616"/>
      <c r="AC230" s="93"/>
      <c r="AD230" s="93"/>
      <c r="AE230" s="93"/>
      <c r="AF230" s="616"/>
      <c r="AG230" s="93"/>
      <c r="AH230" s="93"/>
      <c r="AI230" s="93"/>
      <c r="AJ230" s="616"/>
      <c r="AK230" s="93"/>
      <c r="AL230" s="93"/>
      <c r="AM230" s="93"/>
      <c r="AN230" s="616"/>
      <c r="AO230" s="93"/>
      <c r="AP230" s="93"/>
      <c r="AQ230" s="93"/>
      <c r="AR230" s="616"/>
      <c r="AS230" s="93"/>
      <c r="AT230" s="93"/>
      <c r="AU230" s="93"/>
      <c r="AV230" s="616"/>
      <c r="AW230" s="93"/>
      <c r="AX230" s="93"/>
      <c r="AY230" s="93"/>
      <c r="AZ230" s="93"/>
      <c r="BA230" s="93"/>
      <c r="BB230" s="638"/>
      <c r="BC230" s="638"/>
      <c r="BD230" s="638"/>
    </row>
    <row r="231" customFormat="false" ht="15.75" hidden="false" customHeight="false" outlineLevel="0" collapsed="false">
      <c r="A231" s="589" t="s">
        <v>1762</v>
      </c>
      <c r="B231" s="589"/>
      <c r="C231" s="589"/>
      <c r="D231" s="600" t="s">
        <v>881</v>
      </c>
      <c r="E231" s="591" t="s">
        <v>1117</v>
      </c>
      <c r="F231" s="582" t="n">
        <v>20</v>
      </c>
      <c r="G231" s="582" t="n">
        <v>80</v>
      </c>
      <c r="H231" s="592" t="n">
        <v>0.8</v>
      </c>
      <c r="I231" s="593"/>
      <c r="J231" s="589" t="s">
        <v>1763</v>
      </c>
      <c r="K231" s="589"/>
      <c r="L231" s="589"/>
      <c r="M231" s="601" t="s">
        <v>811</v>
      </c>
      <c r="N231" s="581" t="s">
        <v>1200</v>
      </c>
      <c r="O231" s="582" t="n">
        <v>15</v>
      </c>
      <c r="P231" s="592" t="n">
        <v>1</v>
      </c>
      <c r="Q231" s="595"/>
      <c r="R231" s="93"/>
      <c r="S231" s="93"/>
      <c r="T231" s="616"/>
      <c r="U231" s="93"/>
      <c r="V231" s="93"/>
      <c r="W231" s="93"/>
      <c r="X231" s="616"/>
      <c r="Y231" s="93"/>
      <c r="Z231" s="93"/>
      <c r="AA231" s="93"/>
      <c r="AB231" s="616"/>
      <c r="AC231" s="93"/>
      <c r="AD231" s="93"/>
      <c r="AE231" s="93"/>
      <c r="AF231" s="616"/>
      <c r="AG231" s="93"/>
      <c r="AH231" s="93"/>
      <c r="AI231" s="93"/>
      <c r="AJ231" s="616"/>
      <c r="AK231" s="93"/>
      <c r="AL231" s="93"/>
      <c r="AM231" s="93"/>
      <c r="AN231" s="616"/>
      <c r="AO231" s="93"/>
      <c r="AP231" s="93"/>
      <c r="AQ231" s="93"/>
      <c r="AR231" s="616"/>
      <c r="AS231" s="93"/>
      <c r="AT231" s="93"/>
      <c r="AU231" s="93"/>
      <c r="AV231" s="616"/>
      <c r="AW231" s="93"/>
      <c r="AX231" s="93"/>
      <c r="AY231" s="93"/>
      <c r="AZ231" s="93"/>
      <c r="BA231" s="93"/>
      <c r="BB231" s="638"/>
      <c r="BC231" s="638"/>
      <c r="BD231" s="638"/>
    </row>
    <row r="232" customFormat="false" ht="15.75" hidden="false" customHeight="false" outlineLevel="0" collapsed="false">
      <c r="A232" s="589" t="s">
        <v>1764</v>
      </c>
      <c r="B232" s="589"/>
      <c r="C232" s="589"/>
      <c r="D232" s="603" t="s">
        <v>795</v>
      </c>
      <c r="E232" s="591" t="s">
        <v>1117</v>
      </c>
      <c r="F232" s="582" t="n">
        <v>5</v>
      </c>
      <c r="G232" s="582" t="n">
        <v>70</v>
      </c>
      <c r="H232" s="592" t="n">
        <v>1</v>
      </c>
      <c r="I232" s="593"/>
      <c r="J232" s="589" t="s">
        <v>1765</v>
      </c>
      <c r="K232" s="589"/>
      <c r="L232" s="589"/>
      <c r="M232" s="594" t="s">
        <v>839</v>
      </c>
      <c r="N232" s="581" t="s">
        <v>1200</v>
      </c>
      <c r="O232" s="582" t="n">
        <v>20</v>
      </c>
      <c r="P232" s="583" t="s">
        <v>1120</v>
      </c>
      <c r="Q232" s="595"/>
      <c r="R232" s="93"/>
      <c r="S232" s="93"/>
      <c r="T232" s="616"/>
      <c r="U232" s="93"/>
      <c r="V232" s="93"/>
      <c r="W232" s="93"/>
      <c r="X232" s="616"/>
      <c r="Y232" s="93"/>
      <c r="Z232" s="93"/>
      <c r="AA232" s="93"/>
      <c r="AB232" s="616"/>
      <c r="AC232" s="93"/>
      <c r="AD232" s="93"/>
      <c r="AE232" s="93"/>
      <c r="AF232" s="616"/>
      <c r="AG232" s="93"/>
      <c r="AH232" s="93"/>
      <c r="AI232" s="93"/>
      <c r="AJ232" s="616"/>
      <c r="AK232" s="93"/>
      <c r="AL232" s="93"/>
      <c r="AM232" s="93"/>
      <c r="AN232" s="616"/>
      <c r="AO232" s="93"/>
      <c r="AP232" s="93"/>
      <c r="AQ232" s="93"/>
      <c r="AR232" s="616"/>
      <c r="AS232" s="93"/>
      <c r="AT232" s="93"/>
      <c r="AU232" s="93"/>
      <c r="AV232" s="616"/>
      <c r="AW232" s="93"/>
      <c r="AX232" s="93"/>
      <c r="AY232" s="93"/>
      <c r="AZ232" s="93"/>
      <c r="BA232" s="93"/>
      <c r="BB232" s="638"/>
      <c r="BC232" s="638"/>
      <c r="BD232" s="638"/>
    </row>
    <row r="233" customFormat="false" ht="15.75" hidden="false" customHeight="false" outlineLevel="0" collapsed="false">
      <c r="A233" s="589" t="s">
        <v>1766</v>
      </c>
      <c r="B233" s="589"/>
      <c r="C233" s="589"/>
      <c r="D233" s="597" t="s">
        <v>810</v>
      </c>
      <c r="E233" s="591" t="s">
        <v>1117</v>
      </c>
      <c r="F233" s="582" t="n">
        <v>5</v>
      </c>
      <c r="G233" s="582" t="n">
        <v>100</v>
      </c>
      <c r="H233" s="592" t="n">
        <v>1</v>
      </c>
      <c r="I233" s="593"/>
      <c r="J233" s="589" t="s">
        <v>1767</v>
      </c>
      <c r="K233" s="589"/>
      <c r="L233" s="589"/>
      <c r="M233" s="641" t="s">
        <v>809</v>
      </c>
      <c r="N233" s="581" t="s">
        <v>1170</v>
      </c>
      <c r="O233" s="582" t="n">
        <v>10</v>
      </c>
      <c r="P233" s="583" t="s">
        <v>1120</v>
      </c>
      <c r="Q233" s="595"/>
      <c r="R233" s="93"/>
      <c r="S233" s="93"/>
      <c r="T233" s="616"/>
      <c r="U233" s="93"/>
      <c r="V233" s="93"/>
      <c r="W233" s="93"/>
      <c r="X233" s="616"/>
      <c r="Y233" s="93"/>
      <c r="Z233" s="93"/>
      <c r="AA233" s="93"/>
      <c r="AB233" s="616"/>
      <c r="AC233" s="93"/>
      <c r="AD233" s="93"/>
      <c r="AE233" s="93"/>
      <c r="AF233" s="616"/>
      <c r="AG233" s="93"/>
      <c r="AH233" s="93"/>
      <c r="AI233" s="93"/>
      <c r="AJ233" s="616"/>
      <c r="AK233" s="93"/>
      <c r="AL233" s="93"/>
      <c r="AM233" s="93"/>
      <c r="AN233" s="616"/>
      <c r="AO233" s="93"/>
      <c r="AP233" s="93"/>
      <c r="AQ233" s="93"/>
      <c r="AR233" s="616"/>
      <c r="AS233" s="93"/>
      <c r="AT233" s="93"/>
      <c r="AU233" s="93"/>
      <c r="AV233" s="616"/>
      <c r="AW233" s="93"/>
      <c r="AX233" s="93"/>
      <c r="AY233" s="93"/>
      <c r="AZ233" s="93"/>
      <c r="BA233" s="93"/>
      <c r="BB233" s="638"/>
      <c r="BC233" s="638"/>
      <c r="BD233" s="638"/>
    </row>
    <row r="234" customFormat="false" ht="15.75" hidden="false" customHeight="false" outlineLevel="0" collapsed="false">
      <c r="A234" s="589" t="s">
        <v>1768</v>
      </c>
      <c r="B234" s="589"/>
      <c r="C234" s="589"/>
      <c r="D234" s="610" t="s">
        <v>839</v>
      </c>
      <c r="E234" s="591" t="s">
        <v>1117</v>
      </c>
      <c r="F234" s="582" t="n">
        <v>10</v>
      </c>
      <c r="G234" s="582" t="s">
        <v>1769</v>
      </c>
      <c r="H234" s="592" t="n">
        <v>0.9</v>
      </c>
      <c r="I234" s="593"/>
      <c r="J234" s="589" t="s">
        <v>1770</v>
      </c>
      <c r="K234" s="589"/>
      <c r="L234" s="589"/>
      <c r="M234" s="642" t="s">
        <v>800</v>
      </c>
      <c r="N234" s="581" t="s">
        <v>1166</v>
      </c>
      <c r="O234" s="582" t="n">
        <v>15</v>
      </c>
      <c r="P234" s="592" t="n">
        <v>0.85</v>
      </c>
      <c r="Q234" s="595"/>
      <c r="R234" s="93"/>
      <c r="S234" s="93"/>
      <c r="T234" s="616"/>
      <c r="U234" s="93"/>
      <c r="V234" s="93"/>
      <c r="W234" s="93"/>
      <c r="X234" s="616"/>
      <c r="Y234" s="93"/>
      <c r="Z234" s="93"/>
      <c r="AA234" s="93"/>
      <c r="AB234" s="616"/>
      <c r="AC234" s="93"/>
      <c r="AD234" s="93"/>
      <c r="AE234" s="93"/>
      <c r="AF234" s="616"/>
      <c r="AG234" s="93"/>
      <c r="AH234" s="93"/>
      <c r="AI234" s="93"/>
      <c r="AJ234" s="616"/>
      <c r="AK234" s="93"/>
      <c r="AL234" s="93"/>
      <c r="AM234" s="93"/>
      <c r="AN234" s="616"/>
      <c r="AO234" s="93"/>
      <c r="AP234" s="93"/>
      <c r="AQ234" s="93"/>
      <c r="AR234" s="616"/>
      <c r="AS234" s="93"/>
      <c r="AT234" s="93"/>
      <c r="AU234" s="93"/>
      <c r="AV234" s="616"/>
      <c r="AW234" s="93"/>
      <c r="AX234" s="93"/>
      <c r="AY234" s="93"/>
      <c r="AZ234" s="93"/>
      <c r="BA234" s="93"/>
      <c r="BB234" s="638"/>
      <c r="BC234" s="638"/>
      <c r="BD234" s="638"/>
    </row>
    <row r="235" customFormat="false" ht="15.75" hidden="false" customHeight="false" outlineLevel="0" collapsed="false">
      <c r="A235" s="589" t="s">
        <v>1771</v>
      </c>
      <c r="B235" s="589"/>
      <c r="C235" s="589"/>
      <c r="D235" s="600" t="s">
        <v>881</v>
      </c>
      <c r="E235" s="591" t="s">
        <v>1117</v>
      </c>
      <c r="F235" s="582" t="n">
        <v>5</v>
      </c>
      <c r="G235" s="582" t="n">
        <v>120</v>
      </c>
      <c r="H235" s="592" t="n">
        <v>1</v>
      </c>
      <c r="I235" s="593"/>
      <c r="J235" s="589" t="s">
        <v>1772</v>
      </c>
      <c r="K235" s="589"/>
      <c r="L235" s="589"/>
      <c r="M235" s="594" t="s">
        <v>839</v>
      </c>
      <c r="N235" s="581" t="s">
        <v>1149</v>
      </c>
      <c r="O235" s="582" t="n">
        <v>10</v>
      </c>
      <c r="P235" s="583" t="s">
        <v>1120</v>
      </c>
      <c r="Q235" s="595"/>
      <c r="R235" s="93"/>
      <c r="S235" s="93"/>
      <c r="T235" s="616"/>
      <c r="U235" s="93"/>
      <c r="V235" s="93"/>
      <c r="W235" s="93"/>
      <c r="X235" s="616"/>
      <c r="Y235" s="93"/>
      <c r="Z235" s="93"/>
      <c r="AA235" s="93"/>
      <c r="AB235" s="616"/>
      <c r="AC235" s="93"/>
      <c r="AD235" s="93"/>
      <c r="AE235" s="93"/>
      <c r="AF235" s="616"/>
      <c r="AG235" s="93"/>
      <c r="AH235" s="93"/>
      <c r="AI235" s="93"/>
      <c r="AJ235" s="616"/>
      <c r="AK235" s="93"/>
      <c r="AL235" s="93"/>
      <c r="AM235" s="93"/>
      <c r="AN235" s="616"/>
      <c r="AO235" s="93"/>
      <c r="AP235" s="93"/>
      <c r="AQ235" s="93"/>
      <c r="AR235" s="616"/>
      <c r="AS235" s="93"/>
      <c r="AT235" s="93"/>
      <c r="AU235" s="93"/>
      <c r="AV235" s="616"/>
      <c r="AW235" s="93"/>
      <c r="AX235" s="93"/>
      <c r="AY235" s="93"/>
      <c r="AZ235" s="93"/>
      <c r="BA235" s="93"/>
      <c r="BB235" s="638"/>
      <c r="BC235" s="638"/>
      <c r="BD235" s="638"/>
    </row>
    <row r="236" customFormat="false" ht="15.75" hidden="false" customHeight="false" outlineLevel="0" collapsed="false">
      <c r="A236" s="589" t="s">
        <v>1773</v>
      </c>
      <c r="B236" s="589"/>
      <c r="C236" s="589"/>
      <c r="D236" s="610" t="s">
        <v>839</v>
      </c>
      <c r="E236" s="591" t="s">
        <v>1117</v>
      </c>
      <c r="F236" s="582" t="n">
        <v>35</v>
      </c>
      <c r="G236" s="582" t="n">
        <v>40</v>
      </c>
      <c r="H236" s="592" t="n">
        <v>1</v>
      </c>
      <c r="I236" s="593"/>
      <c r="J236" s="589" t="s">
        <v>1774</v>
      </c>
      <c r="K236" s="589"/>
      <c r="L236" s="589"/>
      <c r="M236" s="601" t="s">
        <v>811</v>
      </c>
      <c r="N236" s="581" t="s">
        <v>1119</v>
      </c>
      <c r="O236" s="582" t="n">
        <v>40</v>
      </c>
      <c r="P236" s="583" t="s">
        <v>1120</v>
      </c>
      <c r="Q236" s="595"/>
      <c r="R236" s="93"/>
      <c r="S236" s="93"/>
      <c r="T236" s="616"/>
      <c r="U236" s="93"/>
      <c r="V236" s="93"/>
      <c r="W236" s="93"/>
      <c r="X236" s="616"/>
      <c r="Y236" s="93"/>
      <c r="Z236" s="93"/>
      <c r="AA236" s="93"/>
      <c r="AB236" s="616"/>
      <c r="AC236" s="93"/>
      <c r="AD236" s="93"/>
      <c r="AE236" s="93"/>
      <c r="AF236" s="616"/>
      <c r="AG236" s="93"/>
      <c r="AH236" s="93"/>
      <c r="AI236" s="93"/>
      <c r="AJ236" s="616"/>
      <c r="AK236" s="93"/>
      <c r="AL236" s="93"/>
      <c r="AM236" s="93"/>
      <c r="AN236" s="616"/>
      <c r="AO236" s="93"/>
      <c r="AP236" s="93"/>
      <c r="AQ236" s="93"/>
      <c r="AR236" s="616"/>
      <c r="AS236" s="93"/>
      <c r="AT236" s="93"/>
      <c r="AU236" s="93"/>
      <c r="AV236" s="616"/>
      <c r="AW236" s="93"/>
      <c r="AX236" s="93"/>
      <c r="AY236" s="93"/>
      <c r="AZ236" s="93"/>
      <c r="BA236" s="93"/>
      <c r="BB236" s="638"/>
      <c r="BC236" s="638"/>
      <c r="BD236" s="638"/>
    </row>
    <row r="237" customFormat="false" ht="15.75" hidden="false" customHeight="false" outlineLevel="0" collapsed="false">
      <c r="A237" s="589" t="s">
        <v>1775</v>
      </c>
      <c r="B237" s="589"/>
      <c r="C237" s="589"/>
      <c r="D237" s="610" t="s">
        <v>839</v>
      </c>
      <c r="E237" s="591" t="s">
        <v>1117</v>
      </c>
      <c r="F237" s="582" t="n">
        <v>10</v>
      </c>
      <c r="G237" s="582" t="n">
        <v>25</v>
      </c>
      <c r="H237" s="592" t="n">
        <v>0.85</v>
      </c>
      <c r="I237" s="593"/>
      <c r="J237" s="589" t="s">
        <v>1776</v>
      </c>
      <c r="K237" s="589"/>
      <c r="L237" s="589"/>
      <c r="M237" s="598" t="s">
        <v>828</v>
      </c>
      <c r="N237" s="581" t="s">
        <v>1328</v>
      </c>
      <c r="O237" s="582" t="n">
        <v>10</v>
      </c>
      <c r="P237" s="583" t="s">
        <v>1120</v>
      </c>
      <c r="Q237" s="595"/>
      <c r="R237" s="93"/>
      <c r="S237" s="93"/>
      <c r="T237" s="616"/>
      <c r="U237" s="93"/>
      <c r="V237" s="93"/>
      <c r="W237" s="93"/>
      <c r="X237" s="616"/>
      <c r="Y237" s="93"/>
      <c r="Z237" s="93"/>
      <c r="AA237" s="93"/>
      <c r="AB237" s="616"/>
      <c r="AC237" s="93"/>
      <c r="AD237" s="93"/>
      <c r="AE237" s="93"/>
      <c r="AF237" s="616"/>
      <c r="AG237" s="93"/>
      <c r="AH237" s="93"/>
      <c r="AI237" s="93"/>
      <c r="AJ237" s="616"/>
      <c r="AK237" s="93"/>
      <c r="AL237" s="93"/>
      <c r="AM237" s="93"/>
      <c r="AN237" s="616"/>
      <c r="AO237" s="93"/>
      <c r="AP237" s="93"/>
      <c r="AQ237" s="93"/>
      <c r="AR237" s="616"/>
      <c r="AS237" s="93"/>
      <c r="AT237" s="93"/>
      <c r="AU237" s="93"/>
      <c r="AV237" s="616"/>
      <c r="AW237" s="93"/>
      <c r="AX237" s="93"/>
      <c r="AY237" s="93"/>
      <c r="AZ237" s="93"/>
      <c r="BA237" s="93"/>
      <c r="BB237" s="638"/>
      <c r="BC237" s="638"/>
      <c r="BD237" s="638"/>
    </row>
    <row r="238" customFormat="false" ht="15.75" hidden="false" customHeight="false" outlineLevel="0" collapsed="false">
      <c r="A238" s="589" t="s">
        <v>1777</v>
      </c>
      <c r="B238" s="589"/>
      <c r="C238" s="589"/>
      <c r="D238" s="610" t="s">
        <v>839</v>
      </c>
      <c r="E238" s="591" t="s">
        <v>1117</v>
      </c>
      <c r="F238" s="582" t="n">
        <v>20</v>
      </c>
      <c r="G238" s="582" t="n">
        <v>90</v>
      </c>
      <c r="H238" s="592" t="n">
        <v>0.85</v>
      </c>
      <c r="I238" s="593"/>
      <c r="J238" s="589" t="s">
        <v>1778</v>
      </c>
      <c r="K238" s="589"/>
      <c r="L238" s="589"/>
      <c r="M238" s="594" t="s">
        <v>839</v>
      </c>
      <c r="N238" s="581" t="s">
        <v>1119</v>
      </c>
      <c r="O238" s="582" t="n">
        <v>30</v>
      </c>
      <c r="P238" s="583" t="s">
        <v>1120</v>
      </c>
      <c r="Q238" s="595"/>
      <c r="R238" s="93"/>
      <c r="S238" s="93"/>
      <c r="T238" s="616"/>
      <c r="U238" s="93"/>
      <c r="V238" s="93"/>
      <c r="W238" s="93"/>
      <c r="X238" s="616"/>
      <c r="Y238" s="93"/>
      <c r="Z238" s="93"/>
      <c r="AA238" s="93"/>
      <c r="AB238" s="616"/>
      <c r="AC238" s="93"/>
      <c r="AD238" s="93"/>
      <c r="AE238" s="93"/>
      <c r="AF238" s="616"/>
      <c r="AG238" s="93"/>
      <c r="AH238" s="93"/>
      <c r="AI238" s="93"/>
      <c r="AJ238" s="616"/>
      <c r="AK238" s="93"/>
      <c r="AL238" s="93"/>
      <c r="AM238" s="93"/>
      <c r="AN238" s="616"/>
      <c r="AO238" s="93"/>
      <c r="AP238" s="93"/>
      <c r="AQ238" s="93"/>
      <c r="AR238" s="616"/>
      <c r="AS238" s="93"/>
      <c r="AT238" s="93"/>
      <c r="AU238" s="93"/>
      <c r="AV238" s="616"/>
      <c r="AW238" s="93"/>
      <c r="AX238" s="93"/>
      <c r="AY238" s="93"/>
      <c r="AZ238" s="93"/>
      <c r="BA238" s="93"/>
      <c r="BB238" s="638"/>
      <c r="BC238" s="638"/>
      <c r="BD238" s="638"/>
    </row>
    <row r="239" customFormat="false" ht="15.75" hidden="false" customHeight="false" outlineLevel="0" collapsed="false">
      <c r="A239" s="589" t="s">
        <v>1779</v>
      </c>
      <c r="B239" s="589"/>
      <c r="C239" s="589"/>
      <c r="D239" s="603" t="s">
        <v>795</v>
      </c>
      <c r="E239" s="591" t="s">
        <v>1117</v>
      </c>
      <c r="F239" s="582" t="n">
        <v>25</v>
      </c>
      <c r="G239" s="582" t="n">
        <v>60</v>
      </c>
      <c r="H239" s="592" t="n">
        <v>1</v>
      </c>
      <c r="I239" s="593"/>
      <c r="J239" s="589" t="s">
        <v>1780</v>
      </c>
      <c r="K239" s="589"/>
      <c r="L239" s="589"/>
      <c r="M239" s="604" t="s">
        <v>803</v>
      </c>
      <c r="N239" s="581" t="s">
        <v>1200</v>
      </c>
      <c r="O239" s="582" t="n">
        <v>10</v>
      </c>
      <c r="P239" s="592" t="n">
        <v>1</v>
      </c>
      <c r="Q239" s="595"/>
      <c r="R239" s="93"/>
      <c r="S239" s="93"/>
      <c r="T239" s="616"/>
      <c r="U239" s="93"/>
      <c r="V239" s="93"/>
      <c r="W239" s="93"/>
      <c r="X239" s="616"/>
      <c r="Y239" s="93"/>
      <c r="Z239" s="93"/>
      <c r="AA239" s="93"/>
      <c r="AB239" s="616"/>
      <c r="AC239" s="93"/>
      <c r="AD239" s="93"/>
      <c r="AE239" s="93"/>
      <c r="AF239" s="616"/>
      <c r="AG239" s="93"/>
      <c r="AH239" s="93"/>
      <c r="AI239" s="93"/>
      <c r="AJ239" s="616"/>
      <c r="AK239" s="93"/>
      <c r="AL239" s="93"/>
      <c r="AM239" s="93"/>
      <c r="AN239" s="616"/>
      <c r="AO239" s="93"/>
      <c r="AP239" s="93"/>
      <c r="AQ239" s="93"/>
      <c r="AR239" s="616"/>
      <c r="AS239" s="93"/>
      <c r="AT239" s="93"/>
      <c r="AU239" s="93"/>
      <c r="AV239" s="616"/>
      <c r="AW239" s="93"/>
      <c r="AX239" s="93"/>
      <c r="AY239" s="93"/>
      <c r="AZ239" s="93"/>
      <c r="BA239" s="93"/>
      <c r="BB239" s="638"/>
      <c r="BC239" s="638"/>
      <c r="BD239" s="638"/>
    </row>
    <row r="240" customFormat="false" ht="15.75" hidden="false" customHeight="false" outlineLevel="0" collapsed="false">
      <c r="A240" s="589" t="s">
        <v>1781</v>
      </c>
      <c r="B240" s="589"/>
      <c r="C240" s="589"/>
      <c r="D240" s="620" t="s">
        <v>907</v>
      </c>
      <c r="E240" s="591" t="s">
        <v>1117</v>
      </c>
      <c r="F240" s="582" t="n">
        <v>10</v>
      </c>
      <c r="G240" s="582" t="n">
        <v>90</v>
      </c>
      <c r="H240" s="592" t="n">
        <v>1</v>
      </c>
      <c r="I240" s="593"/>
      <c r="J240" s="656" t="s">
        <v>1782</v>
      </c>
      <c r="K240" s="656"/>
      <c r="L240" s="656"/>
      <c r="M240" s="657" t="s">
        <v>839</v>
      </c>
      <c r="N240" s="658" t="s">
        <v>1166</v>
      </c>
      <c r="O240" s="659" t="n">
        <v>10</v>
      </c>
      <c r="P240" s="660" t="n">
        <v>1</v>
      </c>
      <c r="Q240" s="595"/>
      <c r="R240" s="93"/>
      <c r="S240" s="93"/>
      <c r="T240" s="616"/>
      <c r="U240" s="93"/>
      <c r="V240" s="93"/>
      <c r="W240" s="93"/>
      <c r="X240" s="616"/>
      <c r="Y240" s="93"/>
      <c r="Z240" s="93"/>
      <c r="AA240" s="93"/>
      <c r="AB240" s="616"/>
      <c r="AC240" s="93"/>
      <c r="AD240" s="93"/>
      <c r="AE240" s="93"/>
      <c r="AF240" s="616"/>
      <c r="AG240" s="93"/>
      <c r="AH240" s="93"/>
      <c r="AI240" s="93"/>
      <c r="AJ240" s="616"/>
      <c r="AK240" s="93"/>
      <c r="AL240" s="93"/>
      <c r="AM240" s="93"/>
      <c r="AN240" s="616"/>
      <c r="AO240" s="93"/>
      <c r="AP240" s="93"/>
      <c r="AQ240" s="93"/>
      <c r="AR240" s="616"/>
      <c r="AS240" s="93"/>
      <c r="AT240" s="93"/>
      <c r="AU240" s="93"/>
      <c r="AV240" s="616"/>
      <c r="AW240" s="93"/>
      <c r="AX240" s="93"/>
      <c r="AY240" s="93"/>
      <c r="AZ240" s="93"/>
      <c r="BA240" s="93"/>
      <c r="BB240" s="638"/>
      <c r="BC240" s="638"/>
      <c r="BD240" s="638"/>
    </row>
    <row r="241" customFormat="false" ht="15.75" hidden="false" customHeight="false" outlineLevel="0" collapsed="false">
      <c r="A241" s="589" t="s">
        <v>1783</v>
      </c>
      <c r="B241" s="589"/>
      <c r="C241" s="589"/>
      <c r="D241" s="620" t="s">
        <v>907</v>
      </c>
      <c r="E241" s="591" t="s">
        <v>1117</v>
      </c>
      <c r="F241" s="582" t="n">
        <v>10</v>
      </c>
      <c r="G241" s="582" t="n">
        <v>90</v>
      </c>
      <c r="H241" s="592" t="n">
        <v>1</v>
      </c>
      <c r="I241" s="595"/>
      <c r="J241" s="44"/>
      <c r="K241" s="44"/>
      <c r="L241" s="44"/>
      <c r="M241" s="44"/>
      <c r="N241" s="44"/>
      <c r="O241" s="44"/>
      <c r="P241" s="44"/>
      <c r="Q241" s="595"/>
      <c r="R241" s="93"/>
      <c r="S241" s="93"/>
      <c r="T241" s="616"/>
      <c r="U241" s="93"/>
      <c r="V241" s="93"/>
      <c r="W241" s="93"/>
      <c r="X241" s="616"/>
      <c r="Y241" s="93"/>
      <c r="Z241" s="93"/>
      <c r="AA241" s="93"/>
      <c r="AB241" s="616"/>
      <c r="AC241" s="93"/>
      <c r="AD241" s="93"/>
      <c r="AE241" s="93"/>
      <c r="AF241" s="616"/>
      <c r="AG241" s="93"/>
      <c r="AH241" s="93"/>
      <c r="AI241" s="93"/>
      <c r="AJ241" s="616"/>
      <c r="AK241" s="93"/>
      <c r="AL241" s="93"/>
      <c r="AM241" s="93"/>
      <c r="AN241" s="616"/>
      <c r="AO241" s="93"/>
      <c r="AP241" s="93"/>
      <c r="AQ241" s="93"/>
      <c r="AR241" s="616"/>
      <c r="AS241" s="93"/>
      <c r="AT241" s="93"/>
      <c r="AU241" s="93"/>
      <c r="AV241" s="616"/>
      <c r="AW241" s="93"/>
      <c r="AX241" s="93"/>
      <c r="AY241" s="93"/>
      <c r="AZ241" s="93"/>
      <c r="BA241" s="93"/>
      <c r="BB241" s="638"/>
      <c r="BC241" s="638"/>
      <c r="BD241" s="638"/>
    </row>
    <row r="242" customFormat="false" ht="15.75" hidden="false" customHeight="false" outlineLevel="0" collapsed="false">
      <c r="A242" s="589" t="s">
        <v>1784</v>
      </c>
      <c r="B242" s="589"/>
      <c r="C242" s="589"/>
      <c r="D242" s="610" t="s">
        <v>839</v>
      </c>
      <c r="E242" s="591" t="s">
        <v>1117</v>
      </c>
      <c r="F242" s="582" t="n">
        <v>10</v>
      </c>
      <c r="G242" s="582" t="n">
        <v>120</v>
      </c>
      <c r="H242" s="592" t="n">
        <v>1</v>
      </c>
      <c r="I242" s="595"/>
      <c r="J242" s="44"/>
      <c r="K242" s="44"/>
      <c r="L242" s="44"/>
      <c r="M242" s="44"/>
      <c r="N242" s="44"/>
      <c r="O242" s="44"/>
      <c r="P242" s="44"/>
      <c r="Q242" s="595"/>
      <c r="R242" s="93"/>
      <c r="S242" s="93"/>
      <c r="T242" s="616"/>
      <c r="U242" s="93"/>
      <c r="V242" s="93"/>
      <c r="W242" s="93"/>
      <c r="X242" s="616"/>
      <c r="Y242" s="93"/>
      <c r="Z242" s="93"/>
      <c r="AA242" s="93"/>
      <c r="AB242" s="616"/>
      <c r="AC242" s="93"/>
      <c r="AD242" s="93"/>
      <c r="AE242" s="93"/>
      <c r="AF242" s="616"/>
      <c r="AG242" s="93"/>
      <c r="AH242" s="93"/>
      <c r="AI242" s="93"/>
      <c r="AJ242" s="616"/>
      <c r="AK242" s="93"/>
      <c r="AL242" s="93"/>
      <c r="AM242" s="93"/>
      <c r="AN242" s="616"/>
      <c r="AO242" s="93"/>
      <c r="AP242" s="93"/>
      <c r="AQ242" s="93"/>
      <c r="AR242" s="616"/>
      <c r="AS242" s="93"/>
      <c r="AT242" s="93"/>
      <c r="AU242" s="93"/>
      <c r="AV242" s="616"/>
      <c r="AW242" s="93"/>
      <c r="AX242" s="93"/>
      <c r="AY242" s="93"/>
      <c r="AZ242" s="93"/>
      <c r="BA242" s="93"/>
      <c r="BB242" s="638"/>
      <c r="BC242" s="638"/>
      <c r="BD242" s="638"/>
    </row>
    <row r="243" customFormat="false" ht="15.75" hidden="false" customHeight="false" outlineLevel="0" collapsed="false">
      <c r="A243" s="589" t="s">
        <v>1785</v>
      </c>
      <c r="B243" s="589"/>
      <c r="C243" s="589"/>
      <c r="D243" s="603" t="s">
        <v>795</v>
      </c>
      <c r="E243" s="591" t="s">
        <v>1117</v>
      </c>
      <c r="F243" s="582" t="n">
        <v>15</v>
      </c>
      <c r="G243" s="582" t="n">
        <v>80</v>
      </c>
      <c r="H243" s="592" t="n">
        <v>1</v>
      </c>
      <c r="I243" s="595"/>
      <c r="J243" s="44"/>
      <c r="K243" s="44"/>
      <c r="L243" s="44"/>
      <c r="M243" s="44"/>
      <c r="N243" s="44"/>
      <c r="O243" s="44"/>
      <c r="P243" s="44"/>
      <c r="Q243" s="595"/>
      <c r="R243" s="93"/>
      <c r="S243" s="93"/>
      <c r="T243" s="616"/>
      <c r="U243" s="93"/>
      <c r="V243" s="93"/>
      <c r="W243" s="93"/>
      <c r="X243" s="616"/>
      <c r="Y243" s="93"/>
      <c r="Z243" s="93"/>
      <c r="AA243" s="93"/>
      <c r="AB243" s="616"/>
      <c r="AC243" s="93"/>
      <c r="AD243" s="93"/>
      <c r="AE243" s="93"/>
      <c r="AF243" s="616"/>
      <c r="AG243" s="93"/>
      <c r="AH243" s="93"/>
      <c r="AI243" s="93"/>
      <c r="AJ243" s="616"/>
      <c r="AK243" s="93"/>
      <c r="AL243" s="93"/>
      <c r="AM243" s="93"/>
      <c r="AN243" s="616"/>
      <c r="AO243" s="93"/>
      <c r="AP243" s="93"/>
      <c r="AQ243" s="93"/>
      <c r="AR243" s="616"/>
      <c r="AS243" s="93"/>
      <c r="AT243" s="93"/>
      <c r="AU243" s="93"/>
      <c r="AV243" s="616"/>
      <c r="AW243" s="93"/>
      <c r="AX243" s="93"/>
      <c r="AY243" s="93"/>
      <c r="AZ243" s="93"/>
      <c r="BA243" s="93"/>
      <c r="BB243" s="638"/>
      <c r="BC243" s="638"/>
      <c r="BD243" s="638"/>
    </row>
    <row r="244" customFormat="false" ht="15.75" hidden="false" customHeight="false" outlineLevel="0" collapsed="false">
      <c r="A244" s="589" t="s">
        <v>1786</v>
      </c>
      <c r="B244" s="589"/>
      <c r="C244" s="589"/>
      <c r="D244" s="619" t="s">
        <v>845</v>
      </c>
      <c r="E244" s="591" t="s">
        <v>1117</v>
      </c>
      <c r="F244" s="582" t="n">
        <v>15</v>
      </c>
      <c r="G244" s="582" t="n">
        <v>65</v>
      </c>
      <c r="H244" s="592" t="n">
        <v>0.95</v>
      </c>
      <c r="I244" s="595"/>
      <c r="J244" s="44"/>
      <c r="K244" s="44"/>
      <c r="L244" s="44"/>
      <c r="M244" s="44"/>
      <c r="N244" s="44"/>
      <c r="O244" s="44"/>
      <c r="P244" s="44"/>
      <c r="Q244" s="595"/>
      <c r="R244" s="93"/>
      <c r="S244" s="93"/>
      <c r="T244" s="616"/>
      <c r="U244" s="93"/>
      <c r="V244" s="93"/>
      <c r="W244" s="93"/>
      <c r="X244" s="616"/>
      <c r="Y244" s="93"/>
      <c r="Z244" s="93"/>
      <c r="AA244" s="93"/>
      <c r="AB244" s="616"/>
      <c r="AC244" s="93"/>
      <c r="AD244" s="93"/>
      <c r="AE244" s="93"/>
      <c r="AF244" s="616"/>
      <c r="AG244" s="93"/>
      <c r="AH244" s="93"/>
      <c r="AI244" s="93"/>
      <c r="AJ244" s="616"/>
      <c r="AK244" s="93"/>
      <c r="AL244" s="93"/>
      <c r="AM244" s="93"/>
      <c r="AN244" s="616"/>
      <c r="AO244" s="93"/>
      <c r="AP244" s="93"/>
      <c r="AQ244" s="93"/>
      <c r="AR244" s="616"/>
      <c r="AS244" s="93"/>
      <c r="AT244" s="93"/>
      <c r="AU244" s="93"/>
      <c r="AV244" s="616"/>
      <c r="AW244" s="93"/>
      <c r="AX244" s="93"/>
      <c r="AY244" s="93"/>
      <c r="AZ244" s="93"/>
      <c r="BA244" s="93"/>
      <c r="BB244" s="638"/>
      <c r="BC244" s="638"/>
      <c r="BD244" s="638"/>
    </row>
    <row r="245" customFormat="false" ht="15.75" hidden="false" customHeight="false" outlineLevel="0" collapsed="false">
      <c r="A245" s="589" t="s">
        <v>1787</v>
      </c>
      <c r="B245" s="589"/>
      <c r="C245" s="589"/>
      <c r="D245" s="619" t="s">
        <v>845</v>
      </c>
      <c r="E245" s="591" t="s">
        <v>1117</v>
      </c>
      <c r="F245" s="582" t="n">
        <v>15</v>
      </c>
      <c r="G245" s="582" t="n">
        <v>75</v>
      </c>
      <c r="H245" s="592" t="n">
        <v>1</v>
      </c>
      <c r="I245" s="595"/>
      <c r="J245" s="44"/>
      <c r="K245" s="44"/>
      <c r="L245" s="44"/>
      <c r="M245" s="44"/>
      <c r="N245" s="44"/>
      <c r="O245" s="44"/>
      <c r="P245" s="661"/>
      <c r="Q245" s="595"/>
      <c r="R245" s="93"/>
      <c r="S245" s="93"/>
      <c r="T245" s="616"/>
      <c r="U245" s="93"/>
      <c r="V245" s="93"/>
      <c r="W245" s="93"/>
      <c r="X245" s="616"/>
      <c r="Y245" s="93"/>
      <c r="Z245" s="93"/>
      <c r="AA245" s="93"/>
      <c r="AB245" s="616"/>
      <c r="AC245" s="93"/>
      <c r="AD245" s="93"/>
      <c r="AE245" s="93"/>
      <c r="AF245" s="616"/>
      <c r="AG245" s="93"/>
      <c r="AH245" s="93"/>
      <c r="AI245" s="93"/>
      <c r="AJ245" s="616"/>
      <c r="AK245" s="93"/>
      <c r="AL245" s="93"/>
      <c r="AM245" s="93"/>
      <c r="AN245" s="616"/>
      <c r="AO245" s="93"/>
      <c r="AP245" s="93"/>
      <c r="AQ245" s="93"/>
      <c r="AR245" s="616"/>
      <c r="AS245" s="93"/>
      <c r="AT245" s="93"/>
      <c r="AU245" s="93"/>
      <c r="AV245" s="616"/>
      <c r="AW245" s="93"/>
      <c r="AX245" s="93"/>
      <c r="AY245" s="93"/>
      <c r="AZ245" s="93"/>
      <c r="BA245" s="93"/>
      <c r="BB245" s="638"/>
      <c r="BC245" s="638"/>
      <c r="BD245" s="638"/>
    </row>
    <row r="246" customFormat="false" ht="15.75" hidden="false" customHeight="false" outlineLevel="0" collapsed="false">
      <c r="A246" s="589" t="s">
        <v>1788</v>
      </c>
      <c r="B246" s="589"/>
      <c r="C246" s="589"/>
      <c r="D246" s="600" t="s">
        <v>881</v>
      </c>
      <c r="E246" s="591" t="s">
        <v>1117</v>
      </c>
      <c r="F246" s="582" t="n">
        <v>10</v>
      </c>
      <c r="G246" s="582" t="n">
        <v>10</v>
      </c>
      <c r="H246" s="592" t="n">
        <v>0.9</v>
      </c>
      <c r="I246" s="595"/>
      <c r="J246" s="44"/>
      <c r="K246" s="44"/>
      <c r="L246" s="44"/>
      <c r="M246" s="44"/>
      <c r="N246" s="44"/>
      <c r="O246" s="44"/>
      <c r="P246" s="661"/>
      <c r="Q246" s="595"/>
      <c r="R246" s="93"/>
      <c r="S246" s="93"/>
      <c r="T246" s="616"/>
      <c r="U246" s="93"/>
      <c r="V246" s="93"/>
      <c r="W246" s="93"/>
      <c r="X246" s="616"/>
      <c r="Y246" s="93"/>
      <c r="Z246" s="93"/>
      <c r="AA246" s="93"/>
      <c r="AB246" s="616"/>
      <c r="AC246" s="93"/>
      <c r="AD246" s="93"/>
      <c r="AE246" s="93"/>
      <c r="AF246" s="616"/>
      <c r="AG246" s="93"/>
      <c r="AH246" s="93"/>
      <c r="AI246" s="93"/>
      <c r="AJ246" s="616"/>
      <c r="AK246" s="93"/>
      <c r="AL246" s="93"/>
      <c r="AM246" s="93"/>
      <c r="AN246" s="616"/>
      <c r="AO246" s="93"/>
      <c r="AP246" s="93"/>
      <c r="AQ246" s="93"/>
      <c r="AR246" s="616"/>
      <c r="AS246" s="93"/>
      <c r="AT246" s="93"/>
      <c r="AU246" s="93"/>
      <c r="AV246" s="616"/>
      <c r="AW246" s="93"/>
      <c r="AX246" s="93"/>
      <c r="AY246" s="93"/>
      <c r="AZ246" s="93"/>
      <c r="BA246" s="93"/>
      <c r="BB246" s="638"/>
      <c r="BC246" s="638"/>
      <c r="BD246" s="638"/>
    </row>
    <row r="247" customFormat="false" ht="15.75" hidden="false" customHeight="false" outlineLevel="0" collapsed="false">
      <c r="A247" s="589" t="s">
        <v>1789</v>
      </c>
      <c r="B247" s="589"/>
      <c r="C247" s="589"/>
      <c r="D247" s="624" t="s">
        <v>803</v>
      </c>
      <c r="E247" s="591" t="s">
        <v>1117</v>
      </c>
      <c r="F247" s="582" t="n">
        <v>15</v>
      </c>
      <c r="G247" s="582" t="n">
        <v>70</v>
      </c>
      <c r="H247" s="592" t="n">
        <v>1</v>
      </c>
      <c r="I247" s="595"/>
      <c r="J247" s="44"/>
      <c r="K247" s="44"/>
      <c r="L247" s="44"/>
      <c r="M247" s="44"/>
      <c r="N247" s="44"/>
      <c r="O247" s="44"/>
      <c r="P247" s="661"/>
      <c r="Q247" s="595"/>
      <c r="R247" s="93"/>
      <c r="S247" s="93"/>
      <c r="T247" s="616"/>
      <c r="U247" s="93"/>
      <c r="V247" s="93"/>
      <c r="W247" s="93"/>
      <c r="X247" s="616"/>
      <c r="Y247" s="93"/>
      <c r="Z247" s="93"/>
      <c r="AA247" s="93"/>
      <c r="AB247" s="616"/>
      <c r="AC247" s="93"/>
      <c r="AD247" s="93"/>
      <c r="AE247" s="93"/>
      <c r="AF247" s="616"/>
      <c r="AG247" s="93"/>
      <c r="AH247" s="93"/>
      <c r="AI247" s="93"/>
      <c r="AJ247" s="616"/>
      <c r="AK247" s="93"/>
      <c r="AL247" s="93"/>
      <c r="AM247" s="93"/>
      <c r="AN247" s="616"/>
      <c r="AO247" s="93"/>
      <c r="AP247" s="93"/>
      <c r="AQ247" s="93"/>
      <c r="AR247" s="616"/>
      <c r="AS247" s="93"/>
      <c r="AT247" s="93"/>
      <c r="AU247" s="93"/>
      <c r="AV247" s="616"/>
      <c r="AW247" s="93"/>
      <c r="AX247" s="93"/>
      <c r="AY247" s="93"/>
      <c r="AZ247" s="93"/>
      <c r="BA247" s="93"/>
      <c r="BB247" s="638"/>
      <c r="BC247" s="638"/>
      <c r="BD247" s="638"/>
    </row>
    <row r="248" customFormat="false" ht="15.75" hidden="false" customHeight="false" outlineLevel="0" collapsed="false">
      <c r="A248" s="589" t="s">
        <v>1790</v>
      </c>
      <c r="B248" s="589"/>
      <c r="C248" s="589"/>
      <c r="D248" s="607" t="s">
        <v>794</v>
      </c>
      <c r="E248" s="591" t="s">
        <v>1117</v>
      </c>
      <c r="F248" s="582" t="n">
        <v>20</v>
      </c>
      <c r="G248" s="582" t="n">
        <v>25</v>
      </c>
      <c r="H248" s="592" t="n">
        <v>1</v>
      </c>
      <c r="I248" s="595"/>
      <c r="J248" s="44"/>
      <c r="K248" s="44"/>
      <c r="L248" s="44"/>
      <c r="M248" s="44"/>
      <c r="N248" s="44"/>
      <c r="O248" s="44"/>
      <c r="P248" s="661"/>
      <c r="Q248" s="595"/>
      <c r="R248" s="93"/>
      <c r="S248" s="93"/>
      <c r="T248" s="616"/>
      <c r="U248" s="93"/>
      <c r="V248" s="93"/>
      <c r="W248" s="93"/>
      <c r="X248" s="616"/>
      <c r="Y248" s="93"/>
      <c r="Z248" s="93"/>
      <c r="AA248" s="93"/>
      <c r="AB248" s="616"/>
      <c r="AC248" s="93"/>
      <c r="AD248" s="93"/>
      <c r="AE248" s="93"/>
      <c r="AF248" s="616"/>
      <c r="AG248" s="93"/>
      <c r="AH248" s="93"/>
      <c r="AI248" s="93"/>
      <c r="AJ248" s="616"/>
      <c r="AK248" s="93"/>
      <c r="AL248" s="93"/>
      <c r="AM248" s="93"/>
      <c r="AN248" s="616"/>
      <c r="AO248" s="93"/>
      <c r="AP248" s="93"/>
      <c r="AQ248" s="93"/>
      <c r="AR248" s="616"/>
      <c r="AS248" s="93"/>
      <c r="AT248" s="93"/>
      <c r="AU248" s="93"/>
      <c r="AV248" s="616"/>
      <c r="AW248" s="93"/>
      <c r="AX248" s="93"/>
      <c r="AY248" s="93"/>
      <c r="AZ248" s="93"/>
      <c r="BA248" s="93"/>
      <c r="BB248" s="638"/>
      <c r="BC248" s="638"/>
      <c r="BD248" s="638"/>
    </row>
    <row r="249" customFormat="false" ht="15.75" hidden="false" customHeight="false" outlineLevel="0" collapsed="false">
      <c r="A249" s="589" t="s">
        <v>1791</v>
      </c>
      <c r="B249" s="589"/>
      <c r="C249" s="589"/>
      <c r="D249" s="607" t="s">
        <v>794</v>
      </c>
      <c r="E249" s="591" t="s">
        <v>1117</v>
      </c>
      <c r="F249" s="582" t="n">
        <v>20</v>
      </c>
      <c r="G249" s="582" t="n">
        <v>70</v>
      </c>
      <c r="H249" s="592" t="n">
        <v>1</v>
      </c>
      <c r="I249" s="595"/>
      <c r="J249" s="44"/>
      <c r="K249" s="44"/>
      <c r="L249" s="44"/>
      <c r="M249" s="44"/>
      <c r="N249" s="44"/>
      <c r="O249" s="44"/>
      <c r="P249" s="44"/>
      <c r="Q249" s="595"/>
      <c r="R249" s="93"/>
      <c r="S249" s="93"/>
      <c r="T249" s="616"/>
      <c r="U249" s="93"/>
      <c r="V249" s="93"/>
      <c r="W249" s="93"/>
      <c r="X249" s="616"/>
      <c r="Y249" s="93"/>
      <c r="Z249" s="93"/>
      <c r="AA249" s="93"/>
      <c r="AB249" s="616"/>
      <c r="AC249" s="93"/>
      <c r="AD249" s="93"/>
      <c r="AE249" s="93"/>
      <c r="AF249" s="616"/>
      <c r="AG249" s="93"/>
      <c r="AH249" s="93"/>
      <c r="AI249" s="93"/>
      <c r="AJ249" s="616"/>
      <c r="AK249" s="93"/>
      <c r="AL249" s="93"/>
      <c r="AM249" s="93"/>
      <c r="AN249" s="616"/>
      <c r="AO249" s="93"/>
      <c r="AP249" s="93"/>
      <c r="AQ249" s="93"/>
      <c r="AR249" s="616"/>
      <c r="AS249" s="93"/>
      <c r="AT249" s="93"/>
      <c r="AU249" s="93"/>
      <c r="AV249" s="616"/>
      <c r="AW249" s="93"/>
      <c r="AX249" s="93"/>
      <c r="AY249" s="93"/>
      <c r="AZ249" s="93"/>
      <c r="BA249" s="93"/>
      <c r="BB249" s="638"/>
      <c r="BC249" s="638"/>
      <c r="BD249" s="638"/>
    </row>
    <row r="250" customFormat="false" ht="15.75" hidden="false" customHeight="false" outlineLevel="0" collapsed="false">
      <c r="A250" s="589" t="s">
        <v>1792</v>
      </c>
      <c r="B250" s="589"/>
      <c r="C250" s="589"/>
      <c r="D250" s="618" t="s">
        <v>800</v>
      </c>
      <c r="E250" s="591" t="s">
        <v>1117</v>
      </c>
      <c r="F250" s="582" t="n">
        <v>5</v>
      </c>
      <c r="G250" s="582" t="n">
        <v>180</v>
      </c>
      <c r="H250" s="592" t="n">
        <v>0.95</v>
      </c>
      <c r="I250" s="595"/>
      <c r="J250" s="44"/>
      <c r="K250" s="44"/>
      <c r="L250" s="44"/>
      <c r="M250" s="44"/>
      <c r="N250" s="44"/>
      <c r="O250" s="44"/>
      <c r="P250" s="661"/>
      <c r="Q250" s="595"/>
      <c r="R250" s="93"/>
      <c r="S250" s="93"/>
      <c r="T250" s="616"/>
      <c r="U250" s="93"/>
      <c r="V250" s="93"/>
      <c r="W250" s="93"/>
      <c r="X250" s="616"/>
      <c r="Y250" s="93"/>
      <c r="Z250" s="93"/>
      <c r="AA250" s="93"/>
      <c r="AB250" s="616"/>
      <c r="AC250" s="93"/>
      <c r="AD250" s="93"/>
      <c r="AE250" s="93"/>
      <c r="AF250" s="616"/>
      <c r="AG250" s="93"/>
      <c r="AH250" s="93"/>
      <c r="AI250" s="93"/>
      <c r="AJ250" s="616"/>
      <c r="AK250" s="93"/>
      <c r="AL250" s="93"/>
      <c r="AM250" s="93"/>
      <c r="AN250" s="616"/>
      <c r="AO250" s="93"/>
      <c r="AP250" s="93"/>
      <c r="AQ250" s="93"/>
      <c r="AR250" s="616"/>
      <c r="AS250" s="93"/>
      <c r="AT250" s="93"/>
      <c r="AU250" s="93"/>
      <c r="AV250" s="616"/>
      <c r="AW250" s="93"/>
      <c r="AX250" s="93"/>
      <c r="AY250" s="93"/>
      <c r="AZ250" s="93"/>
      <c r="BA250" s="93"/>
      <c r="BB250" s="638"/>
      <c r="BC250" s="638"/>
      <c r="BD250" s="638"/>
    </row>
    <row r="251" customFormat="false" ht="15.75" hidden="false" customHeight="false" outlineLevel="0" collapsed="false">
      <c r="A251" s="589" t="s">
        <v>1793</v>
      </c>
      <c r="B251" s="589"/>
      <c r="C251" s="589"/>
      <c r="D251" s="610" t="s">
        <v>839</v>
      </c>
      <c r="E251" s="591" t="s">
        <v>1117</v>
      </c>
      <c r="F251" s="582" t="n">
        <v>30</v>
      </c>
      <c r="G251" s="582" t="n">
        <v>55</v>
      </c>
      <c r="H251" s="592" t="n">
        <v>1</v>
      </c>
      <c r="I251" s="595"/>
      <c r="J251" s="44"/>
      <c r="K251" s="44"/>
      <c r="L251" s="44"/>
      <c r="M251" s="44"/>
      <c r="N251" s="44"/>
      <c r="O251" s="44"/>
      <c r="P251" s="661"/>
      <c r="Q251" s="595"/>
      <c r="R251" s="93"/>
      <c r="S251" s="93"/>
      <c r="T251" s="616"/>
      <c r="U251" s="93"/>
      <c r="V251" s="93"/>
      <c r="W251" s="93"/>
      <c r="X251" s="616"/>
      <c r="Y251" s="93"/>
      <c r="Z251" s="93"/>
      <c r="AA251" s="93"/>
      <c r="AB251" s="616"/>
      <c r="AC251" s="93"/>
      <c r="AD251" s="93"/>
      <c r="AE251" s="93"/>
      <c r="AF251" s="616"/>
      <c r="AG251" s="93"/>
      <c r="AH251" s="93"/>
      <c r="AI251" s="93"/>
      <c r="AJ251" s="616"/>
      <c r="AK251" s="93"/>
      <c r="AL251" s="93"/>
      <c r="AM251" s="93"/>
      <c r="AN251" s="616"/>
      <c r="AO251" s="93"/>
      <c r="AP251" s="93"/>
      <c r="AQ251" s="93"/>
      <c r="AR251" s="616"/>
      <c r="AS251" s="93"/>
      <c r="AT251" s="93"/>
      <c r="AU251" s="93"/>
      <c r="AV251" s="616"/>
      <c r="AW251" s="93"/>
      <c r="AX251" s="93"/>
      <c r="AY251" s="93"/>
      <c r="AZ251" s="93"/>
      <c r="BA251" s="93"/>
      <c r="BB251" s="638"/>
      <c r="BC251" s="638"/>
      <c r="BD251" s="638"/>
    </row>
    <row r="252" customFormat="false" ht="15.75" hidden="false" customHeight="false" outlineLevel="0" collapsed="false">
      <c r="A252" s="589" t="s">
        <v>1794</v>
      </c>
      <c r="B252" s="589"/>
      <c r="C252" s="589"/>
      <c r="D252" s="624" t="s">
        <v>803</v>
      </c>
      <c r="E252" s="591" t="s">
        <v>1117</v>
      </c>
      <c r="F252" s="582" t="n">
        <v>25</v>
      </c>
      <c r="G252" s="582" t="n">
        <v>45</v>
      </c>
      <c r="H252" s="592" t="n">
        <v>1</v>
      </c>
      <c r="I252" s="595"/>
      <c r="J252" s="44"/>
      <c r="K252" s="44"/>
      <c r="L252" s="44"/>
      <c r="M252" s="44"/>
      <c r="N252" s="44"/>
      <c r="O252" s="44"/>
      <c r="P252" s="661"/>
      <c r="Q252" s="595"/>
      <c r="R252" s="93"/>
      <c r="S252" s="93"/>
      <c r="T252" s="616"/>
      <c r="U252" s="93"/>
      <c r="V252" s="93"/>
      <c r="W252" s="93"/>
      <c r="X252" s="616"/>
      <c r="Y252" s="93"/>
      <c r="Z252" s="93"/>
      <c r="AA252" s="93"/>
      <c r="AB252" s="616"/>
      <c r="AC252" s="93"/>
      <c r="AD252" s="93"/>
      <c r="AE252" s="93"/>
      <c r="AF252" s="616"/>
      <c r="AG252" s="93"/>
      <c r="AH252" s="93"/>
      <c r="AI252" s="93"/>
      <c r="AJ252" s="616"/>
      <c r="AK252" s="93"/>
      <c r="AL252" s="93"/>
      <c r="AM252" s="93"/>
      <c r="AN252" s="616"/>
      <c r="AO252" s="93"/>
      <c r="AP252" s="93"/>
      <c r="AQ252" s="93"/>
      <c r="AR252" s="616"/>
      <c r="AS252" s="93"/>
      <c r="AT252" s="93"/>
      <c r="AU252" s="93"/>
      <c r="AV252" s="616"/>
      <c r="AW252" s="93"/>
      <c r="AX252" s="93"/>
      <c r="AY252" s="93"/>
      <c r="AZ252" s="93"/>
      <c r="BA252" s="93"/>
      <c r="BB252" s="638"/>
      <c r="BC252" s="638"/>
      <c r="BD252" s="638"/>
    </row>
    <row r="253" customFormat="false" ht="15.75" hidden="false" customHeight="false" outlineLevel="0" collapsed="false">
      <c r="A253" s="589" t="s">
        <v>1795</v>
      </c>
      <c r="B253" s="589"/>
      <c r="C253" s="589"/>
      <c r="D253" s="600" t="s">
        <v>881</v>
      </c>
      <c r="E253" s="591" t="s">
        <v>1117</v>
      </c>
      <c r="F253" s="582" t="n">
        <v>10</v>
      </c>
      <c r="G253" s="582" t="n">
        <v>70</v>
      </c>
      <c r="H253" s="583" t="s">
        <v>1120</v>
      </c>
      <c r="I253" s="595"/>
      <c r="J253" s="44"/>
      <c r="K253" s="44"/>
      <c r="L253" s="44"/>
      <c r="M253" s="44"/>
      <c r="N253" s="44"/>
      <c r="O253" s="44"/>
      <c r="P253" s="661"/>
      <c r="Q253" s="595"/>
      <c r="R253" s="93"/>
      <c r="S253" s="93"/>
      <c r="T253" s="616"/>
      <c r="U253" s="93"/>
      <c r="V253" s="93"/>
      <c r="W253" s="93"/>
      <c r="X253" s="616"/>
      <c r="Y253" s="93"/>
      <c r="Z253" s="93"/>
      <c r="AA253" s="93"/>
      <c r="AB253" s="616"/>
      <c r="AC253" s="93"/>
      <c r="AD253" s="93"/>
      <c r="AE253" s="93"/>
      <c r="AF253" s="616"/>
      <c r="AG253" s="93"/>
      <c r="AH253" s="93"/>
      <c r="AI253" s="93"/>
      <c r="AJ253" s="616"/>
      <c r="AK253" s="93"/>
      <c r="AL253" s="93"/>
      <c r="AM253" s="93"/>
      <c r="AN253" s="616"/>
      <c r="AO253" s="93"/>
      <c r="AP253" s="93"/>
      <c r="AQ253" s="93"/>
      <c r="AR253" s="616"/>
      <c r="AS253" s="93"/>
      <c r="AT253" s="93"/>
      <c r="AU253" s="93"/>
      <c r="AV253" s="616"/>
      <c r="AW253" s="93"/>
      <c r="AX253" s="93"/>
      <c r="AY253" s="93"/>
      <c r="AZ253" s="93"/>
      <c r="BA253" s="93"/>
      <c r="BB253" s="638"/>
      <c r="BC253" s="638"/>
      <c r="BD253" s="638"/>
    </row>
    <row r="254" customFormat="false" ht="15.75" hidden="false" customHeight="false" outlineLevel="0" collapsed="false">
      <c r="A254" s="589" t="s">
        <v>1796</v>
      </c>
      <c r="B254" s="589"/>
      <c r="C254" s="589"/>
      <c r="D254" s="619" t="s">
        <v>845</v>
      </c>
      <c r="E254" s="591" t="s">
        <v>1117</v>
      </c>
      <c r="F254" s="582" t="n">
        <v>15</v>
      </c>
      <c r="G254" s="582" t="n">
        <v>120</v>
      </c>
      <c r="H254" s="592" t="n">
        <v>1</v>
      </c>
      <c r="I254" s="595"/>
      <c r="J254" s="44"/>
      <c r="K254" s="44"/>
      <c r="L254" s="44"/>
      <c r="M254" s="44"/>
      <c r="N254" s="44"/>
      <c r="O254" s="44"/>
      <c r="P254" s="44"/>
      <c r="Q254" s="595"/>
      <c r="R254" s="93"/>
      <c r="S254" s="93"/>
      <c r="T254" s="616"/>
      <c r="U254" s="93"/>
      <c r="V254" s="93"/>
      <c r="W254" s="93"/>
      <c r="X254" s="616"/>
      <c r="Y254" s="93"/>
      <c r="Z254" s="93"/>
      <c r="AA254" s="93"/>
      <c r="AB254" s="616"/>
      <c r="AC254" s="93"/>
      <c r="AD254" s="93"/>
      <c r="AE254" s="93"/>
      <c r="AF254" s="616"/>
      <c r="AG254" s="93"/>
      <c r="AH254" s="93"/>
      <c r="AI254" s="93"/>
      <c r="AJ254" s="616"/>
      <c r="AK254" s="93"/>
      <c r="AL254" s="93"/>
      <c r="AM254" s="93"/>
      <c r="AN254" s="616"/>
      <c r="AO254" s="93"/>
      <c r="AP254" s="93"/>
      <c r="AQ254" s="93"/>
      <c r="AR254" s="616"/>
      <c r="AS254" s="93"/>
      <c r="AT254" s="93"/>
      <c r="AU254" s="93"/>
      <c r="AV254" s="616"/>
      <c r="AW254" s="93"/>
      <c r="AX254" s="93"/>
      <c r="AY254" s="93"/>
      <c r="AZ254" s="93"/>
      <c r="BA254" s="93"/>
      <c r="BB254" s="638"/>
      <c r="BC254" s="638"/>
      <c r="BD254" s="638"/>
    </row>
    <row r="255" customFormat="false" ht="15.75" hidden="false" customHeight="false" outlineLevel="0" collapsed="false">
      <c r="A255" s="589" t="s">
        <v>1797</v>
      </c>
      <c r="B255" s="589"/>
      <c r="C255" s="589"/>
      <c r="D255" s="600" t="s">
        <v>881</v>
      </c>
      <c r="E255" s="591" t="s">
        <v>1117</v>
      </c>
      <c r="F255" s="582" t="n">
        <v>10</v>
      </c>
      <c r="G255" s="582" t="n">
        <v>70</v>
      </c>
      <c r="H255" s="592" t="n">
        <v>1</v>
      </c>
      <c r="I255" s="595"/>
      <c r="J255" s="44"/>
      <c r="K255" s="44"/>
      <c r="L255" s="44"/>
      <c r="M255" s="44"/>
      <c r="N255" s="44"/>
      <c r="O255" s="44"/>
      <c r="P255" s="44"/>
      <c r="Q255" s="595"/>
      <c r="R255" s="93"/>
      <c r="S255" s="93"/>
      <c r="T255" s="616"/>
      <c r="U255" s="93"/>
      <c r="V255" s="93"/>
      <c r="W255" s="93"/>
      <c r="X255" s="616"/>
      <c r="Y255" s="93"/>
      <c r="Z255" s="93"/>
      <c r="AA255" s="93"/>
      <c r="AB255" s="616"/>
      <c r="AC255" s="93"/>
      <c r="AD255" s="93"/>
      <c r="AE255" s="93"/>
      <c r="AF255" s="616"/>
      <c r="AG255" s="93"/>
      <c r="AH255" s="93"/>
      <c r="AI255" s="93"/>
      <c r="AJ255" s="616"/>
      <c r="AK255" s="93"/>
      <c r="AL255" s="93"/>
      <c r="AM255" s="93"/>
      <c r="AN255" s="616"/>
      <c r="AO255" s="93"/>
      <c r="AP255" s="93"/>
      <c r="AQ255" s="93"/>
      <c r="AR255" s="616"/>
      <c r="AS255" s="93"/>
      <c r="AT255" s="93"/>
      <c r="AU255" s="93"/>
      <c r="AV255" s="616"/>
      <c r="AW255" s="93"/>
      <c r="AX255" s="93"/>
      <c r="AY255" s="93"/>
      <c r="AZ255" s="93"/>
      <c r="BA255" s="93"/>
      <c r="BB255" s="638"/>
      <c r="BC255" s="638"/>
      <c r="BD255" s="638"/>
    </row>
    <row r="256" customFormat="false" ht="15.75" hidden="false" customHeight="false" outlineLevel="0" collapsed="false">
      <c r="A256" s="589" t="s">
        <v>1798</v>
      </c>
      <c r="B256" s="589"/>
      <c r="C256" s="589"/>
      <c r="D256" s="599" t="s">
        <v>811</v>
      </c>
      <c r="E256" s="591" t="s">
        <v>1117</v>
      </c>
      <c r="F256" s="582" t="n">
        <v>15</v>
      </c>
      <c r="G256" s="582" t="n">
        <v>80</v>
      </c>
      <c r="H256" s="592" t="n">
        <v>1</v>
      </c>
      <c r="I256" s="595"/>
      <c r="J256" s="44"/>
      <c r="K256" s="44"/>
      <c r="L256" s="44"/>
      <c r="M256" s="44"/>
      <c r="N256" s="44"/>
      <c r="O256" s="44"/>
      <c r="P256" s="661"/>
      <c r="Q256" s="595"/>
      <c r="R256" s="93"/>
      <c r="S256" s="93"/>
      <c r="T256" s="616"/>
      <c r="U256" s="93"/>
      <c r="V256" s="93"/>
      <c r="W256" s="93"/>
      <c r="X256" s="616"/>
      <c r="Y256" s="93"/>
      <c r="Z256" s="93"/>
      <c r="AA256" s="93"/>
      <c r="AB256" s="616"/>
      <c r="AC256" s="93"/>
      <c r="AD256" s="93"/>
      <c r="AE256" s="93"/>
      <c r="AF256" s="616"/>
      <c r="AG256" s="93"/>
      <c r="AH256" s="93"/>
      <c r="AI256" s="93"/>
      <c r="AJ256" s="616"/>
      <c r="AK256" s="93"/>
      <c r="AL256" s="93"/>
      <c r="AM256" s="93"/>
      <c r="AN256" s="616"/>
      <c r="AO256" s="93"/>
      <c r="AP256" s="93"/>
      <c r="AQ256" s="93"/>
      <c r="AR256" s="616"/>
      <c r="AS256" s="93"/>
      <c r="AT256" s="93"/>
      <c r="AU256" s="93"/>
      <c r="AV256" s="616"/>
      <c r="AW256" s="93"/>
      <c r="AX256" s="93"/>
      <c r="AY256" s="93"/>
      <c r="AZ256" s="93"/>
      <c r="BA256" s="93"/>
      <c r="BB256" s="638"/>
      <c r="BC256" s="638"/>
      <c r="BD256" s="638"/>
    </row>
    <row r="257" customFormat="false" ht="15.75" hidden="false" customHeight="false" outlineLevel="0" collapsed="false">
      <c r="A257" s="589" t="s">
        <v>1799</v>
      </c>
      <c r="B257" s="589"/>
      <c r="C257" s="589"/>
      <c r="D257" s="619" t="s">
        <v>845</v>
      </c>
      <c r="E257" s="591" t="s">
        <v>1117</v>
      </c>
      <c r="F257" s="582" t="n">
        <v>15</v>
      </c>
      <c r="G257" s="582" t="n">
        <v>90</v>
      </c>
      <c r="H257" s="592" t="n">
        <v>1</v>
      </c>
      <c r="I257" s="595"/>
      <c r="J257" s="44"/>
      <c r="K257" s="44"/>
      <c r="L257" s="44"/>
      <c r="M257" s="44"/>
      <c r="N257" s="44"/>
      <c r="O257" s="44"/>
      <c r="P257" s="44"/>
      <c r="Q257" s="595"/>
      <c r="R257" s="93"/>
      <c r="S257" s="93"/>
      <c r="T257" s="616"/>
      <c r="U257" s="93"/>
      <c r="V257" s="93"/>
      <c r="W257" s="93"/>
      <c r="X257" s="616"/>
      <c r="Y257" s="93"/>
      <c r="Z257" s="93"/>
      <c r="AA257" s="93"/>
      <c r="AB257" s="616"/>
      <c r="AC257" s="93"/>
      <c r="AD257" s="93"/>
      <c r="AE257" s="93"/>
      <c r="AF257" s="616"/>
      <c r="AG257" s="93"/>
      <c r="AH257" s="93"/>
      <c r="AI257" s="93"/>
      <c r="AJ257" s="616"/>
      <c r="AK257" s="93"/>
      <c r="AL257" s="93"/>
      <c r="AM257" s="93"/>
      <c r="AN257" s="616"/>
      <c r="AO257" s="93"/>
      <c r="AP257" s="93"/>
      <c r="AQ257" s="93"/>
      <c r="AR257" s="616"/>
      <c r="AS257" s="93"/>
      <c r="AT257" s="93"/>
      <c r="AU257" s="93"/>
      <c r="AV257" s="616"/>
      <c r="AW257" s="93"/>
      <c r="AX257" s="93"/>
      <c r="AY257" s="93"/>
      <c r="AZ257" s="93"/>
      <c r="BA257" s="93"/>
      <c r="BB257" s="638"/>
      <c r="BC257" s="638"/>
      <c r="BD257" s="638"/>
    </row>
    <row r="258" customFormat="false" ht="15.75" hidden="false" customHeight="false" outlineLevel="0" collapsed="false">
      <c r="A258" s="589" t="s">
        <v>1800</v>
      </c>
      <c r="B258" s="589"/>
      <c r="C258" s="589"/>
      <c r="D258" s="590" t="s">
        <v>801</v>
      </c>
      <c r="E258" s="591" t="s">
        <v>1117</v>
      </c>
      <c r="F258" s="582" t="n">
        <v>35</v>
      </c>
      <c r="G258" s="582" t="n">
        <v>60</v>
      </c>
      <c r="H258" s="592" t="n">
        <v>1</v>
      </c>
      <c r="I258" s="595"/>
      <c r="J258" s="44"/>
      <c r="K258" s="44"/>
      <c r="L258" s="44"/>
      <c r="M258" s="44"/>
      <c r="N258" s="44"/>
      <c r="O258" s="44"/>
      <c r="P258" s="661"/>
      <c r="Q258" s="595"/>
      <c r="R258" s="93"/>
      <c r="S258" s="93"/>
      <c r="T258" s="616"/>
      <c r="U258" s="93"/>
      <c r="V258" s="93"/>
      <c r="W258" s="93"/>
      <c r="X258" s="616"/>
      <c r="Y258" s="93"/>
      <c r="Z258" s="93"/>
      <c r="AA258" s="93"/>
      <c r="AB258" s="616"/>
      <c r="AC258" s="93"/>
      <c r="AD258" s="93"/>
      <c r="AE258" s="93"/>
      <c r="AF258" s="616"/>
      <c r="AG258" s="93"/>
      <c r="AH258" s="93"/>
      <c r="AI258" s="93"/>
      <c r="AJ258" s="616"/>
      <c r="AK258" s="93"/>
      <c r="AL258" s="93"/>
      <c r="AM258" s="93"/>
      <c r="AN258" s="616"/>
      <c r="AO258" s="93"/>
      <c r="AP258" s="93"/>
      <c r="AQ258" s="93"/>
      <c r="AR258" s="616"/>
      <c r="AS258" s="93"/>
      <c r="AT258" s="93"/>
      <c r="AU258" s="93"/>
      <c r="AV258" s="616"/>
      <c r="AW258" s="93"/>
      <c r="AX258" s="93"/>
      <c r="AY258" s="93"/>
      <c r="AZ258" s="93"/>
      <c r="BA258" s="93"/>
      <c r="BB258" s="638"/>
      <c r="BC258" s="638"/>
      <c r="BD258" s="638"/>
    </row>
    <row r="259" customFormat="false" ht="15.75" hidden="false" customHeight="false" outlineLevel="0" collapsed="false">
      <c r="A259" s="589" t="s">
        <v>1801</v>
      </c>
      <c r="B259" s="589"/>
      <c r="C259" s="589"/>
      <c r="D259" s="624" t="s">
        <v>803</v>
      </c>
      <c r="E259" s="591" t="s">
        <v>1117</v>
      </c>
      <c r="F259" s="582" t="n">
        <v>15</v>
      </c>
      <c r="G259" s="582" t="n">
        <v>120</v>
      </c>
      <c r="H259" s="592" t="n">
        <v>1</v>
      </c>
      <c r="I259" s="595"/>
      <c r="J259" s="44"/>
      <c r="K259" s="44"/>
      <c r="L259" s="44"/>
      <c r="M259" s="44"/>
      <c r="N259" s="44"/>
      <c r="O259" s="44"/>
      <c r="P259" s="44"/>
      <c r="Q259" s="595"/>
      <c r="R259" s="93"/>
      <c r="S259" s="93"/>
      <c r="T259" s="616"/>
      <c r="U259" s="93"/>
      <c r="V259" s="93"/>
      <c r="W259" s="93"/>
      <c r="X259" s="616"/>
      <c r="Y259" s="93"/>
      <c r="Z259" s="93"/>
      <c r="AA259" s="93"/>
      <c r="AB259" s="616"/>
      <c r="AC259" s="93"/>
      <c r="AD259" s="93"/>
      <c r="AE259" s="93"/>
      <c r="AF259" s="616"/>
      <c r="AG259" s="93"/>
      <c r="AH259" s="93"/>
      <c r="AI259" s="93"/>
      <c r="AJ259" s="616"/>
      <c r="AK259" s="93"/>
      <c r="AL259" s="93"/>
      <c r="AM259" s="93"/>
      <c r="AN259" s="616"/>
      <c r="AO259" s="93"/>
      <c r="AP259" s="93"/>
      <c r="AQ259" s="93"/>
      <c r="AR259" s="616"/>
      <c r="AS259" s="93"/>
      <c r="AT259" s="93"/>
      <c r="AU259" s="93"/>
      <c r="AV259" s="616"/>
      <c r="AW259" s="93"/>
      <c r="AX259" s="93"/>
      <c r="AY259" s="93"/>
      <c r="AZ259" s="93"/>
      <c r="BA259" s="93"/>
      <c r="BB259" s="638"/>
      <c r="BC259" s="638"/>
      <c r="BD259" s="638"/>
    </row>
    <row r="260" customFormat="false" ht="15.75" hidden="false" customHeight="false" outlineLevel="0" collapsed="false">
      <c r="A260" s="589" t="s">
        <v>1802</v>
      </c>
      <c r="B260" s="589"/>
      <c r="C260" s="589"/>
      <c r="D260" s="610" t="s">
        <v>839</v>
      </c>
      <c r="E260" s="591" t="s">
        <v>1117</v>
      </c>
      <c r="F260" s="582" t="n">
        <v>20</v>
      </c>
      <c r="G260" s="582" t="n">
        <v>15</v>
      </c>
      <c r="H260" s="592" t="n">
        <v>0.9</v>
      </c>
      <c r="I260" s="595"/>
      <c r="J260" s="44"/>
      <c r="K260" s="44"/>
      <c r="L260" s="44"/>
      <c r="M260" s="44"/>
      <c r="N260" s="44"/>
      <c r="O260" s="44"/>
      <c r="P260" s="661"/>
      <c r="Q260" s="595"/>
      <c r="R260" s="93"/>
      <c r="S260" s="93"/>
      <c r="T260" s="616"/>
      <c r="U260" s="93"/>
      <c r="V260" s="93"/>
      <c r="W260" s="93"/>
      <c r="X260" s="616"/>
      <c r="Y260" s="93"/>
      <c r="Z260" s="93"/>
      <c r="AA260" s="93"/>
      <c r="AB260" s="616"/>
      <c r="AC260" s="93"/>
      <c r="AD260" s="93"/>
      <c r="AE260" s="93"/>
      <c r="AF260" s="616"/>
      <c r="AG260" s="93"/>
      <c r="AH260" s="93"/>
      <c r="AI260" s="93"/>
      <c r="AJ260" s="616"/>
      <c r="AK260" s="93"/>
      <c r="AL260" s="93"/>
      <c r="AM260" s="93"/>
      <c r="AN260" s="616"/>
      <c r="AO260" s="93"/>
      <c r="AP260" s="93"/>
      <c r="AQ260" s="93"/>
      <c r="AR260" s="616"/>
      <c r="AS260" s="93"/>
      <c r="AT260" s="93"/>
      <c r="AU260" s="93"/>
      <c r="AV260" s="616"/>
      <c r="AW260" s="93"/>
      <c r="AX260" s="93"/>
      <c r="AY260" s="93"/>
      <c r="AZ260" s="93"/>
      <c r="BA260" s="93"/>
      <c r="BB260" s="638"/>
      <c r="BC260" s="638"/>
      <c r="BD260" s="638"/>
    </row>
    <row r="261" customFormat="false" ht="15.75" hidden="false" customHeight="false" outlineLevel="0" collapsed="false">
      <c r="A261" s="589" t="s">
        <v>1803</v>
      </c>
      <c r="B261" s="589"/>
      <c r="C261" s="589"/>
      <c r="D261" s="607" t="s">
        <v>794</v>
      </c>
      <c r="E261" s="591" t="s">
        <v>1117</v>
      </c>
      <c r="F261" s="582" t="n">
        <v>15</v>
      </c>
      <c r="G261" s="582" t="n">
        <v>80</v>
      </c>
      <c r="H261" s="592" t="n">
        <v>1</v>
      </c>
      <c r="I261" s="595"/>
      <c r="J261" s="44"/>
      <c r="K261" s="44"/>
      <c r="L261" s="44"/>
      <c r="M261" s="44"/>
      <c r="N261" s="44"/>
      <c r="O261" s="44"/>
      <c r="P261" s="661"/>
      <c r="Q261" s="595"/>
      <c r="R261" s="93"/>
      <c r="S261" s="93"/>
      <c r="T261" s="616"/>
      <c r="U261" s="93"/>
      <c r="V261" s="93"/>
      <c r="W261" s="93"/>
      <c r="X261" s="616"/>
      <c r="Y261" s="93"/>
      <c r="Z261" s="93"/>
      <c r="AA261" s="93"/>
      <c r="AB261" s="616"/>
      <c r="AC261" s="93"/>
      <c r="AD261" s="93"/>
      <c r="AE261" s="93"/>
      <c r="AF261" s="616"/>
      <c r="AG261" s="93"/>
      <c r="AH261" s="93"/>
      <c r="AI261" s="93"/>
      <c r="AJ261" s="616"/>
      <c r="AK261" s="93"/>
      <c r="AL261" s="93"/>
      <c r="AM261" s="93"/>
      <c r="AN261" s="616"/>
      <c r="AO261" s="93"/>
      <c r="AP261" s="93"/>
      <c r="AQ261" s="93"/>
      <c r="AR261" s="616"/>
      <c r="AS261" s="93"/>
      <c r="AT261" s="93"/>
      <c r="AU261" s="93"/>
      <c r="AV261" s="616"/>
      <c r="AW261" s="93"/>
      <c r="AX261" s="93"/>
      <c r="AY261" s="93"/>
      <c r="AZ261" s="93"/>
      <c r="BA261" s="93"/>
      <c r="BB261" s="638"/>
      <c r="BC261" s="638"/>
      <c r="BD261" s="638"/>
    </row>
    <row r="262" customFormat="false" ht="15.75" hidden="false" customHeight="false" outlineLevel="0" collapsed="false">
      <c r="A262" s="589" t="s">
        <v>1804</v>
      </c>
      <c r="B262" s="589"/>
      <c r="C262" s="589"/>
      <c r="D262" s="639" t="s">
        <v>828</v>
      </c>
      <c r="E262" s="591" t="s">
        <v>1117</v>
      </c>
      <c r="F262" s="582" t="n">
        <v>15</v>
      </c>
      <c r="G262" s="582" t="n">
        <v>80</v>
      </c>
      <c r="H262" s="592" t="n">
        <v>0.9</v>
      </c>
      <c r="I262" s="595"/>
      <c r="J262" s="44"/>
      <c r="K262" s="44"/>
      <c r="L262" s="44"/>
      <c r="M262" s="44"/>
      <c r="N262" s="44"/>
      <c r="O262" s="44"/>
      <c r="P262" s="661"/>
      <c r="Q262" s="595"/>
      <c r="R262" s="93"/>
      <c r="S262" s="93"/>
      <c r="T262" s="616"/>
      <c r="U262" s="93"/>
      <c r="V262" s="93"/>
      <c r="W262" s="93"/>
      <c r="X262" s="616"/>
      <c r="Y262" s="93"/>
      <c r="Z262" s="93"/>
      <c r="AA262" s="93"/>
      <c r="AB262" s="616"/>
      <c r="AC262" s="93"/>
      <c r="AD262" s="93"/>
      <c r="AE262" s="93"/>
      <c r="AF262" s="616"/>
      <c r="AG262" s="93"/>
      <c r="AH262" s="93"/>
      <c r="AI262" s="93"/>
      <c r="AJ262" s="616"/>
      <c r="AK262" s="93"/>
      <c r="AL262" s="93"/>
      <c r="AM262" s="93"/>
      <c r="AN262" s="616"/>
      <c r="AO262" s="93"/>
      <c r="AP262" s="93"/>
      <c r="AQ262" s="93"/>
      <c r="AR262" s="616"/>
      <c r="AS262" s="93"/>
      <c r="AT262" s="93"/>
      <c r="AU262" s="93"/>
      <c r="AV262" s="616"/>
      <c r="AW262" s="93"/>
      <c r="AX262" s="93"/>
      <c r="AY262" s="93"/>
      <c r="AZ262" s="93"/>
      <c r="BA262" s="93"/>
      <c r="BB262" s="638"/>
      <c r="BC262" s="638"/>
      <c r="BD262" s="638"/>
    </row>
    <row r="263" customFormat="false" ht="15.75" hidden="false" customHeight="false" outlineLevel="0" collapsed="false">
      <c r="A263" s="589" t="s">
        <v>1805</v>
      </c>
      <c r="B263" s="589"/>
      <c r="C263" s="589"/>
      <c r="D263" s="619" t="s">
        <v>845</v>
      </c>
      <c r="E263" s="591" t="s">
        <v>1117</v>
      </c>
      <c r="F263" s="582" t="n">
        <v>10</v>
      </c>
      <c r="G263" s="582" t="n">
        <v>80</v>
      </c>
      <c r="H263" s="592" t="n">
        <v>1</v>
      </c>
      <c r="I263" s="595"/>
      <c r="J263" s="44"/>
      <c r="K263" s="44"/>
      <c r="L263" s="44"/>
      <c r="M263" s="44"/>
      <c r="N263" s="44"/>
      <c r="O263" s="44"/>
      <c r="P263" s="661"/>
      <c r="Q263" s="595"/>
      <c r="R263" s="93"/>
      <c r="S263" s="93"/>
      <c r="T263" s="616"/>
      <c r="U263" s="93"/>
      <c r="V263" s="93"/>
      <c r="W263" s="93"/>
      <c r="X263" s="616"/>
      <c r="Y263" s="93"/>
      <c r="Z263" s="93"/>
      <c r="AA263" s="93"/>
      <c r="AB263" s="616"/>
      <c r="AC263" s="93"/>
      <c r="AD263" s="93"/>
      <c r="AE263" s="93"/>
      <c r="AF263" s="616"/>
      <c r="AG263" s="93"/>
      <c r="AH263" s="93"/>
      <c r="AI263" s="93"/>
      <c r="AJ263" s="616"/>
      <c r="AK263" s="93"/>
      <c r="AL263" s="93"/>
      <c r="AM263" s="93"/>
      <c r="AN263" s="616"/>
      <c r="AO263" s="93"/>
      <c r="AP263" s="93"/>
      <c r="AQ263" s="93"/>
      <c r="AR263" s="616"/>
      <c r="AS263" s="93"/>
      <c r="AT263" s="93"/>
      <c r="AU263" s="93"/>
      <c r="AV263" s="616"/>
      <c r="AW263" s="93"/>
      <c r="AX263" s="93"/>
      <c r="AY263" s="93"/>
      <c r="AZ263" s="93"/>
      <c r="BA263" s="93"/>
      <c r="BB263" s="638"/>
      <c r="BC263" s="638"/>
      <c r="BD263" s="638"/>
    </row>
    <row r="264" customFormat="false" ht="15.75" hidden="false" customHeight="false" outlineLevel="0" collapsed="false">
      <c r="A264" s="589" t="s">
        <v>1806</v>
      </c>
      <c r="B264" s="589"/>
      <c r="C264" s="589"/>
      <c r="D264" s="624" t="s">
        <v>803</v>
      </c>
      <c r="E264" s="662" t="s">
        <v>1807</v>
      </c>
      <c r="F264" s="582" t="n">
        <v>25</v>
      </c>
      <c r="G264" s="582" t="n">
        <v>20</v>
      </c>
      <c r="H264" s="592" t="n">
        <v>1</v>
      </c>
      <c r="I264" s="595"/>
      <c r="J264" s="44"/>
      <c r="K264" s="44"/>
      <c r="L264" s="44"/>
      <c r="M264" s="44"/>
      <c r="N264" s="44"/>
      <c r="O264" s="44"/>
      <c r="P264" s="661"/>
      <c r="Q264" s="595"/>
      <c r="R264" s="93"/>
      <c r="S264" s="93"/>
      <c r="T264" s="616"/>
      <c r="U264" s="93"/>
      <c r="V264" s="93"/>
      <c r="W264" s="93"/>
      <c r="X264" s="616"/>
      <c r="Y264" s="93"/>
      <c r="Z264" s="93"/>
      <c r="AA264" s="93"/>
      <c r="AB264" s="616"/>
      <c r="AC264" s="93"/>
      <c r="AD264" s="93"/>
      <c r="AE264" s="93"/>
      <c r="AF264" s="616"/>
      <c r="AG264" s="93"/>
      <c r="AH264" s="93"/>
      <c r="AI264" s="93"/>
      <c r="AJ264" s="616"/>
      <c r="AK264" s="93"/>
      <c r="AL264" s="93"/>
      <c r="AM264" s="93"/>
      <c r="AN264" s="616"/>
      <c r="AO264" s="93"/>
      <c r="AP264" s="93"/>
      <c r="AQ264" s="93"/>
      <c r="AR264" s="616"/>
      <c r="AS264" s="93"/>
      <c r="AT264" s="93"/>
      <c r="AU264" s="93"/>
      <c r="AV264" s="616"/>
      <c r="AW264" s="93"/>
      <c r="AX264" s="93"/>
      <c r="AY264" s="93"/>
      <c r="AZ264" s="93"/>
      <c r="BA264" s="93"/>
      <c r="BB264" s="638"/>
      <c r="BC264" s="638"/>
      <c r="BD264" s="638"/>
    </row>
    <row r="265" customFormat="false" ht="15.75" hidden="false" customHeight="false" outlineLevel="0" collapsed="false">
      <c r="A265" s="589" t="s">
        <v>1808</v>
      </c>
      <c r="B265" s="589"/>
      <c r="C265" s="589"/>
      <c r="D265" s="629" t="s">
        <v>843</v>
      </c>
      <c r="E265" s="662" t="s">
        <v>1807</v>
      </c>
      <c r="F265" s="582" t="n">
        <v>30</v>
      </c>
      <c r="G265" s="582" t="n">
        <v>40</v>
      </c>
      <c r="H265" s="592" t="n">
        <v>1</v>
      </c>
      <c r="I265" s="595"/>
      <c r="J265" s="44"/>
      <c r="K265" s="44"/>
      <c r="L265" s="44"/>
      <c r="M265" s="44"/>
      <c r="N265" s="44"/>
      <c r="O265" s="44"/>
      <c r="P265" s="661"/>
      <c r="Q265" s="595"/>
      <c r="R265" s="93"/>
      <c r="S265" s="93"/>
      <c r="T265" s="616"/>
      <c r="U265" s="93"/>
      <c r="V265" s="93"/>
      <c r="W265" s="93"/>
      <c r="X265" s="616"/>
      <c r="Y265" s="93"/>
      <c r="Z265" s="93"/>
      <c r="AA265" s="93"/>
      <c r="AB265" s="616"/>
      <c r="AC265" s="93"/>
      <c r="AD265" s="93"/>
      <c r="AE265" s="93"/>
      <c r="AF265" s="616"/>
      <c r="AG265" s="93"/>
      <c r="AH265" s="93"/>
      <c r="AI265" s="93"/>
      <c r="AJ265" s="616"/>
      <c r="AK265" s="93"/>
      <c r="AL265" s="93"/>
      <c r="AM265" s="93"/>
      <c r="AN265" s="616"/>
      <c r="AO265" s="93"/>
      <c r="AP265" s="93"/>
      <c r="AQ265" s="93"/>
      <c r="AR265" s="616"/>
      <c r="AS265" s="93"/>
      <c r="AT265" s="93"/>
      <c r="AU265" s="93"/>
      <c r="AV265" s="616"/>
      <c r="AW265" s="93"/>
      <c r="AX265" s="93"/>
      <c r="AY265" s="93"/>
      <c r="AZ265" s="93"/>
      <c r="BA265" s="93"/>
      <c r="BB265" s="638"/>
      <c r="BC265" s="638"/>
      <c r="BD265" s="638"/>
    </row>
    <row r="266" customFormat="false" ht="15.75" hidden="false" customHeight="false" outlineLevel="0" collapsed="false">
      <c r="A266" s="663" t="s">
        <v>1809</v>
      </c>
      <c r="B266" s="663"/>
      <c r="C266" s="663"/>
      <c r="D266" s="629" t="s">
        <v>843</v>
      </c>
      <c r="E266" s="662" t="s">
        <v>1807</v>
      </c>
      <c r="F266" s="582" t="n">
        <v>20</v>
      </c>
      <c r="G266" s="582" t="n">
        <v>40</v>
      </c>
      <c r="H266" s="592" t="n">
        <v>1</v>
      </c>
      <c r="I266" s="595"/>
      <c r="J266" s="44"/>
      <c r="K266" s="44"/>
      <c r="L266" s="44"/>
      <c r="M266" s="44"/>
      <c r="N266" s="44"/>
      <c r="O266" s="44"/>
      <c r="P266" s="44"/>
      <c r="Q266" s="595"/>
      <c r="R266" s="93"/>
      <c r="S266" s="93"/>
      <c r="T266" s="616"/>
      <c r="U266" s="93"/>
      <c r="V266" s="93"/>
      <c r="W266" s="93"/>
      <c r="X266" s="616"/>
      <c r="Y266" s="93"/>
      <c r="Z266" s="93"/>
      <c r="AA266" s="93"/>
      <c r="AB266" s="616"/>
      <c r="AC266" s="93"/>
      <c r="AD266" s="93"/>
      <c r="AE266" s="93"/>
      <c r="AF266" s="616"/>
      <c r="AG266" s="93"/>
      <c r="AH266" s="93"/>
      <c r="AI266" s="93"/>
      <c r="AJ266" s="616"/>
      <c r="AK266" s="93"/>
      <c r="AL266" s="93"/>
      <c r="AM266" s="93"/>
      <c r="AN266" s="616"/>
      <c r="AO266" s="93"/>
      <c r="AP266" s="93"/>
      <c r="AQ266" s="93"/>
      <c r="AR266" s="616"/>
      <c r="AS266" s="93"/>
      <c r="AT266" s="93"/>
      <c r="AU266" s="93"/>
      <c r="AV266" s="616"/>
      <c r="AW266" s="93"/>
      <c r="AX266" s="93"/>
      <c r="AY266" s="93"/>
      <c r="AZ266" s="93"/>
      <c r="BA266" s="93"/>
      <c r="BB266" s="638"/>
      <c r="BC266" s="638"/>
      <c r="BD266" s="638"/>
    </row>
    <row r="267" customFormat="false" ht="15.75" hidden="false" customHeight="false" outlineLevel="0" collapsed="false">
      <c r="A267" s="663" t="s">
        <v>1810</v>
      </c>
      <c r="B267" s="663"/>
      <c r="C267" s="663"/>
      <c r="D267" s="590" t="s">
        <v>801</v>
      </c>
      <c r="E267" s="662" t="s">
        <v>1807</v>
      </c>
      <c r="F267" s="582" t="n">
        <v>5</v>
      </c>
      <c r="G267" s="582" t="n">
        <v>100</v>
      </c>
      <c r="H267" s="592" t="n">
        <v>0.95</v>
      </c>
      <c r="I267" s="595"/>
      <c r="J267" s="44"/>
      <c r="K267" s="44"/>
      <c r="L267" s="44"/>
      <c r="M267" s="44"/>
      <c r="N267" s="44"/>
      <c r="O267" s="44"/>
      <c r="P267" s="44"/>
      <c r="Q267" s="595"/>
      <c r="R267" s="93"/>
      <c r="S267" s="93"/>
      <c r="T267" s="616"/>
      <c r="U267" s="93"/>
      <c r="V267" s="93"/>
      <c r="W267" s="93"/>
      <c r="X267" s="616"/>
      <c r="Y267" s="93"/>
      <c r="Z267" s="93"/>
      <c r="AA267" s="93"/>
      <c r="AB267" s="616"/>
      <c r="AC267" s="93"/>
      <c r="AD267" s="93"/>
      <c r="AE267" s="93"/>
      <c r="AF267" s="616"/>
      <c r="AG267" s="93"/>
      <c r="AH267" s="93"/>
      <c r="AI267" s="93"/>
      <c r="AJ267" s="616"/>
      <c r="AK267" s="93"/>
      <c r="AL267" s="93"/>
      <c r="AM267" s="93"/>
      <c r="AN267" s="616"/>
      <c r="AO267" s="93"/>
      <c r="AP267" s="93"/>
      <c r="AQ267" s="93"/>
      <c r="AR267" s="616"/>
      <c r="AS267" s="93"/>
      <c r="AT267" s="93"/>
      <c r="AU267" s="93"/>
      <c r="AV267" s="616"/>
      <c r="AW267" s="93"/>
      <c r="AX267" s="93"/>
      <c r="AY267" s="93"/>
      <c r="AZ267" s="93"/>
      <c r="BA267" s="93"/>
      <c r="BB267" s="638"/>
      <c r="BC267" s="638"/>
      <c r="BD267" s="638"/>
    </row>
    <row r="268" customFormat="false" ht="15.75" hidden="false" customHeight="false" outlineLevel="0" collapsed="false">
      <c r="A268" s="663" t="s">
        <v>1811</v>
      </c>
      <c r="B268" s="663"/>
      <c r="C268" s="663"/>
      <c r="D268" s="590" t="s">
        <v>801</v>
      </c>
      <c r="E268" s="662" t="s">
        <v>1807</v>
      </c>
      <c r="F268" s="582" t="n">
        <v>25</v>
      </c>
      <c r="G268" s="582" t="n">
        <v>60</v>
      </c>
      <c r="H268" s="592" t="n">
        <v>0.95</v>
      </c>
      <c r="I268" s="595"/>
      <c r="J268" s="44"/>
      <c r="K268" s="44"/>
      <c r="L268" s="44"/>
      <c r="M268" s="44"/>
      <c r="N268" s="44"/>
      <c r="O268" s="44"/>
      <c r="P268" s="661"/>
      <c r="Q268" s="595"/>
      <c r="R268" s="93"/>
      <c r="S268" s="93"/>
      <c r="T268" s="616"/>
      <c r="U268" s="93"/>
      <c r="V268" s="93"/>
      <c r="W268" s="93"/>
      <c r="X268" s="616"/>
      <c r="Y268" s="93"/>
      <c r="Z268" s="93"/>
      <c r="AA268" s="93"/>
      <c r="AB268" s="616"/>
      <c r="AC268" s="93"/>
      <c r="AD268" s="93"/>
      <c r="AE268" s="93"/>
      <c r="AF268" s="616"/>
      <c r="AG268" s="93"/>
      <c r="AH268" s="93"/>
      <c r="AI268" s="93"/>
      <c r="AJ268" s="616"/>
      <c r="AK268" s="93"/>
      <c r="AL268" s="93"/>
      <c r="AM268" s="93"/>
      <c r="AN268" s="616"/>
      <c r="AO268" s="93"/>
      <c r="AP268" s="93"/>
      <c r="AQ268" s="93"/>
      <c r="AR268" s="616"/>
      <c r="AS268" s="93"/>
      <c r="AT268" s="93"/>
      <c r="AU268" s="93"/>
      <c r="AV268" s="616"/>
      <c r="AW268" s="93"/>
      <c r="AX268" s="93"/>
      <c r="AY268" s="93"/>
      <c r="AZ268" s="93"/>
      <c r="BA268" s="93"/>
      <c r="BB268" s="638"/>
      <c r="BC268" s="638"/>
      <c r="BD268" s="638"/>
    </row>
    <row r="269" customFormat="false" ht="15.75" hidden="false" customHeight="false" outlineLevel="0" collapsed="false">
      <c r="A269" s="663" t="s">
        <v>1812</v>
      </c>
      <c r="B269" s="663"/>
      <c r="C269" s="663"/>
      <c r="D269" s="590" t="s">
        <v>801</v>
      </c>
      <c r="E269" s="662" t="s">
        <v>1807</v>
      </c>
      <c r="F269" s="582" t="n">
        <v>15</v>
      </c>
      <c r="G269" s="582" t="n">
        <v>75</v>
      </c>
      <c r="H269" s="592" t="n">
        <v>0.95</v>
      </c>
      <c r="I269" s="595"/>
      <c r="J269" s="44"/>
      <c r="K269" s="44"/>
      <c r="L269" s="44"/>
      <c r="M269" s="44"/>
      <c r="N269" s="44"/>
      <c r="O269" s="44"/>
      <c r="P269" s="661"/>
      <c r="Q269" s="595"/>
      <c r="R269" s="93"/>
      <c r="S269" s="44"/>
      <c r="T269" s="664"/>
      <c r="U269" s="44"/>
      <c r="V269" s="93"/>
      <c r="W269" s="93"/>
      <c r="X269" s="616"/>
      <c r="Y269" s="93"/>
      <c r="Z269" s="93"/>
      <c r="AA269" s="93"/>
      <c r="AB269" s="616"/>
      <c r="AC269" s="93"/>
      <c r="AD269" s="93"/>
      <c r="AE269" s="93"/>
      <c r="AF269" s="616"/>
      <c r="AG269" s="93"/>
      <c r="AH269" s="93"/>
      <c r="AI269" s="93"/>
      <c r="AJ269" s="616"/>
      <c r="AK269" s="93"/>
      <c r="AL269" s="93"/>
      <c r="AM269" s="93"/>
      <c r="AN269" s="616"/>
      <c r="AO269" s="93"/>
      <c r="AP269" s="93"/>
      <c r="AQ269" s="93"/>
      <c r="AR269" s="616"/>
      <c r="AS269" s="93"/>
      <c r="AT269" s="93"/>
      <c r="AU269" s="93"/>
      <c r="AV269" s="616"/>
      <c r="AW269" s="93"/>
      <c r="AX269" s="93"/>
      <c r="AY269" s="93"/>
      <c r="AZ269" s="93"/>
      <c r="BA269" s="93"/>
      <c r="BB269" s="638"/>
      <c r="BC269" s="638"/>
      <c r="BD269" s="638"/>
    </row>
    <row r="270" customFormat="false" ht="15.75" hidden="false" customHeight="false" outlineLevel="0" collapsed="false">
      <c r="A270" s="663" t="s">
        <v>1813</v>
      </c>
      <c r="B270" s="663"/>
      <c r="C270" s="663"/>
      <c r="D270" s="633" t="s">
        <v>809</v>
      </c>
      <c r="E270" s="662" t="s">
        <v>1807</v>
      </c>
      <c r="F270" s="582" t="n">
        <v>5</v>
      </c>
      <c r="G270" s="582" t="n">
        <v>60</v>
      </c>
      <c r="H270" s="592" t="n">
        <v>1</v>
      </c>
      <c r="I270" s="595"/>
      <c r="J270" s="44"/>
      <c r="K270" s="44"/>
      <c r="L270" s="44"/>
      <c r="M270" s="44"/>
      <c r="N270" s="44"/>
      <c r="O270" s="44"/>
      <c r="P270" s="661"/>
      <c r="Q270" s="595"/>
      <c r="R270" s="93"/>
      <c r="S270" s="44"/>
      <c r="T270" s="664"/>
      <c r="U270" s="44"/>
      <c r="V270" s="93"/>
      <c r="W270" s="93"/>
      <c r="X270" s="616"/>
      <c r="Y270" s="93"/>
      <c r="Z270" s="93"/>
      <c r="AA270" s="93"/>
      <c r="AB270" s="616"/>
      <c r="AC270" s="93"/>
      <c r="AD270" s="93"/>
      <c r="AE270" s="93"/>
      <c r="AF270" s="616"/>
      <c r="AG270" s="93"/>
      <c r="AH270" s="93"/>
      <c r="AI270" s="93"/>
      <c r="AJ270" s="616"/>
      <c r="AK270" s="93"/>
      <c r="AL270" s="93"/>
      <c r="AM270" s="93"/>
      <c r="AN270" s="616"/>
      <c r="AO270" s="93"/>
      <c r="AP270" s="93"/>
      <c r="AQ270" s="93"/>
      <c r="AR270" s="616"/>
      <c r="AS270" s="93"/>
      <c r="AT270" s="93"/>
      <c r="AU270" s="93"/>
      <c r="AV270" s="616"/>
      <c r="AW270" s="93"/>
      <c r="AX270" s="93"/>
      <c r="AY270" s="93"/>
      <c r="AZ270" s="93"/>
      <c r="BA270" s="93"/>
      <c r="BB270" s="638"/>
      <c r="BC270" s="638"/>
      <c r="BD270" s="638"/>
    </row>
    <row r="271" customFormat="false" ht="15.75" hidden="false" customHeight="false" outlineLevel="0" collapsed="false">
      <c r="A271" s="663" t="s">
        <v>1814</v>
      </c>
      <c r="B271" s="663"/>
      <c r="C271" s="663"/>
      <c r="D271" s="600" t="s">
        <v>881</v>
      </c>
      <c r="E271" s="662" t="s">
        <v>1807</v>
      </c>
      <c r="F271" s="582" t="n">
        <v>20</v>
      </c>
      <c r="G271" s="582" t="n">
        <v>80</v>
      </c>
      <c r="H271" s="583" t="s">
        <v>1120</v>
      </c>
      <c r="I271" s="595"/>
      <c r="J271" s="44"/>
      <c r="K271" s="44"/>
      <c r="L271" s="44"/>
      <c r="M271" s="44"/>
      <c r="N271" s="44"/>
      <c r="O271" s="44"/>
      <c r="P271" s="661"/>
      <c r="Q271" s="595"/>
      <c r="R271" s="93"/>
      <c r="S271" s="44"/>
      <c r="T271" s="664"/>
      <c r="U271" s="44"/>
      <c r="V271" s="93"/>
      <c r="W271" s="93"/>
      <c r="X271" s="616"/>
      <c r="Y271" s="93"/>
      <c r="Z271" s="93"/>
      <c r="AA271" s="93"/>
      <c r="AB271" s="616"/>
      <c r="AC271" s="93"/>
      <c r="AD271" s="93"/>
      <c r="AE271" s="93"/>
      <c r="AF271" s="616"/>
      <c r="AG271" s="93"/>
      <c r="AH271" s="93"/>
      <c r="AI271" s="93"/>
      <c r="AJ271" s="616"/>
      <c r="AK271" s="93"/>
      <c r="AL271" s="93"/>
      <c r="AM271" s="93"/>
      <c r="AN271" s="616"/>
      <c r="AO271" s="93"/>
      <c r="AP271" s="93"/>
      <c r="AQ271" s="93"/>
      <c r="AR271" s="616"/>
      <c r="AS271" s="93"/>
      <c r="AT271" s="93"/>
      <c r="AU271" s="93"/>
      <c r="AV271" s="616"/>
      <c r="AW271" s="93"/>
      <c r="AX271" s="93"/>
      <c r="AY271" s="93"/>
      <c r="AZ271" s="93"/>
      <c r="BA271" s="93"/>
      <c r="BB271" s="638"/>
      <c r="BC271" s="638"/>
      <c r="BD271" s="638"/>
    </row>
    <row r="272" customFormat="false" ht="15.75" hidden="false" customHeight="false" outlineLevel="0" collapsed="false">
      <c r="A272" s="663" t="s">
        <v>1815</v>
      </c>
      <c r="B272" s="663"/>
      <c r="C272" s="663"/>
      <c r="D272" s="608" t="s">
        <v>805</v>
      </c>
      <c r="E272" s="662" t="s">
        <v>1807</v>
      </c>
      <c r="F272" s="582" t="n">
        <v>20</v>
      </c>
      <c r="G272" s="582" t="n">
        <v>65</v>
      </c>
      <c r="H272" s="592" t="n">
        <v>1</v>
      </c>
      <c r="I272" s="595"/>
      <c r="J272" s="44"/>
      <c r="K272" s="44"/>
      <c r="L272" s="44"/>
      <c r="M272" s="44"/>
      <c r="N272" s="44"/>
      <c r="O272" s="44"/>
      <c r="P272" s="661"/>
      <c r="Q272" s="595"/>
      <c r="R272" s="93"/>
      <c r="S272" s="44"/>
      <c r="T272" s="664"/>
      <c r="U272" s="44"/>
      <c r="V272" s="93"/>
      <c r="W272" s="93"/>
      <c r="X272" s="616"/>
      <c r="Y272" s="93"/>
      <c r="Z272" s="93"/>
      <c r="AA272" s="93"/>
      <c r="AB272" s="616"/>
      <c r="AC272" s="93"/>
      <c r="AD272" s="93"/>
      <c r="AE272" s="93"/>
      <c r="AF272" s="616"/>
      <c r="AG272" s="93"/>
      <c r="AH272" s="93"/>
      <c r="AI272" s="93"/>
      <c r="AJ272" s="616"/>
      <c r="AK272" s="93"/>
      <c r="AL272" s="93"/>
      <c r="AM272" s="93"/>
      <c r="AN272" s="616"/>
      <c r="AO272" s="93"/>
      <c r="AP272" s="93"/>
      <c r="AQ272" s="93"/>
      <c r="AR272" s="616"/>
      <c r="AS272" s="93"/>
      <c r="AT272" s="93"/>
      <c r="AU272" s="93"/>
      <c r="AV272" s="616"/>
      <c r="AW272" s="93"/>
      <c r="AX272" s="93"/>
      <c r="AY272" s="93"/>
      <c r="AZ272" s="93"/>
      <c r="BA272" s="93"/>
      <c r="BB272" s="638"/>
      <c r="BC272" s="638"/>
      <c r="BD272" s="638"/>
    </row>
    <row r="273" customFormat="false" ht="15.75" hidden="false" customHeight="false" outlineLevel="0" collapsed="false">
      <c r="A273" s="663" t="s">
        <v>1816</v>
      </c>
      <c r="B273" s="663"/>
      <c r="C273" s="663"/>
      <c r="D273" s="629" t="s">
        <v>843</v>
      </c>
      <c r="E273" s="662" t="s">
        <v>1807</v>
      </c>
      <c r="F273" s="582" t="n">
        <v>10</v>
      </c>
      <c r="G273" s="582" t="n">
        <v>120</v>
      </c>
      <c r="H273" s="592" t="n">
        <v>0.9</v>
      </c>
      <c r="I273" s="595"/>
      <c r="J273" s="44"/>
      <c r="K273" s="44"/>
      <c r="L273" s="44"/>
      <c r="M273" s="44"/>
      <c r="N273" s="44"/>
      <c r="O273" s="44"/>
      <c r="P273" s="661"/>
      <c r="Q273" s="595"/>
      <c r="R273" s="93"/>
      <c r="S273" s="44"/>
      <c r="T273" s="664"/>
      <c r="U273" s="44"/>
      <c r="V273" s="93"/>
      <c r="W273" s="93"/>
      <c r="X273" s="616"/>
      <c r="Y273" s="93"/>
      <c r="Z273" s="93"/>
      <c r="AA273" s="93"/>
      <c r="AB273" s="616"/>
      <c r="AC273" s="93"/>
      <c r="AD273" s="93"/>
      <c r="AE273" s="93"/>
      <c r="AF273" s="616"/>
      <c r="AG273" s="93"/>
      <c r="AH273" s="93"/>
      <c r="AI273" s="93"/>
      <c r="AJ273" s="616"/>
      <c r="AK273" s="93"/>
      <c r="AL273" s="93"/>
      <c r="AM273" s="93"/>
      <c r="AN273" s="616"/>
      <c r="AO273" s="93"/>
      <c r="AP273" s="93"/>
      <c r="AQ273" s="93"/>
      <c r="AR273" s="616"/>
      <c r="AS273" s="93"/>
      <c r="AT273" s="93"/>
      <c r="AU273" s="93"/>
      <c r="AV273" s="616"/>
      <c r="AW273" s="93"/>
      <c r="AX273" s="93"/>
      <c r="AY273" s="93"/>
      <c r="AZ273" s="93"/>
      <c r="BA273" s="93"/>
      <c r="BB273" s="638"/>
      <c r="BC273" s="638"/>
      <c r="BD273" s="638"/>
    </row>
    <row r="274" customFormat="false" ht="15.75" hidden="false" customHeight="false" outlineLevel="0" collapsed="false">
      <c r="A274" s="663" t="s">
        <v>1817</v>
      </c>
      <c r="B274" s="663"/>
      <c r="C274" s="663"/>
      <c r="D274" s="618" t="s">
        <v>800</v>
      </c>
      <c r="E274" s="662" t="s">
        <v>1807</v>
      </c>
      <c r="F274" s="582" t="n">
        <v>5</v>
      </c>
      <c r="G274" s="582" t="n">
        <v>150</v>
      </c>
      <c r="H274" s="592" t="n">
        <v>0.9</v>
      </c>
      <c r="I274" s="595"/>
      <c r="J274" s="44"/>
      <c r="K274" s="44"/>
      <c r="L274" s="44"/>
      <c r="M274" s="44"/>
      <c r="N274" s="44"/>
      <c r="O274" s="44"/>
      <c r="P274" s="661"/>
      <c r="Q274" s="595"/>
      <c r="R274" s="93"/>
      <c r="S274" s="44"/>
      <c r="T274" s="664"/>
      <c r="U274" s="44"/>
      <c r="V274" s="93"/>
      <c r="W274" s="93"/>
      <c r="X274" s="616"/>
      <c r="Y274" s="93"/>
      <c r="Z274" s="93"/>
      <c r="AA274" s="93"/>
      <c r="AB274" s="616"/>
      <c r="AC274" s="93"/>
      <c r="AD274" s="93"/>
      <c r="AE274" s="93"/>
      <c r="AF274" s="616"/>
      <c r="AG274" s="93"/>
      <c r="AH274" s="93"/>
      <c r="AI274" s="93"/>
      <c r="AJ274" s="616"/>
      <c r="AK274" s="93"/>
      <c r="AL274" s="93"/>
      <c r="AM274" s="93"/>
      <c r="AN274" s="616"/>
      <c r="AO274" s="93"/>
      <c r="AP274" s="93"/>
      <c r="AQ274" s="93"/>
      <c r="AR274" s="616"/>
      <c r="AS274" s="93"/>
      <c r="AT274" s="93"/>
      <c r="AU274" s="93"/>
      <c r="AV274" s="616"/>
      <c r="AW274" s="93"/>
      <c r="AX274" s="93"/>
      <c r="AY274" s="93"/>
      <c r="AZ274" s="93"/>
      <c r="BA274" s="93"/>
      <c r="BB274" s="638"/>
      <c r="BC274" s="638"/>
      <c r="BD274" s="638"/>
    </row>
    <row r="275" customFormat="false" ht="15.75" hidden="false" customHeight="false" outlineLevel="0" collapsed="false">
      <c r="A275" s="663" t="s">
        <v>1818</v>
      </c>
      <c r="B275" s="663"/>
      <c r="C275" s="663"/>
      <c r="D275" s="608" t="s">
        <v>805</v>
      </c>
      <c r="E275" s="662" t="s">
        <v>1807</v>
      </c>
      <c r="F275" s="582" t="n">
        <v>5</v>
      </c>
      <c r="G275" s="582" t="n">
        <v>110</v>
      </c>
      <c r="H275" s="592" t="n">
        <v>0.7</v>
      </c>
      <c r="I275" s="595"/>
      <c r="J275" s="44"/>
      <c r="K275" s="44"/>
      <c r="L275" s="44"/>
      <c r="M275" s="44"/>
      <c r="N275" s="44"/>
      <c r="O275" s="44"/>
      <c r="P275" s="661"/>
      <c r="Q275" s="595"/>
      <c r="R275" s="93"/>
      <c r="S275" s="44"/>
      <c r="T275" s="664"/>
      <c r="U275" s="44"/>
      <c r="V275" s="93"/>
      <c r="W275" s="93"/>
      <c r="X275" s="616"/>
      <c r="Y275" s="93"/>
      <c r="Z275" s="93"/>
      <c r="AA275" s="93"/>
      <c r="AB275" s="616"/>
      <c r="AC275" s="93"/>
      <c r="AD275" s="93"/>
      <c r="AE275" s="93"/>
      <c r="AF275" s="616"/>
      <c r="AG275" s="93"/>
      <c r="AH275" s="93"/>
      <c r="AI275" s="93"/>
      <c r="AJ275" s="616"/>
      <c r="AK275" s="93"/>
      <c r="AL275" s="93"/>
      <c r="AM275" s="93"/>
      <c r="AN275" s="616"/>
      <c r="AO275" s="93"/>
      <c r="AP275" s="93"/>
      <c r="AQ275" s="93"/>
      <c r="AR275" s="616"/>
      <c r="AS275" s="93"/>
      <c r="AT275" s="93"/>
      <c r="AU275" s="93"/>
      <c r="AV275" s="616"/>
      <c r="AW275" s="93"/>
      <c r="AX275" s="93"/>
      <c r="AY275" s="93"/>
      <c r="AZ275" s="93"/>
      <c r="BA275" s="93"/>
      <c r="BB275" s="638"/>
      <c r="BC275" s="638"/>
      <c r="BD275" s="638"/>
    </row>
    <row r="276" customFormat="false" ht="15.75" hidden="false" customHeight="false" outlineLevel="0" collapsed="false">
      <c r="A276" s="663" t="s">
        <v>1819</v>
      </c>
      <c r="B276" s="663"/>
      <c r="C276" s="663"/>
      <c r="D276" s="618" t="s">
        <v>800</v>
      </c>
      <c r="E276" s="662" t="s">
        <v>1807</v>
      </c>
      <c r="F276" s="582" t="n">
        <v>5</v>
      </c>
      <c r="G276" s="582" t="n">
        <v>130</v>
      </c>
      <c r="H276" s="592" t="n">
        <v>0.85</v>
      </c>
      <c r="I276" s="595"/>
      <c r="J276" s="44"/>
      <c r="K276" s="44"/>
      <c r="L276" s="44"/>
      <c r="M276" s="44"/>
      <c r="N276" s="44"/>
      <c r="O276" s="44"/>
      <c r="P276" s="661"/>
      <c r="Q276" s="595"/>
      <c r="R276" s="93"/>
      <c r="S276" s="44"/>
      <c r="T276" s="664"/>
      <c r="U276" s="44"/>
      <c r="V276" s="93"/>
      <c r="W276" s="93"/>
      <c r="X276" s="616"/>
      <c r="Y276" s="93"/>
      <c r="Z276" s="93"/>
      <c r="AA276" s="93"/>
      <c r="AB276" s="616"/>
      <c r="AC276" s="93"/>
      <c r="AD276" s="93"/>
      <c r="AE276" s="93"/>
      <c r="AF276" s="616"/>
      <c r="AG276" s="93"/>
      <c r="AH276" s="93"/>
      <c r="AI276" s="93"/>
      <c r="AJ276" s="616"/>
      <c r="AK276" s="93"/>
      <c r="AL276" s="93"/>
      <c r="AM276" s="93"/>
      <c r="AN276" s="616"/>
      <c r="AO276" s="93"/>
      <c r="AP276" s="93"/>
      <c r="AQ276" s="93"/>
      <c r="AR276" s="616"/>
      <c r="AS276" s="93"/>
      <c r="AT276" s="93"/>
      <c r="AU276" s="93"/>
      <c r="AV276" s="616"/>
      <c r="AW276" s="93"/>
      <c r="AX276" s="93"/>
      <c r="AY276" s="93"/>
      <c r="AZ276" s="93"/>
      <c r="BA276" s="93"/>
      <c r="BB276" s="638"/>
      <c r="BC276" s="638"/>
      <c r="BD276" s="638"/>
    </row>
    <row r="277" customFormat="false" ht="15.75" hidden="false" customHeight="false" outlineLevel="0" collapsed="false">
      <c r="A277" s="663" t="s">
        <v>1820</v>
      </c>
      <c r="B277" s="663"/>
      <c r="C277" s="663"/>
      <c r="D277" s="610" t="s">
        <v>839</v>
      </c>
      <c r="E277" s="662" t="s">
        <v>1807</v>
      </c>
      <c r="F277" s="582" t="n">
        <v>10</v>
      </c>
      <c r="G277" s="582" t="n">
        <v>140</v>
      </c>
      <c r="H277" s="592" t="n">
        <v>1</v>
      </c>
      <c r="I277" s="595"/>
      <c r="J277" s="44"/>
      <c r="K277" s="44"/>
      <c r="L277" s="44"/>
      <c r="M277" s="44"/>
      <c r="N277" s="44"/>
      <c r="O277" s="44"/>
      <c r="P277" s="661"/>
      <c r="Q277" s="595"/>
      <c r="R277" s="93"/>
      <c r="S277" s="44"/>
      <c r="T277" s="664"/>
      <c r="U277" s="44"/>
      <c r="V277" s="93"/>
      <c r="W277" s="93"/>
      <c r="X277" s="616"/>
      <c r="Y277" s="93"/>
      <c r="Z277" s="93"/>
      <c r="AA277" s="93"/>
      <c r="AB277" s="616"/>
      <c r="AC277" s="93"/>
      <c r="AD277" s="93"/>
      <c r="AE277" s="93"/>
      <c r="AF277" s="616"/>
      <c r="AG277" s="93"/>
      <c r="AH277" s="93"/>
      <c r="AI277" s="93"/>
      <c r="AJ277" s="616"/>
      <c r="AK277" s="93"/>
      <c r="AL277" s="93"/>
      <c r="AM277" s="93"/>
      <c r="AN277" s="616"/>
      <c r="AO277" s="93"/>
      <c r="AP277" s="93"/>
      <c r="AQ277" s="93"/>
      <c r="AR277" s="616"/>
      <c r="AS277" s="93"/>
      <c r="AT277" s="93"/>
      <c r="AU277" s="93"/>
      <c r="AV277" s="616"/>
      <c r="AW277" s="93"/>
      <c r="AX277" s="93"/>
      <c r="AY277" s="93"/>
      <c r="AZ277" s="93"/>
      <c r="BA277" s="93"/>
      <c r="BB277" s="638"/>
      <c r="BC277" s="638"/>
      <c r="BD277" s="638"/>
    </row>
    <row r="278" customFormat="false" ht="15.75" hidden="false" customHeight="false" outlineLevel="0" collapsed="false">
      <c r="A278" s="663" t="s">
        <v>1821</v>
      </c>
      <c r="B278" s="663"/>
      <c r="C278" s="663"/>
      <c r="D278" s="599" t="s">
        <v>811</v>
      </c>
      <c r="E278" s="662" t="s">
        <v>1807</v>
      </c>
      <c r="F278" s="582" t="n">
        <v>10</v>
      </c>
      <c r="G278" s="582" t="n">
        <v>65</v>
      </c>
      <c r="H278" s="592" t="n">
        <v>1</v>
      </c>
      <c r="I278" s="595"/>
      <c r="J278" s="44"/>
      <c r="K278" s="44"/>
      <c r="L278" s="44"/>
      <c r="M278" s="44"/>
      <c r="N278" s="44"/>
      <c r="O278" s="44"/>
      <c r="P278" s="661"/>
      <c r="Q278" s="595"/>
      <c r="R278" s="93"/>
      <c r="S278" s="44"/>
      <c r="T278" s="664"/>
      <c r="U278" s="44"/>
      <c r="V278" s="93"/>
      <c r="W278" s="93"/>
      <c r="X278" s="616"/>
      <c r="Y278" s="93"/>
      <c r="Z278" s="93"/>
      <c r="AA278" s="93"/>
      <c r="AB278" s="616"/>
      <c r="AC278" s="93"/>
      <c r="AD278" s="93"/>
      <c r="AE278" s="93"/>
      <c r="AF278" s="616"/>
      <c r="AG278" s="93"/>
      <c r="AH278" s="93"/>
      <c r="AI278" s="93"/>
      <c r="AJ278" s="616"/>
      <c r="AK278" s="93"/>
      <c r="AL278" s="93"/>
      <c r="AM278" s="93"/>
      <c r="AN278" s="616"/>
      <c r="AO278" s="93"/>
      <c r="AP278" s="93"/>
      <c r="AQ278" s="93"/>
      <c r="AR278" s="616"/>
      <c r="AS278" s="93"/>
      <c r="AT278" s="93"/>
      <c r="AU278" s="93"/>
      <c r="AV278" s="616"/>
      <c r="AW278" s="93"/>
      <c r="AX278" s="93"/>
      <c r="AY278" s="93"/>
      <c r="AZ278" s="93"/>
      <c r="BA278" s="93"/>
      <c r="BB278" s="638"/>
      <c r="BC278" s="638"/>
      <c r="BD278" s="638"/>
    </row>
    <row r="279" customFormat="false" ht="15.75" hidden="false" customHeight="false" outlineLevel="0" collapsed="false">
      <c r="A279" s="663" t="s">
        <v>1822</v>
      </c>
      <c r="B279" s="663"/>
      <c r="C279" s="663"/>
      <c r="D279" s="599" t="s">
        <v>811</v>
      </c>
      <c r="E279" s="662" t="s">
        <v>1807</v>
      </c>
      <c r="F279" s="582" t="n">
        <v>30</v>
      </c>
      <c r="G279" s="582" t="n">
        <v>40</v>
      </c>
      <c r="H279" s="592" t="n">
        <v>1</v>
      </c>
      <c r="I279" s="595"/>
      <c r="J279" s="44"/>
      <c r="K279" s="44"/>
      <c r="L279" s="44"/>
      <c r="M279" s="44"/>
      <c r="N279" s="44"/>
      <c r="O279" s="44"/>
      <c r="P279" s="661"/>
      <c r="Q279" s="595"/>
      <c r="R279" s="93"/>
      <c r="S279" s="44"/>
      <c r="T279" s="664"/>
      <c r="U279" s="44"/>
      <c r="V279" s="93"/>
      <c r="W279" s="93"/>
      <c r="X279" s="616"/>
      <c r="Y279" s="93"/>
      <c r="Z279" s="93"/>
      <c r="AA279" s="93"/>
      <c r="AB279" s="616"/>
      <c r="AC279" s="93"/>
      <c r="AD279" s="93"/>
      <c r="AE279" s="93"/>
      <c r="AF279" s="616"/>
      <c r="AG279" s="93"/>
      <c r="AH279" s="93"/>
      <c r="AI279" s="93"/>
      <c r="AJ279" s="616"/>
      <c r="AK279" s="93"/>
      <c r="AL279" s="93"/>
      <c r="AM279" s="93"/>
      <c r="AN279" s="616"/>
      <c r="AO279" s="93"/>
      <c r="AP279" s="93"/>
      <c r="AQ279" s="93"/>
      <c r="AR279" s="616"/>
      <c r="AS279" s="93"/>
      <c r="AT279" s="93"/>
      <c r="AU279" s="93"/>
      <c r="AV279" s="616"/>
      <c r="AW279" s="93"/>
      <c r="AX279" s="93"/>
      <c r="AY279" s="93"/>
      <c r="AZ279" s="93"/>
      <c r="BA279" s="93"/>
      <c r="BB279" s="638"/>
      <c r="BC279" s="638"/>
      <c r="BD279" s="638"/>
    </row>
    <row r="280" customFormat="false" ht="15.75" hidden="false" customHeight="false" outlineLevel="0" collapsed="false">
      <c r="A280" s="663" t="s">
        <v>1823</v>
      </c>
      <c r="B280" s="663"/>
      <c r="C280" s="663"/>
      <c r="D280" s="599" t="s">
        <v>811</v>
      </c>
      <c r="E280" s="662" t="s">
        <v>1807</v>
      </c>
      <c r="F280" s="582" t="n">
        <v>20</v>
      </c>
      <c r="G280" s="582" t="n">
        <v>65</v>
      </c>
      <c r="H280" s="592" t="n">
        <v>1</v>
      </c>
      <c r="I280" s="595"/>
      <c r="J280" s="44"/>
      <c r="K280" s="44"/>
      <c r="L280" s="44"/>
      <c r="M280" s="44"/>
      <c r="N280" s="44"/>
      <c r="O280" s="44"/>
      <c r="P280" s="661"/>
      <c r="Q280" s="595"/>
      <c r="R280" s="93"/>
      <c r="S280" s="44"/>
      <c r="T280" s="664"/>
      <c r="U280" s="44"/>
      <c r="V280" s="93"/>
      <c r="W280" s="93"/>
      <c r="X280" s="616"/>
      <c r="Y280" s="93"/>
      <c r="Z280" s="93"/>
      <c r="AA280" s="93"/>
      <c r="AB280" s="616"/>
      <c r="AC280" s="93"/>
      <c r="AD280" s="93"/>
      <c r="AE280" s="93"/>
      <c r="AF280" s="616"/>
      <c r="AG280" s="93"/>
      <c r="AH280" s="93"/>
      <c r="AI280" s="93"/>
      <c r="AJ280" s="616"/>
      <c r="AK280" s="93"/>
      <c r="AL280" s="93"/>
      <c r="AM280" s="93"/>
      <c r="AN280" s="616"/>
      <c r="AO280" s="93"/>
      <c r="AP280" s="93"/>
      <c r="AQ280" s="93"/>
      <c r="AR280" s="616"/>
      <c r="AS280" s="93"/>
      <c r="AT280" s="93"/>
      <c r="AU280" s="93"/>
      <c r="AV280" s="616"/>
      <c r="AW280" s="93"/>
      <c r="AX280" s="93"/>
      <c r="AY280" s="93"/>
      <c r="AZ280" s="93"/>
      <c r="BA280" s="93"/>
      <c r="BB280" s="638"/>
      <c r="BC280" s="638"/>
      <c r="BD280" s="638"/>
    </row>
    <row r="281" customFormat="false" ht="15.75" hidden="false" customHeight="false" outlineLevel="0" collapsed="false">
      <c r="A281" s="663" t="s">
        <v>1824</v>
      </c>
      <c r="B281" s="663"/>
      <c r="C281" s="663"/>
      <c r="D281" s="607" t="s">
        <v>794</v>
      </c>
      <c r="E281" s="662" t="s">
        <v>1807</v>
      </c>
      <c r="F281" s="582" t="n">
        <v>10</v>
      </c>
      <c r="G281" s="582" t="n">
        <v>90</v>
      </c>
      <c r="H281" s="592" t="n">
        <v>1</v>
      </c>
      <c r="I281" s="595"/>
      <c r="J281" s="44"/>
      <c r="K281" s="44"/>
      <c r="L281" s="44"/>
      <c r="M281" s="44"/>
      <c r="N281" s="44"/>
      <c r="O281" s="44"/>
      <c r="P281" s="661"/>
      <c r="Q281" s="595"/>
      <c r="R281" s="93"/>
      <c r="S281" s="44"/>
      <c r="T281" s="664"/>
      <c r="U281" s="44"/>
      <c r="V281" s="93"/>
      <c r="W281" s="93"/>
      <c r="X281" s="616"/>
      <c r="Y281" s="93"/>
      <c r="Z281" s="93"/>
      <c r="AA281" s="93"/>
      <c r="AB281" s="616"/>
      <c r="AC281" s="93"/>
      <c r="AD281" s="93"/>
      <c r="AE281" s="93"/>
      <c r="AF281" s="616"/>
      <c r="AG281" s="93"/>
      <c r="AH281" s="93"/>
      <c r="AI281" s="93"/>
      <c r="AJ281" s="616"/>
      <c r="AK281" s="93"/>
      <c r="AL281" s="93"/>
      <c r="AM281" s="93"/>
      <c r="AN281" s="616"/>
      <c r="AO281" s="93"/>
      <c r="AP281" s="93"/>
      <c r="AQ281" s="93"/>
      <c r="AR281" s="616"/>
      <c r="AS281" s="93"/>
      <c r="AT281" s="93"/>
      <c r="AU281" s="93"/>
      <c r="AV281" s="616"/>
      <c r="AW281" s="93"/>
      <c r="AX281" s="93"/>
      <c r="AY281" s="93"/>
      <c r="AZ281" s="93"/>
      <c r="BA281" s="93"/>
      <c r="BB281" s="638"/>
      <c r="BC281" s="638"/>
      <c r="BD281" s="638"/>
    </row>
    <row r="282" customFormat="false" ht="15.75" hidden="false" customHeight="false" outlineLevel="0" collapsed="false">
      <c r="A282" s="663" t="s">
        <v>1825</v>
      </c>
      <c r="B282" s="663"/>
      <c r="C282" s="663"/>
      <c r="D282" s="618" t="s">
        <v>800</v>
      </c>
      <c r="E282" s="662" t="s">
        <v>1807</v>
      </c>
      <c r="F282" s="582" t="n">
        <v>5</v>
      </c>
      <c r="G282" s="582" t="n">
        <v>130</v>
      </c>
      <c r="H282" s="592" t="n">
        <v>1</v>
      </c>
      <c r="I282" s="595"/>
      <c r="J282" s="44"/>
      <c r="K282" s="44"/>
      <c r="L282" s="44"/>
      <c r="M282" s="44"/>
      <c r="N282" s="44"/>
      <c r="O282" s="44"/>
      <c r="P282" s="44"/>
      <c r="Q282" s="595"/>
      <c r="R282" s="93"/>
      <c r="S282" s="44"/>
      <c r="T282" s="664"/>
      <c r="U282" s="44"/>
      <c r="V282" s="93"/>
      <c r="W282" s="93"/>
      <c r="X282" s="616"/>
      <c r="Y282" s="93"/>
      <c r="Z282" s="93"/>
      <c r="AA282" s="93"/>
      <c r="AB282" s="616"/>
      <c r="AC282" s="93"/>
      <c r="AD282" s="93"/>
      <c r="AE282" s="93"/>
      <c r="AF282" s="616"/>
      <c r="AG282" s="93"/>
      <c r="AH282" s="93"/>
      <c r="AI282" s="93"/>
      <c r="AJ282" s="616"/>
      <c r="AK282" s="93"/>
      <c r="AL282" s="93"/>
      <c r="AM282" s="93"/>
      <c r="AN282" s="616"/>
      <c r="AO282" s="93"/>
      <c r="AP282" s="93"/>
      <c r="AQ282" s="93"/>
      <c r="AR282" s="616"/>
      <c r="AS282" s="93"/>
      <c r="AT282" s="93"/>
      <c r="AU282" s="93"/>
      <c r="AV282" s="616"/>
      <c r="AW282" s="93"/>
      <c r="AX282" s="93"/>
      <c r="AY282" s="93"/>
      <c r="AZ282" s="93"/>
      <c r="BA282" s="93"/>
      <c r="BB282" s="638"/>
      <c r="BC282" s="638"/>
      <c r="BD282" s="638"/>
    </row>
    <row r="283" customFormat="false" ht="15.75" hidden="false" customHeight="false" outlineLevel="0" collapsed="false">
      <c r="A283" s="663" t="s">
        <v>1826</v>
      </c>
      <c r="B283" s="663"/>
      <c r="C283" s="663"/>
      <c r="D283" s="619" t="s">
        <v>845</v>
      </c>
      <c r="E283" s="662" t="s">
        <v>1807</v>
      </c>
      <c r="F283" s="582" t="n">
        <v>10</v>
      </c>
      <c r="G283" s="582" t="n">
        <v>50</v>
      </c>
      <c r="H283" s="592" t="n">
        <v>0.9</v>
      </c>
      <c r="I283" s="595"/>
      <c r="J283" s="44"/>
      <c r="K283" s="44"/>
      <c r="L283" s="44"/>
      <c r="M283" s="44"/>
      <c r="N283" s="44"/>
      <c r="O283" s="44"/>
      <c r="P283" s="44"/>
      <c r="Q283" s="595"/>
      <c r="R283" s="93"/>
      <c r="S283" s="44"/>
      <c r="T283" s="664"/>
      <c r="U283" s="44"/>
      <c r="V283" s="93"/>
      <c r="W283" s="93"/>
      <c r="X283" s="616"/>
      <c r="Y283" s="93"/>
      <c r="Z283" s="93"/>
      <c r="AA283" s="93"/>
      <c r="AB283" s="616"/>
      <c r="AC283" s="93"/>
      <c r="AD283" s="93"/>
      <c r="AE283" s="93"/>
      <c r="AF283" s="616"/>
      <c r="AG283" s="93"/>
      <c r="AH283" s="93"/>
      <c r="AI283" s="93"/>
      <c r="AJ283" s="616"/>
      <c r="AK283" s="93"/>
      <c r="AL283" s="93"/>
      <c r="AM283" s="93"/>
      <c r="AN283" s="616"/>
      <c r="AO283" s="93"/>
      <c r="AP283" s="93"/>
      <c r="AQ283" s="93"/>
      <c r="AR283" s="616"/>
      <c r="AS283" s="93"/>
      <c r="AT283" s="93"/>
      <c r="AU283" s="93"/>
      <c r="AV283" s="616"/>
      <c r="AW283" s="93"/>
      <c r="AX283" s="93"/>
      <c r="AY283" s="93"/>
      <c r="AZ283" s="93"/>
      <c r="BA283" s="93"/>
      <c r="BB283" s="638"/>
      <c r="BC283" s="638"/>
      <c r="BD283" s="638"/>
    </row>
    <row r="284" customFormat="false" ht="15.75" hidden="false" customHeight="false" outlineLevel="0" collapsed="false">
      <c r="A284" s="663" t="s">
        <v>1827</v>
      </c>
      <c r="B284" s="663"/>
      <c r="C284" s="663"/>
      <c r="D284" s="590" t="s">
        <v>801</v>
      </c>
      <c r="E284" s="662" t="s">
        <v>1807</v>
      </c>
      <c r="F284" s="582" t="n">
        <v>20</v>
      </c>
      <c r="G284" s="582" t="n">
        <v>65</v>
      </c>
      <c r="H284" s="592" t="n">
        <v>1</v>
      </c>
      <c r="I284" s="595"/>
      <c r="J284" s="44"/>
      <c r="K284" s="44"/>
      <c r="L284" s="44"/>
      <c r="M284" s="44"/>
      <c r="N284" s="44"/>
      <c r="O284" s="44"/>
      <c r="P284" s="44"/>
      <c r="Q284" s="595"/>
      <c r="R284" s="93"/>
      <c r="S284" s="44"/>
      <c r="T284" s="664"/>
      <c r="U284" s="44"/>
      <c r="V284" s="93"/>
      <c r="W284" s="93"/>
      <c r="X284" s="616"/>
      <c r="Y284" s="93"/>
      <c r="Z284" s="93"/>
      <c r="AA284" s="93"/>
      <c r="AB284" s="616"/>
      <c r="AC284" s="93"/>
      <c r="AD284" s="93"/>
      <c r="AE284" s="93"/>
      <c r="AF284" s="616"/>
      <c r="AG284" s="93"/>
      <c r="AH284" s="93"/>
      <c r="AI284" s="93"/>
      <c r="AJ284" s="616"/>
      <c r="AK284" s="93"/>
      <c r="AL284" s="93"/>
      <c r="AM284" s="93"/>
      <c r="AN284" s="616"/>
      <c r="AO284" s="93"/>
      <c r="AP284" s="93"/>
      <c r="AQ284" s="93"/>
      <c r="AR284" s="616"/>
      <c r="AS284" s="93"/>
      <c r="AT284" s="93"/>
      <c r="AU284" s="93"/>
      <c r="AV284" s="616"/>
      <c r="AW284" s="93"/>
      <c r="AX284" s="93"/>
      <c r="AY284" s="93"/>
      <c r="AZ284" s="93"/>
      <c r="BA284" s="93"/>
      <c r="BB284" s="638"/>
      <c r="BC284" s="638"/>
      <c r="BD284" s="638"/>
    </row>
    <row r="285" customFormat="false" ht="15.75" hidden="false" customHeight="false" outlineLevel="0" collapsed="false">
      <c r="A285" s="663" t="s">
        <v>1828</v>
      </c>
      <c r="B285" s="663"/>
      <c r="C285" s="663"/>
      <c r="D285" s="634" t="s">
        <v>835</v>
      </c>
      <c r="E285" s="662" t="s">
        <v>1807</v>
      </c>
      <c r="F285" s="582" t="n">
        <v>5</v>
      </c>
      <c r="G285" s="582" t="n">
        <v>110</v>
      </c>
      <c r="H285" s="592" t="n">
        <v>1</v>
      </c>
      <c r="I285" s="595"/>
      <c r="J285" s="44"/>
      <c r="K285" s="44"/>
      <c r="L285" s="44"/>
      <c r="M285" s="44"/>
      <c r="N285" s="44"/>
      <c r="O285" s="44"/>
      <c r="P285" s="661"/>
      <c r="Q285" s="595"/>
      <c r="R285" s="93"/>
      <c r="S285" s="44"/>
      <c r="T285" s="664"/>
      <c r="U285" s="44"/>
      <c r="V285" s="93"/>
      <c r="W285" s="93"/>
      <c r="X285" s="616"/>
      <c r="Y285" s="93"/>
      <c r="Z285" s="93"/>
      <c r="AA285" s="93"/>
      <c r="AB285" s="616"/>
      <c r="AC285" s="93"/>
      <c r="AD285" s="93"/>
      <c r="AE285" s="93"/>
      <c r="AF285" s="616"/>
      <c r="AG285" s="93"/>
      <c r="AH285" s="93"/>
      <c r="AI285" s="93"/>
      <c r="AJ285" s="616"/>
      <c r="AK285" s="93"/>
      <c r="AL285" s="93"/>
      <c r="AM285" s="93"/>
      <c r="AN285" s="616"/>
      <c r="AO285" s="93"/>
      <c r="AP285" s="93"/>
      <c r="AQ285" s="93"/>
      <c r="AR285" s="616"/>
      <c r="AS285" s="93"/>
      <c r="AT285" s="93"/>
      <c r="AU285" s="93"/>
      <c r="AV285" s="616"/>
      <c r="AW285" s="93"/>
      <c r="AX285" s="93"/>
      <c r="AY285" s="93"/>
      <c r="AZ285" s="93"/>
      <c r="BA285" s="93"/>
      <c r="BB285" s="638"/>
      <c r="BC285" s="638"/>
      <c r="BD285" s="638"/>
    </row>
    <row r="286" customFormat="false" ht="15.75" hidden="false" customHeight="false" outlineLevel="0" collapsed="false">
      <c r="A286" s="663" t="s">
        <v>1829</v>
      </c>
      <c r="B286" s="663"/>
      <c r="C286" s="663"/>
      <c r="D286" s="629" t="s">
        <v>843</v>
      </c>
      <c r="E286" s="662" t="s">
        <v>1807</v>
      </c>
      <c r="F286" s="582" t="n">
        <v>15</v>
      </c>
      <c r="G286" s="582" t="n">
        <v>50</v>
      </c>
      <c r="H286" s="583" t="s">
        <v>1120</v>
      </c>
      <c r="I286" s="595"/>
      <c r="J286" s="44"/>
      <c r="K286" s="44"/>
      <c r="L286" s="44"/>
      <c r="M286" s="44"/>
      <c r="N286" s="44"/>
      <c r="O286" s="44"/>
      <c r="P286" s="661"/>
      <c r="Q286" s="595"/>
      <c r="R286" s="93"/>
      <c r="S286" s="44"/>
      <c r="T286" s="664"/>
      <c r="U286" s="44"/>
      <c r="V286" s="93"/>
      <c r="W286" s="93"/>
      <c r="X286" s="616"/>
      <c r="Y286" s="93"/>
      <c r="Z286" s="93"/>
      <c r="AA286" s="93"/>
      <c r="AB286" s="616"/>
      <c r="AC286" s="93"/>
      <c r="AD286" s="93"/>
      <c r="AE286" s="93"/>
      <c r="AF286" s="616"/>
      <c r="AG286" s="93"/>
      <c r="AH286" s="93"/>
      <c r="AI286" s="93"/>
      <c r="AJ286" s="616"/>
      <c r="AK286" s="93"/>
      <c r="AL286" s="93"/>
      <c r="AM286" s="93"/>
      <c r="AN286" s="616"/>
      <c r="AO286" s="93"/>
      <c r="AP286" s="93"/>
      <c r="AQ286" s="93"/>
      <c r="AR286" s="616"/>
      <c r="AS286" s="93"/>
      <c r="AT286" s="93"/>
      <c r="AU286" s="93"/>
      <c r="AV286" s="616"/>
      <c r="AW286" s="93"/>
      <c r="AX286" s="93"/>
      <c r="AY286" s="93"/>
      <c r="AZ286" s="93"/>
      <c r="BA286" s="93"/>
      <c r="BB286" s="638"/>
      <c r="BC286" s="638"/>
      <c r="BD286" s="638"/>
    </row>
    <row r="287" customFormat="false" ht="15.75" hidden="false" customHeight="false" outlineLevel="0" collapsed="false">
      <c r="A287" s="663" t="s">
        <v>1830</v>
      </c>
      <c r="B287" s="663"/>
      <c r="C287" s="663"/>
      <c r="D287" s="639" t="s">
        <v>828</v>
      </c>
      <c r="E287" s="662" t="s">
        <v>1807</v>
      </c>
      <c r="F287" s="582" t="n">
        <v>25</v>
      </c>
      <c r="G287" s="582" t="n">
        <v>50</v>
      </c>
      <c r="H287" s="592" t="n">
        <v>1</v>
      </c>
      <c r="I287" s="595"/>
      <c r="J287" s="44"/>
      <c r="K287" s="44"/>
      <c r="L287" s="44"/>
      <c r="M287" s="44"/>
      <c r="N287" s="44"/>
      <c r="O287" s="44"/>
      <c r="P287" s="661"/>
      <c r="Q287" s="595"/>
      <c r="R287" s="93"/>
      <c r="S287" s="44"/>
      <c r="T287" s="664"/>
      <c r="U287" s="44"/>
      <c r="V287" s="93"/>
      <c r="W287" s="93"/>
      <c r="X287" s="616"/>
      <c r="Y287" s="93"/>
      <c r="Z287" s="93"/>
      <c r="AA287" s="93"/>
      <c r="AB287" s="616"/>
      <c r="AC287" s="93"/>
      <c r="AD287" s="93"/>
      <c r="AE287" s="93"/>
      <c r="AF287" s="616"/>
      <c r="AG287" s="93"/>
      <c r="AH287" s="93"/>
      <c r="AI287" s="93"/>
      <c r="AJ287" s="616"/>
      <c r="AK287" s="93"/>
      <c r="AL287" s="93"/>
      <c r="AM287" s="93"/>
      <c r="AN287" s="616"/>
      <c r="AO287" s="93"/>
      <c r="AP287" s="93"/>
      <c r="AQ287" s="93"/>
      <c r="AR287" s="616"/>
      <c r="AS287" s="93"/>
      <c r="AT287" s="93"/>
      <c r="AU287" s="93"/>
      <c r="AV287" s="616"/>
      <c r="AW287" s="93"/>
      <c r="AX287" s="93"/>
      <c r="AY287" s="93"/>
      <c r="AZ287" s="93"/>
      <c r="BA287" s="93"/>
      <c r="BB287" s="638"/>
      <c r="BC287" s="638"/>
      <c r="BD287" s="638"/>
    </row>
    <row r="288" customFormat="false" ht="15.75" hidden="false" customHeight="false" outlineLevel="0" collapsed="false">
      <c r="A288" s="663" t="s">
        <v>1831</v>
      </c>
      <c r="B288" s="663"/>
      <c r="C288" s="663"/>
      <c r="D288" s="634" t="s">
        <v>835</v>
      </c>
      <c r="E288" s="662" t="s">
        <v>1807</v>
      </c>
      <c r="F288" s="582" t="n">
        <v>10</v>
      </c>
      <c r="G288" s="582" t="n">
        <v>100</v>
      </c>
      <c r="H288" s="592" t="n">
        <v>1</v>
      </c>
      <c r="I288" s="595"/>
      <c r="J288" s="44"/>
      <c r="K288" s="44"/>
      <c r="L288" s="44"/>
      <c r="M288" s="44"/>
      <c r="N288" s="44"/>
      <c r="O288" s="44"/>
      <c r="P288" s="661"/>
      <c r="Q288" s="595"/>
      <c r="R288" s="93"/>
      <c r="S288" s="44"/>
      <c r="T288" s="664"/>
      <c r="U288" s="44"/>
      <c r="V288" s="93"/>
      <c r="W288" s="93"/>
      <c r="X288" s="616"/>
      <c r="Y288" s="93"/>
      <c r="Z288" s="93"/>
      <c r="AA288" s="93"/>
      <c r="AB288" s="616"/>
      <c r="AC288" s="93"/>
      <c r="AD288" s="93"/>
      <c r="AE288" s="93"/>
      <c r="AF288" s="616"/>
      <c r="AG288" s="93"/>
      <c r="AH288" s="93"/>
      <c r="AI288" s="93"/>
      <c r="AJ288" s="616"/>
      <c r="AK288" s="93"/>
      <c r="AL288" s="93"/>
      <c r="AM288" s="93"/>
      <c r="AN288" s="616"/>
      <c r="AO288" s="93"/>
      <c r="AP288" s="93"/>
      <c r="AQ288" s="93"/>
      <c r="AR288" s="616"/>
      <c r="AS288" s="93"/>
      <c r="AT288" s="93"/>
      <c r="AU288" s="93"/>
      <c r="AV288" s="616"/>
      <c r="AW288" s="93"/>
      <c r="AX288" s="93"/>
      <c r="AY288" s="93"/>
      <c r="AZ288" s="93"/>
      <c r="BA288" s="93"/>
      <c r="BB288" s="638"/>
      <c r="BC288" s="638"/>
      <c r="BD288" s="638"/>
    </row>
    <row r="289" customFormat="false" ht="15.75" hidden="false" customHeight="false" outlineLevel="0" collapsed="false">
      <c r="A289" s="663" t="s">
        <v>1832</v>
      </c>
      <c r="B289" s="663"/>
      <c r="C289" s="663"/>
      <c r="D289" s="603" t="s">
        <v>795</v>
      </c>
      <c r="E289" s="662" t="s">
        <v>1807</v>
      </c>
      <c r="F289" s="582" t="n">
        <v>15</v>
      </c>
      <c r="G289" s="582" t="n">
        <v>80</v>
      </c>
      <c r="H289" s="592" t="n">
        <v>1</v>
      </c>
      <c r="I289" s="595"/>
      <c r="J289" s="44"/>
      <c r="K289" s="44"/>
      <c r="L289" s="44"/>
      <c r="M289" s="44"/>
      <c r="N289" s="44"/>
      <c r="O289" s="44"/>
      <c r="P289" s="661"/>
      <c r="Q289" s="595"/>
      <c r="R289" s="93"/>
      <c r="S289" s="44"/>
      <c r="T289" s="664"/>
      <c r="U289" s="44"/>
      <c r="V289" s="93"/>
      <c r="W289" s="93"/>
      <c r="X289" s="616"/>
      <c r="Y289" s="93"/>
      <c r="Z289" s="93"/>
      <c r="AA289" s="93"/>
      <c r="AB289" s="616"/>
      <c r="AC289" s="93"/>
      <c r="AD289" s="93"/>
      <c r="AE289" s="93"/>
      <c r="AF289" s="616"/>
      <c r="AG289" s="93"/>
      <c r="AH289" s="93"/>
      <c r="AI289" s="93"/>
      <c r="AJ289" s="616"/>
      <c r="AK289" s="93"/>
      <c r="AL289" s="93"/>
      <c r="AM289" s="93"/>
      <c r="AN289" s="616"/>
      <c r="AO289" s="93"/>
      <c r="AP289" s="93"/>
      <c r="AQ289" s="93"/>
      <c r="AR289" s="616"/>
      <c r="AS289" s="93"/>
      <c r="AT289" s="93"/>
      <c r="AU289" s="93"/>
      <c r="AV289" s="616"/>
      <c r="AW289" s="93"/>
      <c r="AX289" s="93"/>
      <c r="AY289" s="93"/>
      <c r="AZ289" s="93"/>
      <c r="BA289" s="93"/>
      <c r="BB289" s="638"/>
      <c r="BC289" s="638"/>
      <c r="BD289" s="638"/>
    </row>
    <row r="290" customFormat="false" ht="15.75" hidden="false" customHeight="false" outlineLevel="0" collapsed="false">
      <c r="A290" s="663" t="s">
        <v>1833</v>
      </c>
      <c r="B290" s="663"/>
      <c r="C290" s="663"/>
      <c r="D290" s="635" t="s">
        <v>798</v>
      </c>
      <c r="E290" s="662" t="s">
        <v>1807</v>
      </c>
      <c r="F290" s="582" t="n">
        <v>10</v>
      </c>
      <c r="G290" s="582" t="n">
        <v>80</v>
      </c>
      <c r="H290" s="592" t="n">
        <v>1</v>
      </c>
      <c r="I290" s="595"/>
      <c r="J290" s="44"/>
      <c r="K290" s="44"/>
      <c r="L290" s="44"/>
      <c r="M290" s="44"/>
      <c r="N290" s="44"/>
      <c r="O290" s="44"/>
      <c r="P290" s="661"/>
      <c r="Q290" s="595"/>
      <c r="R290" s="93"/>
      <c r="S290" s="44"/>
      <c r="T290" s="664"/>
      <c r="U290" s="44"/>
      <c r="V290" s="93"/>
      <c r="W290" s="93"/>
      <c r="X290" s="616"/>
      <c r="Y290" s="93"/>
      <c r="Z290" s="93"/>
      <c r="AA290" s="93"/>
      <c r="AB290" s="616"/>
      <c r="AC290" s="93"/>
      <c r="AD290" s="93"/>
      <c r="AE290" s="93"/>
      <c r="AF290" s="616"/>
      <c r="AG290" s="93"/>
      <c r="AH290" s="93"/>
      <c r="AI290" s="93"/>
      <c r="AJ290" s="616"/>
      <c r="AK290" s="93"/>
      <c r="AL290" s="93"/>
      <c r="AM290" s="93"/>
      <c r="AN290" s="616"/>
      <c r="AO290" s="93"/>
      <c r="AP290" s="93"/>
      <c r="AQ290" s="93"/>
      <c r="AR290" s="616"/>
      <c r="AS290" s="93"/>
      <c r="AT290" s="93"/>
      <c r="AU290" s="93"/>
      <c r="AV290" s="616"/>
      <c r="AW290" s="93"/>
      <c r="AX290" s="93"/>
      <c r="AY290" s="93"/>
      <c r="AZ290" s="93"/>
      <c r="BA290" s="93"/>
      <c r="BB290" s="638"/>
      <c r="BC290" s="638"/>
      <c r="BD290" s="638"/>
    </row>
    <row r="291" customFormat="false" ht="15.75" hidden="false" customHeight="false" outlineLevel="0" collapsed="false">
      <c r="A291" s="663" t="s">
        <v>1834</v>
      </c>
      <c r="B291" s="663"/>
      <c r="C291" s="663"/>
      <c r="D291" s="635" t="s">
        <v>798</v>
      </c>
      <c r="E291" s="662" t="s">
        <v>1807</v>
      </c>
      <c r="F291" s="582" t="n">
        <v>15</v>
      </c>
      <c r="G291" s="582" t="n">
        <v>40</v>
      </c>
      <c r="H291" s="583" t="s">
        <v>1120</v>
      </c>
      <c r="I291" s="595"/>
      <c r="J291" s="44"/>
      <c r="K291" s="44"/>
      <c r="L291" s="44"/>
      <c r="M291" s="44"/>
      <c r="N291" s="44"/>
      <c r="O291" s="44"/>
      <c r="P291" s="44"/>
      <c r="Q291" s="595"/>
      <c r="R291" s="93"/>
      <c r="S291" s="44"/>
      <c r="T291" s="664"/>
      <c r="U291" s="44"/>
      <c r="V291" s="93"/>
      <c r="W291" s="93"/>
      <c r="X291" s="616"/>
      <c r="Y291" s="93"/>
      <c r="Z291" s="93"/>
      <c r="AA291" s="93"/>
      <c r="AB291" s="616"/>
      <c r="AC291" s="93"/>
      <c r="AD291" s="93"/>
      <c r="AE291" s="93"/>
      <c r="AF291" s="616"/>
      <c r="AG291" s="93"/>
      <c r="AH291" s="93"/>
      <c r="AI291" s="93"/>
      <c r="AJ291" s="616"/>
      <c r="AK291" s="93"/>
      <c r="AL291" s="93"/>
      <c r="AM291" s="93"/>
      <c r="AN291" s="616"/>
      <c r="AO291" s="93"/>
      <c r="AP291" s="93"/>
      <c r="AQ291" s="93"/>
      <c r="AR291" s="616"/>
      <c r="AS291" s="93"/>
      <c r="AT291" s="93"/>
      <c r="AU291" s="93"/>
      <c r="AV291" s="616"/>
      <c r="AW291" s="93"/>
      <c r="AX291" s="93"/>
      <c r="AY291" s="93"/>
      <c r="AZ291" s="93"/>
      <c r="BA291" s="93"/>
      <c r="BB291" s="638"/>
      <c r="BC291" s="638"/>
      <c r="BD291" s="638"/>
    </row>
    <row r="292" customFormat="false" ht="15.75" hidden="false" customHeight="false" outlineLevel="0" collapsed="false">
      <c r="A292" s="663" t="s">
        <v>1835</v>
      </c>
      <c r="B292" s="663"/>
      <c r="C292" s="663"/>
      <c r="D292" s="619" t="s">
        <v>845</v>
      </c>
      <c r="E292" s="662" t="s">
        <v>1807</v>
      </c>
      <c r="F292" s="582" t="n">
        <v>15</v>
      </c>
      <c r="G292" s="582" t="n">
        <v>80</v>
      </c>
      <c r="H292" s="592" t="n">
        <v>1</v>
      </c>
      <c r="I292" s="595"/>
      <c r="J292" s="44"/>
      <c r="K292" s="44"/>
      <c r="L292" s="44"/>
      <c r="M292" s="44"/>
      <c r="N292" s="44"/>
      <c r="O292" s="44"/>
      <c r="P292" s="661"/>
      <c r="Q292" s="595"/>
      <c r="R292" s="93"/>
      <c r="S292" s="44"/>
      <c r="T292" s="664"/>
      <c r="U292" s="44"/>
      <c r="V292" s="93"/>
      <c r="W292" s="93"/>
      <c r="X292" s="616"/>
      <c r="Y292" s="93"/>
      <c r="Z292" s="93"/>
      <c r="AA292" s="93"/>
      <c r="AB292" s="616"/>
      <c r="AC292" s="93"/>
      <c r="AD292" s="93"/>
      <c r="AE292" s="93"/>
      <c r="AF292" s="616"/>
      <c r="AG292" s="93"/>
      <c r="AH292" s="93"/>
      <c r="AI292" s="93"/>
      <c r="AJ292" s="616"/>
      <c r="AK292" s="93"/>
      <c r="AL292" s="93"/>
      <c r="AM292" s="93"/>
      <c r="AN292" s="616"/>
      <c r="AO292" s="93"/>
      <c r="AP292" s="93"/>
      <c r="AQ292" s="93"/>
      <c r="AR292" s="616"/>
      <c r="AS292" s="93"/>
      <c r="AT292" s="93"/>
      <c r="AU292" s="93"/>
      <c r="AV292" s="616"/>
      <c r="AW292" s="93"/>
      <c r="AX292" s="93"/>
      <c r="AY292" s="93"/>
      <c r="AZ292" s="93"/>
      <c r="BA292" s="93"/>
      <c r="BB292" s="638"/>
      <c r="BC292" s="638"/>
      <c r="BD292" s="638"/>
    </row>
    <row r="293" customFormat="false" ht="15.75" hidden="false" customHeight="false" outlineLevel="0" collapsed="false">
      <c r="A293" s="663" t="s">
        <v>1836</v>
      </c>
      <c r="B293" s="663"/>
      <c r="C293" s="663"/>
      <c r="D293" s="597" t="s">
        <v>810</v>
      </c>
      <c r="E293" s="662" t="s">
        <v>1807</v>
      </c>
      <c r="F293" s="582" t="n">
        <v>5</v>
      </c>
      <c r="G293" s="582" t="n">
        <v>140</v>
      </c>
      <c r="H293" s="592" t="n">
        <v>1</v>
      </c>
      <c r="I293" s="595"/>
      <c r="J293" s="44"/>
      <c r="K293" s="44"/>
      <c r="L293" s="44"/>
      <c r="M293" s="44"/>
      <c r="N293" s="44"/>
      <c r="O293" s="44"/>
      <c r="P293" s="661"/>
      <c r="Q293" s="595"/>
      <c r="R293" s="93"/>
      <c r="S293" s="44"/>
      <c r="T293" s="664"/>
      <c r="U293" s="44"/>
      <c r="V293" s="93"/>
      <c r="W293" s="93"/>
      <c r="X293" s="616"/>
      <c r="Y293" s="93"/>
      <c r="Z293" s="93"/>
      <c r="AA293" s="93"/>
      <c r="AB293" s="616"/>
      <c r="AC293" s="93"/>
      <c r="AD293" s="93"/>
      <c r="AE293" s="93"/>
      <c r="AF293" s="616"/>
      <c r="AG293" s="93"/>
      <c r="AH293" s="93"/>
      <c r="AI293" s="93"/>
      <c r="AJ293" s="616"/>
      <c r="AK293" s="93"/>
      <c r="AL293" s="93"/>
      <c r="AM293" s="93"/>
      <c r="AN293" s="616"/>
      <c r="AO293" s="93"/>
      <c r="AP293" s="93"/>
      <c r="AQ293" s="93"/>
      <c r="AR293" s="616"/>
      <c r="AS293" s="93"/>
      <c r="AT293" s="93"/>
      <c r="AU293" s="93"/>
      <c r="AV293" s="616"/>
      <c r="AW293" s="93"/>
      <c r="AX293" s="93"/>
      <c r="AY293" s="93"/>
      <c r="AZ293" s="93"/>
      <c r="BA293" s="93"/>
      <c r="BB293" s="638"/>
      <c r="BC293" s="638"/>
      <c r="BD293" s="638"/>
    </row>
    <row r="294" customFormat="false" ht="15.75" hidden="false" customHeight="false" outlineLevel="0" collapsed="false">
      <c r="A294" s="663" t="s">
        <v>1837</v>
      </c>
      <c r="B294" s="663"/>
      <c r="C294" s="663"/>
      <c r="D294" s="634" t="s">
        <v>835</v>
      </c>
      <c r="E294" s="662" t="s">
        <v>1807</v>
      </c>
      <c r="F294" s="582" t="n">
        <v>5</v>
      </c>
      <c r="G294" s="582" t="n">
        <v>130</v>
      </c>
      <c r="H294" s="592" t="n">
        <v>0.9</v>
      </c>
      <c r="I294" s="595"/>
      <c r="J294" s="44"/>
      <c r="K294" s="44"/>
      <c r="L294" s="44"/>
      <c r="M294" s="44"/>
      <c r="N294" s="44"/>
      <c r="O294" s="44"/>
      <c r="P294" s="661"/>
      <c r="Q294" s="595"/>
      <c r="R294" s="93"/>
      <c r="S294" s="44"/>
      <c r="T294" s="664"/>
      <c r="U294" s="44"/>
      <c r="V294" s="93"/>
      <c r="W294" s="93"/>
      <c r="X294" s="616"/>
      <c r="Y294" s="93"/>
      <c r="Z294" s="93"/>
      <c r="AA294" s="93"/>
      <c r="AB294" s="616"/>
      <c r="AC294" s="93"/>
      <c r="AD294" s="93"/>
      <c r="AE294" s="93"/>
      <c r="AF294" s="616"/>
      <c r="AG294" s="93"/>
      <c r="AH294" s="93"/>
      <c r="AI294" s="93"/>
      <c r="AJ294" s="616"/>
      <c r="AK294" s="93"/>
      <c r="AL294" s="93"/>
      <c r="AM294" s="93"/>
      <c r="AN294" s="616"/>
      <c r="AO294" s="93"/>
      <c r="AP294" s="93"/>
      <c r="AQ294" s="93"/>
      <c r="AR294" s="616"/>
      <c r="AS294" s="93"/>
      <c r="AT294" s="93"/>
      <c r="AU294" s="93"/>
      <c r="AV294" s="616"/>
      <c r="AW294" s="93"/>
      <c r="AX294" s="93"/>
      <c r="AY294" s="93"/>
      <c r="AZ294" s="93"/>
      <c r="BA294" s="93"/>
      <c r="BB294" s="638"/>
      <c r="BC294" s="638"/>
      <c r="BD294" s="638"/>
    </row>
    <row r="295" customFormat="false" ht="15.75" hidden="false" customHeight="false" outlineLevel="0" collapsed="false">
      <c r="A295" s="663" t="s">
        <v>1838</v>
      </c>
      <c r="B295" s="663"/>
      <c r="C295" s="663"/>
      <c r="D295" s="634" t="s">
        <v>835</v>
      </c>
      <c r="E295" s="662" t="s">
        <v>1807</v>
      </c>
      <c r="F295" s="582" t="n">
        <v>20</v>
      </c>
      <c r="G295" s="582" t="n">
        <v>60</v>
      </c>
      <c r="H295" s="592" t="n">
        <v>1</v>
      </c>
      <c r="I295" s="595"/>
      <c r="J295" s="44"/>
      <c r="K295" s="44"/>
      <c r="L295" s="44"/>
      <c r="M295" s="44"/>
      <c r="N295" s="44"/>
      <c r="O295" s="44"/>
      <c r="P295" s="661"/>
      <c r="Q295" s="595"/>
      <c r="R295" s="93"/>
      <c r="S295" s="44"/>
      <c r="T295" s="664"/>
      <c r="U295" s="44"/>
      <c r="V295" s="93"/>
      <c r="W295" s="93"/>
      <c r="X295" s="616"/>
      <c r="Y295" s="93"/>
      <c r="Z295" s="93"/>
      <c r="AA295" s="93"/>
      <c r="AB295" s="616"/>
      <c r="AC295" s="93"/>
      <c r="AD295" s="93"/>
      <c r="AE295" s="93"/>
      <c r="AF295" s="616"/>
      <c r="AG295" s="93"/>
      <c r="AH295" s="93"/>
      <c r="AI295" s="93"/>
      <c r="AJ295" s="616"/>
      <c r="AK295" s="93"/>
      <c r="AL295" s="93"/>
      <c r="AM295" s="93"/>
      <c r="AN295" s="616"/>
      <c r="AO295" s="93"/>
      <c r="AP295" s="93"/>
      <c r="AQ295" s="93"/>
      <c r="AR295" s="616"/>
      <c r="AS295" s="93"/>
      <c r="AT295" s="93"/>
      <c r="AU295" s="93"/>
      <c r="AV295" s="616"/>
      <c r="AW295" s="93"/>
      <c r="AX295" s="93"/>
      <c r="AY295" s="93"/>
      <c r="AZ295" s="93"/>
      <c r="BA295" s="93"/>
      <c r="BB295" s="638"/>
      <c r="BC295" s="638"/>
      <c r="BD295" s="638"/>
    </row>
    <row r="296" customFormat="false" ht="15.75" hidden="false" customHeight="false" outlineLevel="0" collapsed="false">
      <c r="A296" s="663" t="s">
        <v>1839</v>
      </c>
      <c r="B296" s="663"/>
      <c r="C296" s="663"/>
      <c r="D296" s="634" t="s">
        <v>835</v>
      </c>
      <c r="E296" s="662" t="s">
        <v>1807</v>
      </c>
      <c r="F296" s="582" t="n">
        <v>10</v>
      </c>
      <c r="G296" s="582" t="n">
        <v>85</v>
      </c>
      <c r="H296" s="592" t="n">
        <v>1</v>
      </c>
      <c r="I296" s="595"/>
      <c r="J296" s="44"/>
      <c r="K296" s="44"/>
      <c r="L296" s="44"/>
      <c r="M296" s="44"/>
      <c r="N296" s="44"/>
      <c r="O296" s="44"/>
      <c r="P296" s="661"/>
      <c r="Q296" s="595"/>
      <c r="R296" s="93"/>
      <c r="S296" s="44"/>
      <c r="T296" s="664"/>
      <c r="U296" s="44"/>
      <c r="V296" s="93"/>
      <c r="W296" s="93"/>
      <c r="X296" s="616"/>
      <c r="Y296" s="93"/>
      <c r="Z296" s="93"/>
      <c r="AA296" s="93"/>
      <c r="AB296" s="616"/>
      <c r="AC296" s="93"/>
      <c r="AD296" s="93"/>
      <c r="AE296" s="93"/>
      <c r="AF296" s="616"/>
      <c r="AG296" s="93"/>
      <c r="AH296" s="93"/>
      <c r="AI296" s="93"/>
      <c r="AJ296" s="616"/>
      <c r="AK296" s="93"/>
      <c r="AL296" s="93"/>
      <c r="AM296" s="93"/>
      <c r="AN296" s="616"/>
      <c r="AO296" s="93"/>
      <c r="AP296" s="93"/>
      <c r="AQ296" s="93"/>
      <c r="AR296" s="616"/>
      <c r="AS296" s="93"/>
      <c r="AT296" s="93"/>
      <c r="AU296" s="93"/>
      <c r="AV296" s="616"/>
      <c r="AW296" s="93"/>
      <c r="AX296" s="93"/>
      <c r="AY296" s="93"/>
      <c r="AZ296" s="93"/>
      <c r="BA296" s="93"/>
      <c r="BB296" s="638"/>
      <c r="BC296" s="638"/>
      <c r="BD296" s="638"/>
    </row>
    <row r="297" customFormat="false" ht="15.75" hidden="false" customHeight="false" outlineLevel="0" collapsed="false">
      <c r="A297" s="663" t="s">
        <v>1840</v>
      </c>
      <c r="B297" s="663"/>
      <c r="C297" s="663"/>
      <c r="D297" s="634" t="s">
        <v>835</v>
      </c>
      <c r="E297" s="662" t="s">
        <v>1807</v>
      </c>
      <c r="F297" s="582" t="n">
        <v>10</v>
      </c>
      <c r="G297" s="582" t="s">
        <v>1841</v>
      </c>
      <c r="H297" s="592" t="n">
        <v>1</v>
      </c>
      <c r="I297" s="595"/>
      <c r="J297" s="44"/>
      <c r="K297" s="44"/>
      <c r="L297" s="44"/>
      <c r="M297" s="44"/>
      <c r="N297" s="44"/>
      <c r="O297" s="44"/>
      <c r="P297" s="661"/>
      <c r="Q297" s="595"/>
      <c r="R297" s="93"/>
      <c r="S297" s="44"/>
      <c r="T297" s="664"/>
      <c r="U297" s="44"/>
      <c r="V297" s="93"/>
      <c r="W297" s="93"/>
      <c r="X297" s="616"/>
      <c r="Y297" s="93"/>
      <c r="Z297" s="93"/>
      <c r="AA297" s="93"/>
      <c r="AB297" s="616"/>
      <c r="AC297" s="93"/>
      <c r="AD297" s="93"/>
      <c r="AE297" s="93"/>
      <c r="AF297" s="616"/>
      <c r="AG297" s="93"/>
      <c r="AH297" s="93"/>
      <c r="AI297" s="93"/>
      <c r="AJ297" s="616"/>
      <c r="AK297" s="93"/>
      <c r="AL297" s="93"/>
      <c r="AM297" s="93"/>
      <c r="AN297" s="616"/>
      <c r="AO297" s="93"/>
      <c r="AP297" s="93"/>
      <c r="AQ297" s="93"/>
      <c r="AR297" s="616"/>
      <c r="AS297" s="93"/>
      <c r="AT297" s="93"/>
      <c r="AU297" s="93"/>
      <c r="AV297" s="616"/>
      <c r="AW297" s="93"/>
      <c r="AX297" s="93"/>
      <c r="AY297" s="93"/>
      <c r="AZ297" s="93"/>
      <c r="BA297" s="93"/>
      <c r="BB297" s="638"/>
      <c r="BC297" s="638"/>
      <c r="BD297" s="638"/>
    </row>
    <row r="298" customFormat="false" ht="15.75" hidden="false" customHeight="false" outlineLevel="0" collapsed="false">
      <c r="A298" s="663" t="s">
        <v>1842</v>
      </c>
      <c r="B298" s="663"/>
      <c r="C298" s="663"/>
      <c r="D298" s="635" t="s">
        <v>798</v>
      </c>
      <c r="E298" s="662" t="s">
        <v>1807</v>
      </c>
      <c r="F298" s="582" t="n">
        <v>10</v>
      </c>
      <c r="G298" s="582" t="n">
        <v>50</v>
      </c>
      <c r="H298" s="592" t="n">
        <v>1</v>
      </c>
      <c r="I298" s="595"/>
      <c r="J298" s="44"/>
      <c r="K298" s="44"/>
      <c r="L298" s="44"/>
      <c r="M298" s="44"/>
      <c r="N298" s="44"/>
      <c r="O298" s="44"/>
      <c r="P298" s="661"/>
      <c r="Q298" s="595"/>
      <c r="R298" s="93"/>
      <c r="S298" s="44"/>
      <c r="T298" s="664"/>
      <c r="U298" s="44"/>
      <c r="V298" s="93"/>
      <c r="W298" s="93"/>
      <c r="X298" s="616"/>
      <c r="Y298" s="93"/>
      <c r="Z298" s="93"/>
      <c r="AA298" s="93"/>
      <c r="AB298" s="616"/>
      <c r="AC298" s="93"/>
      <c r="AD298" s="93"/>
      <c r="AE298" s="93"/>
      <c r="AF298" s="616"/>
      <c r="AG298" s="93"/>
      <c r="AH298" s="93"/>
      <c r="AI298" s="93"/>
      <c r="AJ298" s="616"/>
      <c r="AK298" s="93"/>
      <c r="AL298" s="93"/>
      <c r="AM298" s="93"/>
      <c r="AN298" s="616"/>
      <c r="AO298" s="93"/>
      <c r="AP298" s="93"/>
      <c r="AQ298" s="93"/>
      <c r="AR298" s="616"/>
      <c r="AS298" s="93"/>
      <c r="AT298" s="93"/>
      <c r="AU298" s="93"/>
      <c r="AV298" s="616"/>
      <c r="AW298" s="93"/>
      <c r="AX298" s="93"/>
      <c r="AY298" s="93"/>
      <c r="AZ298" s="93"/>
      <c r="BA298" s="93"/>
      <c r="BB298" s="638"/>
      <c r="BC298" s="638"/>
      <c r="BD298" s="638"/>
    </row>
    <row r="299" customFormat="false" ht="15.75" hidden="false" customHeight="false" outlineLevel="0" collapsed="false">
      <c r="A299" s="663" t="s">
        <v>1843</v>
      </c>
      <c r="B299" s="663"/>
      <c r="C299" s="663"/>
      <c r="D299" s="639" t="s">
        <v>828</v>
      </c>
      <c r="E299" s="662" t="s">
        <v>1807</v>
      </c>
      <c r="F299" s="582" t="n">
        <v>15</v>
      </c>
      <c r="G299" s="582" t="n">
        <v>100</v>
      </c>
      <c r="H299" s="592" t="n">
        <v>1</v>
      </c>
      <c r="I299" s="595"/>
      <c r="J299" s="44"/>
      <c r="K299" s="44"/>
      <c r="L299" s="44"/>
      <c r="M299" s="44"/>
      <c r="N299" s="44"/>
      <c r="O299" s="44"/>
      <c r="P299" s="661"/>
      <c r="Q299" s="595"/>
      <c r="R299" s="93"/>
      <c r="S299" s="44"/>
      <c r="T299" s="664"/>
      <c r="U299" s="44"/>
      <c r="V299" s="93"/>
      <c r="W299" s="93"/>
      <c r="X299" s="616"/>
      <c r="Y299" s="93"/>
      <c r="Z299" s="93"/>
      <c r="AA299" s="93"/>
      <c r="AB299" s="616"/>
      <c r="AC299" s="93"/>
      <c r="AD299" s="93"/>
      <c r="AE299" s="93"/>
      <c r="AF299" s="616"/>
      <c r="AG299" s="93"/>
      <c r="AH299" s="93"/>
      <c r="AI299" s="93"/>
      <c r="AJ299" s="616"/>
      <c r="AK299" s="93"/>
      <c r="AL299" s="93"/>
      <c r="AM299" s="93"/>
      <c r="AN299" s="616"/>
      <c r="AO299" s="93"/>
      <c r="AP299" s="93"/>
      <c r="AQ299" s="93"/>
      <c r="AR299" s="616"/>
      <c r="AS299" s="93"/>
      <c r="AT299" s="93"/>
      <c r="AU299" s="93"/>
      <c r="AV299" s="616"/>
      <c r="AW299" s="93"/>
      <c r="AX299" s="93"/>
      <c r="AY299" s="93"/>
      <c r="AZ299" s="93"/>
      <c r="BA299" s="93"/>
      <c r="BB299" s="638"/>
      <c r="BC299" s="638"/>
      <c r="BD299" s="638"/>
    </row>
    <row r="300" customFormat="false" ht="15.75" hidden="false" customHeight="false" outlineLevel="0" collapsed="false">
      <c r="A300" s="663" t="s">
        <v>1844</v>
      </c>
      <c r="B300" s="663"/>
      <c r="C300" s="663"/>
      <c r="D300" s="620" t="s">
        <v>907</v>
      </c>
      <c r="E300" s="662" t="s">
        <v>1807</v>
      </c>
      <c r="F300" s="582" t="n">
        <v>10</v>
      </c>
      <c r="G300" s="582" t="n">
        <v>90</v>
      </c>
      <c r="H300" s="592" t="n">
        <v>1</v>
      </c>
      <c r="I300" s="595"/>
      <c r="J300" s="44"/>
      <c r="K300" s="44"/>
      <c r="L300" s="44"/>
      <c r="M300" s="44"/>
      <c r="N300" s="44"/>
      <c r="O300" s="44"/>
      <c r="P300" s="661"/>
      <c r="Q300" s="595"/>
      <c r="R300" s="93"/>
      <c r="S300" s="44"/>
      <c r="T300" s="664"/>
      <c r="U300" s="44"/>
      <c r="V300" s="93"/>
      <c r="W300" s="93"/>
      <c r="X300" s="616"/>
      <c r="Y300" s="93"/>
      <c r="Z300" s="93"/>
      <c r="AA300" s="93"/>
      <c r="AB300" s="616"/>
      <c r="AC300" s="93"/>
      <c r="AD300" s="93"/>
      <c r="AE300" s="93"/>
      <c r="AF300" s="616"/>
      <c r="AG300" s="93"/>
      <c r="AH300" s="93"/>
      <c r="AI300" s="93"/>
      <c r="AJ300" s="616"/>
      <c r="AK300" s="93"/>
      <c r="AL300" s="93"/>
      <c r="AM300" s="93"/>
      <c r="AN300" s="616"/>
      <c r="AO300" s="93"/>
      <c r="AP300" s="93"/>
      <c r="AQ300" s="93"/>
      <c r="AR300" s="616"/>
      <c r="AS300" s="93"/>
      <c r="AT300" s="93"/>
      <c r="AU300" s="93"/>
      <c r="AV300" s="616"/>
      <c r="AW300" s="93"/>
      <c r="AX300" s="93"/>
      <c r="AY300" s="93"/>
      <c r="AZ300" s="93"/>
      <c r="BA300" s="93"/>
      <c r="BB300" s="638"/>
      <c r="BC300" s="638"/>
      <c r="BD300" s="638"/>
    </row>
    <row r="301" customFormat="false" ht="15.75" hidden="false" customHeight="false" outlineLevel="0" collapsed="false">
      <c r="A301" s="663" t="s">
        <v>1845</v>
      </c>
      <c r="B301" s="663"/>
      <c r="C301" s="663"/>
      <c r="D301" s="610" t="s">
        <v>839</v>
      </c>
      <c r="E301" s="662" t="s">
        <v>1807</v>
      </c>
      <c r="F301" s="582" t="n">
        <v>15</v>
      </c>
      <c r="G301" s="582" t="n">
        <v>40</v>
      </c>
      <c r="H301" s="592" t="n">
        <v>1</v>
      </c>
      <c r="I301" s="595"/>
      <c r="J301" s="44"/>
      <c r="K301" s="44"/>
      <c r="L301" s="44"/>
      <c r="M301" s="44"/>
      <c r="N301" s="44"/>
      <c r="O301" s="44"/>
      <c r="P301" s="661"/>
      <c r="Q301" s="595"/>
      <c r="R301" s="93"/>
      <c r="S301" s="44"/>
      <c r="T301" s="664"/>
      <c r="U301" s="44"/>
      <c r="V301" s="93"/>
      <c r="W301" s="93"/>
      <c r="X301" s="616"/>
      <c r="Y301" s="93"/>
      <c r="Z301" s="93"/>
      <c r="AA301" s="93"/>
      <c r="AB301" s="616"/>
      <c r="AC301" s="93"/>
      <c r="AD301" s="93"/>
      <c r="AE301" s="93"/>
      <c r="AF301" s="616"/>
      <c r="AG301" s="93"/>
      <c r="AH301" s="93"/>
      <c r="AI301" s="93"/>
      <c r="AJ301" s="616"/>
      <c r="AK301" s="93"/>
      <c r="AL301" s="93"/>
      <c r="AM301" s="93"/>
      <c r="AN301" s="616"/>
      <c r="AO301" s="93"/>
      <c r="AP301" s="93"/>
      <c r="AQ301" s="93"/>
      <c r="AR301" s="616"/>
      <c r="AS301" s="93"/>
      <c r="AT301" s="93"/>
      <c r="AU301" s="93"/>
      <c r="AV301" s="616"/>
      <c r="AW301" s="93"/>
      <c r="AX301" s="93"/>
      <c r="AY301" s="93"/>
      <c r="AZ301" s="93"/>
      <c r="BA301" s="93"/>
      <c r="BB301" s="638"/>
      <c r="BC301" s="638"/>
      <c r="BD301" s="638"/>
    </row>
    <row r="302" customFormat="false" ht="15.75" hidden="false" customHeight="false" outlineLevel="0" collapsed="false">
      <c r="A302" s="663" t="s">
        <v>1846</v>
      </c>
      <c r="B302" s="663"/>
      <c r="C302" s="663"/>
      <c r="D302" s="619" t="s">
        <v>845</v>
      </c>
      <c r="E302" s="662" t="s">
        <v>1807</v>
      </c>
      <c r="F302" s="582" t="n">
        <v>10</v>
      </c>
      <c r="G302" s="582" t="s">
        <v>1183</v>
      </c>
      <c r="H302" s="592" t="n">
        <v>1</v>
      </c>
      <c r="I302" s="595"/>
      <c r="J302" s="44"/>
      <c r="K302" s="44"/>
      <c r="L302" s="44"/>
      <c r="M302" s="44"/>
      <c r="N302" s="44"/>
      <c r="O302" s="44"/>
      <c r="P302" s="661"/>
      <c r="Q302" s="595"/>
      <c r="R302" s="93"/>
      <c r="S302" s="44"/>
      <c r="T302" s="664"/>
      <c r="U302" s="44"/>
      <c r="V302" s="93"/>
      <c r="W302" s="93"/>
      <c r="X302" s="616"/>
      <c r="Y302" s="93"/>
      <c r="Z302" s="93"/>
      <c r="AA302" s="93"/>
      <c r="AB302" s="616"/>
      <c r="AC302" s="93"/>
      <c r="AD302" s="93"/>
      <c r="AE302" s="93"/>
      <c r="AF302" s="616"/>
      <c r="AG302" s="93"/>
      <c r="AH302" s="93"/>
      <c r="AI302" s="93"/>
      <c r="AJ302" s="616"/>
      <c r="AK302" s="93"/>
      <c r="AL302" s="93"/>
      <c r="AM302" s="93"/>
      <c r="AN302" s="616"/>
      <c r="AO302" s="93"/>
      <c r="AP302" s="93"/>
      <c r="AQ302" s="93"/>
      <c r="AR302" s="616"/>
      <c r="AS302" s="93"/>
      <c r="AT302" s="93"/>
      <c r="AU302" s="93"/>
      <c r="AV302" s="616"/>
      <c r="AW302" s="93"/>
      <c r="AX302" s="93"/>
      <c r="AY302" s="93"/>
      <c r="AZ302" s="93"/>
      <c r="BA302" s="93"/>
      <c r="BB302" s="638"/>
      <c r="BC302" s="638"/>
      <c r="BD302" s="638"/>
    </row>
    <row r="303" customFormat="false" ht="15.75" hidden="false" customHeight="false" outlineLevel="0" collapsed="false">
      <c r="A303" s="663" t="s">
        <v>1847</v>
      </c>
      <c r="B303" s="663"/>
      <c r="C303" s="663"/>
      <c r="D303" s="619" t="s">
        <v>845</v>
      </c>
      <c r="E303" s="662" t="s">
        <v>1807</v>
      </c>
      <c r="F303" s="582" t="n">
        <v>15</v>
      </c>
      <c r="G303" s="582" t="n">
        <v>55</v>
      </c>
      <c r="H303" s="592" t="n">
        <v>0.95</v>
      </c>
      <c r="I303" s="595"/>
      <c r="J303" s="44"/>
      <c r="K303" s="44"/>
      <c r="L303" s="44"/>
      <c r="M303" s="44"/>
      <c r="N303" s="44"/>
      <c r="O303" s="44"/>
      <c r="P303" s="661"/>
      <c r="Q303" s="595"/>
      <c r="R303" s="93"/>
      <c r="S303" s="44"/>
      <c r="T303" s="664"/>
      <c r="U303" s="44"/>
      <c r="V303" s="93"/>
      <c r="W303" s="93"/>
      <c r="X303" s="616"/>
      <c r="Y303" s="93"/>
      <c r="Z303" s="93"/>
      <c r="AA303" s="93"/>
      <c r="AB303" s="616"/>
      <c r="AC303" s="93"/>
      <c r="AD303" s="93"/>
      <c r="AE303" s="93"/>
      <c r="AF303" s="616"/>
      <c r="AG303" s="93"/>
      <c r="AH303" s="93"/>
      <c r="AI303" s="93"/>
      <c r="AJ303" s="616"/>
      <c r="AK303" s="93"/>
      <c r="AL303" s="93"/>
      <c r="AM303" s="93"/>
      <c r="AN303" s="616"/>
      <c r="AO303" s="93"/>
      <c r="AP303" s="93"/>
      <c r="AQ303" s="93"/>
      <c r="AR303" s="616"/>
      <c r="AS303" s="93"/>
      <c r="AT303" s="93"/>
      <c r="AU303" s="93"/>
      <c r="AV303" s="616"/>
      <c r="AW303" s="93"/>
      <c r="AX303" s="93"/>
      <c r="AY303" s="93"/>
      <c r="AZ303" s="93"/>
      <c r="BA303" s="93"/>
      <c r="BB303" s="638"/>
      <c r="BC303" s="638"/>
      <c r="BD303" s="638"/>
    </row>
    <row r="304" customFormat="false" ht="15.75" hidden="false" customHeight="false" outlineLevel="0" collapsed="false">
      <c r="A304" s="663" t="s">
        <v>1848</v>
      </c>
      <c r="B304" s="663"/>
      <c r="C304" s="663"/>
      <c r="D304" s="618" t="s">
        <v>800</v>
      </c>
      <c r="E304" s="662" t="s">
        <v>1807</v>
      </c>
      <c r="F304" s="582" t="n">
        <v>25</v>
      </c>
      <c r="G304" s="582" t="n">
        <v>40</v>
      </c>
      <c r="H304" s="592" t="n">
        <v>1</v>
      </c>
      <c r="I304" s="595"/>
      <c r="J304" s="44"/>
      <c r="K304" s="44"/>
      <c r="L304" s="44"/>
      <c r="M304" s="44"/>
      <c r="N304" s="44"/>
      <c r="O304" s="44"/>
      <c r="P304" s="44"/>
      <c r="Q304" s="595"/>
      <c r="R304" s="93"/>
      <c r="S304" s="44"/>
      <c r="T304" s="664"/>
      <c r="U304" s="44"/>
      <c r="V304" s="93"/>
      <c r="W304" s="93"/>
      <c r="X304" s="616"/>
      <c r="Y304" s="93"/>
      <c r="Z304" s="93"/>
      <c r="AA304" s="93"/>
      <c r="AB304" s="616"/>
      <c r="AC304" s="93"/>
      <c r="AD304" s="93"/>
      <c r="AE304" s="93"/>
      <c r="AF304" s="616"/>
      <c r="AG304" s="93"/>
      <c r="AH304" s="93"/>
      <c r="AI304" s="93"/>
      <c r="AJ304" s="616"/>
      <c r="AK304" s="93"/>
      <c r="AL304" s="93"/>
      <c r="AM304" s="93"/>
      <c r="AN304" s="616"/>
      <c r="AO304" s="93"/>
      <c r="AP304" s="93"/>
      <c r="AQ304" s="93"/>
      <c r="AR304" s="616"/>
      <c r="AS304" s="93"/>
      <c r="AT304" s="93"/>
      <c r="AU304" s="93"/>
      <c r="AV304" s="616"/>
      <c r="AW304" s="93"/>
      <c r="AX304" s="93"/>
      <c r="AY304" s="93"/>
      <c r="AZ304" s="93"/>
      <c r="BA304" s="93"/>
      <c r="BB304" s="638"/>
      <c r="BC304" s="638"/>
      <c r="BD304" s="638"/>
    </row>
    <row r="305" customFormat="false" ht="15.75" hidden="false" customHeight="false" outlineLevel="0" collapsed="false">
      <c r="A305" s="663" t="s">
        <v>1849</v>
      </c>
      <c r="B305" s="663"/>
      <c r="C305" s="663"/>
      <c r="D305" s="624" t="s">
        <v>803</v>
      </c>
      <c r="E305" s="662" t="s">
        <v>1807</v>
      </c>
      <c r="F305" s="582" t="n">
        <v>10</v>
      </c>
      <c r="G305" s="582" t="n">
        <v>90</v>
      </c>
      <c r="H305" s="592" t="n">
        <v>1</v>
      </c>
      <c r="I305" s="595"/>
      <c r="J305" s="44"/>
      <c r="K305" s="44"/>
      <c r="L305" s="44"/>
      <c r="M305" s="44"/>
      <c r="N305" s="44"/>
      <c r="O305" s="44"/>
      <c r="P305" s="661"/>
      <c r="Q305" s="595"/>
      <c r="R305" s="93"/>
      <c r="S305" s="44"/>
      <c r="T305" s="664"/>
      <c r="U305" s="44"/>
      <c r="V305" s="93"/>
      <c r="W305" s="93"/>
      <c r="X305" s="616"/>
      <c r="Y305" s="93"/>
      <c r="Z305" s="93"/>
      <c r="AA305" s="93"/>
      <c r="AB305" s="616"/>
      <c r="AC305" s="93"/>
      <c r="AD305" s="93"/>
      <c r="AE305" s="93"/>
      <c r="AF305" s="616"/>
      <c r="AG305" s="93"/>
      <c r="AH305" s="93"/>
      <c r="AI305" s="93"/>
      <c r="AJ305" s="616"/>
      <c r="AK305" s="93"/>
      <c r="AL305" s="93"/>
      <c r="AM305" s="93"/>
      <c r="AN305" s="616"/>
      <c r="AO305" s="93"/>
      <c r="AP305" s="93"/>
      <c r="AQ305" s="93"/>
      <c r="AR305" s="616"/>
      <c r="AS305" s="93"/>
      <c r="AT305" s="93"/>
      <c r="AU305" s="93"/>
      <c r="AV305" s="616"/>
      <c r="AW305" s="93"/>
      <c r="AX305" s="93"/>
      <c r="AY305" s="93"/>
      <c r="AZ305" s="93"/>
      <c r="BA305" s="93"/>
      <c r="BB305" s="638"/>
      <c r="BC305" s="638"/>
      <c r="BD305" s="638"/>
    </row>
    <row r="306" customFormat="false" ht="15.75" hidden="false" customHeight="false" outlineLevel="0" collapsed="false">
      <c r="A306" s="663" t="s">
        <v>1850</v>
      </c>
      <c r="B306" s="663"/>
      <c r="C306" s="663"/>
      <c r="D306" s="618" t="s">
        <v>800</v>
      </c>
      <c r="E306" s="662" t="s">
        <v>1807</v>
      </c>
      <c r="F306" s="582" t="n">
        <v>5</v>
      </c>
      <c r="G306" s="582" t="s">
        <v>1183</v>
      </c>
      <c r="H306" s="592" t="n">
        <v>1</v>
      </c>
      <c r="I306" s="595"/>
      <c r="J306" s="44"/>
      <c r="K306" s="44"/>
      <c r="L306" s="44"/>
      <c r="M306" s="44"/>
      <c r="N306" s="44"/>
      <c r="O306" s="44"/>
      <c r="P306" s="661"/>
      <c r="Q306" s="595"/>
      <c r="R306" s="93"/>
      <c r="S306" s="44"/>
      <c r="T306" s="664"/>
      <c r="U306" s="44"/>
      <c r="V306" s="93"/>
      <c r="W306" s="93"/>
      <c r="X306" s="616"/>
      <c r="Y306" s="93"/>
      <c r="Z306" s="93"/>
      <c r="AA306" s="93"/>
      <c r="AB306" s="616"/>
      <c r="AC306" s="93"/>
      <c r="AD306" s="93"/>
      <c r="AE306" s="93"/>
      <c r="AF306" s="616"/>
      <c r="AG306" s="93"/>
      <c r="AH306" s="93"/>
      <c r="AI306" s="93"/>
      <c r="AJ306" s="616"/>
      <c r="AK306" s="93"/>
      <c r="AL306" s="93"/>
      <c r="AM306" s="93"/>
      <c r="AN306" s="616"/>
      <c r="AO306" s="93"/>
      <c r="AP306" s="93"/>
      <c r="AQ306" s="93"/>
      <c r="AR306" s="616"/>
      <c r="AS306" s="93"/>
      <c r="AT306" s="93"/>
      <c r="AU306" s="93"/>
      <c r="AV306" s="616"/>
      <c r="AW306" s="93"/>
      <c r="AX306" s="93"/>
      <c r="AY306" s="93"/>
      <c r="AZ306" s="93"/>
      <c r="BA306" s="93"/>
      <c r="BB306" s="638"/>
      <c r="BC306" s="638"/>
      <c r="BD306" s="638"/>
    </row>
    <row r="307" customFormat="false" ht="15.75" hidden="false" customHeight="false" outlineLevel="0" collapsed="false">
      <c r="A307" s="663" t="s">
        <v>1851</v>
      </c>
      <c r="B307" s="663"/>
      <c r="C307" s="663"/>
      <c r="D307" s="639" t="s">
        <v>828</v>
      </c>
      <c r="E307" s="662" t="s">
        <v>1807</v>
      </c>
      <c r="F307" s="582" t="n">
        <v>20</v>
      </c>
      <c r="G307" s="582" t="n">
        <v>80</v>
      </c>
      <c r="H307" s="592" t="n">
        <v>1</v>
      </c>
      <c r="I307" s="595"/>
      <c r="J307" s="44"/>
      <c r="K307" s="44"/>
      <c r="L307" s="44"/>
      <c r="M307" s="44"/>
      <c r="N307" s="44"/>
      <c r="O307" s="44"/>
      <c r="P307" s="661"/>
      <c r="Q307" s="595"/>
      <c r="R307" s="93"/>
      <c r="S307" s="44"/>
      <c r="T307" s="664"/>
      <c r="U307" s="44"/>
      <c r="V307" s="93"/>
      <c r="W307" s="93"/>
      <c r="X307" s="616"/>
      <c r="Y307" s="93"/>
      <c r="Z307" s="93"/>
      <c r="AA307" s="93"/>
      <c r="AB307" s="616"/>
      <c r="AC307" s="93"/>
      <c r="AD307" s="93"/>
      <c r="AE307" s="93"/>
      <c r="AF307" s="616"/>
      <c r="AG307" s="93"/>
      <c r="AH307" s="93"/>
      <c r="AI307" s="93"/>
      <c r="AJ307" s="616"/>
      <c r="AK307" s="93"/>
      <c r="AL307" s="93"/>
      <c r="AM307" s="93"/>
      <c r="AN307" s="616"/>
      <c r="AO307" s="93"/>
      <c r="AP307" s="93"/>
      <c r="AQ307" s="93"/>
      <c r="AR307" s="616"/>
      <c r="AS307" s="93"/>
      <c r="AT307" s="93"/>
      <c r="AU307" s="93"/>
      <c r="AV307" s="616"/>
      <c r="AW307" s="93"/>
      <c r="AX307" s="93"/>
      <c r="AY307" s="93"/>
      <c r="AZ307" s="93"/>
      <c r="BA307" s="93"/>
      <c r="BB307" s="638"/>
      <c r="BC307" s="638"/>
      <c r="BD307" s="638"/>
    </row>
    <row r="308" customFormat="false" ht="15.75" hidden="false" customHeight="false" outlineLevel="0" collapsed="false">
      <c r="A308" s="663" t="s">
        <v>1852</v>
      </c>
      <c r="B308" s="663"/>
      <c r="C308" s="663"/>
      <c r="D308" s="635" t="s">
        <v>798</v>
      </c>
      <c r="E308" s="662" t="s">
        <v>1807</v>
      </c>
      <c r="F308" s="582" t="n">
        <v>30</v>
      </c>
      <c r="G308" s="582" t="n">
        <v>40</v>
      </c>
      <c r="H308" s="583" t="s">
        <v>1120</v>
      </c>
      <c r="I308" s="595"/>
      <c r="J308" s="44"/>
      <c r="K308" s="44"/>
      <c r="L308" s="44"/>
      <c r="M308" s="44"/>
      <c r="N308" s="44"/>
      <c r="O308" s="44"/>
      <c r="P308" s="661"/>
      <c r="Q308" s="595"/>
      <c r="R308" s="93"/>
      <c r="S308" s="44"/>
      <c r="T308" s="664"/>
      <c r="U308" s="44"/>
      <c r="V308" s="93"/>
      <c r="W308" s="93"/>
      <c r="X308" s="616"/>
      <c r="Y308" s="93"/>
      <c r="Z308" s="93"/>
      <c r="AA308" s="93"/>
      <c r="AB308" s="616"/>
      <c r="AC308" s="93"/>
      <c r="AD308" s="93"/>
      <c r="AE308" s="93"/>
      <c r="AF308" s="616"/>
      <c r="AG308" s="93"/>
      <c r="AH308" s="93"/>
      <c r="AI308" s="93"/>
      <c r="AJ308" s="616"/>
      <c r="AK308" s="93"/>
      <c r="AL308" s="93"/>
      <c r="AM308" s="93"/>
      <c r="AN308" s="616"/>
      <c r="AO308" s="93"/>
      <c r="AP308" s="93"/>
      <c r="AQ308" s="93"/>
      <c r="AR308" s="616"/>
      <c r="AS308" s="93"/>
      <c r="AT308" s="93"/>
      <c r="AU308" s="93"/>
      <c r="AV308" s="616"/>
      <c r="AW308" s="93"/>
      <c r="AX308" s="93"/>
      <c r="AY308" s="93"/>
      <c r="AZ308" s="93"/>
      <c r="BA308" s="93"/>
      <c r="BB308" s="638"/>
      <c r="BC308" s="638"/>
      <c r="BD308" s="638"/>
    </row>
    <row r="309" customFormat="false" ht="15.75" hidden="false" customHeight="false" outlineLevel="0" collapsed="false">
      <c r="A309" s="663" t="s">
        <v>1853</v>
      </c>
      <c r="B309" s="663"/>
      <c r="C309" s="663"/>
      <c r="D309" s="618" t="s">
        <v>800</v>
      </c>
      <c r="E309" s="662" t="s">
        <v>1807</v>
      </c>
      <c r="F309" s="582" t="n">
        <v>10</v>
      </c>
      <c r="G309" s="582" t="n">
        <v>80</v>
      </c>
      <c r="H309" s="592" t="n">
        <v>1</v>
      </c>
      <c r="I309" s="595"/>
      <c r="J309" s="44"/>
      <c r="K309" s="44"/>
      <c r="L309" s="44"/>
      <c r="M309" s="44"/>
      <c r="N309" s="44"/>
      <c r="O309" s="44"/>
      <c r="P309" s="44"/>
      <c r="Q309" s="595"/>
      <c r="R309" s="93"/>
      <c r="S309" s="44"/>
      <c r="T309" s="664"/>
      <c r="U309" s="44"/>
      <c r="V309" s="93"/>
      <c r="W309" s="93"/>
      <c r="X309" s="616"/>
      <c r="Y309" s="93"/>
      <c r="Z309" s="93"/>
      <c r="AA309" s="93"/>
      <c r="AB309" s="616"/>
      <c r="AC309" s="93"/>
      <c r="AD309" s="93"/>
      <c r="AE309" s="93"/>
      <c r="AF309" s="616"/>
      <c r="AG309" s="93"/>
      <c r="AH309" s="93"/>
      <c r="AI309" s="93"/>
      <c r="AJ309" s="616"/>
      <c r="AK309" s="93"/>
      <c r="AL309" s="93"/>
      <c r="AM309" s="93"/>
      <c r="AN309" s="616"/>
      <c r="AO309" s="93"/>
      <c r="AP309" s="93"/>
      <c r="AQ309" s="93"/>
      <c r="AR309" s="616"/>
      <c r="AS309" s="93"/>
      <c r="AT309" s="93"/>
      <c r="AU309" s="93"/>
      <c r="AV309" s="616"/>
      <c r="AW309" s="93"/>
      <c r="AX309" s="93"/>
      <c r="AY309" s="93"/>
      <c r="AZ309" s="93"/>
      <c r="BA309" s="93"/>
      <c r="BB309" s="638"/>
      <c r="BC309" s="638"/>
      <c r="BD309" s="638"/>
    </row>
    <row r="310" customFormat="false" ht="15.75" hidden="false" customHeight="false" outlineLevel="0" collapsed="false">
      <c r="A310" s="663" t="s">
        <v>1854</v>
      </c>
      <c r="B310" s="663"/>
      <c r="C310" s="663"/>
      <c r="D310" s="600" t="s">
        <v>881</v>
      </c>
      <c r="E310" s="662" t="s">
        <v>1807</v>
      </c>
      <c r="F310" s="582" t="n">
        <v>5</v>
      </c>
      <c r="G310" s="582" t="s">
        <v>1183</v>
      </c>
      <c r="H310" s="592" t="n">
        <v>1</v>
      </c>
      <c r="I310" s="595"/>
      <c r="J310" s="44"/>
      <c r="K310" s="44"/>
      <c r="L310" s="44"/>
      <c r="M310" s="44"/>
      <c r="N310" s="44"/>
      <c r="O310" s="44"/>
      <c r="P310" s="44"/>
      <c r="Q310" s="595"/>
      <c r="R310" s="93"/>
      <c r="S310" s="44"/>
      <c r="T310" s="664"/>
      <c r="U310" s="44"/>
      <c r="V310" s="93"/>
      <c r="W310" s="93"/>
      <c r="X310" s="616"/>
      <c r="Y310" s="93"/>
      <c r="Z310" s="93"/>
      <c r="AA310" s="93"/>
      <c r="AB310" s="616"/>
      <c r="AC310" s="93"/>
      <c r="AD310" s="93"/>
      <c r="AE310" s="93"/>
      <c r="AF310" s="616"/>
      <c r="AG310" s="93"/>
      <c r="AH310" s="93"/>
      <c r="AI310" s="93"/>
      <c r="AJ310" s="616"/>
      <c r="AK310" s="93"/>
      <c r="AL310" s="93"/>
      <c r="AM310" s="93"/>
      <c r="AN310" s="616"/>
      <c r="AO310" s="93"/>
      <c r="AP310" s="93"/>
      <c r="AQ310" s="93"/>
      <c r="AR310" s="616"/>
      <c r="AS310" s="93"/>
      <c r="AT310" s="93"/>
      <c r="AU310" s="93"/>
      <c r="AV310" s="616"/>
      <c r="AW310" s="93"/>
      <c r="AX310" s="93"/>
      <c r="AY310" s="93"/>
      <c r="AZ310" s="93"/>
      <c r="BA310" s="93"/>
      <c r="BB310" s="638"/>
      <c r="BC310" s="638"/>
      <c r="BD310" s="638"/>
    </row>
    <row r="311" customFormat="false" ht="15.75" hidden="false" customHeight="false" outlineLevel="0" collapsed="false">
      <c r="A311" s="663" t="s">
        <v>1855</v>
      </c>
      <c r="B311" s="663"/>
      <c r="C311" s="663"/>
      <c r="D311" s="618" t="s">
        <v>800</v>
      </c>
      <c r="E311" s="662" t="s">
        <v>1807</v>
      </c>
      <c r="F311" s="582" t="n">
        <v>5</v>
      </c>
      <c r="G311" s="582" t="n">
        <v>110</v>
      </c>
      <c r="H311" s="592" t="n">
        <v>0.85</v>
      </c>
      <c r="I311" s="595"/>
      <c r="J311" s="44"/>
      <c r="K311" s="44"/>
      <c r="L311" s="44"/>
      <c r="M311" s="44"/>
      <c r="N311" s="44"/>
      <c r="O311" s="44"/>
      <c r="P311" s="661"/>
      <c r="Q311" s="595"/>
      <c r="R311" s="93"/>
      <c r="S311" s="44"/>
      <c r="T311" s="664"/>
      <c r="U311" s="44"/>
      <c r="V311" s="93"/>
      <c r="W311" s="93"/>
      <c r="X311" s="616"/>
      <c r="Y311" s="93"/>
      <c r="Z311" s="93"/>
      <c r="AA311" s="93"/>
      <c r="AB311" s="616"/>
      <c r="AC311" s="93"/>
      <c r="AD311" s="93"/>
      <c r="AE311" s="93"/>
      <c r="AF311" s="616"/>
      <c r="AG311" s="93"/>
      <c r="AH311" s="93"/>
      <c r="AI311" s="93"/>
      <c r="AJ311" s="616"/>
      <c r="AK311" s="93"/>
      <c r="AL311" s="93"/>
      <c r="AM311" s="93"/>
      <c r="AN311" s="616"/>
      <c r="AO311" s="93"/>
      <c r="AP311" s="93"/>
      <c r="AQ311" s="93"/>
      <c r="AR311" s="616"/>
      <c r="AS311" s="93"/>
      <c r="AT311" s="93"/>
      <c r="AU311" s="93"/>
      <c r="AV311" s="616"/>
      <c r="AW311" s="93"/>
      <c r="AX311" s="93"/>
      <c r="AY311" s="93"/>
      <c r="AZ311" s="93"/>
      <c r="BA311" s="93"/>
      <c r="BB311" s="638"/>
      <c r="BC311" s="638"/>
      <c r="BD311" s="638"/>
    </row>
    <row r="312" customFormat="false" ht="15.75" hidden="false" customHeight="false" outlineLevel="0" collapsed="false">
      <c r="A312" s="663" t="s">
        <v>1856</v>
      </c>
      <c r="B312" s="663"/>
      <c r="C312" s="663"/>
      <c r="D312" s="618" t="s">
        <v>800</v>
      </c>
      <c r="E312" s="662" t="s">
        <v>1807</v>
      </c>
      <c r="F312" s="582" t="n">
        <v>10</v>
      </c>
      <c r="G312" s="582" t="n">
        <v>80</v>
      </c>
      <c r="H312" s="592" t="n">
        <v>1</v>
      </c>
      <c r="I312" s="595"/>
      <c r="J312" s="44"/>
      <c r="K312" s="44"/>
      <c r="L312" s="44"/>
      <c r="M312" s="44"/>
      <c r="N312" s="44"/>
      <c r="O312" s="44"/>
      <c r="P312" s="661"/>
      <c r="Q312" s="595"/>
      <c r="R312" s="93"/>
      <c r="S312" s="44"/>
      <c r="T312" s="664"/>
      <c r="U312" s="44"/>
      <c r="V312" s="93"/>
      <c r="W312" s="93"/>
      <c r="X312" s="616"/>
      <c r="Y312" s="93"/>
      <c r="Z312" s="93"/>
      <c r="AA312" s="93"/>
      <c r="AB312" s="616"/>
      <c r="AC312" s="93"/>
      <c r="AD312" s="93"/>
      <c r="AE312" s="93"/>
      <c r="AF312" s="616"/>
      <c r="AG312" s="93"/>
      <c r="AH312" s="93"/>
      <c r="AI312" s="93"/>
      <c r="AJ312" s="616"/>
      <c r="AK312" s="93"/>
      <c r="AL312" s="93"/>
      <c r="AM312" s="93"/>
      <c r="AN312" s="616"/>
      <c r="AO312" s="93"/>
      <c r="AP312" s="93"/>
      <c r="AQ312" s="93"/>
      <c r="AR312" s="616"/>
      <c r="AS312" s="93"/>
      <c r="AT312" s="93"/>
      <c r="AU312" s="93"/>
      <c r="AV312" s="616"/>
      <c r="AW312" s="93"/>
      <c r="AX312" s="93"/>
      <c r="AY312" s="93"/>
      <c r="AZ312" s="93"/>
      <c r="BA312" s="93"/>
      <c r="BB312" s="638"/>
      <c r="BC312" s="638"/>
      <c r="BD312" s="638"/>
    </row>
    <row r="313" customFormat="false" ht="15.75" hidden="false" customHeight="false" outlineLevel="0" collapsed="false">
      <c r="A313" s="663" t="s">
        <v>1857</v>
      </c>
      <c r="B313" s="663"/>
      <c r="C313" s="663"/>
      <c r="D313" s="618" t="s">
        <v>800</v>
      </c>
      <c r="E313" s="662" t="s">
        <v>1807</v>
      </c>
      <c r="F313" s="582" t="n">
        <v>15</v>
      </c>
      <c r="G313" s="582" t="n">
        <v>35</v>
      </c>
      <c r="H313" s="592" t="n">
        <v>0.85</v>
      </c>
      <c r="I313" s="595"/>
      <c r="J313" s="44"/>
      <c r="K313" s="44"/>
      <c r="L313" s="44"/>
      <c r="M313" s="44"/>
      <c r="N313" s="44"/>
      <c r="O313" s="44"/>
      <c r="P313" s="44"/>
      <c r="Q313" s="595"/>
      <c r="R313" s="93"/>
      <c r="S313" s="44"/>
      <c r="T313" s="664"/>
      <c r="U313" s="44"/>
      <c r="V313" s="93"/>
      <c r="W313" s="93"/>
      <c r="X313" s="616"/>
      <c r="Y313" s="93"/>
      <c r="Z313" s="93"/>
      <c r="AA313" s="93"/>
      <c r="AB313" s="616"/>
      <c r="AC313" s="93"/>
      <c r="AD313" s="93"/>
      <c r="AE313" s="93"/>
      <c r="AF313" s="616"/>
      <c r="AG313" s="93"/>
      <c r="AH313" s="93"/>
      <c r="AI313" s="93"/>
      <c r="AJ313" s="616"/>
      <c r="AK313" s="93"/>
      <c r="AL313" s="93"/>
      <c r="AM313" s="93"/>
      <c r="AN313" s="616"/>
      <c r="AO313" s="93"/>
      <c r="AP313" s="93"/>
      <c r="AQ313" s="93"/>
      <c r="AR313" s="616"/>
      <c r="AS313" s="93"/>
      <c r="AT313" s="93"/>
      <c r="AU313" s="93"/>
      <c r="AV313" s="616"/>
      <c r="AW313" s="93"/>
      <c r="AX313" s="93"/>
      <c r="AY313" s="93"/>
      <c r="AZ313" s="93"/>
      <c r="BA313" s="93"/>
      <c r="BB313" s="638"/>
      <c r="BC313" s="638"/>
      <c r="BD313" s="638"/>
    </row>
    <row r="314" customFormat="false" ht="15.75" hidden="false" customHeight="false" outlineLevel="0" collapsed="false">
      <c r="A314" s="663" t="s">
        <v>1858</v>
      </c>
      <c r="B314" s="663"/>
      <c r="C314" s="663"/>
      <c r="D314" s="618" t="s">
        <v>800</v>
      </c>
      <c r="E314" s="662" t="s">
        <v>1807</v>
      </c>
      <c r="F314" s="582" t="n">
        <v>15</v>
      </c>
      <c r="G314" s="582" t="n">
        <v>70</v>
      </c>
      <c r="H314" s="592" t="n">
        <v>1</v>
      </c>
      <c r="I314" s="595"/>
      <c r="J314" s="44"/>
      <c r="K314" s="44"/>
      <c r="L314" s="44"/>
      <c r="M314" s="44"/>
      <c r="N314" s="44"/>
      <c r="O314" s="44"/>
      <c r="P314" s="44"/>
      <c r="Q314" s="595"/>
      <c r="R314" s="93"/>
      <c r="S314" s="44"/>
      <c r="T314" s="664"/>
      <c r="U314" s="44"/>
      <c r="V314" s="93"/>
      <c r="W314" s="93"/>
      <c r="X314" s="616"/>
      <c r="Y314" s="93"/>
      <c r="Z314" s="93"/>
      <c r="AA314" s="93"/>
      <c r="AB314" s="616"/>
      <c r="AC314" s="93"/>
      <c r="AD314" s="93"/>
      <c r="AE314" s="93"/>
      <c r="AF314" s="616"/>
      <c r="AG314" s="93"/>
      <c r="AH314" s="93"/>
      <c r="AI314" s="93"/>
      <c r="AJ314" s="616"/>
      <c r="AK314" s="93"/>
      <c r="AL314" s="93"/>
      <c r="AM314" s="93"/>
      <c r="AN314" s="616"/>
      <c r="AO314" s="93"/>
      <c r="AP314" s="93"/>
      <c r="AQ314" s="93"/>
      <c r="AR314" s="616"/>
      <c r="AS314" s="93"/>
      <c r="AT314" s="93"/>
      <c r="AU314" s="93"/>
      <c r="AV314" s="616"/>
      <c r="AW314" s="93"/>
      <c r="AX314" s="93"/>
      <c r="AY314" s="93"/>
      <c r="AZ314" s="93"/>
      <c r="BA314" s="93"/>
      <c r="BB314" s="638"/>
      <c r="BC314" s="638"/>
      <c r="BD314" s="638"/>
    </row>
    <row r="315" customFormat="false" ht="15.75" hidden="false" customHeight="false" outlineLevel="0" collapsed="false">
      <c r="A315" s="663" t="s">
        <v>1859</v>
      </c>
      <c r="B315" s="663"/>
      <c r="C315" s="663"/>
      <c r="D315" s="618" t="s">
        <v>800</v>
      </c>
      <c r="E315" s="662" t="s">
        <v>1807</v>
      </c>
      <c r="F315" s="582" t="n">
        <v>15</v>
      </c>
      <c r="G315" s="582" t="n">
        <v>90</v>
      </c>
      <c r="H315" s="592" t="n">
        <v>1</v>
      </c>
      <c r="I315" s="595"/>
      <c r="J315" s="44"/>
      <c r="K315" s="44"/>
      <c r="L315" s="44"/>
      <c r="M315" s="44"/>
      <c r="N315" s="44"/>
      <c r="O315" s="44"/>
      <c r="P315" s="44"/>
      <c r="Q315" s="595"/>
      <c r="R315" s="93"/>
      <c r="S315" s="44"/>
      <c r="T315" s="664"/>
      <c r="U315" s="44"/>
      <c r="V315" s="93"/>
      <c r="W315" s="93"/>
      <c r="X315" s="616"/>
      <c r="Y315" s="93"/>
      <c r="Z315" s="93"/>
      <c r="AA315" s="93"/>
      <c r="AB315" s="616"/>
      <c r="AC315" s="93"/>
      <c r="AD315" s="93"/>
      <c r="AE315" s="93"/>
      <c r="AF315" s="616"/>
      <c r="AG315" s="93"/>
      <c r="AH315" s="93"/>
      <c r="AI315" s="93"/>
      <c r="AJ315" s="616"/>
      <c r="AK315" s="93"/>
      <c r="AL315" s="93"/>
      <c r="AM315" s="93"/>
      <c r="AN315" s="616"/>
      <c r="AO315" s="93"/>
      <c r="AP315" s="93"/>
      <c r="AQ315" s="93"/>
      <c r="AR315" s="616"/>
      <c r="AS315" s="93"/>
      <c r="AT315" s="93"/>
      <c r="AU315" s="93"/>
      <c r="AV315" s="616"/>
      <c r="AW315" s="93"/>
      <c r="AX315" s="93"/>
      <c r="AY315" s="93"/>
      <c r="AZ315" s="93"/>
      <c r="BA315" s="93"/>
      <c r="BB315" s="638"/>
      <c r="BC315" s="638"/>
      <c r="BD315" s="638"/>
    </row>
    <row r="316" customFormat="false" ht="15.75" hidden="false" customHeight="false" outlineLevel="0" collapsed="false">
      <c r="A316" s="663" t="s">
        <v>1860</v>
      </c>
      <c r="B316" s="663"/>
      <c r="C316" s="663"/>
      <c r="D316" s="597" t="s">
        <v>810</v>
      </c>
      <c r="E316" s="662" t="s">
        <v>1807</v>
      </c>
      <c r="F316" s="582" t="n">
        <v>10</v>
      </c>
      <c r="G316" s="582" t="n">
        <v>80</v>
      </c>
      <c r="H316" s="592" t="n">
        <v>1</v>
      </c>
      <c r="I316" s="595"/>
      <c r="J316" s="44"/>
      <c r="K316" s="44"/>
      <c r="L316" s="44"/>
      <c r="M316" s="44"/>
      <c r="N316" s="44"/>
      <c r="O316" s="44"/>
      <c r="P316" s="661"/>
      <c r="Q316" s="595"/>
      <c r="R316" s="93"/>
      <c r="S316" s="44"/>
      <c r="T316" s="664"/>
      <c r="U316" s="44"/>
      <c r="V316" s="93"/>
      <c r="W316" s="93"/>
      <c r="X316" s="616"/>
      <c r="Y316" s="93"/>
      <c r="Z316" s="93"/>
      <c r="AA316" s="93"/>
      <c r="AB316" s="616"/>
      <c r="AC316" s="93"/>
      <c r="AD316" s="93"/>
      <c r="AE316" s="93"/>
      <c r="AF316" s="616"/>
      <c r="AG316" s="93"/>
      <c r="AH316" s="93"/>
      <c r="AI316" s="93"/>
      <c r="AJ316" s="616"/>
      <c r="AK316" s="93"/>
      <c r="AL316" s="93"/>
      <c r="AM316" s="93"/>
      <c r="AN316" s="616"/>
      <c r="AO316" s="93"/>
      <c r="AP316" s="93"/>
      <c r="AQ316" s="93"/>
      <c r="AR316" s="616"/>
      <c r="AS316" s="93"/>
      <c r="AT316" s="93"/>
      <c r="AU316" s="93"/>
      <c r="AV316" s="616"/>
      <c r="AW316" s="93"/>
      <c r="AX316" s="93"/>
      <c r="AY316" s="93"/>
      <c r="AZ316" s="93"/>
      <c r="BA316" s="93"/>
      <c r="BB316" s="638"/>
      <c r="BC316" s="638"/>
      <c r="BD316" s="638"/>
    </row>
    <row r="317" customFormat="false" ht="15.75" hidden="false" customHeight="false" outlineLevel="0" collapsed="false">
      <c r="A317" s="663" t="s">
        <v>1861</v>
      </c>
      <c r="B317" s="663"/>
      <c r="C317" s="663"/>
      <c r="D317" s="635" t="s">
        <v>798</v>
      </c>
      <c r="E317" s="662" t="s">
        <v>1807</v>
      </c>
      <c r="F317" s="582" t="n">
        <v>5</v>
      </c>
      <c r="G317" s="582" t="n">
        <v>130</v>
      </c>
      <c r="H317" s="592" t="n">
        <v>0.9</v>
      </c>
      <c r="I317" s="595"/>
      <c r="J317" s="44"/>
      <c r="K317" s="44"/>
      <c r="L317" s="44"/>
      <c r="M317" s="44"/>
      <c r="N317" s="44"/>
      <c r="O317" s="44"/>
      <c r="P317" s="44"/>
      <c r="Q317" s="595"/>
      <c r="R317" s="93"/>
      <c r="S317" s="44"/>
      <c r="T317" s="664"/>
      <c r="U317" s="44"/>
      <c r="V317" s="93"/>
      <c r="W317" s="93"/>
      <c r="X317" s="616"/>
      <c r="Y317" s="93"/>
      <c r="Z317" s="93"/>
      <c r="AA317" s="93"/>
      <c r="AB317" s="616"/>
      <c r="AC317" s="93"/>
      <c r="AD317" s="93"/>
      <c r="AE317" s="93"/>
      <c r="AF317" s="616"/>
      <c r="AG317" s="93"/>
      <c r="AH317" s="93"/>
      <c r="AI317" s="93"/>
      <c r="AJ317" s="616"/>
      <c r="AK317" s="93"/>
      <c r="AL317" s="93"/>
      <c r="AM317" s="93"/>
      <c r="AN317" s="616"/>
      <c r="AO317" s="93"/>
      <c r="AP317" s="93"/>
      <c r="AQ317" s="93"/>
      <c r="AR317" s="616"/>
      <c r="AS317" s="93"/>
      <c r="AT317" s="93"/>
      <c r="AU317" s="93"/>
      <c r="AV317" s="616"/>
      <c r="AW317" s="93"/>
      <c r="AX317" s="93"/>
      <c r="AY317" s="93"/>
      <c r="AZ317" s="93"/>
      <c r="BA317" s="93"/>
      <c r="BB317" s="638"/>
      <c r="BC317" s="638"/>
      <c r="BD317" s="638"/>
    </row>
    <row r="318" customFormat="false" ht="15.75" hidden="false" customHeight="false" outlineLevel="0" collapsed="false">
      <c r="A318" s="663" t="s">
        <v>1862</v>
      </c>
      <c r="B318" s="663"/>
      <c r="C318" s="663"/>
      <c r="D318" s="600" t="s">
        <v>881</v>
      </c>
      <c r="E318" s="662" t="s">
        <v>1807</v>
      </c>
      <c r="F318" s="582" t="n">
        <v>5</v>
      </c>
      <c r="G318" s="582" t="n">
        <v>120</v>
      </c>
      <c r="H318" s="592" t="n">
        <v>0.7</v>
      </c>
      <c r="I318" s="595"/>
      <c r="J318" s="44"/>
      <c r="K318" s="44"/>
      <c r="L318" s="44"/>
      <c r="M318" s="44"/>
      <c r="N318" s="44"/>
      <c r="O318" s="44"/>
      <c r="P318" s="44"/>
      <c r="Q318" s="595"/>
      <c r="R318" s="93"/>
      <c r="S318" s="44"/>
      <c r="T318" s="664"/>
      <c r="U318" s="44"/>
      <c r="V318" s="93"/>
      <c r="W318" s="93"/>
      <c r="X318" s="616"/>
      <c r="Y318" s="93"/>
      <c r="Z318" s="93"/>
      <c r="AA318" s="93"/>
      <c r="AB318" s="616"/>
      <c r="AC318" s="93"/>
      <c r="AD318" s="93"/>
      <c r="AE318" s="93"/>
      <c r="AF318" s="616"/>
      <c r="AG318" s="93"/>
      <c r="AH318" s="93"/>
      <c r="AI318" s="93"/>
      <c r="AJ318" s="616"/>
      <c r="AK318" s="93"/>
      <c r="AL318" s="93"/>
      <c r="AM318" s="93"/>
      <c r="AN318" s="616"/>
      <c r="AO318" s="93"/>
      <c r="AP318" s="93"/>
      <c r="AQ318" s="93"/>
      <c r="AR318" s="616"/>
      <c r="AS318" s="93"/>
      <c r="AT318" s="93"/>
      <c r="AU318" s="93"/>
      <c r="AV318" s="616"/>
      <c r="AW318" s="93"/>
      <c r="AX318" s="93"/>
      <c r="AY318" s="93"/>
      <c r="AZ318" s="93"/>
      <c r="BA318" s="93"/>
      <c r="BB318" s="638"/>
      <c r="BC318" s="638"/>
      <c r="BD318" s="638"/>
    </row>
    <row r="319" customFormat="false" ht="15.75" hidden="false" customHeight="false" outlineLevel="0" collapsed="false">
      <c r="A319" s="663" t="s">
        <v>1863</v>
      </c>
      <c r="B319" s="663"/>
      <c r="C319" s="663"/>
      <c r="D319" s="608" t="s">
        <v>805</v>
      </c>
      <c r="E319" s="662" t="s">
        <v>1807</v>
      </c>
      <c r="F319" s="582" t="n">
        <v>20</v>
      </c>
      <c r="G319" s="582" t="n">
        <v>70</v>
      </c>
      <c r="H319" s="592" t="n">
        <v>1</v>
      </c>
      <c r="I319" s="595"/>
      <c r="J319" s="44"/>
      <c r="K319" s="44"/>
      <c r="L319" s="44"/>
      <c r="M319" s="44"/>
      <c r="N319" s="44"/>
      <c r="O319" s="44"/>
      <c r="P319" s="44"/>
      <c r="Q319" s="595"/>
      <c r="R319" s="93"/>
      <c r="S319" s="44"/>
      <c r="T319" s="664"/>
      <c r="U319" s="44"/>
      <c r="V319" s="93"/>
      <c r="W319" s="93"/>
      <c r="X319" s="616"/>
      <c r="Y319" s="93"/>
      <c r="Z319" s="93"/>
      <c r="AA319" s="93"/>
      <c r="AB319" s="616"/>
      <c r="AC319" s="93"/>
      <c r="AD319" s="93"/>
      <c r="AE319" s="93"/>
      <c r="AF319" s="616"/>
      <c r="AG319" s="93"/>
      <c r="AH319" s="93"/>
      <c r="AI319" s="93"/>
      <c r="AJ319" s="616"/>
      <c r="AK319" s="93"/>
      <c r="AL319" s="93"/>
      <c r="AM319" s="93"/>
      <c r="AN319" s="616"/>
      <c r="AO319" s="93"/>
      <c r="AP319" s="93"/>
      <c r="AQ319" s="93"/>
      <c r="AR319" s="616"/>
      <c r="AS319" s="93"/>
      <c r="AT319" s="93"/>
      <c r="AU319" s="93"/>
      <c r="AV319" s="616"/>
      <c r="AW319" s="93"/>
      <c r="AX319" s="93"/>
      <c r="AY319" s="93"/>
      <c r="AZ319" s="93"/>
      <c r="BA319" s="93"/>
      <c r="BB319" s="638"/>
      <c r="BC319" s="638"/>
      <c r="BD319" s="638"/>
    </row>
    <row r="320" customFormat="false" ht="15.75" hidden="false" customHeight="false" outlineLevel="0" collapsed="false">
      <c r="A320" s="663" t="s">
        <v>1864</v>
      </c>
      <c r="B320" s="663"/>
      <c r="C320" s="663"/>
      <c r="D320" s="624" t="s">
        <v>803</v>
      </c>
      <c r="E320" s="662" t="s">
        <v>1807</v>
      </c>
      <c r="F320" s="582" t="n">
        <v>5</v>
      </c>
      <c r="G320" s="582" t="n">
        <v>150</v>
      </c>
      <c r="H320" s="592" t="n">
        <v>0.9</v>
      </c>
      <c r="I320" s="595"/>
      <c r="J320" s="44"/>
      <c r="K320" s="44"/>
      <c r="L320" s="44"/>
      <c r="M320" s="44"/>
      <c r="N320" s="44"/>
      <c r="O320" s="44"/>
      <c r="P320" s="661"/>
      <c r="Q320" s="595"/>
      <c r="R320" s="93"/>
      <c r="S320" s="44"/>
      <c r="T320" s="664"/>
      <c r="U320" s="44"/>
      <c r="V320" s="93"/>
      <c r="W320" s="93"/>
      <c r="X320" s="616"/>
      <c r="Y320" s="93"/>
      <c r="Z320" s="93"/>
      <c r="AA320" s="93"/>
      <c r="AB320" s="616"/>
      <c r="AC320" s="93"/>
      <c r="AD320" s="93"/>
      <c r="AE320" s="93"/>
      <c r="AF320" s="616"/>
      <c r="AG320" s="93"/>
      <c r="AH320" s="93"/>
      <c r="AI320" s="93"/>
      <c r="AJ320" s="616"/>
      <c r="AK320" s="93"/>
      <c r="AL320" s="93"/>
      <c r="AM320" s="93"/>
      <c r="AN320" s="616"/>
      <c r="AO320" s="93"/>
      <c r="AP320" s="93"/>
      <c r="AQ320" s="93"/>
      <c r="AR320" s="616"/>
      <c r="AS320" s="93"/>
      <c r="AT320" s="93"/>
      <c r="AU320" s="93"/>
      <c r="AV320" s="616"/>
      <c r="AW320" s="93"/>
      <c r="AX320" s="93"/>
      <c r="AY320" s="93"/>
      <c r="AZ320" s="93"/>
      <c r="BA320" s="93"/>
      <c r="BB320" s="638"/>
      <c r="BC320" s="638"/>
      <c r="BD320" s="638"/>
    </row>
    <row r="321" customFormat="false" ht="15.75" hidden="false" customHeight="false" outlineLevel="0" collapsed="false">
      <c r="A321" s="663" t="s">
        <v>1865</v>
      </c>
      <c r="B321" s="663"/>
      <c r="C321" s="663"/>
      <c r="D321" s="608" t="s">
        <v>805</v>
      </c>
      <c r="E321" s="662" t="s">
        <v>1807</v>
      </c>
      <c r="F321" s="582" t="n">
        <v>10</v>
      </c>
      <c r="G321" s="582" t="n">
        <v>60</v>
      </c>
      <c r="H321" s="592" t="n">
        <v>0.9</v>
      </c>
      <c r="I321" s="595"/>
      <c r="J321" s="44"/>
      <c r="K321" s="44"/>
      <c r="L321" s="44"/>
      <c r="M321" s="44"/>
      <c r="N321" s="44"/>
      <c r="O321" s="44"/>
      <c r="P321" s="44"/>
      <c r="Q321" s="595"/>
      <c r="R321" s="93"/>
      <c r="S321" s="44"/>
      <c r="T321" s="664"/>
      <c r="U321" s="44"/>
      <c r="V321" s="93"/>
      <c r="W321" s="93"/>
      <c r="X321" s="616"/>
      <c r="Y321" s="93"/>
      <c r="Z321" s="93"/>
      <c r="AA321" s="93"/>
      <c r="AB321" s="616"/>
      <c r="AC321" s="93"/>
      <c r="AD321" s="93"/>
      <c r="AE321" s="93"/>
      <c r="AF321" s="616"/>
      <c r="AG321" s="93"/>
      <c r="AH321" s="93"/>
      <c r="AI321" s="93"/>
      <c r="AJ321" s="616"/>
      <c r="AK321" s="93"/>
      <c r="AL321" s="93"/>
      <c r="AM321" s="93"/>
      <c r="AN321" s="616"/>
      <c r="AO321" s="93"/>
      <c r="AP321" s="93"/>
      <c r="AQ321" s="93"/>
      <c r="AR321" s="616"/>
      <c r="AS321" s="93"/>
      <c r="AT321" s="93"/>
      <c r="AU321" s="93"/>
      <c r="AV321" s="616"/>
      <c r="AW321" s="93"/>
      <c r="AX321" s="93"/>
      <c r="AY321" s="93"/>
      <c r="AZ321" s="93"/>
      <c r="BA321" s="93"/>
      <c r="BB321" s="638"/>
      <c r="BC321" s="638"/>
      <c r="BD321" s="638"/>
    </row>
    <row r="322" customFormat="false" ht="15.75" hidden="false" customHeight="false" outlineLevel="0" collapsed="false">
      <c r="A322" s="663" t="s">
        <v>1866</v>
      </c>
      <c r="B322" s="663"/>
      <c r="C322" s="663"/>
      <c r="D322" s="618" t="s">
        <v>800</v>
      </c>
      <c r="E322" s="662" t="s">
        <v>1807</v>
      </c>
      <c r="F322" s="582" t="n">
        <v>5</v>
      </c>
      <c r="G322" s="582" t="n">
        <v>100</v>
      </c>
      <c r="H322" s="592" t="n">
        <v>1</v>
      </c>
      <c r="I322" s="595"/>
      <c r="J322" s="44"/>
      <c r="K322" s="44"/>
      <c r="L322" s="44"/>
      <c r="M322" s="44"/>
      <c r="N322" s="44"/>
      <c r="O322" s="44"/>
      <c r="P322" s="44"/>
      <c r="Q322" s="595"/>
      <c r="R322" s="93"/>
      <c r="S322" s="44"/>
      <c r="T322" s="664"/>
      <c r="U322" s="44"/>
      <c r="V322" s="93"/>
      <c r="W322" s="93"/>
      <c r="X322" s="616"/>
      <c r="Y322" s="93"/>
      <c r="Z322" s="93"/>
      <c r="AA322" s="93"/>
      <c r="AB322" s="616"/>
      <c r="AC322" s="93"/>
      <c r="AD322" s="93"/>
      <c r="AE322" s="93"/>
      <c r="AF322" s="616"/>
      <c r="AG322" s="93"/>
      <c r="AH322" s="93"/>
      <c r="AI322" s="93"/>
      <c r="AJ322" s="616"/>
      <c r="AK322" s="93"/>
      <c r="AL322" s="93"/>
      <c r="AM322" s="93"/>
      <c r="AN322" s="616"/>
      <c r="AO322" s="93"/>
      <c r="AP322" s="93"/>
      <c r="AQ322" s="93"/>
      <c r="AR322" s="616"/>
      <c r="AS322" s="93"/>
      <c r="AT322" s="93"/>
      <c r="AU322" s="93"/>
      <c r="AV322" s="616"/>
      <c r="AW322" s="93"/>
      <c r="AX322" s="93"/>
      <c r="AY322" s="93"/>
      <c r="AZ322" s="93"/>
      <c r="BA322" s="93"/>
      <c r="BB322" s="638"/>
      <c r="BC322" s="638"/>
      <c r="BD322" s="638"/>
    </row>
    <row r="323" customFormat="false" ht="15.75" hidden="false" customHeight="false" outlineLevel="0" collapsed="false">
      <c r="A323" s="663" t="s">
        <v>1867</v>
      </c>
      <c r="B323" s="663"/>
      <c r="C323" s="663"/>
      <c r="D323" s="639" t="s">
        <v>828</v>
      </c>
      <c r="E323" s="662" t="s">
        <v>1807</v>
      </c>
      <c r="F323" s="582" t="n">
        <v>10</v>
      </c>
      <c r="G323" s="582" t="n">
        <v>120</v>
      </c>
      <c r="H323" s="592" t="n">
        <v>1</v>
      </c>
      <c r="I323" s="595"/>
      <c r="J323" s="44"/>
      <c r="K323" s="44"/>
      <c r="L323" s="44"/>
      <c r="M323" s="44"/>
      <c r="N323" s="44"/>
      <c r="O323" s="44"/>
      <c r="P323" s="661"/>
      <c r="Q323" s="595"/>
      <c r="R323" s="93"/>
      <c r="S323" s="44"/>
      <c r="T323" s="664"/>
      <c r="U323" s="44"/>
      <c r="V323" s="93"/>
      <c r="W323" s="93"/>
      <c r="X323" s="616"/>
      <c r="Y323" s="93"/>
      <c r="Z323" s="93"/>
      <c r="AA323" s="93"/>
      <c r="AB323" s="616"/>
      <c r="AC323" s="93"/>
      <c r="AD323" s="93"/>
      <c r="AE323" s="93"/>
      <c r="AF323" s="616"/>
      <c r="AG323" s="93"/>
      <c r="AH323" s="93"/>
      <c r="AI323" s="93"/>
      <c r="AJ323" s="616"/>
      <c r="AK323" s="93"/>
      <c r="AL323" s="93"/>
      <c r="AM323" s="93"/>
      <c r="AN323" s="616"/>
      <c r="AO323" s="93"/>
      <c r="AP323" s="93"/>
      <c r="AQ323" s="93"/>
      <c r="AR323" s="616"/>
      <c r="AS323" s="93"/>
      <c r="AT323" s="93"/>
      <c r="AU323" s="93"/>
      <c r="AV323" s="616"/>
      <c r="AW323" s="93"/>
      <c r="AX323" s="93"/>
      <c r="AY323" s="93"/>
      <c r="AZ323" s="93"/>
      <c r="BA323" s="93"/>
      <c r="BB323" s="638"/>
      <c r="BC323" s="638"/>
      <c r="BD323" s="638"/>
    </row>
    <row r="324" customFormat="false" ht="15.75" hidden="false" customHeight="false" outlineLevel="0" collapsed="false">
      <c r="A324" s="663" t="s">
        <v>1868</v>
      </c>
      <c r="B324" s="663"/>
      <c r="C324" s="663"/>
      <c r="D324" s="624" t="s">
        <v>803</v>
      </c>
      <c r="E324" s="662" t="s">
        <v>1807</v>
      </c>
      <c r="F324" s="582" t="n">
        <v>10</v>
      </c>
      <c r="G324" s="582" t="n">
        <v>75</v>
      </c>
      <c r="H324" s="592" t="n">
        <v>1</v>
      </c>
      <c r="I324" s="595"/>
      <c r="J324" s="44"/>
      <c r="K324" s="44"/>
      <c r="L324" s="44"/>
      <c r="M324" s="44"/>
      <c r="N324" s="44"/>
      <c r="O324" s="44"/>
      <c r="P324" s="44"/>
      <c r="Q324" s="595"/>
      <c r="R324" s="93"/>
      <c r="S324" s="44"/>
      <c r="T324" s="664"/>
      <c r="U324" s="44"/>
      <c r="V324" s="93"/>
      <c r="W324" s="93"/>
      <c r="X324" s="616"/>
      <c r="Y324" s="93"/>
      <c r="Z324" s="93"/>
      <c r="AA324" s="93"/>
      <c r="AB324" s="616"/>
      <c r="AC324" s="93"/>
      <c r="AD324" s="93"/>
      <c r="AE324" s="93"/>
      <c r="AF324" s="616"/>
      <c r="AG324" s="93"/>
      <c r="AH324" s="93"/>
      <c r="AI324" s="93"/>
      <c r="AJ324" s="616"/>
      <c r="AK324" s="93"/>
      <c r="AL324" s="93"/>
      <c r="AM324" s="93"/>
      <c r="AN324" s="616"/>
      <c r="AO324" s="93"/>
      <c r="AP324" s="93"/>
      <c r="AQ324" s="93"/>
      <c r="AR324" s="616"/>
      <c r="AS324" s="93"/>
      <c r="AT324" s="93"/>
      <c r="AU324" s="93"/>
      <c r="AV324" s="616"/>
      <c r="AW324" s="93"/>
      <c r="AX324" s="93"/>
      <c r="AY324" s="93"/>
      <c r="AZ324" s="93"/>
      <c r="BA324" s="93"/>
      <c r="BB324" s="638"/>
      <c r="BC324" s="638"/>
      <c r="BD324" s="638"/>
    </row>
    <row r="325" customFormat="false" ht="15.75" hidden="false" customHeight="false" outlineLevel="0" collapsed="false">
      <c r="A325" s="663" t="s">
        <v>1869</v>
      </c>
      <c r="B325" s="663"/>
      <c r="C325" s="663"/>
      <c r="D325" s="608" t="s">
        <v>805</v>
      </c>
      <c r="E325" s="662" t="s">
        <v>1807</v>
      </c>
      <c r="F325" s="582" t="n">
        <v>10</v>
      </c>
      <c r="G325" s="582" t="n">
        <v>65</v>
      </c>
      <c r="H325" s="592" t="n">
        <v>0.95</v>
      </c>
      <c r="I325" s="595"/>
      <c r="J325" s="44"/>
      <c r="K325" s="44"/>
      <c r="L325" s="44"/>
      <c r="M325" s="44"/>
      <c r="N325" s="44"/>
      <c r="O325" s="44"/>
      <c r="P325" s="661"/>
      <c r="Q325" s="595"/>
      <c r="R325" s="93"/>
      <c r="S325" s="44"/>
      <c r="T325" s="664"/>
      <c r="U325" s="44"/>
      <c r="V325" s="93"/>
      <c r="W325" s="93"/>
      <c r="X325" s="616"/>
      <c r="Y325" s="93"/>
      <c r="Z325" s="93"/>
      <c r="AA325" s="93"/>
      <c r="AB325" s="616"/>
      <c r="AC325" s="93"/>
      <c r="AD325" s="93"/>
      <c r="AE325" s="93"/>
      <c r="AF325" s="616"/>
      <c r="AG325" s="93"/>
      <c r="AH325" s="93"/>
      <c r="AI325" s="93"/>
      <c r="AJ325" s="616"/>
      <c r="AK325" s="93"/>
      <c r="AL325" s="93"/>
      <c r="AM325" s="93"/>
      <c r="AN325" s="616"/>
      <c r="AO325" s="93"/>
      <c r="AP325" s="93"/>
      <c r="AQ325" s="93"/>
      <c r="AR325" s="616"/>
      <c r="AS325" s="93"/>
      <c r="AT325" s="93"/>
      <c r="AU325" s="93"/>
      <c r="AV325" s="616"/>
      <c r="AW325" s="93"/>
      <c r="AX325" s="93"/>
      <c r="AY325" s="93"/>
      <c r="AZ325" s="93"/>
      <c r="BA325" s="93"/>
      <c r="BB325" s="638"/>
      <c r="BC325" s="638"/>
      <c r="BD325" s="638"/>
    </row>
    <row r="326" customFormat="false" ht="15.75" hidden="false" customHeight="false" outlineLevel="0" collapsed="false">
      <c r="A326" s="663" t="s">
        <v>1870</v>
      </c>
      <c r="B326" s="663"/>
      <c r="C326" s="663"/>
      <c r="D326" s="624" t="s">
        <v>803</v>
      </c>
      <c r="E326" s="662" t="s">
        <v>1807</v>
      </c>
      <c r="F326" s="582" t="n">
        <v>20</v>
      </c>
      <c r="G326" s="582" t="s">
        <v>1183</v>
      </c>
      <c r="H326" s="592" t="n">
        <v>1</v>
      </c>
      <c r="I326" s="595"/>
      <c r="J326" s="44"/>
      <c r="K326" s="44"/>
      <c r="L326" s="44"/>
      <c r="M326" s="44"/>
      <c r="N326" s="44"/>
      <c r="O326" s="44"/>
      <c r="P326" s="661"/>
      <c r="Q326" s="595"/>
      <c r="R326" s="93"/>
      <c r="S326" s="44"/>
      <c r="T326" s="664"/>
      <c r="U326" s="44"/>
      <c r="V326" s="93"/>
      <c r="W326" s="93"/>
      <c r="X326" s="616"/>
      <c r="Y326" s="93"/>
      <c r="Z326" s="93"/>
      <c r="AA326" s="93"/>
      <c r="AB326" s="616"/>
      <c r="AC326" s="93"/>
      <c r="AD326" s="93"/>
      <c r="AE326" s="93"/>
      <c r="AF326" s="616"/>
      <c r="AG326" s="93"/>
      <c r="AH326" s="93"/>
      <c r="AI326" s="93"/>
      <c r="AJ326" s="616"/>
      <c r="AK326" s="93"/>
      <c r="AL326" s="93"/>
      <c r="AM326" s="93"/>
      <c r="AN326" s="616"/>
      <c r="AO326" s="93"/>
      <c r="AP326" s="93"/>
      <c r="AQ326" s="93"/>
      <c r="AR326" s="616"/>
      <c r="AS326" s="93"/>
      <c r="AT326" s="93"/>
      <c r="AU326" s="93"/>
      <c r="AV326" s="616"/>
      <c r="AW326" s="93"/>
      <c r="AX326" s="93"/>
      <c r="AY326" s="93"/>
      <c r="AZ326" s="93"/>
      <c r="BA326" s="93"/>
      <c r="BB326" s="638"/>
      <c r="BC326" s="638"/>
      <c r="BD326" s="638"/>
    </row>
    <row r="327" customFormat="false" ht="15.75" hidden="false" customHeight="false" outlineLevel="0" collapsed="false">
      <c r="A327" s="663" t="s">
        <v>1871</v>
      </c>
      <c r="B327" s="663"/>
      <c r="C327" s="663"/>
      <c r="D327" s="624" t="s">
        <v>803</v>
      </c>
      <c r="E327" s="662" t="s">
        <v>1807</v>
      </c>
      <c r="F327" s="582" t="n">
        <v>10</v>
      </c>
      <c r="G327" s="582" t="n">
        <v>80</v>
      </c>
      <c r="H327" s="592" t="n">
        <v>1</v>
      </c>
      <c r="I327" s="595"/>
      <c r="J327" s="44"/>
      <c r="K327" s="44"/>
      <c r="L327" s="44"/>
      <c r="M327" s="44"/>
      <c r="N327" s="44"/>
      <c r="O327" s="44"/>
      <c r="P327" s="661"/>
      <c r="Q327" s="595"/>
      <c r="R327" s="93"/>
      <c r="S327" s="44"/>
      <c r="T327" s="664"/>
      <c r="U327" s="44"/>
      <c r="V327" s="93"/>
      <c r="W327" s="93"/>
      <c r="X327" s="616"/>
      <c r="Y327" s="93"/>
      <c r="Z327" s="93"/>
      <c r="AA327" s="93"/>
      <c r="AB327" s="616"/>
      <c r="AC327" s="93"/>
      <c r="AD327" s="93"/>
      <c r="AE327" s="93"/>
      <c r="AF327" s="616"/>
      <c r="AG327" s="93"/>
      <c r="AH327" s="93"/>
      <c r="AI327" s="93"/>
      <c r="AJ327" s="616"/>
      <c r="AK327" s="93"/>
      <c r="AL327" s="93"/>
      <c r="AM327" s="93"/>
      <c r="AN327" s="616"/>
      <c r="AO327" s="93"/>
      <c r="AP327" s="93"/>
      <c r="AQ327" s="93"/>
      <c r="AR327" s="616"/>
      <c r="AS327" s="93"/>
      <c r="AT327" s="93"/>
      <c r="AU327" s="93"/>
      <c r="AV327" s="616"/>
      <c r="AW327" s="93"/>
      <c r="AX327" s="93"/>
      <c r="AY327" s="93"/>
      <c r="AZ327" s="93"/>
      <c r="BA327" s="93"/>
      <c r="BB327" s="638"/>
      <c r="BC327" s="638"/>
      <c r="BD327" s="638"/>
    </row>
    <row r="328" customFormat="false" ht="15.75" hidden="false" customHeight="false" outlineLevel="0" collapsed="false">
      <c r="A328" s="663" t="s">
        <v>1872</v>
      </c>
      <c r="B328" s="663"/>
      <c r="C328" s="663"/>
      <c r="D328" s="590" t="s">
        <v>801</v>
      </c>
      <c r="E328" s="662" t="s">
        <v>1807</v>
      </c>
      <c r="F328" s="582" t="n">
        <v>35</v>
      </c>
      <c r="G328" s="582" t="n">
        <v>40</v>
      </c>
      <c r="H328" s="592" t="n">
        <v>1</v>
      </c>
      <c r="I328" s="595"/>
      <c r="J328" s="44"/>
      <c r="K328" s="44"/>
      <c r="L328" s="44"/>
      <c r="M328" s="44"/>
      <c r="N328" s="44"/>
      <c r="O328" s="44"/>
      <c r="P328" s="661"/>
      <c r="Q328" s="595"/>
      <c r="R328" s="93"/>
      <c r="S328" s="44"/>
      <c r="T328" s="664"/>
      <c r="U328" s="44"/>
      <c r="V328" s="93"/>
      <c r="W328" s="93"/>
      <c r="X328" s="616"/>
      <c r="Y328" s="93"/>
      <c r="Z328" s="93"/>
      <c r="AA328" s="93"/>
      <c r="AB328" s="616"/>
      <c r="AC328" s="93"/>
      <c r="AD328" s="93"/>
      <c r="AE328" s="93"/>
      <c r="AF328" s="616"/>
      <c r="AG328" s="93"/>
      <c r="AH328" s="93"/>
      <c r="AI328" s="93"/>
      <c r="AJ328" s="616"/>
      <c r="AK328" s="93"/>
      <c r="AL328" s="93"/>
      <c r="AM328" s="93"/>
      <c r="AN328" s="616"/>
      <c r="AO328" s="93"/>
      <c r="AP328" s="93"/>
      <c r="AQ328" s="93"/>
      <c r="AR328" s="616"/>
      <c r="AS328" s="93"/>
      <c r="AT328" s="93"/>
      <c r="AU328" s="93"/>
      <c r="AV328" s="616"/>
      <c r="AW328" s="93"/>
      <c r="AX328" s="93"/>
      <c r="AY328" s="93"/>
      <c r="AZ328" s="93"/>
      <c r="BA328" s="93"/>
      <c r="BB328" s="638"/>
      <c r="BC328" s="638"/>
      <c r="BD328" s="638"/>
    </row>
    <row r="329" customFormat="false" ht="15.75" hidden="false" customHeight="false" outlineLevel="0" collapsed="false">
      <c r="A329" s="663" t="s">
        <v>1873</v>
      </c>
      <c r="B329" s="663"/>
      <c r="C329" s="663"/>
      <c r="D329" s="618" t="s">
        <v>800</v>
      </c>
      <c r="E329" s="662" t="s">
        <v>1807</v>
      </c>
      <c r="F329" s="582" t="n">
        <v>10</v>
      </c>
      <c r="G329" s="582" t="n">
        <v>95</v>
      </c>
      <c r="H329" s="592" t="n">
        <v>0.9</v>
      </c>
      <c r="I329" s="595"/>
      <c r="J329" s="44"/>
      <c r="K329" s="44"/>
      <c r="L329" s="44"/>
      <c r="M329" s="44"/>
      <c r="N329" s="44"/>
      <c r="O329" s="44"/>
      <c r="P329" s="661"/>
      <c r="Q329" s="595"/>
      <c r="R329" s="93"/>
      <c r="S329" s="44"/>
      <c r="T329" s="664"/>
      <c r="U329" s="44"/>
      <c r="V329" s="93"/>
      <c r="W329" s="93"/>
      <c r="X329" s="616"/>
      <c r="Y329" s="93"/>
      <c r="Z329" s="93"/>
      <c r="AA329" s="93"/>
      <c r="AB329" s="616"/>
      <c r="AC329" s="93"/>
      <c r="AD329" s="93"/>
      <c r="AE329" s="93"/>
      <c r="AF329" s="616"/>
      <c r="AG329" s="93"/>
      <c r="AH329" s="93"/>
      <c r="AI329" s="93"/>
      <c r="AJ329" s="616"/>
      <c r="AK329" s="93"/>
      <c r="AL329" s="93"/>
      <c r="AM329" s="93"/>
      <c r="AN329" s="616"/>
      <c r="AO329" s="93"/>
      <c r="AP329" s="93"/>
      <c r="AQ329" s="93"/>
      <c r="AR329" s="616"/>
      <c r="AS329" s="93"/>
      <c r="AT329" s="93"/>
      <c r="AU329" s="93"/>
      <c r="AV329" s="616"/>
      <c r="AW329" s="93"/>
      <c r="AX329" s="93"/>
      <c r="AY329" s="93"/>
      <c r="AZ329" s="93"/>
      <c r="BA329" s="93"/>
      <c r="BB329" s="638"/>
      <c r="BC329" s="638"/>
      <c r="BD329" s="638"/>
    </row>
    <row r="330" customFormat="false" ht="15.75" hidden="false" customHeight="false" outlineLevel="0" collapsed="false">
      <c r="A330" s="663" t="s">
        <v>1874</v>
      </c>
      <c r="B330" s="663"/>
      <c r="C330" s="663"/>
      <c r="D330" s="605" t="s">
        <v>802</v>
      </c>
      <c r="E330" s="662" t="s">
        <v>1807</v>
      </c>
      <c r="F330" s="582" t="n">
        <v>10</v>
      </c>
      <c r="G330" s="582" t="n">
        <v>65</v>
      </c>
      <c r="H330" s="592" t="n">
        <v>1</v>
      </c>
      <c r="I330" s="595"/>
      <c r="J330" s="44"/>
      <c r="K330" s="44"/>
      <c r="L330" s="44"/>
      <c r="M330" s="44"/>
      <c r="N330" s="44"/>
      <c r="O330" s="44"/>
      <c r="P330" s="661"/>
      <c r="Q330" s="595"/>
      <c r="R330" s="93"/>
      <c r="S330" s="44"/>
      <c r="T330" s="664"/>
      <c r="U330" s="44"/>
      <c r="V330" s="93"/>
      <c r="W330" s="93"/>
      <c r="X330" s="616"/>
      <c r="Y330" s="93"/>
      <c r="Z330" s="93"/>
      <c r="AA330" s="93"/>
      <c r="AB330" s="616"/>
      <c r="AC330" s="93"/>
      <c r="AD330" s="93"/>
      <c r="AE330" s="93"/>
      <c r="AF330" s="616"/>
      <c r="AG330" s="93"/>
      <c r="AH330" s="93"/>
      <c r="AI330" s="93"/>
      <c r="AJ330" s="616"/>
      <c r="AK330" s="93"/>
      <c r="AL330" s="93"/>
      <c r="AM330" s="93"/>
      <c r="AN330" s="616"/>
      <c r="AO330" s="93"/>
      <c r="AP330" s="93"/>
      <c r="AQ330" s="93"/>
      <c r="AR330" s="616"/>
      <c r="AS330" s="93"/>
      <c r="AT330" s="93"/>
      <c r="AU330" s="93"/>
      <c r="AV330" s="616"/>
      <c r="AW330" s="93"/>
      <c r="AX330" s="93"/>
      <c r="AY330" s="93"/>
      <c r="AZ330" s="93"/>
      <c r="BA330" s="93"/>
      <c r="BB330" s="638"/>
      <c r="BC330" s="638"/>
      <c r="BD330" s="638"/>
    </row>
    <row r="331" customFormat="false" ht="15.75" hidden="false" customHeight="false" outlineLevel="0" collapsed="false">
      <c r="A331" s="663" t="s">
        <v>1875</v>
      </c>
      <c r="B331" s="663"/>
      <c r="C331" s="663"/>
      <c r="D331" s="610" t="s">
        <v>839</v>
      </c>
      <c r="E331" s="662" t="s">
        <v>1807</v>
      </c>
      <c r="F331" s="582" t="n">
        <v>15</v>
      </c>
      <c r="G331" s="582" t="n">
        <v>60</v>
      </c>
      <c r="H331" s="592" t="n">
        <v>1</v>
      </c>
      <c r="I331" s="595"/>
      <c r="J331" s="44"/>
      <c r="K331" s="44"/>
      <c r="L331" s="44"/>
      <c r="M331" s="44"/>
      <c r="N331" s="44"/>
      <c r="O331" s="44"/>
      <c r="P331" s="661"/>
      <c r="Q331" s="595"/>
      <c r="R331" s="93"/>
      <c r="S331" s="44"/>
      <c r="T331" s="664"/>
      <c r="U331" s="44"/>
      <c r="V331" s="93"/>
      <c r="W331" s="93"/>
      <c r="X331" s="616"/>
      <c r="Y331" s="93"/>
      <c r="Z331" s="93"/>
      <c r="AA331" s="93"/>
      <c r="AB331" s="616"/>
      <c r="AC331" s="93"/>
      <c r="AD331" s="93"/>
      <c r="AE331" s="93"/>
      <c r="AF331" s="616"/>
      <c r="AG331" s="93"/>
      <c r="AH331" s="93"/>
      <c r="AI331" s="93"/>
      <c r="AJ331" s="616"/>
      <c r="AK331" s="93"/>
      <c r="AL331" s="93"/>
      <c r="AM331" s="93"/>
      <c r="AN331" s="616"/>
      <c r="AO331" s="93"/>
      <c r="AP331" s="93"/>
      <c r="AQ331" s="93"/>
      <c r="AR331" s="616"/>
      <c r="AS331" s="93"/>
      <c r="AT331" s="93"/>
      <c r="AU331" s="93"/>
      <c r="AV331" s="616"/>
      <c r="AW331" s="93"/>
      <c r="AX331" s="93"/>
      <c r="AY331" s="93"/>
      <c r="AZ331" s="93"/>
      <c r="BA331" s="93"/>
      <c r="BB331" s="638"/>
      <c r="BC331" s="638"/>
      <c r="BD331" s="638"/>
    </row>
    <row r="332" customFormat="false" ht="15.75" hidden="false" customHeight="false" outlineLevel="0" collapsed="false">
      <c r="A332" s="663" t="s">
        <v>1876</v>
      </c>
      <c r="B332" s="663"/>
      <c r="C332" s="663"/>
      <c r="D332" s="590" t="s">
        <v>801</v>
      </c>
      <c r="E332" s="662" t="s">
        <v>1807</v>
      </c>
      <c r="F332" s="582" t="n">
        <v>10</v>
      </c>
      <c r="G332" s="582" t="n">
        <v>110</v>
      </c>
      <c r="H332" s="592" t="n">
        <v>0.7</v>
      </c>
      <c r="I332" s="595"/>
      <c r="J332" s="44"/>
      <c r="K332" s="44"/>
      <c r="L332" s="44"/>
      <c r="M332" s="44"/>
      <c r="N332" s="44"/>
      <c r="O332" s="44"/>
      <c r="P332" s="661"/>
      <c r="Q332" s="595"/>
      <c r="R332" s="93"/>
      <c r="S332" s="44"/>
      <c r="T332" s="664"/>
      <c r="U332" s="44"/>
      <c r="V332" s="93"/>
      <c r="W332" s="93"/>
      <c r="X332" s="616"/>
      <c r="Y332" s="93"/>
      <c r="Z332" s="93"/>
      <c r="AA332" s="93"/>
      <c r="AB332" s="616"/>
      <c r="AC332" s="93"/>
      <c r="AD332" s="93"/>
      <c r="AE332" s="93"/>
      <c r="AF332" s="616"/>
      <c r="AG332" s="93"/>
      <c r="AH332" s="93"/>
      <c r="AI332" s="93"/>
      <c r="AJ332" s="616"/>
      <c r="AK332" s="93"/>
      <c r="AL332" s="93"/>
      <c r="AM332" s="93"/>
      <c r="AN332" s="616"/>
      <c r="AO332" s="93"/>
      <c r="AP332" s="93"/>
      <c r="AQ332" s="93"/>
      <c r="AR332" s="616"/>
      <c r="AS332" s="93"/>
      <c r="AT332" s="93"/>
      <c r="AU332" s="93"/>
      <c r="AV332" s="616"/>
      <c r="AW332" s="93"/>
      <c r="AX332" s="93"/>
      <c r="AY332" s="93"/>
      <c r="AZ332" s="93"/>
      <c r="BA332" s="93"/>
      <c r="BB332" s="638"/>
      <c r="BC332" s="638"/>
      <c r="BD332" s="638"/>
    </row>
    <row r="333" customFormat="false" ht="15.75" hidden="false" customHeight="false" outlineLevel="0" collapsed="false">
      <c r="A333" s="663" t="s">
        <v>1877</v>
      </c>
      <c r="B333" s="663"/>
      <c r="C333" s="663"/>
      <c r="D333" s="599" t="s">
        <v>811</v>
      </c>
      <c r="E333" s="662" t="s">
        <v>1807</v>
      </c>
      <c r="F333" s="582" t="n">
        <v>5</v>
      </c>
      <c r="G333" s="582" t="n">
        <v>150</v>
      </c>
      <c r="H333" s="592" t="n">
        <v>0.9</v>
      </c>
      <c r="I333" s="595"/>
      <c r="J333" s="44"/>
      <c r="K333" s="44"/>
      <c r="L333" s="44"/>
      <c r="M333" s="44"/>
      <c r="N333" s="44"/>
      <c r="O333" s="44"/>
      <c r="P333" s="661"/>
      <c r="Q333" s="595"/>
      <c r="R333" s="93"/>
      <c r="S333" s="44"/>
      <c r="T333" s="664"/>
      <c r="U333" s="44"/>
      <c r="V333" s="93"/>
      <c r="W333" s="93"/>
      <c r="X333" s="616"/>
      <c r="Y333" s="93"/>
      <c r="Z333" s="93"/>
      <c r="AA333" s="93"/>
      <c r="AB333" s="616"/>
      <c r="AC333" s="93"/>
      <c r="AD333" s="93"/>
      <c r="AE333" s="93"/>
      <c r="AF333" s="616"/>
      <c r="AG333" s="93"/>
      <c r="AH333" s="93"/>
      <c r="AI333" s="93"/>
      <c r="AJ333" s="616"/>
      <c r="AK333" s="93"/>
      <c r="AL333" s="93"/>
      <c r="AM333" s="93"/>
      <c r="AN333" s="616"/>
      <c r="AO333" s="93"/>
      <c r="AP333" s="93"/>
      <c r="AQ333" s="93"/>
      <c r="AR333" s="616"/>
      <c r="AS333" s="93"/>
      <c r="AT333" s="93"/>
      <c r="AU333" s="93"/>
      <c r="AV333" s="616"/>
      <c r="AW333" s="93"/>
      <c r="AX333" s="93"/>
      <c r="AY333" s="93"/>
      <c r="AZ333" s="93"/>
      <c r="BA333" s="93"/>
      <c r="BB333" s="638"/>
      <c r="BC333" s="638"/>
      <c r="BD333" s="638"/>
    </row>
    <row r="334" customFormat="false" ht="15.75" hidden="false" customHeight="false" outlineLevel="0" collapsed="false">
      <c r="A334" s="663" t="s">
        <v>1878</v>
      </c>
      <c r="B334" s="663"/>
      <c r="C334" s="663"/>
      <c r="D334" s="599" t="s">
        <v>811</v>
      </c>
      <c r="E334" s="662" t="s">
        <v>1807</v>
      </c>
      <c r="F334" s="582" t="n">
        <v>5</v>
      </c>
      <c r="G334" s="582" t="n">
        <v>110</v>
      </c>
      <c r="H334" s="592" t="n">
        <v>0.8</v>
      </c>
      <c r="I334" s="595"/>
      <c r="J334" s="44"/>
      <c r="K334" s="44"/>
      <c r="L334" s="44"/>
      <c r="M334" s="44"/>
      <c r="N334" s="44"/>
      <c r="O334" s="44"/>
      <c r="P334" s="44"/>
      <c r="Q334" s="595"/>
      <c r="R334" s="93"/>
      <c r="S334" s="44"/>
      <c r="T334" s="664"/>
      <c r="U334" s="44"/>
      <c r="V334" s="93"/>
      <c r="W334" s="93"/>
      <c r="X334" s="616"/>
      <c r="Y334" s="93"/>
      <c r="Z334" s="93"/>
      <c r="AA334" s="93"/>
      <c r="AB334" s="616"/>
      <c r="AC334" s="93"/>
      <c r="AD334" s="93"/>
      <c r="AE334" s="93"/>
      <c r="AF334" s="616"/>
      <c r="AG334" s="93"/>
      <c r="AH334" s="93"/>
      <c r="AI334" s="93"/>
      <c r="AJ334" s="616"/>
      <c r="AK334" s="93"/>
      <c r="AL334" s="93"/>
      <c r="AM334" s="93"/>
      <c r="AN334" s="616"/>
      <c r="AO334" s="93"/>
      <c r="AP334" s="93"/>
      <c r="AQ334" s="93"/>
      <c r="AR334" s="616"/>
      <c r="AS334" s="93"/>
      <c r="AT334" s="93"/>
      <c r="AU334" s="93"/>
      <c r="AV334" s="616"/>
      <c r="AW334" s="93"/>
      <c r="AX334" s="93"/>
      <c r="AY334" s="93"/>
      <c r="AZ334" s="93"/>
      <c r="BA334" s="93"/>
      <c r="BB334" s="638"/>
      <c r="BC334" s="638"/>
      <c r="BD334" s="638"/>
    </row>
    <row r="335" customFormat="false" ht="15.75" hidden="false" customHeight="false" outlineLevel="0" collapsed="false">
      <c r="A335" s="663" t="s">
        <v>1879</v>
      </c>
      <c r="B335" s="663"/>
      <c r="C335" s="663"/>
      <c r="D335" s="610" t="s">
        <v>839</v>
      </c>
      <c r="E335" s="662" t="s">
        <v>1807</v>
      </c>
      <c r="F335" s="582" t="n">
        <v>5</v>
      </c>
      <c r="G335" s="582" t="n">
        <v>150</v>
      </c>
      <c r="H335" s="592" t="n">
        <v>0.9</v>
      </c>
      <c r="I335" s="595"/>
      <c r="J335" s="44"/>
      <c r="K335" s="44"/>
      <c r="L335" s="44"/>
      <c r="M335" s="44"/>
      <c r="N335" s="44"/>
      <c r="O335" s="44"/>
      <c r="P335" s="44"/>
      <c r="Q335" s="595"/>
      <c r="R335" s="93"/>
      <c r="S335" s="44"/>
      <c r="T335" s="664"/>
      <c r="U335" s="44"/>
      <c r="V335" s="93"/>
      <c r="W335" s="93"/>
      <c r="X335" s="616"/>
      <c r="Y335" s="93"/>
      <c r="Z335" s="93"/>
      <c r="AA335" s="93"/>
      <c r="AB335" s="616"/>
      <c r="AC335" s="93"/>
      <c r="AD335" s="93"/>
      <c r="AE335" s="93"/>
      <c r="AF335" s="616"/>
      <c r="AG335" s="93"/>
      <c r="AH335" s="93"/>
      <c r="AI335" s="93"/>
      <c r="AJ335" s="616"/>
      <c r="AK335" s="93"/>
      <c r="AL335" s="93"/>
      <c r="AM335" s="93"/>
      <c r="AN335" s="616"/>
      <c r="AO335" s="93"/>
      <c r="AP335" s="93"/>
      <c r="AQ335" s="93"/>
      <c r="AR335" s="616"/>
      <c r="AS335" s="93"/>
      <c r="AT335" s="93"/>
      <c r="AU335" s="93"/>
      <c r="AV335" s="616"/>
      <c r="AW335" s="93"/>
      <c r="AX335" s="93"/>
      <c r="AY335" s="93"/>
      <c r="AZ335" s="93"/>
      <c r="BA335" s="93"/>
      <c r="BB335" s="638"/>
      <c r="BC335" s="638"/>
      <c r="BD335" s="638"/>
    </row>
    <row r="336" customFormat="false" ht="15.75" hidden="false" customHeight="false" outlineLevel="0" collapsed="false">
      <c r="A336" s="663" t="s">
        <v>1880</v>
      </c>
      <c r="B336" s="663"/>
      <c r="C336" s="663"/>
      <c r="D336" s="610" t="s">
        <v>839</v>
      </c>
      <c r="E336" s="662" t="s">
        <v>1807</v>
      </c>
      <c r="F336" s="582" t="n">
        <v>10</v>
      </c>
      <c r="G336" s="582" t="n">
        <v>90</v>
      </c>
      <c r="H336" s="592" t="n">
        <v>1</v>
      </c>
      <c r="I336" s="595"/>
      <c r="J336" s="44"/>
      <c r="K336" s="44"/>
      <c r="L336" s="44"/>
      <c r="M336" s="44"/>
      <c r="N336" s="44"/>
      <c r="O336" s="44"/>
      <c r="P336" s="661"/>
      <c r="Q336" s="595"/>
      <c r="R336" s="93"/>
      <c r="S336" s="44"/>
      <c r="T336" s="664"/>
      <c r="U336" s="44"/>
      <c r="V336" s="93"/>
      <c r="W336" s="93"/>
      <c r="X336" s="616"/>
      <c r="Y336" s="93"/>
      <c r="Z336" s="93"/>
      <c r="AA336" s="93"/>
      <c r="AB336" s="616"/>
      <c r="AC336" s="93"/>
      <c r="AD336" s="93"/>
      <c r="AE336" s="93"/>
      <c r="AF336" s="616"/>
      <c r="AG336" s="93"/>
      <c r="AH336" s="93"/>
      <c r="AI336" s="93"/>
      <c r="AJ336" s="616"/>
      <c r="AK336" s="93"/>
      <c r="AL336" s="93"/>
      <c r="AM336" s="93"/>
      <c r="AN336" s="616"/>
      <c r="AO336" s="93"/>
      <c r="AP336" s="93"/>
      <c r="AQ336" s="93"/>
      <c r="AR336" s="616"/>
      <c r="AS336" s="93"/>
      <c r="AT336" s="93"/>
      <c r="AU336" s="93"/>
      <c r="AV336" s="616"/>
      <c r="AW336" s="93"/>
      <c r="AX336" s="93"/>
      <c r="AY336" s="93"/>
      <c r="AZ336" s="93"/>
      <c r="BA336" s="93"/>
      <c r="BB336" s="638"/>
      <c r="BC336" s="638"/>
      <c r="BD336" s="638"/>
    </row>
    <row r="337" customFormat="false" ht="15.75" hidden="false" customHeight="false" outlineLevel="0" collapsed="false">
      <c r="A337" s="663" t="s">
        <v>1881</v>
      </c>
      <c r="B337" s="663"/>
      <c r="C337" s="663"/>
      <c r="D337" s="639" t="s">
        <v>828</v>
      </c>
      <c r="E337" s="662" t="s">
        <v>1807</v>
      </c>
      <c r="F337" s="582" t="n">
        <v>5</v>
      </c>
      <c r="G337" s="582" t="n">
        <v>80</v>
      </c>
      <c r="H337" s="583" t="s">
        <v>1120</v>
      </c>
      <c r="I337" s="595"/>
      <c r="J337" s="44"/>
      <c r="K337" s="44"/>
      <c r="L337" s="44"/>
      <c r="M337" s="44"/>
      <c r="N337" s="44"/>
      <c r="O337" s="44"/>
      <c r="P337" s="661"/>
      <c r="Q337" s="595"/>
      <c r="R337" s="93"/>
      <c r="S337" s="44"/>
      <c r="T337" s="664"/>
      <c r="U337" s="44"/>
      <c r="V337" s="93"/>
      <c r="W337" s="93"/>
      <c r="X337" s="616"/>
      <c r="Y337" s="93"/>
      <c r="Z337" s="93"/>
      <c r="AA337" s="93"/>
      <c r="AB337" s="616"/>
      <c r="AC337" s="93"/>
      <c r="AD337" s="93"/>
      <c r="AE337" s="93"/>
      <c r="AF337" s="616"/>
      <c r="AG337" s="93"/>
      <c r="AH337" s="93"/>
      <c r="AI337" s="93"/>
      <c r="AJ337" s="616"/>
      <c r="AK337" s="93"/>
      <c r="AL337" s="93"/>
      <c r="AM337" s="93"/>
      <c r="AN337" s="616"/>
      <c r="AO337" s="93"/>
      <c r="AP337" s="93"/>
      <c r="AQ337" s="93"/>
      <c r="AR337" s="616"/>
      <c r="AS337" s="93"/>
      <c r="AT337" s="93"/>
      <c r="AU337" s="93"/>
      <c r="AV337" s="616"/>
      <c r="AW337" s="93"/>
      <c r="AX337" s="93"/>
      <c r="AY337" s="93"/>
      <c r="AZ337" s="93"/>
      <c r="BA337" s="93"/>
      <c r="BB337" s="638"/>
      <c r="BC337" s="638"/>
      <c r="BD337" s="638"/>
    </row>
    <row r="338" customFormat="false" ht="15.75" hidden="false" customHeight="false" outlineLevel="0" collapsed="false">
      <c r="A338" s="663" t="s">
        <v>1882</v>
      </c>
      <c r="B338" s="663"/>
      <c r="C338" s="663"/>
      <c r="D338" s="608" t="s">
        <v>805</v>
      </c>
      <c r="E338" s="662" t="s">
        <v>1807</v>
      </c>
      <c r="F338" s="582" t="n">
        <v>10</v>
      </c>
      <c r="G338" s="582" t="n">
        <v>90</v>
      </c>
      <c r="H338" s="592" t="n">
        <v>1</v>
      </c>
      <c r="I338" s="595"/>
      <c r="J338" s="44"/>
      <c r="K338" s="44"/>
      <c r="L338" s="44"/>
      <c r="M338" s="44"/>
      <c r="N338" s="44"/>
      <c r="O338" s="44"/>
      <c r="P338" s="44"/>
      <c r="Q338" s="595"/>
      <c r="R338" s="93"/>
      <c r="S338" s="44"/>
      <c r="T338" s="664"/>
      <c r="U338" s="44"/>
      <c r="V338" s="93"/>
      <c r="W338" s="93"/>
      <c r="X338" s="616"/>
      <c r="Y338" s="93"/>
      <c r="Z338" s="93"/>
      <c r="AA338" s="93"/>
      <c r="AB338" s="616"/>
      <c r="AC338" s="93"/>
      <c r="AD338" s="93"/>
      <c r="AE338" s="93"/>
      <c r="AF338" s="616"/>
      <c r="AG338" s="93"/>
      <c r="AH338" s="93"/>
      <c r="AI338" s="93"/>
      <c r="AJ338" s="616"/>
      <c r="AK338" s="93"/>
      <c r="AL338" s="93"/>
      <c r="AM338" s="93"/>
      <c r="AN338" s="616"/>
      <c r="AO338" s="93"/>
      <c r="AP338" s="93"/>
      <c r="AQ338" s="93"/>
      <c r="AR338" s="616"/>
      <c r="AS338" s="93"/>
      <c r="AT338" s="93"/>
      <c r="AU338" s="93"/>
      <c r="AV338" s="616"/>
      <c r="AW338" s="93"/>
      <c r="AX338" s="93"/>
      <c r="AY338" s="93"/>
      <c r="AZ338" s="93"/>
      <c r="BA338" s="93"/>
      <c r="BB338" s="638"/>
      <c r="BC338" s="638"/>
      <c r="BD338" s="638"/>
    </row>
    <row r="339" customFormat="false" ht="15.75" hidden="false" customHeight="false" outlineLevel="0" collapsed="false">
      <c r="A339" s="663" t="s">
        <v>1883</v>
      </c>
      <c r="B339" s="663"/>
      <c r="C339" s="663"/>
      <c r="D339" s="608" t="s">
        <v>805</v>
      </c>
      <c r="E339" s="662" t="s">
        <v>1807</v>
      </c>
      <c r="F339" s="582" t="n">
        <v>5</v>
      </c>
      <c r="G339" s="582" t="n">
        <v>140</v>
      </c>
      <c r="H339" s="592" t="n">
        <v>0.9</v>
      </c>
      <c r="I339" s="595"/>
      <c r="J339" s="44"/>
      <c r="K339" s="44"/>
      <c r="L339" s="44"/>
      <c r="M339" s="44"/>
      <c r="N339" s="44"/>
      <c r="O339" s="44"/>
      <c r="P339" s="44"/>
      <c r="Q339" s="595"/>
      <c r="R339" s="93"/>
      <c r="S339" s="44"/>
      <c r="T339" s="664"/>
      <c r="U339" s="44"/>
      <c r="V339" s="93"/>
      <c r="W339" s="93"/>
      <c r="X339" s="616"/>
      <c r="Y339" s="93"/>
      <c r="Z339" s="93"/>
      <c r="AA339" s="93"/>
      <c r="AB339" s="616"/>
      <c r="AC339" s="93"/>
      <c r="AD339" s="93"/>
      <c r="AE339" s="93"/>
      <c r="AF339" s="616"/>
      <c r="AG339" s="93"/>
      <c r="AH339" s="93"/>
      <c r="AI339" s="93"/>
      <c r="AJ339" s="616"/>
      <c r="AK339" s="93"/>
      <c r="AL339" s="93"/>
      <c r="AM339" s="93"/>
      <c r="AN339" s="616"/>
      <c r="AO339" s="93"/>
      <c r="AP339" s="93"/>
      <c r="AQ339" s="93"/>
      <c r="AR339" s="616"/>
      <c r="AS339" s="93"/>
      <c r="AT339" s="93"/>
      <c r="AU339" s="93"/>
      <c r="AV339" s="616"/>
      <c r="AW339" s="93"/>
      <c r="AX339" s="93"/>
      <c r="AY339" s="93"/>
      <c r="AZ339" s="93"/>
      <c r="BA339" s="93"/>
      <c r="BB339" s="638"/>
      <c r="BC339" s="638"/>
      <c r="BD339" s="638"/>
    </row>
    <row r="340" customFormat="false" ht="15.75" hidden="false" customHeight="false" outlineLevel="0" collapsed="false">
      <c r="A340" s="663" t="s">
        <v>1884</v>
      </c>
      <c r="B340" s="663"/>
      <c r="C340" s="663"/>
      <c r="D340" s="608" t="s">
        <v>805</v>
      </c>
      <c r="E340" s="662" t="s">
        <v>1807</v>
      </c>
      <c r="F340" s="582" t="n">
        <v>15</v>
      </c>
      <c r="G340" s="582" t="n">
        <v>55</v>
      </c>
      <c r="H340" s="592" t="n">
        <v>0.95</v>
      </c>
      <c r="I340" s="595"/>
      <c r="J340" s="44"/>
      <c r="K340" s="44"/>
      <c r="L340" s="44"/>
      <c r="M340" s="44"/>
      <c r="N340" s="44"/>
      <c r="O340" s="44"/>
      <c r="P340" s="661"/>
      <c r="Q340" s="595"/>
      <c r="R340" s="93"/>
      <c r="S340" s="44"/>
      <c r="T340" s="664"/>
      <c r="U340" s="44"/>
      <c r="V340" s="93"/>
      <c r="W340" s="93"/>
      <c r="X340" s="616"/>
      <c r="Y340" s="93"/>
      <c r="Z340" s="93"/>
      <c r="AA340" s="93"/>
      <c r="AB340" s="616"/>
      <c r="AC340" s="93"/>
      <c r="AD340" s="93"/>
      <c r="AE340" s="93"/>
      <c r="AF340" s="616"/>
      <c r="AG340" s="93"/>
      <c r="AH340" s="93"/>
      <c r="AI340" s="93"/>
      <c r="AJ340" s="616"/>
      <c r="AK340" s="93"/>
      <c r="AL340" s="93"/>
      <c r="AM340" s="93"/>
      <c r="AN340" s="616"/>
      <c r="AO340" s="93"/>
      <c r="AP340" s="93"/>
      <c r="AQ340" s="93"/>
      <c r="AR340" s="616"/>
      <c r="AS340" s="93"/>
      <c r="AT340" s="93"/>
      <c r="AU340" s="93"/>
      <c r="AV340" s="616"/>
      <c r="AW340" s="93"/>
      <c r="AX340" s="93"/>
      <c r="AY340" s="93"/>
      <c r="AZ340" s="93"/>
      <c r="BA340" s="93"/>
      <c r="BB340" s="638"/>
      <c r="BC340" s="638"/>
      <c r="BD340" s="638"/>
    </row>
    <row r="341" customFormat="false" ht="15.75" hidden="false" customHeight="false" outlineLevel="0" collapsed="false">
      <c r="A341" s="663" t="s">
        <v>1885</v>
      </c>
      <c r="B341" s="663"/>
      <c r="C341" s="663"/>
      <c r="D341" s="618" t="s">
        <v>800</v>
      </c>
      <c r="E341" s="662" t="s">
        <v>1807</v>
      </c>
      <c r="F341" s="582" t="n">
        <v>15</v>
      </c>
      <c r="G341" s="582" t="n">
        <v>60</v>
      </c>
      <c r="H341" s="592" t="n">
        <v>1</v>
      </c>
      <c r="I341" s="595"/>
      <c r="J341" s="44"/>
      <c r="K341" s="44"/>
      <c r="L341" s="44"/>
      <c r="M341" s="44"/>
      <c r="N341" s="44"/>
      <c r="O341" s="44"/>
      <c r="P341" s="44"/>
      <c r="Q341" s="595"/>
      <c r="R341" s="93"/>
      <c r="S341" s="44"/>
      <c r="T341" s="664"/>
      <c r="U341" s="44"/>
      <c r="V341" s="93"/>
      <c r="W341" s="93"/>
      <c r="X341" s="616"/>
      <c r="Y341" s="93"/>
      <c r="Z341" s="93"/>
      <c r="AA341" s="93"/>
      <c r="AB341" s="616"/>
      <c r="AC341" s="93"/>
      <c r="AD341" s="93"/>
      <c r="AE341" s="93"/>
      <c r="AF341" s="616"/>
      <c r="AG341" s="93"/>
      <c r="AH341" s="93"/>
      <c r="AI341" s="93"/>
      <c r="AJ341" s="616"/>
      <c r="AK341" s="93"/>
      <c r="AL341" s="93"/>
      <c r="AM341" s="93"/>
      <c r="AN341" s="616"/>
      <c r="AO341" s="93"/>
      <c r="AP341" s="93"/>
      <c r="AQ341" s="93"/>
      <c r="AR341" s="616"/>
      <c r="AS341" s="93"/>
      <c r="AT341" s="93"/>
      <c r="AU341" s="93"/>
      <c r="AV341" s="616"/>
      <c r="AW341" s="93"/>
      <c r="AX341" s="93"/>
      <c r="AY341" s="93"/>
      <c r="AZ341" s="93"/>
      <c r="BA341" s="93"/>
      <c r="BB341" s="638"/>
      <c r="BC341" s="638"/>
      <c r="BD341" s="638"/>
    </row>
    <row r="342" customFormat="false" ht="15.75" hidden="false" customHeight="false" outlineLevel="0" collapsed="false">
      <c r="A342" s="663" t="s">
        <v>1886</v>
      </c>
      <c r="B342" s="663"/>
      <c r="C342" s="663"/>
      <c r="D342" s="618" t="s">
        <v>800</v>
      </c>
      <c r="E342" s="662" t="s">
        <v>1807</v>
      </c>
      <c r="F342" s="582" t="n">
        <v>5</v>
      </c>
      <c r="G342" s="582" t="n">
        <v>100</v>
      </c>
      <c r="H342" s="592" t="n">
        <v>0.5</v>
      </c>
      <c r="I342" s="595"/>
      <c r="J342" s="44"/>
      <c r="K342" s="44"/>
      <c r="L342" s="44"/>
      <c r="M342" s="44"/>
      <c r="N342" s="44"/>
      <c r="O342" s="44"/>
      <c r="P342" s="661"/>
      <c r="Q342" s="595"/>
      <c r="R342" s="93"/>
      <c r="S342" s="44"/>
      <c r="T342" s="664"/>
      <c r="U342" s="44"/>
      <c r="V342" s="93"/>
      <c r="W342" s="93"/>
      <c r="X342" s="616"/>
      <c r="Y342" s="93"/>
      <c r="Z342" s="93"/>
      <c r="AA342" s="93"/>
      <c r="AB342" s="616"/>
      <c r="AC342" s="93"/>
      <c r="AD342" s="93"/>
      <c r="AE342" s="93"/>
      <c r="AF342" s="616"/>
      <c r="AG342" s="93"/>
      <c r="AH342" s="93"/>
      <c r="AI342" s="93"/>
      <c r="AJ342" s="616"/>
      <c r="AK342" s="93"/>
      <c r="AL342" s="93"/>
      <c r="AM342" s="93"/>
      <c r="AN342" s="616"/>
      <c r="AO342" s="93"/>
      <c r="AP342" s="93"/>
      <c r="AQ342" s="93"/>
      <c r="AR342" s="616"/>
      <c r="AS342" s="93"/>
      <c r="AT342" s="93"/>
      <c r="AU342" s="93"/>
      <c r="AV342" s="616"/>
      <c r="AW342" s="93"/>
      <c r="AX342" s="93"/>
      <c r="AY342" s="93"/>
      <c r="AZ342" s="93"/>
      <c r="BA342" s="93"/>
      <c r="BB342" s="638"/>
      <c r="BC342" s="638"/>
      <c r="BD342" s="638"/>
    </row>
    <row r="343" customFormat="false" ht="15.75" hidden="false" customHeight="false" outlineLevel="0" collapsed="false">
      <c r="A343" s="663" t="s">
        <v>1887</v>
      </c>
      <c r="B343" s="663"/>
      <c r="C343" s="663"/>
      <c r="D343" s="607" t="s">
        <v>794</v>
      </c>
      <c r="E343" s="662" t="s">
        <v>1807</v>
      </c>
      <c r="F343" s="582" t="n">
        <v>20</v>
      </c>
      <c r="G343" s="582" t="n">
        <v>20</v>
      </c>
      <c r="H343" s="592" t="n">
        <v>1</v>
      </c>
      <c r="I343" s="595"/>
      <c r="J343" s="44"/>
      <c r="K343" s="44"/>
      <c r="L343" s="44"/>
      <c r="M343" s="44"/>
      <c r="N343" s="44"/>
      <c r="O343" s="44"/>
      <c r="P343" s="44"/>
      <c r="Q343" s="595"/>
      <c r="R343" s="93"/>
      <c r="S343" s="44"/>
      <c r="T343" s="664"/>
      <c r="U343" s="44"/>
      <c r="V343" s="93"/>
      <c r="W343" s="93"/>
      <c r="X343" s="616"/>
      <c r="Y343" s="93"/>
      <c r="Z343" s="93"/>
      <c r="AA343" s="93"/>
      <c r="AB343" s="616"/>
      <c r="AC343" s="93"/>
      <c r="AD343" s="93"/>
      <c r="AE343" s="93"/>
      <c r="AF343" s="616"/>
      <c r="AG343" s="93"/>
      <c r="AH343" s="93"/>
      <c r="AI343" s="93"/>
      <c r="AJ343" s="616"/>
      <c r="AK343" s="93"/>
      <c r="AL343" s="93"/>
      <c r="AM343" s="93"/>
      <c r="AN343" s="616"/>
      <c r="AO343" s="93"/>
      <c r="AP343" s="93"/>
      <c r="AQ343" s="93"/>
      <c r="AR343" s="616"/>
      <c r="AS343" s="93"/>
      <c r="AT343" s="93"/>
      <c r="AU343" s="93"/>
      <c r="AV343" s="616"/>
      <c r="AW343" s="93"/>
      <c r="AX343" s="93"/>
      <c r="AY343" s="93"/>
      <c r="AZ343" s="93"/>
      <c r="BA343" s="93"/>
      <c r="BB343" s="638"/>
      <c r="BC343" s="638"/>
      <c r="BD343" s="638"/>
    </row>
    <row r="344" customFormat="false" ht="15.75" hidden="false" customHeight="false" outlineLevel="0" collapsed="false">
      <c r="A344" s="663" t="s">
        <v>1888</v>
      </c>
      <c r="B344" s="663"/>
      <c r="C344" s="663"/>
      <c r="D344" s="610" t="s">
        <v>839</v>
      </c>
      <c r="E344" s="662" t="s">
        <v>1807</v>
      </c>
      <c r="F344" s="582" t="n">
        <v>10</v>
      </c>
      <c r="G344" s="582" t="n">
        <v>100</v>
      </c>
      <c r="H344" s="592" t="n">
        <v>1</v>
      </c>
      <c r="I344" s="595"/>
      <c r="J344" s="44"/>
      <c r="K344" s="44"/>
      <c r="L344" s="44"/>
      <c r="M344" s="44"/>
      <c r="N344" s="44"/>
      <c r="O344" s="44"/>
      <c r="P344" s="661"/>
      <c r="Q344" s="595"/>
      <c r="R344" s="93"/>
      <c r="S344" s="44"/>
      <c r="T344" s="664"/>
      <c r="U344" s="44"/>
      <c r="V344" s="93"/>
      <c r="W344" s="93"/>
      <c r="X344" s="616"/>
      <c r="Y344" s="93"/>
      <c r="Z344" s="93"/>
      <c r="AA344" s="93"/>
      <c r="AB344" s="616"/>
      <c r="AC344" s="93"/>
      <c r="AD344" s="93"/>
      <c r="AE344" s="93"/>
      <c r="AF344" s="616"/>
      <c r="AG344" s="93"/>
      <c r="AH344" s="93"/>
      <c r="AI344" s="93"/>
      <c r="AJ344" s="616"/>
      <c r="AK344" s="93"/>
      <c r="AL344" s="93"/>
      <c r="AM344" s="93"/>
      <c r="AN344" s="616"/>
      <c r="AO344" s="93"/>
      <c r="AP344" s="93"/>
      <c r="AQ344" s="93"/>
      <c r="AR344" s="616"/>
      <c r="AS344" s="93"/>
      <c r="AT344" s="93"/>
      <c r="AU344" s="93"/>
      <c r="AV344" s="616"/>
      <c r="AW344" s="93"/>
      <c r="AX344" s="93"/>
      <c r="AY344" s="93"/>
      <c r="AZ344" s="93"/>
      <c r="BA344" s="93"/>
      <c r="BB344" s="638"/>
      <c r="BC344" s="638"/>
      <c r="BD344" s="638"/>
    </row>
    <row r="345" customFormat="false" ht="15.75" hidden="false" customHeight="false" outlineLevel="0" collapsed="false">
      <c r="A345" s="663" t="s">
        <v>1889</v>
      </c>
      <c r="B345" s="663"/>
      <c r="C345" s="663"/>
      <c r="D345" s="618" t="s">
        <v>800</v>
      </c>
      <c r="E345" s="662" t="s">
        <v>1807</v>
      </c>
      <c r="F345" s="582" t="n">
        <v>15</v>
      </c>
      <c r="G345" s="582" t="n">
        <v>80</v>
      </c>
      <c r="H345" s="592" t="n">
        <v>1</v>
      </c>
      <c r="I345" s="595"/>
      <c r="J345" s="44"/>
      <c r="K345" s="44"/>
      <c r="L345" s="44"/>
      <c r="M345" s="44"/>
      <c r="N345" s="44"/>
      <c r="O345" s="44"/>
      <c r="P345" s="44"/>
      <c r="Q345" s="595"/>
      <c r="R345" s="93"/>
      <c r="S345" s="44"/>
      <c r="T345" s="664"/>
      <c r="U345" s="44"/>
      <c r="V345" s="93"/>
      <c r="W345" s="93"/>
      <c r="X345" s="616"/>
      <c r="Y345" s="93"/>
      <c r="Z345" s="93"/>
      <c r="AA345" s="93"/>
      <c r="AB345" s="616"/>
      <c r="AC345" s="93"/>
      <c r="AD345" s="93"/>
      <c r="AE345" s="93"/>
      <c r="AF345" s="616"/>
      <c r="AG345" s="93"/>
      <c r="AH345" s="93"/>
      <c r="AI345" s="93"/>
      <c r="AJ345" s="616"/>
      <c r="AK345" s="93"/>
      <c r="AL345" s="93"/>
      <c r="AM345" s="93"/>
      <c r="AN345" s="616"/>
      <c r="AO345" s="93"/>
      <c r="AP345" s="93"/>
      <c r="AQ345" s="93"/>
      <c r="AR345" s="616"/>
      <c r="AS345" s="93"/>
      <c r="AT345" s="93"/>
      <c r="AU345" s="93"/>
      <c r="AV345" s="616"/>
      <c r="AW345" s="93"/>
      <c r="AX345" s="93"/>
      <c r="AY345" s="93"/>
      <c r="AZ345" s="93"/>
      <c r="BA345" s="93"/>
      <c r="BB345" s="638"/>
      <c r="BC345" s="638"/>
      <c r="BD345" s="638"/>
    </row>
    <row r="346" customFormat="false" ht="15.75" hidden="false" customHeight="false" outlineLevel="0" collapsed="false">
      <c r="A346" s="663" t="s">
        <v>1890</v>
      </c>
      <c r="B346" s="663"/>
      <c r="C346" s="663"/>
      <c r="D346" s="624" t="s">
        <v>803</v>
      </c>
      <c r="E346" s="662" t="s">
        <v>1807</v>
      </c>
      <c r="F346" s="582" t="n">
        <v>5</v>
      </c>
      <c r="G346" s="582" t="n">
        <v>130</v>
      </c>
      <c r="H346" s="592" t="n">
        <v>0.9</v>
      </c>
      <c r="I346" s="595"/>
      <c r="J346" s="44"/>
      <c r="K346" s="44"/>
      <c r="L346" s="44"/>
      <c r="M346" s="44"/>
      <c r="N346" s="44"/>
      <c r="O346" s="44"/>
      <c r="P346" s="661"/>
      <c r="Q346" s="595"/>
      <c r="R346" s="93"/>
      <c r="S346" s="44"/>
      <c r="T346" s="664"/>
      <c r="U346" s="44"/>
      <c r="V346" s="93"/>
      <c r="W346" s="93"/>
      <c r="X346" s="616"/>
      <c r="Y346" s="93"/>
      <c r="Z346" s="93"/>
      <c r="AA346" s="93"/>
      <c r="AB346" s="616"/>
      <c r="AC346" s="93"/>
      <c r="AD346" s="93"/>
      <c r="AE346" s="93"/>
      <c r="AF346" s="616"/>
      <c r="AG346" s="93"/>
      <c r="AH346" s="93"/>
      <c r="AI346" s="93"/>
      <c r="AJ346" s="616"/>
      <c r="AK346" s="93"/>
      <c r="AL346" s="93"/>
      <c r="AM346" s="93"/>
      <c r="AN346" s="616"/>
      <c r="AO346" s="93"/>
      <c r="AP346" s="93"/>
      <c r="AQ346" s="93"/>
      <c r="AR346" s="616"/>
      <c r="AS346" s="93"/>
      <c r="AT346" s="93"/>
      <c r="AU346" s="93"/>
      <c r="AV346" s="616"/>
      <c r="AW346" s="93"/>
      <c r="AX346" s="93"/>
      <c r="AY346" s="93"/>
      <c r="AZ346" s="93"/>
      <c r="BA346" s="93"/>
      <c r="BB346" s="638"/>
      <c r="BC346" s="638"/>
      <c r="BD346" s="638"/>
    </row>
    <row r="347" customFormat="false" ht="15.75" hidden="false" customHeight="false" outlineLevel="0" collapsed="false">
      <c r="A347" s="663" t="s">
        <v>1891</v>
      </c>
      <c r="B347" s="663"/>
      <c r="C347" s="663"/>
      <c r="D347" s="624" t="s">
        <v>803</v>
      </c>
      <c r="E347" s="662" t="s">
        <v>1807</v>
      </c>
      <c r="F347" s="582" t="n">
        <v>10</v>
      </c>
      <c r="G347" s="582" t="n">
        <v>65</v>
      </c>
      <c r="H347" s="592" t="n">
        <v>0.9</v>
      </c>
      <c r="I347" s="595"/>
      <c r="J347" s="44"/>
      <c r="K347" s="44"/>
      <c r="L347" s="44"/>
      <c r="M347" s="44"/>
      <c r="N347" s="44"/>
      <c r="O347" s="44"/>
      <c r="P347" s="44"/>
      <c r="Q347" s="595"/>
      <c r="R347" s="93"/>
      <c r="S347" s="44"/>
      <c r="T347" s="664"/>
      <c r="U347" s="44"/>
      <c r="V347" s="93"/>
      <c r="W347" s="93"/>
      <c r="X347" s="616"/>
      <c r="Y347" s="93"/>
      <c r="Z347" s="93"/>
      <c r="AA347" s="93"/>
      <c r="AB347" s="616"/>
      <c r="AC347" s="93"/>
      <c r="AD347" s="93"/>
      <c r="AE347" s="93"/>
      <c r="AF347" s="616"/>
      <c r="AG347" s="93"/>
      <c r="AH347" s="93"/>
      <c r="AI347" s="93"/>
      <c r="AJ347" s="616"/>
      <c r="AK347" s="93"/>
      <c r="AL347" s="93"/>
      <c r="AM347" s="93"/>
      <c r="AN347" s="616"/>
      <c r="AO347" s="93"/>
      <c r="AP347" s="93"/>
      <c r="AQ347" s="93"/>
      <c r="AR347" s="616"/>
      <c r="AS347" s="93"/>
      <c r="AT347" s="93"/>
      <c r="AU347" s="93"/>
      <c r="AV347" s="616"/>
      <c r="AW347" s="93"/>
      <c r="AX347" s="93"/>
      <c r="AY347" s="93"/>
      <c r="AZ347" s="93"/>
      <c r="BA347" s="93"/>
      <c r="BB347" s="638"/>
      <c r="BC347" s="638"/>
      <c r="BD347" s="638"/>
    </row>
    <row r="348" customFormat="false" ht="15.75" hidden="false" customHeight="false" outlineLevel="0" collapsed="false">
      <c r="A348" s="663" t="s">
        <v>1892</v>
      </c>
      <c r="B348" s="663"/>
      <c r="C348" s="663"/>
      <c r="D348" s="635" t="s">
        <v>798</v>
      </c>
      <c r="E348" s="662" t="s">
        <v>1807</v>
      </c>
      <c r="F348" s="582" t="n">
        <v>5</v>
      </c>
      <c r="G348" s="582" t="n">
        <v>140</v>
      </c>
      <c r="H348" s="592" t="n">
        <v>0.9</v>
      </c>
      <c r="I348" s="595"/>
      <c r="J348" s="44"/>
      <c r="K348" s="44"/>
      <c r="L348" s="44"/>
      <c r="M348" s="44"/>
      <c r="N348" s="44"/>
      <c r="O348" s="44"/>
      <c r="P348" s="44"/>
      <c r="Q348" s="595"/>
      <c r="R348" s="93"/>
      <c r="S348" s="44"/>
      <c r="T348" s="664"/>
      <c r="U348" s="44"/>
      <c r="V348" s="93"/>
      <c r="W348" s="93"/>
      <c r="X348" s="616"/>
      <c r="Y348" s="93"/>
      <c r="Z348" s="93"/>
      <c r="AA348" s="93"/>
      <c r="AB348" s="616"/>
      <c r="AC348" s="93"/>
      <c r="AD348" s="93"/>
      <c r="AE348" s="93"/>
      <c r="AF348" s="616"/>
      <c r="AG348" s="93"/>
      <c r="AH348" s="93"/>
      <c r="AI348" s="93"/>
      <c r="AJ348" s="616"/>
      <c r="AK348" s="93"/>
      <c r="AL348" s="93"/>
      <c r="AM348" s="93"/>
      <c r="AN348" s="616"/>
      <c r="AO348" s="93"/>
      <c r="AP348" s="93"/>
      <c r="AQ348" s="93"/>
      <c r="AR348" s="616"/>
      <c r="AS348" s="93"/>
      <c r="AT348" s="93"/>
      <c r="AU348" s="93"/>
      <c r="AV348" s="616"/>
      <c r="AW348" s="93"/>
      <c r="AX348" s="93"/>
      <c r="AY348" s="93"/>
      <c r="AZ348" s="93"/>
      <c r="BA348" s="93"/>
      <c r="BB348" s="638"/>
      <c r="BC348" s="638"/>
      <c r="BD348" s="638"/>
    </row>
    <row r="349" customFormat="false" ht="15.75" hidden="false" customHeight="false" outlineLevel="0" collapsed="false">
      <c r="A349" s="663" t="s">
        <v>1893</v>
      </c>
      <c r="B349" s="663"/>
      <c r="C349" s="663"/>
      <c r="D349" s="639" t="s">
        <v>828</v>
      </c>
      <c r="E349" s="662" t="s">
        <v>1807</v>
      </c>
      <c r="F349" s="582" t="n">
        <v>5</v>
      </c>
      <c r="G349" s="582" t="n">
        <v>70</v>
      </c>
      <c r="H349" s="592" t="n">
        <v>1</v>
      </c>
      <c r="I349" s="595"/>
      <c r="J349" s="44"/>
      <c r="K349" s="44"/>
      <c r="L349" s="44"/>
      <c r="M349" s="44"/>
      <c r="N349" s="44"/>
      <c r="O349" s="44"/>
      <c r="P349" s="661"/>
      <c r="Q349" s="595"/>
      <c r="R349" s="93"/>
      <c r="S349" s="44"/>
      <c r="T349" s="664"/>
      <c r="U349" s="44"/>
      <c r="V349" s="93"/>
      <c r="W349" s="93"/>
      <c r="X349" s="616"/>
      <c r="Y349" s="93"/>
      <c r="Z349" s="93"/>
      <c r="AA349" s="93"/>
      <c r="AB349" s="616"/>
      <c r="AC349" s="93"/>
      <c r="AD349" s="93"/>
      <c r="AE349" s="93"/>
      <c r="AF349" s="616"/>
      <c r="AG349" s="93"/>
      <c r="AH349" s="93"/>
      <c r="AI349" s="93"/>
      <c r="AJ349" s="616"/>
      <c r="AK349" s="93"/>
      <c r="AL349" s="93"/>
      <c r="AM349" s="93"/>
      <c r="AN349" s="616"/>
      <c r="AO349" s="93"/>
      <c r="AP349" s="93"/>
      <c r="AQ349" s="93"/>
      <c r="AR349" s="616"/>
      <c r="AS349" s="93"/>
      <c r="AT349" s="93"/>
      <c r="AU349" s="93"/>
      <c r="AV349" s="616"/>
      <c r="AW349" s="93"/>
      <c r="AX349" s="93"/>
      <c r="AY349" s="93"/>
      <c r="AZ349" s="93"/>
      <c r="BA349" s="93"/>
      <c r="BB349" s="638"/>
      <c r="BC349" s="638"/>
      <c r="BD349" s="638"/>
    </row>
    <row r="350" customFormat="false" ht="15.75" hidden="false" customHeight="false" outlineLevel="0" collapsed="false">
      <c r="A350" s="663" t="s">
        <v>1894</v>
      </c>
      <c r="B350" s="663"/>
      <c r="C350" s="663"/>
      <c r="D350" s="624" t="s">
        <v>803</v>
      </c>
      <c r="E350" s="662" t="s">
        <v>1807</v>
      </c>
      <c r="F350" s="582" t="n">
        <v>20</v>
      </c>
      <c r="G350" s="582" t="n">
        <v>60</v>
      </c>
      <c r="H350" s="583" t="s">
        <v>1120</v>
      </c>
      <c r="I350" s="595"/>
      <c r="J350" s="44"/>
      <c r="K350" s="44"/>
      <c r="L350" s="44"/>
      <c r="M350" s="44"/>
      <c r="N350" s="44"/>
      <c r="O350" s="44"/>
      <c r="P350" s="661"/>
      <c r="Q350" s="595"/>
      <c r="R350" s="93"/>
      <c r="S350" s="44"/>
      <c r="T350" s="664"/>
      <c r="U350" s="44"/>
      <c r="V350" s="93"/>
      <c r="W350" s="93"/>
      <c r="X350" s="616"/>
      <c r="Y350" s="93"/>
      <c r="Z350" s="93"/>
      <c r="AA350" s="93"/>
      <c r="AB350" s="616"/>
      <c r="AC350" s="93"/>
      <c r="AD350" s="93"/>
      <c r="AE350" s="93"/>
      <c r="AF350" s="616"/>
      <c r="AG350" s="93"/>
      <c r="AH350" s="93"/>
      <c r="AI350" s="93"/>
      <c r="AJ350" s="616"/>
      <c r="AK350" s="93"/>
      <c r="AL350" s="93"/>
      <c r="AM350" s="93"/>
      <c r="AN350" s="616"/>
      <c r="AO350" s="93"/>
      <c r="AP350" s="93"/>
      <c r="AQ350" s="93"/>
      <c r="AR350" s="616"/>
      <c r="AS350" s="93"/>
      <c r="AT350" s="93"/>
      <c r="AU350" s="93"/>
      <c r="AV350" s="616"/>
      <c r="AW350" s="93"/>
      <c r="AX350" s="93"/>
      <c r="AY350" s="93"/>
      <c r="AZ350" s="93"/>
      <c r="BA350" s="93"/>
      <c r="BB350" s="638"/>
      <c r="BC350" s="638"/>
      <c r="BD350" s="638"/>
    </row>
    <row r="351" customFormat="false" ht="15.75" hidden="false" customHeight="false" outlineLevel="0" collapsed="false">
      <c r="A351" s="663" t="s">
        <v>1895</v>
      </c>
      <c r="B351" s="663"/>
      <c r="C351" s="663"/>
      <c r="D351" s="618" t="s">
        <v>800</v>
      </c>
      <c r="E351" s="662" t="s">
        <v>1807</v>
      </c>
      <c r="F351" s="582" t="n">
        <v>5</v>
      </c>
      <c r="G351" s="582" t="n">
        <v>100</v>
      </c>
      <c r="H351" s="592" t="n">
        <v>0.75</v>
      </c>
      <c r="I351" s="595"/>
      <c r="J351" s="44"/>
      <c r="K351" s="44"/>
      <c r="L351" s="44"/>
      <c r="M351" s="44"/>
      <c r="N351" s="44"/>
      <c r="O351" s="44"/>
      <c r="P351" s="661"/>
      <c r="Q351" s="595"/>
      <c r="R351" s="93"/>
      <c r="S351" s="44"/>
      <c r="T351" s="664"/>
      <c r="U351" s="44"/>
      <c r="V351" s="93"/>
      <c r="W351" s="93"/>
      <c r="X351" s="616"/>
      <c r="Y351" s="93"/>
      <c r="Z351" s="93"/>
      <c r="AA351" s="93"/>
      <c r="AB351" s="616"/>
      <c r="AC351" s="93"/>
      <c r="AD351" s="93"/>
      <c r="AE351" s="93"/>
      <c r="AF351" s="616"/>
      <c r="AG351" s="93"/>
      <c r="AH351" s="93"/>
      <c r="AI351" s="93"/>
      <c r="AJ351" s="616"/>
      <c r="AK351" s="93"/>
      <c r="AL351" s="93"/>
      <c r="AM351" s="93"/>
      <c r="AN351" s="616"/>
      <c r="AO351" s="93"/>
      <c r="AP351" s="93"/>
      <c r="AQ351" s="93"/>
      <c r="AR351" s="616"/>
      <c r="AS351" s="93"/>
      <c r="AT351" s="93"/>
      <c r="AU351" s="93"/>
      <c r="AV351" s="616"/>
      <c r="AW351" s="93"/>
      <c r="AX351" s="93"/>
      <c r="AY351" s="93"/>
      <c r="AZ351" s="93"/>
      <c r="BA351" s="93"/>
      <c r="BB351" s="638"/>
      <c r="BC351" s="638"/>
      <c r="BD351" s="638"/>
    </row>
    <row r="352" customFormat="false" ht="15.75" hidden="false" customHeight="false" outlineLevel="0" collapsed="false">
      <c r="A352" s="663" t="s">
        <v>1896</v>
      </c>
      <c r="B352" s="663"/>
      <c r="C352" s="663"/>
      <c r="D352" s="624" t="s">
        <v>803</v>
      </c>
      <c r="E352" s="662" t="s">
        <v>1807</v>
      </c>
      <c r="F352" s="582" t="n">
        <v>15</v>
      </c>
      <c r="G352" s="582" t="n">
        <v>40</v>
      </c>
      <c r="H352" s="592" t="n">
        <v>1</v>
      </c>
      <c r="I352" s="595"/>
      <c r="J352" s="44"/>
      <c r="K352" s="44"/>
      <c r="L352" s="44"/>
      <c r="M352" s="44"/>
      <c r="N352" s="44"/>
      <c r="O352" s="44"/>
      <c r="P352" s="661"/>
      <c r="Q352" s="595"/>
      <c r="R352" s="93"/>
      <c r="S352" s="44"/>
      <c r="T352" s="664"/>
      <c r="U352" s="44"/>
      <c r="V352" s="93"/>
      <c r="W352" s="93"/>
      <c r="X352" s="616"/>
      <c r="Y352" s="93"/>
      <c r="Z352" s="93"/>
      <c r="AA352" s="93"/>
      <c r="AB352" s="616"/>
      <c r="AC352" s="93"/>
      <c r="AD352" s="93"/>
      <c r="AE352" s="93"/>
      <c r="AF352" s="616"/>
      <c r="AG352" s="93"/>
      <c r="AH352" s="93"/>
      <c r="AI352" s="93"/>
      <c r="AJ352" s="616"/>
      <c r="AK352" s="93"/>
      <c r="AL352" s="93"/>
      <c r="AM352" s="93"/>
      <c r="AN352" s="616"/>
      <c r="AO352" s="93"/>
      <c r="AP352" s="93"/>
      <c r="AQ352" s="93"/>
      <c r="AR352" s="616"/>
      <c r="AS352" s="93"/>
      <c r="AT352" s="93"/>
      <c r="AU352" s="93"/>
      <c r="AV352" s="616"/>
      <c r="AW352" s="93"/>
      <c r="AX352" s="93"/>
      <c r="AY352" s="93"/>
      <c r="AZ352" s="93"/>
      <c r="BA352" s="93"/>
      <c r="BB352" s="638"/>
      <c r="BC352" s="638"/>
      <c r="BD352" s="638"/>
    </row>
    <row r="353" customFormat="false" ht="15.75" hidden="false" customHeight="false" outlineLevel="0" collapsed="false">
      <c r="A353" s="663" t="s">
        <v>1897</v>
      </c>
      <c r="B353" s="663"/>
      <c r="C353" s="663"/>
      <c r="D353" s="639" t="s">
        <v>828</v>
      </c>
      <c r="E353" s="662" t="s">
        <v>1807</v>
      </c>
      <c r="F353" s="582" t="n">
        <v>20</v>
      </c>
      <c r="G353" s="582" t="s">
        <v>1191</v>
      </c>
      <c r="H353" s="592" t="n">
        <v>1</v>
      </c>
      <c r="I353" s="595"/>
      <c r="J353" s="44"/>
      <c r="K353" s="44"/>
      <c r="L353" s="44"/>
      <c r="M353" s="44"/>
      <c r="N353" s="44"/>
      <c r="O353" s="44"/>
      <c r="P353" s="661"/>
      <c r="Q353" s="595"/>
      <c r="R353" s="93"/>
      <c r="S353" s="44"/>
      <c r="T353" s="664"/>
      <c r="U353" s="44"/>
      <c r="V353" s="93"/>
      <c r="W353" s="93"/>
      <c r="X353" s="616"/>
      <c r="Y353" s="93"/>
      <c r="Z353" s="93"/>
      <c r="AA353" s="93"/>
      <c r="AB353" s="616"/>
      <c r="AC353" s="93"/>
      <c r="AD353" s="93"/>
      <c r="AE353" s="93"/>
      <c r="AF353" s="616"/>
      <c r="AG353" s="93"/>
      <c r="AH353" s="93"/>
      <c r="AI353" s="93"/>
      <c r="AJ353" s="616"/>
      <c r="AK353" s="93"/>
      <c r="AL353" s="93"/>
      <c r="AM353" s="93"/>
      <c r="AN353" s="616"/>
      <c r="AO353" s="93"/>
      <c r="AP353" s="93"/>
      <c r="AQ353" s="93"/>
      <c r="AR353" s="616"/>
      <c r="AS353" s="93"/>
      <c r="AT353" s="93"/>
      <c r="AU353" s="93"/>
      <c r="AV353" s="616"/>
      <c r="AW353" s="93"/>
      <c r="AX353" s="93"/>
      <c r="AY353" s="93"/>
      <c r="AZ353" s="93"/>
      <c r="BA353" s="93"/>
      <c r="BB353" s="638"/>
      <c r="BC353" s="638"/>
      <c r="BD353" s="638"/>
    </row>
    <row r="354" customFormat="false" ht="15.75" hidden="false" customHeight="false" outlineLevel="0" collapsed="false">
      <c r="A354" s="663" t="s">
        <v>1898</v>
      </c>
      <c r="B354" s="663"/>
      <c r="C354" s="663"/>
      <c r="D354" s="597" t="s">
        <v>810</v>
      </c>
      <c r="E354" s="662" t="s">
        <v>1807</v>
      </c>
      <c r="F354" s="582" t="n">
        <v>10</v>
      </c>
      <c r="G354" s="582" t="n">
        <v>65</v>
      </c>
      <c r="H354" s="592" t="n">
        <v>0.85</v>
      </c>
      <c r="I354" s="595"/>
      <c r="J354" s="44"/>
      <c r="K354" s="44"/>
      <c r="L354" s="44"/>
      <c r="M354" s="44"/>
      <c r="N354" s="44"/>
      <c r="O354" s="44"/>
      <c r="P354" s="661"/>
      <c r="Q354" s="595"/>
      <c r="R354" s="93"/>
      <c r="S354" s="44"/>
      <c r="T354" s="664"/>
      <c r="U354" s="44"/>
      <c r="V354" s="93"/>
      <c r="W354" s="93"/>
      <c r="X354" s="616"/>
      <c r="Y354" s="93"/>
      <c r="Z354" s="93"/>
      <c r="AA354" s="93"/>
      <c r="AB354" s="616"/>
      <c r="AC354" s="93"/>
      <c r="AD354" s="93"/>
      <c r="AE354" s="93"/>
      <c r="AF354" s="616"/>
      <c r="AG354" s="93"/>
      <c r="AH354" s="93"/>
      <c r="AI354" s="93"/>
      <c r="AJ354" s="616"/>
      <c r="AK354" s="93"/>
      <c r="AL354" s="93"/>
      <c r="AM354" s="93"/>
      <c r="AN354" s="616"/>
      <c r="AO354" s="93"/>
      <c r="AP354" s="93"/>
      <c r="AQ354" s="93"/>
      <c r="AR354" s="616"/>
      <c r="AS354" s="93"/>
      <c r="AT354" s="93"/>
      <c r="AU354" s="93"/>
      <c r="AV354" s="616"/>
      <c r="AW354" s="93"/>
      <c r="AX354" s="93"/>
      <c r="AY354" s="93"/>
      <c r="AZ354" s="93"/>
      <c r="BA354" s="93"/>
      <c r="BB354" s="638"/>
      <c r="BC354" s="638"/>
      <c r="BD354" s="638"/>
    </row>
    <row r="355" customFormat="false" ht="15.75" hidden="false" customHeight="false" outlineLevel="0" collapsed="false">
      <c r="A355" s="663" t="s">
        <v>1899</v>
      </c>
      <c r="B355" s="663"/>
      <c r="C355" s="663"/>
      <c r="D355" s="639" t="s">
        <v>828</v>
      </c>
      <c r="E355" s="662" t="s">
        <v>1807</v>
      </c>
      <c r="F355" s="582" t="n">
        <v>5</v>
      </c>
      <c r="G355" s="582" t="n">
        <v>70</v>
      </c>
      <c r="H355" s="592" t="n">
        <v>1</v>
      </c>
      <c r="I355" s="595"/>
      <c r="J355" s="44"/>
      <c r="K355" s="44"/>
      <c r="L355" s="44"/>
      <c r="M355" s="44"/>
      <c r="N355" s="44"/>
      <c r="O355" s="44"/>
      <c r="P355" s="44"/>
      <c r="Q355" s="595"/>
      <c r="R355" s="93"/>
      <c r="S355" s="44"/>
      <c r="T355" s="664"/>
      <c r="U355" s="44"/>
      <c r="V355" s="93"/>
      <c r="W355" s="93"/>
      <c r="X355" s="616"/>
      <c r="Y355" s="93"/>
      <c r="Z355" s="93"/>
      <c r="AA355" s="93"/>
      <c r="AB355" s="616"/>
      <c r="AC355" s="93"/>
      <c r="AD355" s="93"/>
      <c r="AE355" s="93"/>
      <c r="AF355" s="616"/>
      <c r="AG355" s="93"/>
      <c r="AH355" s="93"/>
      <c r="AI355" s="93"/>
      <c r="AJ355" s="616"/>
      <c r="AK355" s="93"/>
      <c r="AL355" s="93"/>
      <c r="AM355" s="93"/>
      <c r="AN355" s="616"/>
      <c r="AO355" s="93"/>
      <c r="AP355" s="93"/>
      <c r="AQ355" s="93"/>
      <c r="AR355" s="616"/>
      <c r="AS355" s="93"/>
      <c r="AT355" s="93"/>
      <c r="AU355" s="93"/>
      <c r="AV355" s="616"/>
      <c r="AW355" s="93"/>
      <c r="AX355" s="93"/>
      <c r="AY355" s="93"/>
      <c r="AZ355" s="93"/>
      <c r="BA355" s="93"/>
      <c r="BB355" s="638"/>
      <c r="BC355" s="638"/>
      <c r="BD355" s="638"/>
    </row>
    <row r="356" customFormat="false" ht="15.75" hidden="false" customHeight="false" outlineLevel="0" collapsed="false">
      <c r="A356" s="663" t="s">
        <v>1900</v>
      </c>
      <c r="B356" s="663"/>
      <c r="C356" s="663"/>
      <c r="D356" s="635" t="s">
        <v>798</v>
      </c>
      <c r="E356" s="662" t="s">
        <v>1807</v>
      </c>
      <c r="F356" s="582" t="n">
        <v>15</v>
      </c>
      <c r="G356" s="582" t="n">
        <v>95</v>
      </c>
      <c r="H356" s="592" t="n">
        <v>1</v>
      </c>
      <c r="I356" s="595"/>
      <c r="J356" s="44"/>
      <c r="K356" s="44"/>
      <c r="L356" s="44"/>
      <c r="M356" s="44"/>
      <c r="N356" s="44"/>
      <c r="O356" s="44"/>
      <c r="P356" s="661"/>
      <c r="Q356" s="595"/>
      <c r="R356" s="93"/>
      <c r="S356" s="44"/>
      <c r="T356" s="664"/>
      <c r="U356" s="44"/>
      <c r="V356" s="93"/>
      <c r="W356" s="93"/>
      <c r="X356" s="616"/>
      <c r="Y356" s="93"/>
      <c r="Z356" s="93"/>
      <c r="AA356" s="93"/>
      <c r="AB356" s="616"/>
      <c r="AC356" s="93"/>
      <c r="AD356" s="93"/>
      <c r="AE356" s="93"/>
      <c r="AF356" s="616"/>
      <c r="AG356" s="93"/>
      <c r="AH356" s="93"/>
      <c r="AI356" s="93"/>
      <c r="AJ356" s="616"/>
      <c r="AK356" s="93"/>
      <c r="AL356" s="93"/>
      <c r="AM356" s="93"/>
      <c r="AN356" s="616"/>
      <c r="AO356" s="93"/>
      <c r="AP356" s="93"/>
      <c r="AQ356" s="93"/>
      <c r="AR356" s="616"/>
      <c r="AS356" s="93"/>
      <c r="AT356" s="93"/>
      <c r="AU356" s="93"/>
      <c r="AV356" s="616"/>
      <c r="AW356" s="93"/>
      <c r="AX356" s="93"/>
      <c r="AY356" s="93"/>
      <c r="AZ356" s="93"/>
      <c r="BA356" s="93"/>
      <c r="BB356" s="638"/>
      <c r="BC356" s="638"/>
      <c r="BD356" s="638"/>
    </row>
    <row r="357" customFormat="false" ht="15.75" hidden="false" customHeight="false" outlineLevel="0" collapsed="false">
      <c r="A357" s="663" t="s">
        <v>1901</v>
      </c>
      <c r="B357" s="663"/>
      <c r="C357" s="663"/>
      <c r="D357" s="605" t="s">
        <v>802</v>
      </c>
      <c r="E357" s="662" t="s">
        <v>1807</v>
      </c>
      <c r="F357" s="582" t="n">
        <v>5</v>
      </c>
      <c r="G357" s="582" t="n">
        <v>100</v>
      </c>
      <c r="H357" s="592" t="n">
        <v>1</v>
      </c>
      <c r="I357" s="595"/>
      <c r="J357" s="44"/>
      <c r="K357" s="44"/>
      <c r="L357" s="44"/>
      <c r="M357" s="44"/>
      <c r="N357" s="44"/>
      <c r="O357" s="44"/>
      <c r="P357" s="44"/>
      <c r="Q357" s="595"/>
      <c r="R357" s="93"/>
      <c r="S357" s="44"/>
      <c r="T357" s="664"/>
      <c r="U357" s="44"/>
      <c r="V357" s="93"/>
      <c r="W357" s="93"/>
      <c r="X357" s="616"/>
      <c r="Y357" s="93"/>
      <c r="Z357" s="93"/>
      <c r="AA357" s="93"/>
      <c r="AB357" s="616"/>
      <c r="AC357" s="93"/>
      <c r="AD357" s="93"/>
      <c r="AE357" s="93"/>
      <c r="AF357" s="616"/>
      <c r="AG357" s="93"/>
      <c r="AH357" s="93"/>
      <c r="AI357" s="93"/>
      <c r="AJ357" s="616"/>
      <c r="AK357" s="93"/>
      <c r="AL357" s="93"/>
      <c r="AM357" s="93"/>
      <c r="AN357" s="616"/>
      <c r="AO357" s="93"/>
      <c r="AP357" s="93"/>
      <c r="AQ357" s="93"/>
      <c r="AR357" s="616"/>
      <c r="AS357" s="93"/>
      <c r="AT357" s="93"/>
      <c r="AU357" s="93"/>
      <c r="AV357" s="616"/>
      <c r="AW357" s="93"/>
      <c r="AX357" s="93"/>
      <c r="AY357" s="93"/>
      <c r="AZ357" s="93"/>
      <c r="BA357" s="93"/>
      <c r="BB357" s="638"/>
      <c r="BC357" s="638"/>
      <c r="BD357" s="638"/>
    </row>
    <row r="358" customFormat="false" ht="15.75" hidden="false" customHeight="false" outlineLevel="0" collapsed="false">
      <c r="A358" s="663" t="s">
        <v>1902</v>
      </c>
      <c r="B358" s="663"/>
      <c r="C358" s="663"/>
      <c r="D358" s="620" t="s">
        <v>907</v>
      </c>
      <c r="E358" s="662" t="s">
        <v>1807</v>
      </c>
      <c r="F358" s="582" t="n">
        <v>10</v>
      </c>
      <c r="G358" s="582" t="n">
        <v>65</v>
      </c>
      <c r="H358" s="592" t="n">
        <v>0.85</v>
      </c>
      <c r="I358" s="595"/>
      <c r="J358" s="44"/>
      <c r="K358" s="44"/>
      <c r="L358" s="44"/>
      <c r="M358" s="44"/>
      <c r="N358" s="44"/>
      <c r="O358" s="44"/>
      <c r="P358" s="661"/>
      <c r="Q358" s="595"/>
      <c r="R358" s="93"/>
      <c r="S358" s="44"/>
      <c r="T358" s="664"/>
      <c r="U358" s="44"/>
      <c r="V358" s="93"/>
      <c r="W358" s="93"/>
      <c r="X358" s="616"/>
      <c r="Y358" s="93"/>
      <c r="Z358" s="93"/>
      <c r="AA358" s="93"/>
      <c r="AB358" s="616"/>
      <c r="AC358" s="93"/>
      <c r="AD358" s="93"/>
      <c r="AE358" s="93"/>
      <c r="AF358" s="616"/>
      <c r="AG358" s="93"/>
      <c r="AH358" s="93"/>
      <c r="AI358" s="93"/>
      <c r="AJ358" s="616"/>
      <c r="AK358" s="93"/>
      <c r="AL358" s="93"/>
      <c r="AM358" s="93"/>
      <c r="AN358" s="616"/>
      <c r="AO358" s="93"/>
      <c r="AP358" s="93"/>
      <c r="AQ358" s="93"/>
      <c r="AR358" s="616"/>
      <c r="AS358" s="93"/>
      <c r="AT358" s="93"/>
      <c r="AU358" s="93"/>
      <c r="AV358" s="616"/>
      <c r="AW358" s="93"/>
      <c r="AX358" s="93"/>
      <c r="AY358" s="93"/>
      <c r="AZ358" s="93"/>
      <c r="BA358" s="93"/>
      <c r="BB358" s="638"/>
      <c r="BC358" s="638"/>
      <c r="BD358" s="638"/>
    </row>
    <row r="359" customFormat="false" ht="15.75" hidden="false" customHeight="false" outlineLevel="0" collapsed="false">
      <c r="A359" s="663" t="s">
        <v>1903</v>
      </c>
      <c r="B359" s="663"/>
      <c r="C359" s="663"/>
      <c r="D359" s="620" t="s">
        <v>907</v>
      </c>
      <c r="E359" s="662" t="s">
        <v>1807</v>
      </c>
      <c r="F359" s="582" t="n">
        <v>15</v>
      </c>
      <c r="G359" s="582" t="n">
        <v>55</v>
      </c>
      <c r="H359" s="592" t="n">
        <v>0.95</v>
      </c>
      <c r="I359" s="595"/>
      <c r="J359" s="44"/>
      <c r="K359" s="44"/>
      <c r="L359" s="44"/>
      <c r="M359" s="44"/>
      <c r="N359" s="44"/>
      <c r="O359" s="44"/>
      <c r="P359" s="661"/>
      <c r="Q359" s="595"/>
      <c r="R359" s="93"/>
      <c r="S359" s="44"/>
      <c r="T359" s="664"/>
      <c r="U359" s="44"/>
      <c r="V359" s="93"/>
      <c r="W359" s="93"/>
      <c r="X359" s="616"/>
      <c r="Y359" s="93"/>
      <c r="Z359" s="93"/>
      <c r="AA359" s="93"/>
      <c r="AB359" s="616"/>
      <c r="AC359" s="93"/>
      <c r="AD359" s="93"/>
      <c r="AE359" s="93"/>
      <c r="AF359" s="616"/>
      <c r="AG359" s="93"/>
      <c r="AH359" s="93"/>
      <c r="AI359" s="93"/>
      <c r="AJ359" s="616"/>
      <c r="AK359" s="93"/>
      <c r="AL359" s="93"/>
      <c r="AM359" s="93"/>
      <c r="AN359" s="616"/>
      <c r="AO359" s="93"/>
      <c r="AP359" s="93"/>
      <c r="AQ359" s="93"/>
      <c r="AR359" s="616"/>
      <c r="AS359" s="93"/>
      <c r="AT359" s="93"/>
      <c r="AU359" s="93"/>
      <c r="AV359" s="616"/>
      <c r="AW359" s="93"/>
      <c r="AX359" s="93"/>
      <c r="AY359" s="93"/>
      <c r="AZ359" s="93"/>
      <c r="BA359" s="93"/>
      <c r="BB359" s="638"/>
      <c r="BC359" s="638"/>
      <c r="BD359" s="638"/>
    </row>
    <row r="360" customFormat="false" ht="15.75" hidden="false" customHeight="false" outlineLevel="0" collapsed="false">
      <c r="A360" s="663" t="s">
        <v>1904</v>
      </c>
      <c r="B360" s="663"/>
      <c r="C360" s="663"/>
      <c r="D360" s="620" t="s">
        <v>907</v>
      </c>
      <c r="E360" s="662" t="s">
        <v>1807</v>
      </c>
      <c r="F360" s="582" t="n">
        <v>10</v>
      </c>
      <c r="G360" s="582" t="n">
        <v>20</v>
      </c>
      <c r="H360" s="592" t="n">
        <v>1</v>
      </c>
      <c r="I360" s="595"/>
      <c r="J360" s="44"/>
      <c r="K360" s="44"/>
      <c r="L360" s="44"/>
      <c r="M360" s="44"/>
      <c r="N360" s="44"/>
      <c r="O360" s="44"/>
      <c r="P360" s="661"/>
      <c r="Q360" s="595"/>
      <c r="R360" s="93"/>
      <c r="S360" s="44"/>
      <c r="T360" s="664"/>
      <c r="U360" s="44"/>
      <c r="V360" s="93"/>
      <c r="W360" s="93"/>
      <c r="X360" s="616"/>
      <c r="Y360" s="93"/>
      <c r="Z360" s="93"/>
      <c r="AA360" s="93"/>
      <c r="AB360" s="616"/>
      <c r="AC360" s="93"/>
      <c r="AD360" s="93"/>
      <c r="AE360" s="93"/>
      <c r="AF360" s="616"/>
      <c r="AG360" s="93"/>
      <c r="AH360" s="93"/>
      <c r="AI360" s="93"/>
      <c r="AJ360" s="616"/>
      <c r="AK360" s="93"/>
      <c r="AL360" s="93"/>
      <c r="AM360" s="93"/>
      <c r="AN360" s="616"/>
      <c r="AO360" s="93"/>
      <c r="AP360" s="93"/>
      <c r="AQ360" s="93"/>
      <c r="AR360" s="616"/>
      <c r="AS360" s="93"/>
      <c r="AT360" s="93"/>
      <c r="AU360" s="93"/>
      <c r="AV360" s="616"/>
      <c r="AW360" s="93"/>
      <c r="AX360" s="93"/>
      <c r="AY360" s="93"/>
      <c r="AZ360" s="93"/>
      <c r="BA360" s="93"/>
      <c r="BB360" s="638"/>
      <c r="BC360" s="638"/>
      <c r="BD360" s="638"/>
    </row>
    <row r="361" customFormat="false" ht="15.75" hidden="false" customHeight="false" outlineLevel="0" collapsed="false">
      <c r="A361" s="663" t="s">
        <v>1905</v>
      </c>
      <c r="B361" s="663"/>
      <c r="C361" s="663"/>
      <c r="D361" s="599" t="s">
        <v>811</v>
      </c>
      <c r="E361" s="662" t="s">
        <v>1807</v>
      </c>
      <c r="F361" s="582" t="n">
        <v>10</v>
      </c>
      <c r="G361" s="582" t="n">
        <v>90</v>
      </c>
      <c r="H361" s="592" t="n">
        <v>0.85</v>
      </c>
      <c r="I361" s="595"/>
      <c r="J361" s="44"/>
      <c r="K361" s="44"/>
      <c r="L361" s="44"/>
      <c r="M361" s="44"/>
      <c r="N361" s="44"/>
      <c r="O361" s="44"/>
      <c r="P361" s="661"/>
      <c r="Q361" s="595"/>
      <c r="R361" s="93"/>
      <c r="S361" s="44"/>
      <c r="T361" s="664"/>
      <c r="U361" s="44"/>
      <c r="V361" s="93"/>
      <c r="W361" s="93"/>
      <c r="X361" s="616"/>
      <c r="Y361" s="93"/>
      <c r="Z361" s="93"/>
      <c r="AA361" s="93"/>
      <c r="AB361" s="616"/>
      <c r="AC361" s="93"/>
      <c r="AD361" s="93"/>
      <c r="AE361" s="93"/>
      <c r="AF361" s="616"/>
      <c r="AG361" s="93"/>
      <c r="AH361" s="93"/>
      <c r="AI361" s="93"/>
      <c r="AJ361" s="616"/>
      <c r="AK361" s="93"/>
      <c r="AL361" s="93"/>
      <c r="AM361" s="93"/>
      <c r="AN361" s="616"/>
      <c r="AO361" s="93"/>
      <c r="AP361" s="93"/>
      <c r="AQ361" s="93"/>
      <c r="AR361" s="616"/>
      <c r="AS361" s="93"/>
      <c r="AT361" s="93"/>
      <c r="AU361" s="93"/>
      <c r="AV361" s="616"/>
      <c r="AW361" s="93"/>
      <c r="AX361" s="93"/>
      <c r="AY361" s="93"/>
      <c r="AZ361" s="93"/>
      <c r="BA361" s="93"/>
      <c r="BB361" s="638"/>
      <c r="BC361" s="638"/>
      <c r="BD361" s="638"/>
    </row>
    <row r="362" customFormat="false" ht="15.75" hidden="false" customHeight="false" outlineLevel="0" collapsed="false">
      <c r="A362" s="663" t="s">
        <v>1906</v>
      </c>
      <c r="B362" s="663"/>
      <c r="C362" s="663"/>
      <c r="D362" s="618" t="s">
        <v>800</v>
      </c>
      <c r="E362" s="662" t="s">
        <v>1807</v>
      </c>
      <c r="F362" s="582" t="n">
        <v>10</v>
      </c>
      <c r="G362" s="582" t="n">
        <v>75</v>
      </c>
      <c r="H362" s="592" t="n">
        <v>1</v>
      </c>
      <c r="I362" s="595"/>
      <c r="J362" s="44"/>
      <c r="K362" s="44"/>
      <c r="L362" s="44"/>
      <c r="M362" s="44"/>
      <c r="N362" s="44"/>
      <c r="O362" s="44"/>
      <c r="P362" s="661"/>
      <c r="Q362" s="595"/>
      <c r="R362" s="93"/>
      <c r="S362" s="44"/>
      <c r="T362" s="664"/>
      <c r="U362" s="44"/>
      <c r="V362" s="93"/>
      <c r="W362" s="93"/>
      <c r="X362" s="616"/>
      <c r="Y362" s="93"/>
      <c r="Z362" s="93"/>
      <c r="AA362" s="93"/>
      <c r="AB362" s="616"/>
      <c r="AC362" s="93"/>
      <c r="AD362" s="93"/>
      <c r="AE362" s="93"/>
      <c r="AF362" s="616"/>
      <c r="AG362" s="93"/>
      <c r="AH362" s="93"/>
      <c r="AI362" s="93"/>
      <c r="AJ362" s="616"/>
      <c r="AK362" s="93"/>
      <c r="AL362" s="93"/>
      <c r="AM362" s="93"/>
      <c r="AN362" s="616"/>
      <c r="AO362" s="93"/>
      <c r="AP362" s="93"/>
      <c r="AQ362" s="93"/>
      <c r="AR362" s="616"/>
      <c r="AS362" s="93"/>
      <c r="AT362" s="93"/>
      <c r="AU362" s="93"/>
      <c r="AV362" s="616"/>
      <c r="AW362" s="93"/>
      <c r="AX362" s="93"/>
      <c r="AY362" s="93"/>
      <c r="AZ362" s="93"/>
      <c r="BA362" s="93"/>
      <c r="BB362" s="638"/>
      <c r="BC362" s="638"/>
      <c r="BD362" s="638"/>
    </row>
    <row r="363" customFormat="false" ht="15.75" hidden="false" customHeight="false" outlineLevel="0" collapsed="false">
      <c r="A363" s="663" t="s">
        <v>1907</v>
      </c>
      <c r="B363" s="663"/>
      <c r="C363" s="663"/>
      <c r="D363" s="610" t="s">
        <v>839</v>
      </c>
      <c r="E363" s="662" t="s">
        <v>1807</v>
      </c>
      <c r="F363" s="582" t="n">
        <v>20</v>
      </c>
      <c r="G363" s="582" t="n">
        <v>80</v>
      </c>
      <c r="H363" s="592" t="n">
        <v>1</v>
      </c>
      <c r="I363" s="595"/>
      <c r="J363" s="44"/>
      <c r="K363" s="44"/>
      <c r="L363" s="44"/>
      <c r="M363" s="44"/>
      <c r="N363" s="44"/>
      <c r="O363" s="44"/>
      <c r="P363" s="661"/>
      <c r="Q363" s="595"/>
      <c r="R363" s="93"/>
      <c r="S363" s="44"/>
      <c r="T363" s="664"/>
      <c r="U363" s="44"/>
      <c r="V363" s="93"/>
      <c r="W363" s="93"/>
      <c r="X363" s="616"/>
      <c r="Y363" s="93"/>
      <c r="Z363" s="93"/>
      <c r="AA363" s="93"/>
      <c r="AB363" s="616"/>
      <c r="AC363" s="93"/>
      <c r="AD363" s="93"/>
      <c r="AE363" s="93"/>
      <c r="AF363" s="616"/>
      <c r="AG363" s="93"/>
      <c r="AH363" s="93"/>
      <c r="AI363" s="93"/>
      <c r="AJ363" s="616"/>
      <c r="AK363" s="93"/>
      <c r="AL363" s="93"/>
      <c r="AM363" s="93"/>
      <c r="AN363" s="616"/>
      <c r="AO363" s="93"/>
      <c r="AP363" s="93"/>
      <c r="AQ363" s="93"/>
      <c r="AR363" s="616"/>
      <c r="AS363" s="93"/>
      <c r="AT363" s="93"/>
      <c r="AU363" s="93"/>
      <c r="AV363" s="616"/>
      <c r="AW363" s="93"/>
      <c r="AX363" s="93"/>
      <c r="AY363" s="93"/>
      <c r="AZ363" s="93"/>
      <c r="BA363" s="93"/>
      <c r="BB363" s="638"/>
      <c r="BC363" s="638"/>
      <c r="BD363" s="638"/>
    </row>
    <row r="364" customFormat="false" ht="15.75" hidden="false" customHeight="false" outlineLevel="0" collapsed="false">
      <c r="A364" s="663" t="s">
        <v>1908</v>
      </c>
      <c r="B364" s="663"/>
      <c r="C364" s="663"/>
      <c r="D364" s="635" t="s">
        <v>798</v>
      </c>
      <c r="E364" s="662" t="s">
        <v>1807</v>
      </c>
      <c r="F364" s="582" t="n">
        <v>10</v>
      </c>
      <c r="G364" s="582" t="s">
        <v>1769</v>
      </c>
      <c r="H364" s="592" t="n">
        <v>0.9</v>
      </c>
      <c r="I364" s="595"/>
      <c r="J364" s="44"/>
      <c r="K364" s="44"/>
      <c r="L364" s="44"/>
      <c r="M364" s="44"/>
      <c r="N364" s="44"/>
      <c r="O364" s="44"/>
      <c r="P364" s="661"/>
      <c r="Q364" s="595"/>
      <c r="R364" s="93"/>
      <c r="S364" s="44"/>
      <c r="T364" s="664"/>
      <c r="U364" s="44"/>
      <c r="V364" s="93"/>
      <c r="W364" s="93"/>
      <c r="X364" s="616"/>
      <c r="Y364" s="93"/>
      <c r="Z364" s="93"/>
      <c r="AA364" s="93"/>
      <c r="AB364" s="616"/>
      <c r="AC364" s="93"/>
      <c r="AD364" s="93"/>
      <c r="AE364" s="93"/>
      <c r="AF364" s="616"/>
      <c r="AG364" s="93"/>
      <c r="AH364" s="93"/>
      <c r="AI364" s="93"/>
      <c r="AJ364" s="616"/>
      <c r="AK364" s="93"/>
      <c r="AL364" s="93"/>
      <c r="AM364" s="93"/>
      <c r="AN364" s="616"/>
      <c r="AO364" s="93"/>
      <c r="AP364" s="93"/>
      <c r="AQ364" s="93"/>
      <c r="AR364" s="616"/>
      <c r="AS364" s="93"/>
      <c r="AT364" s="93"/>
      <c r="AU364" s="93"/>
      <c r="AV364" s="616"/>
      <c r="AW364" s="93"/>
      <c r="AX364" s="93"/>
      <c r="AY364" s="93"/>
      <c r="AZ364" s="93"/>
      <c r="BA364" s="93"/>
      <c r="BB364" s="638"/>
      <c r="BC364" s="638"/>
      <c r="BD364" s="638"/>
    </row>
    <row r="365" customFormat="false" ht="15.75" hidden="false" customHeight="false" outlineLevel="0" collapsed="false">
      <c r="A365" s="663" t="s">
        <v>1909</v>
      </c>
      <c r="B365" s="663"/>
      <c r="C365" s="663"/>
      <c r="D365" s="603" t="s">
        <v>795</v>
      </c>
      <c r="E365" s="662" t="s">
        <v>1807</v>
      </c>
      <c r="F365" s="582" t="n">
        <v>10</v>
      </c>
      <c r="G365" s="582" t="n">
        <v>85</v>
      </c>
      <c r="H365" s="592" t="n">
        <v>0.95</v>
      </c>
      <c r="I365" s="595"/>
      <c r="J365" s="44"/>
      <c r="K365" s="44"/>
      <c r="L365" s="44"/>
      <c r="M365" s="44"/>
      <c r="N365" s="44"/>
      <c r="O365" s="44"/>
      <c r="P365" s="661"/>
      <c r="Q365" s="595"/>
      <c r="R365" s="93"/>
      <c r="S365" s="44"/>
      <c r="T365" s="664"/>
      <c r="U365" s="44"/>
      <c r="V365" s="93"/>
      <c r="W365" s="93"/>
      <c r="X365" s="616"/>
      <c r="Y365" s="93"/>
      <c r="Z365" s="93"/>
      <c r="AA365" s="93"/>
      <c r="AB365" s="616"/>
      <c r="AC365" s="93"/>
      <c r="AD365" s="93"/>
      <c r="AE365" s="93"/>
      <c r="AF365" s="616"/>
      <c r="AG365" s="93"/>
      <c r="AH365" s="93"/>
      <c r="AI365" s="93"/>
      <c r="AJ365" s="616"/>
      <c r="AK365" s="93"/>
      <c r="AL365" s="93"/>
      <c r="AM365" s="93"/>
      <c r="AN365" s="616"/>
      <c r="AO365" s="93"/>
      <c r="AP365" s="93"/>
      <c r="AQ365" s="93"/>
      <c r="AR365" s="616"/>
      <c r="AS365" s="93"/>
      <c r="AT365" s="93"/>
      <c r="AU365" s="93"/>
      <c r="AV365" s="616"/>
      <c r="AW365" s="93"/>
      <c r="AX365" s="93"/>
      <c r="AY365" s="93"/>
      <c r="AZ365" s="93"/>
      <c r="BA365" s="93"/>
      <c r="BB365" s="638"/>
      <c r="BC365" s="638"/>
      <c r="BD365" s="638"/>
    </row>
    <row r="366" customFormat="false" ht="15.75" hidden="false" customHeight="false" outlineLevel="0" collapsed="false">
      <c r="A366" s="663" t="s">
        <v>1910</v>
      </c>
      <c r="B366" s="663"/>
      <c r="C366" s="663"/>
      <c r="D366" s="605" t="s">
        <v>802</v>
      </c>
      <c r="E366" s="662" t="s">
        <v>1807</v>
      </c>
      <c r="F366" s="582" t="n">
        <v>15</v>
      </c>
      <c r="G366" s="582" t="s">
        <v>1705</v>
      </c>
      <c r="H366" s="592" t="n">
        <v>1</v>
      </c>
      <c r="I366" s="595"/>
      <c r="J366" s="44"/>
      <c r="K366" s="44"/>
      <c r="L366" s="44"/>
      <c r="M366" s="44"/>
      <c r="N366" s="44"/>
      <c r="O366" s="44"/>
      <c r="P366" s="661"/>
      <c r="Q366" s="595"/>
      <c r="R366" s="93"/>
      <c r="S366" s="44"/>
      <c r="T366" s="664"/>
      <c r="U366" s="44"/>
      <c r="V366" s="93"/>
      <c r="W366" s="93"/>
      <c r="X366" s="616"/>
      <c r="Y366" s="93"/>
      <c r="Z366" s="93"/>
      <c r="AA366" s="93"/>
      <c r="AB366" s="616"/>
      <c r="AC366" s="93"/>
      <c r="AD366" s="93"/>
      <c r="AE366" s="93"/>
      <c r="AF366" s="616"/>
      <c r="AG366" s="93"/>
      <c r="AH366" s="93"/>
      <c r="AI366" s="93"/>
      <c r="AJ366" s="616"/>
      <c r="AK366" s="93"/>
      <c r="AL366" s="93"/>
      <c r="AM366" s="93"/>
      <c r="AN366" s="616"/>
      <c r="AO366" s="93"/>
      <c r="AP366" s="93"/>
      <c r="AQ366" s="93"/>
      <c r="AR366" s="616"/>
      <c r="AS366" s="93"/>
      <c r="AT366" s="93"/>
      <c r="AU366" s="93"/>
      <c r="AV366" s="616"/>
      <c r="AW366" s="93"/>
      <c r="AX366" s="93"/>
      <c r="AY366" s="93"/>
      <c r="AZ366" s="93"/>
      <c r="BA366" s="93"/>
      <c r="BB366" s="638"/>
      <c r="BC366" s="638"/>
      <c r="BD366" s="638"/>
    </row>
    <row r="367" customFormat="false" ht="15.75" hidden="false" customHeight="false" outlineLevel="0" collapsed="false">
      <c r="A367" s="663" t="s">
        <v>1911</v>
      </c>
      <c r="B367" s="663"/>
      <c r="C367" s="663"/>
      <c r="D367" s="590" t="s">
        <v>801</v>
      </c>
      <c r="E367" s="662" t="s">
        <v>1807</v>
      </c>
      <c r="F367" s="582" t="n">
        <v>10</v>
      </c>
      <c r="G367" s="582" t="n">
        <v>80</v>
      </c>
      <c r="H367" s="592" t="n">
        <v>1</v>
      </c>
      <c r="I367" s="595"/>
      <c r="J367" s="44"/>
      <c r="K367" s="44"/>
      <c r="L367" s="44"/>
      <c r="M367" s="44"/>
      <c r="N367" s="44"/>
      <c r="O367" s="44"/>
      <c r="P367" s="661"/>
      <c r="Q367" s="595"/>
      <c r="R367" s="93"/>
      <c r="S367" s="44"/>
      <c r="T367" s="664"/>
      <c r="U367" s="44"/>
      <c r="V367" s="93"/>
      <c r="W367" s="93"/>
      <c r="X367" s="616"/>
      <c r="Y367" s="93"/>
      <c r="Z367" s="93"/>
      <c r="AA367" s="93"/>
      <c r="AB367" s="616"/>
      <c r="AC367" s="93"/>
      <c r="AD367" s="93"/>
      <c r="AE367" s="93"/>
      <c r="AF367" s="616"/>
      <c r="AG367" s="93"/>
      <c r="AH367" s="93"/>
      <c r="AI367" s="93"/>
      <c r="AJ367" s="616"/>
      <c r="AK367" s="93"/>
      <c r="AL367" s="93"/>
      <c r="AM367" s="93"/>
      <c r="AN367" s="616"/>
      <c r="AO367" s="93"/>
      <c r="AP367" s="93"/>
      <c r="AQ367" s="93"/>
      <c r="AR367" s="616"/>
      <c r="AS367" s="93"/>
      <c r="AT367" s="93"/>
      <c r="AU367" s="93"/>
      <c r="AV367" s="616"/>
      <c r="AW367" s="93"/>
      <c r="AX367" s="93"/>
      <c r="AY367" s="93"/>
      <c r="AZ367" s="93"/>
      <c r="BA367" s="93"/>
      <c r="BB367" s="638"/>
      <c r="BC367" s="638"/>
      <c r="BD367" s="638"/>
    </row>
    <row r="368" customFormat="false" ht="15.75" hidden="false" customHeight="false" outlineLevel="0" collapsed="false">
      <c r="A368" s="663" t="s">
        <v>1912</v>
      </c>
      <c r="B368" s="663"/>
      <c r="C368" s="663"/>
      <c r="D368" s="599" t="s">
        <v>811</v>
      </c>
      <c r="E368" s="662" t="s">
        <v>1807</v>
      </c>
      <c r="F368" s="582" t="n">
        <v>10</v>
      </c>
      <c r="G368" s="582" t="n">
        <v>65</v>
      </c>
      <c r="H368" s="592" t="n">
        <v>0.85</v>
      </c>
      <c r="I368" s="595"/>
      <c r="J368" s="44"/>
      <c r="K368" s="44"/>
      <c r="L368" s="44"/>
      <c r="M368" s="44"/>
      <c r="N368" s="44"/>
      <c r="O368" s="44"/>
      <c r="P368" s="661"/>
      <c r="Q368" s="595"/>
      <c r="R368" s="93"/>
      <c r="S368" s="44"/>
      <c r="T368" s="664"/>
      <c r="U368" s="44"/>
      <c r="V368" s="93"/>
      <c r="W368" s="93"/>
      <c r="X368" s="616"/>
      <c r="Y368" s="93"/>
      <c r="Z368" s="93"/>
      <c r="AA368" s="93"/>
      <c r="AB368" s="616"/>
      <c r="AC368" s="93"/>
      <c r="AD368" s="93"/>
      <c r="AE368" s="93"/>
      <c r="AF368" s="616"/>
      <c r="AG368" s="93"/>
      <c r="AH368" s="93"/>
      <c r="AI368" s="93"/>
      <c r="AJ368" s="616"/>
      <c r="AK368" s="93"/>
      <c r="AL368" s="93"/>
      <c r="AM368" s="93"/>
      <c r="AN368" s="616"/>
      <c r="AO368" s="93"/>
      <c r="AP368" s="93"/>
      <c r="AQ368" s="93"/>
      <c r="AR368" s="616"/>
      <c r="AS368" s="93"/>
      <c r="AT368" s="93"/>
      <c r="AU368" s="93"/>
      <c r="AV368" s="616"/>
      <c r="AW368" s="93"/>
      <c r="AX368" s="93"/>
      <c r="AY368" s="93"/>
      <c r="AZ368" s="93"/>
      <c r="BA368" s="93"/>
      <c r="BB368" s="638"/>
      <c r="BC368" s="638"/>
      <c r="BD368" s="638"/>
    </row>
    <row r="369" customFormat="false" ht="15.75" hidden="false" customHeight="false" outlineLevel="0" collapsed="false">
      <c r="A369" s="663" t="s">
        <v>1913</v>
      </c>
      <c r="B369" s="663"/>
      <c r="C369" s="663"/>
      <c r="D369" s="605" t="s">
        <v>802</v>
      </c>
      <c r="E369" s="662" t="s">
        <v>1807</v>
      </c>
      <c r="F369" s="582" t="n">
        <v>5</v>
      </c>
      <c r="G369" s="582" t="n">
        <v>60</v>
      </c>
      <c r="H369" s="592" t="n">
        <v>1</v>
      </c>
      <c r="I369" s="595"/>
      <c r="J369" s="44"/>
      <c r="K369" s="44"/>
      <c r="L369" s="44"/>
      <c r="M369" s="44"/>
      <c r="N369" s="44"/>
      <c r="O369" s="44"/>
      <c r="P369" s="661"/>
      <c r="Q369" s="595"/>
      <c r="R369" s="93"/>
      <c r="S369" s="44"/>
      <c r="T369" s="664"/>
      <c r="U369" s="44"/>
      <c r="V369" s="93"/>
      <c r="W369" s="93"/>
      <c r="X369" s="616"/>
      <c r="Y369" s="93"/>
      <c r="Z369" s="93"/>
      <c r="AA369" s="93"/>
      <c r="AB369" s="616"/>
      <c r="AC369" s="93"/>
      <c r="AD369" s="93"/>
      <c r="AE369" s="93"/>
      <c r="AF369" s="616"/>
      <c r="AG369" s="93"/>
      <c r="AH369" s="93"/>
      <c r="AI369" s="93"/>
      <c r="AJ369" s="616"/>
      <c r="AK369" s="93"/>
      <c r="AL369" s="93"/>
      <c r="AM369" s="93"/>
      <c r="AN369" s="616"/>
      <c r="AO369" s="93"/>
      <c r="AP369" s="93"/>
      <c r="AQ369" s="93"/>
      <c r="AR369" s="616"/>
      <c r="AS369" s="93"/>
      <c r="AT369" s="93"/>
      <c r="AU369" s="93"/>
      <c r="AV369" s="616"/>
      <c r="AW369" s="93"/>
      <c r="AX369" s="93"/>
      <c r="AY369" s="93"/>
      <c r="AZ369" s="93"/>
      <c r="BA369" s="93"/>
      <c r="BB369" s="638"/>
      <c r="BC369" s="638"/>
      <c r="BD369" s="638"/>
    </row>
    <row r="370" customFormat="false" ht="15.75" hidden="false" customHeight="false" outlineLevel="0" collapsed="false">
      <c r="A370" s="663" t="s">
        <v>1914</v>
      </c>
      <c r="B370" s="663"/>
      <c r="C370" s="663"/>
      <c r="D370" s="599" t="s">
        <v>811</v>
      </c>
      <c r="E370" s="662" t="s">
        <v>1807</v>
      </c>
      <c r="F370" s="582" t="n">
        <v>10</v>
      </c>
      <c r="G370" s="582" t="n">
        <v>110</v>
      </c>
      <c r="H370" s="592" t="n">
        <v>0.85</v>
      </c>
      <c r="I370" s="595"/>
      <c r="J370" s="44"/>
      <c r="K370" s="44"/>
      <c r="L370" s="44"/>
      <c r="M370" s="44"/>
      <c r="N370" s="44"/>
      <c r="O370" s="44"/>
      <c r="P370" s="661"/>
      <c r="Q370" s="595"/>
      <c r="R370" s="93"/>
      <c r="S370" s="44"/>
      <c r="T370" s="664"/>
      <c r="U370" s="44"/>
      <c r="V370" s="93"/>
      <c r="W370" s="93"/>
      <c r="X370" s="616"/>
      <c r="Y370" s="93"/>
      <c r="Z370" s="93"/>
      <c r="AA370" s="93"/>
      <c r="AB370" s="616"/>
      <c r="AC370" s="93"/>
      <c r="AD370" s="93"/>
      <c r="AE370" s="93"/>
      <c r="AF370" s="616"/>
      <c r="AG370" s="93"/>
      <c r="AH370" s="93"/>
      <c r="AI370" s="93"/>
      <c r="AJ370" s="616"/>
      <c r="AK370" s="93"/>
      <c r="AL370" s="93"/>
      <c r="AM370" s="93"/>
      <c r="AN370" s="616"/>
      <c r="AO370" s="93"/>
      <c r="AP370" s="93"/>
      <c r="AQ370" s="93"/>
      <c r="AR370" s="616"/>
      <c r="AS370" s="93"/>
      <c r="AT370" s="93"/>
      <c r="AU370" s="93"/>
      <c r="AV370" s="616"/>
      <c r="AW370" s="93"/>
      <c r="AX370" s="93"/>
      <c r="AY370" s="93"/>
      <c r="AZ370" s="93"/>
      <c r="BA370" s="93"/>
      <c r="BB370" s="638"/>
      <c r="BC370" s="638"/>
      <c r="BD370" s="638"/>
    </row>
    <row r="371" customFormat="false" ht="15.75" hidden="false" customHeight="false" outlineLevel="0" collapsed="false">
      <c r="A371" s="663" t="s">
        <v>1915</v>
      </c>
      <c r="B371" s="663"/>
      <c r="C371" s="663"/>
      <c r="D371" s="618" t="s">
        <v>800</v>
      </c>
      <c r="E371" s="662" t="s">
        <v>1807</v>
      </c>
      <c r="F371" s="582" t="n">
        <v>5</v>
      </c>
      <c r="G371" s="582" t="n">
        <v>130</v>
      </c>
      <c r="H371" s="592" t="n">
        <v>0.9</v>
      </c>
      <c r="I371" s="595"/>
      <c r="J371" s="44"/>
      <c r="K371" s="44"/>
      <c r="L371" s="44"/>
      <c r="M371" s="44"/>
      <c r="N371" s="44"/>
      <c r="O371" s="44"/>
      <c r="P371" s="661"/>
      <c r="Q371" s="595"/>
      <c r="R371" s="93"/>
      <c r="S371" s="44"/>
      <c r="T371" s="664"/>
      <c r="U371" s="44"/>
      <c r="V371" s="93"/>
      <c r="W371" s="93"/>
      <c r="X371" s="616"/>
      <c r="Y371" s="93"/>
      <c r="Z371" s="93"/>
      <c r="AA371" s="93"/>
      <c r="AB371" s="616"/>
      <c r="AC371" s="93"/>
      <c r="AD371" s="93"/>
      <c r="AE371" s="93"/>
      <c r="AF371" s="616"/>
      <c r="AG371" s="93"/>
      <c r="AH371" s="93"/>
      <c r="AI371" s="93"/>
      <c r="AJ371" s="616"/>
      <c r="AK371" s="93"/>
      <c r="AL371" s="93"/>
      <c r="AM371" s="93"/>
      <c r="AN371" s="616"/>
      <c r="AO371" s="93"/>
      <c r="AP371" s="93"/>
      <c r="AQ371" s="93"/>
      <c r="AR371" s="616"/>
      <c r="AS371" s="93"/>
      <c r="AT371" s="93"/>
      <c r="AU371" s="93"/>
      <c r="AV371" s="616"/>
      <c r="AW371" s="93"/>
      <c r="AX371" s="93"/>
      <c r="AY371" s="93"/>
      <c r="AZ371" s="93"/>
      <c r="BA371" s="93"/>
      <c r="BB371" s="638"/>
      <c r="BC371" s="638"/>
      <c r="BD371" s="638"/>
    </row>
    <row r="372" customFormat="false" ht="15.75" hidden="false" customHeight="false" outlineLevel="0" collapsed="false">
      <c r="A372" s="663" t="s">
        <v>1916</v>
      </c>
      <c r="B372" s="663"/>
      <c r="C372" s="663"/>
      <c r="D372" s="619" t="s">
        <v>845</v>
      </c>
      <c r="E372" s="662" t="s">
        <v>1807</v>
      </c>
      <c r="F372" s="582" t="n">
        <v>20</v>
      </c>
      <c r="G372" s="582" t="n">
        <v>65</v>
      </c>
      <c r="H372" s="592" t="n">
        <v>1</v>
      </c>
      <c r="I372" s="595"/>
      <c r="J372" s="44"/>
      <c r="K372" s="44"/>
      <c r="L372" s="44"/>
      <c r="M372" s="44"/>
      <c r="N372" s="44"/>
      <c r="O372" s="44"/>
      <c r="P372" s="661"/>
      <c r="Q372" s="595"/>
      <c r="R372" s="93"/>
      <c r="S372" s="44"/>
      <c r="T372" s="664"/>
      <c r="U372" s="44"/>
      <c r="V372" s="93"/>
      <c r="W372" s="93"/>
      <c r="X372" s="616"/>
      <c r="Y372" s="93"/>
      <c r="Z372" s="93"/>
      <c r="AA372" s="93"/>
      <c r="AB372" s="616"/>
      <c r="AC372" s="93"/>
      <c r="AD372" s="93"/>
      <c r="AE372" s="93"/>
      <c r="AF372" s="616"/>
      <c r="AG372" s="93"/>
      <c r="AH372" s="93"/>
      <c r="AI372" s="93"/>
      <c r="AJ372" s="616"/>
      <c r="AK372" s="93"/>
      <c r="AL372" s="93"/>
      <c r="AM372" s="93"/>
      <c r="AN372" s="616"/>
      <c r="AO372" s="93"/>
      <c r="AP372" s="93"/>
      <c r="AQ372" s="93"/>
      <c r="AR372" s="616"/>
      <c r="AS372" s="93"/>
      <c r="AT372" s="93"/>
      <c r="AU372" s="93"/>
      <c r="AV372" s="616"/>
      <c r="AW372" s="93"/>
      <c r="AX372" s="93"/>
      <c r="AY372" s="93"/>
      <c r="AZ372" s="93"/>
      <c r="BA372" s="93"/>
      <c r="BB372" s="638"/>
      <c r="BC372" s="638"/>
      <c r="BD372" s="638"/>
    </row>
    <row r="373" customFormat="false" ht="15.75" hidden="false" customHeight="false" outlineLevel="0" collapsed="false">
      <c r="A373" s="663" t="s">
        <v>1917</v>
      </c>
      <c r="B373" s="663"/>
      <c r="C373" s="663"/>
      <c r="D373" s="624" t="s">
        <v>803</v>
      </c>
      <c r="E373" s="662" t="s">
        <v>1807</v>
      </c>
      <c r="F373" s="582" t="n">
        <v>10</v>
      </c>
      <c r="G373" s="582" t="n">
        <v>120</v>
      </c>
      <c r="H373" s="592" t="n">
        <v>1</v>
      </c>
      <c r="I373" s="595"/>
      <c r="J373" s="44"/>
      <c r="K373" s="44"/>
      <c r="L373" s="44"/>
      <c r="M373" s="44"/>
      <c r="N373" s="44"/>
      <c r="O373" s="44"/>
      <c r="P373" s="661"/>
      <c r="Q373" s="595"/>
      <c r="R373" s="93"/>
      <c r="S373" s="44"/>
      <c r="T373" s="664"/>
      <c r="U373" s="44"/>
      <c r="V373" s="93"/>
      <c r="W373" s="93"/>
      <c r="X373" s="616"/>
      <c r="Y373" s="93"/>
      <c r="Z373" s="93"/>
      <c r="AA373" s="93"/>
      <c r="AB373" s="616"/>
      <c r="AC373" s="93"/>
      <c r="AD373" s="93"/>
      <c r="AE373" s="93"/>
      <c r="AF373" s="616"/>
      <c r="AG373" s="93"/>
      <c r="AH373" s="93"/>
      <c r="AI373" s="93"/>
      <c r="AJ373" s="616"/>
      <c r="AK373" s="93"/>
      <c r="AL373" s="93"/>
      <c r="AM373" s="93"/>
      <c r="AN373" s="616"/>
      <c r="AO373" s="93"/>
      <c r="AP373" s="93"/>
      <c r="AQ373" s="93"/>
      <c r="AR373" s="616"/>
      <c r="AS373" s="93"/>
      <c r="AT373" s="93"/>
      <c r="AU373" s="93"/>
      <c r="AV373" s="616"/>
      <c r="AW373" s="93"/>
      <c r="AX373" s="93"/>
      <c r="AY373" s="93"/>
      <c r="AZ373" s="93"/>
      <c r="BA373" s="93"/>
      <c r="BB373" s="638"/>
      <c r="BC373" s="638"/>
      <c r="BD373" s="638"/>
    </row>
    <row r="374" customFormat="false" ht="15.75" hidden="false" customHeight="false" outlineLevel="0" collapsed="false">
      <c r="A374" s="663" t="s">
        <v>1918</v>
      </c>
      <c r="B374" s="663"/>
      <c r="C374" s="663"/>
      <c r="D374" s="607" t="s">
        <v>794</v>
      </c>
      <c r="E374" s="662" t="s">
        <v>1807</v>
      </c>
      <c r="F374" s="582" t="n">
        <v>15</v>
      </c>
      <c r="G374" s="582" t="n">
        <v>90</v>
      </c>
      <c r="H374" s="592" t="n">
        <v>1</v>
      </c>
      <c r="I374" s="595"/>
      <c r="J374" s="44"/>
      <c r="K374" s="44"/>
      <c r="L374" s="44"/>
      <c r="M374" s="44"/>
      <c r="N374" s="44"/>
      <c r="O374" s="44"/>
      <c r="P374" s="661"/>
      <c r="Q374" s="595"/>
      <c r="R374" s="93"/>
      <c r="S374" s="44"/>
      <c r="T374" s="664"/>
      <c r="U374" s="44"/>
      <c r="V374" s="93"/>
      <c r="W374" s="93"/>
      <c r="X374" s="616"/>
      <c r="Y374" s="93"/>
      <c r="Z374" s="93"/>
      <c r="AA374" s="93"/>
      <c r="AB374" s="616"/>
      <c r="AC374" s="93"/>
      <c r="AD374" s="93"/>
      <c r="AE374" s="93"/>
      <c r="AF374" s="616"/>
      <c r="AG374" s="93"/>
      <c r="AH374" s="93"/>
      <c r="AI374" s="93"/>
      <c r="AJ374" s="616"/>
      <c r="AK374" s="93"/>
      <c r="AL374" s="93"/>
      <c r="AM374" s="93"/>
      <c r="AN374" s="616"/>
      <c r="AO374" s="93"/>
      <c r="AP374" s="93"/>
      <c r="AQ374" s="93"/>
      <c r="AR374" s="616"/>
      <c r="AS374" s="93"/>
      <c r="AT374" s="93"/>
      <c r="AU374" s="93"/>
      <c r="AV374" s="616"/>
      <c r="AW374" s="93"/>
      <c r="AX374" s="93"/>
      <c r="AY374" s="93"/>
      <c r="AZ374" s="93"/>
      <c r="BA374" s="93"/>
      <c r="BB374" s="638"/>
      <c r="BC374" s="638"/>
      <c r="BD374" s="638"/>
    </row>
    <row r="375" customFormat="false" ht="15.75" hidden="false" customHeight="false" outlineLevel="0" collapsed="false">
      <c r="A375" s="663" t="s">
        <v>1919</v>
      </c>
      <c r="B375" s="663"/>
      <c r="C375" s="663"/>
      <c r="D375" s="608" t="s">
        <v>805</v>
      </c>
      <c r="E375" s="662" t="s">
        <v>1807</v>
      </c>
      <c r="F375" s="582" t="n">
        <v>25</v>
      </c>
      <c r="G375" s="582" t="n">
        <v>40</v>
      </c>
      <c r="H375" s="592" t="n">
        <v>1</v>
      </c>
      <c r="I375" s="595"/>
      <c r="J375" s="44"/>
      <c r="K375" s="44"/>
      <c r="L375" s="44"/>
      <c r="M375" s="44"/>
      <c r="N375" s="44"/>
      <c r="O375" s="44"/>
      <c r="P375" s="661"/>
      <c r="Q375" s="595"/>
      <c r="R375" s="93"/>
      <c r="S375" s="44"/>
      <c r="T375" s="664"/>
      <c r="U375" s="44"/>
      <c r="V375" s="93"/>
      <c r="W375" s="93"/>
      <c r="X375" s="616"/>
      <c r="Y375" s="93"/>
      <c r="Z375" s="93"/>
      <c r="AA375" s="93"/>
      <c r="AB375" s="616"/>
      <c r="AC375" s="93"/>
      <c r="AD375" s="93"/>
      <c r="AE375" s="93"/>
      <c r="AF375" s="616"/>
      <c r="AG375" s="93"/>
      <c r="AH375" s="93"/>
      <c r="AI375" s="93"/>
      <c r="AJ375" s="616"/>
      <c r="AK375" s="93"/>
      <c r="AL375" s="93"/>
      <c r="AM375" s="93"/>
      <c r="AN375" s="616"/>
      <c r="AO375" s="93"/>
      <c r="AP375" s="93"/>
      <c r="AQ375" s="93"/>
      <c r="AR375" s="616"/>
      <c r="AS375" s="93"/>
      <c r="AT375" s="93"/>
      <c r="AU375" s="93"/>
      <c r="AV375" s="616"/>
      <c r="AW375" s="93"/>
      <c r="AX375" s="93"/>
      <c r="AY375" s="93"/>
      <c r="AZ375" s="93"/>
      <c r="BA375" s="93"/>
      <c r="BB375" s="638"/>
      <c r="BC375" s="638"/>
      <c r="BD375" s="638"/>
    </row>
    <row r="376" customFormat="false" ht="15.75" hidden="false" customHeight="false" outlineLevel="0" collapsed="false">
      <c r="A376" s="663" t="s">
        <v>1920</v>
      </c>
      <c r="B376" s="663"/>
      <c r="C376" s="663"/>
      <c r="D376" s="633" t="s">
        <v>809</v>
      </c>
      <c r="E376" s="662" t="s">
        <v>1807</v>
      </c>
      <c r="F376" s="582" t="n">
        <v>20</v>
      </c>
      <c r="G376" s="582" t="n">
        <v>80</v>
      </c>
      <c r="H376" s="592" t="n">
        <v>1</v>
      </c>
      <c r="I376" s="595"/>
      <c r="J376" s="44"/>
      <c r="K376" s="44"/>
      <c r="L376" s="44"/>
      <c r="M376" s="44"/>
      <c r="N376" s="44"/>
      <c r="O376" s="44"/>
      <c r="P376" s="661"/>
      <c r="Q376" s="595"/>
      <c r="R376" s="93"/>
      <c r="S376" s="44"/>
      <c r="T376" s="664"/>
      <c r="U376" s="44"/>
      <c r="V376" s="93"/>
      <c r="W376" s="93"/>
      <c r="X376" s="616"/>
      <c r="Y376" s="93"/>
      <c r="Z376" s="93"/>
      <c r="AA376" s="93"/>
      <c r="AB376" s="616"/>
      <c r="AC376" s="93"/>
      <c r="AD376" s="93"/>
      <c r="AE376" s="93"/>
      <c r="AF376" s="616"/>
      <c r="AG376" s="93"/>
      <c r="AH376" s="93"/>
      <c r="AI376" s="93"/>
      <c r="AJ376" s="616"/>
      <c r="AK376" s="93"/>
      <c r="AL376" s="93"/>
      <c r="AM376" s="93"/>
      <c r="AN376" s="616"/>
      <c r="AO376" s="93"/>
      <c r="AP376" s="93"/>
      <c r="AQ376" s="93"/>
      <c r="AR376" s="616"/>
      <c r="AS376" s="93"/>
      <c r="AT376" s="93"/>
      <c r="AU376" s="93"/>
      <c r="AV376" s="616"/>
      <c r="AW376" s="93"/>
      <c r="AX376" s="93"/>
      <c r="AY376" s="93"/>
      <c r="AZ376" s="93"/>
      <c r="BA376" s="93"/>
      <c r="BB376" s="638"/>
      <c r="BC376" s="638"/>
      <c r="BD376" s="638"/>
    </row>
    <row r="377" customFormat="false" ht="15.75" hidden="false" customHeight="false" outlineLevel="0" collapsed="false">
      <c r="A377" s="663" t="s">
        <v>1921</v>
      </c>
      <c r="B377" s="663"/>
      <c r="C377" s="663"/>
      <c r="D377" s="639" t="s">
        <v>828</v>
      </c>
      <c r="E377" s="662" t="s">
        <v>1807</v>
      </c>
      <c r="F377" s="582" t="n">
        <v>10</v>
      </c>
      <c r="G377" s="582" t="n">
        <v>160</v>
      </c>
      <c r="H377" s="592" t="n">
        <v>1</v>
      </c>
      <c r="I377" s="595"/>
      <c r="J377" s="44"/>
      <c r="K377" s="44"/>
      <c r="L377" s="44"/>
      <c r="M377" s="44"/>
      <c r="N377" s="44"/>
      <c r="O377" s="44"/>
      <c r="P377" s="661"/>
      <c r="Q377" s="595"/>
      <c r="R377" s="93"/>
      <c r="S377" s="44"/>
      <c r="T377" s="664"/>
      <c r="U377" s="44"/>
      <c r="V377" s="93"/>
      <c r="W377" s="93"/>
      <c r="X377" s="616"/>
      <c r="Y377" s="93"/>
      <c r="Z377" s="93"/>
      <c r="AA377" s="93"/>
      <c r="AB377" s="616"/>
      <c r="AC377" s="93"/>
      <c r="AD377" s="93"/>
      <c r="AE377" s="93"/>
      <c r="AF377" s="616"/>
      <c r="AG377" s="93"/>
      <c r="AH377" s="93"/>
      <c r="AI377" s="93"/>
      <c r="AJ377" s="616"/>
      <c r="AK377" s="93"/>
      <c r="AL377" s="93"/>
      <c r="AM377" s="93"/>
      <c r="AN377" s="616"/>
      <c r="AO377" s="93"/>
      <c r="AP377" s="93"/>
      <c r="AQ377" s="93"/>
      <c r="AR377" s="616"/>
      <c r="AS377" s="93"/>
      <c r="AT377" s="93"/>
      <c r="AU377" s="93"/>
      <c r="AV377" s="616"/>
      <c r="AW377" s="93"/>
      <c r="AX377" s="93"/>
      <c r="AY377" s="93"/>
      <c r="AZ377" s="93"/>
      <c r="BA377" s="93"/>
      <c r="BB377" s="638"/>
      <c r="BC377" s="638"/>
      <c r="BD377" s="638"/>
    </row>
    <row r="378" customFormat="false" ht="15.75" hidden="false" customHeight="false" outlineLevel="0" collapsed="false">
      <c r="A378" s="663" t="s">
        <v>1922</v>
      </c>
      <c r="B378" s="663"/>
      <c r="C378" s="663"/>
      <c r="D378" s="639" t="s">
        <v>828</v>
      </c>
      <c r="E378" s="662" t="s">
        <v>1807</v>
      </c>
      <c r="F378" s="582" t="n">
        <v>20</v>
      </c>
      <c r="G378" s="582" t="n">
        <v>65</v>
      </c>
      <c r="H378" s="592" t="n">
        <v>1</v>
      </c>
      <c r="I378" s="595"/>
      <c r="J378" s="44"/>
      <c r="K378" s="44"/>
      <c r="L378" s="44"/>
      <c r="M378" s="44"/>
      <c r="N378" s="44"/>
      <c r="O378" s="44"/>
      <c r="P378" s="44"/>
      <c r="Q378" s="595"/>
      <c r="R378" s="93"/>
      <c r="S378" s="44"/>
      <c r="T378" s="664"/>
      <c r="U378" s="44"/>
      <c r="V378" s="93"/>
      <c r="W378" s="93"/>
      <c r="X378" s="616"/>
      <c r="Y378" s="93"/>
      <c r="Z378" s="93"/>
      <c r="AA378" s="93"/>
      <c r="AB378" s="616"/>
      <c r="AC378" s="93"/>
      <c r="AD378" s="93"/>
      <c r="AE378" s="93"/>
      <c r="AF378" s="616"/>
      <c r="AG378" s="93"/>
      <c r="AH378" s="93"/>
      <c r="AI378" s="93"/>
      <c r="AJ378" s="616"/>
      <c r="AK378" s="93"/>
      <c r="AL378" s="93"/>
      <c r="AM378" s="93"/>
      <c r="AN378" s="616"/>
      <c r="AO378" s="93"/>
      <c r="AP378" s="93"/>
      <c r="AQ378" s="93"/>
      <c r="AR378" s="616"/>
      <c r="AS378" s="93"/>
      <c r="AT378" s="93"/>
      <c r="AU378" s="93"/>
      <c r="AV378" s="616"/>
      <c r="AW378" s="93"/>
      <c r="AX378" s="93"/>
      <c r="AY378" s="93"/>
      <c r="AZ378" s="93"/>
      <c r="BA378" s="93"/>
      <c r="BB378" s="638"/>
      <c r="BC378" s="638"/>
      <c r="BD378" s="638"/>
    </row>
    <row r="379" customFormat="false" ht="15.75" hidden="false" customHeight="false" outlineLevel="0" collapsed="false">
      <c r="A379" s="663" t="s">
        <v>828</v>
      </c>
      <c r="B379" s="663"/>
      <c r="C379" s="663"/>
      <c r="D379" s="639" t="s">
        <v>828</v>
      </c>
      <c r="E379" s="662" t="s">
        <v>1807</v>
      </c>
      <c r="F379" s="582" t="n">
        <v>10</v>
      </c>
      <c r="G379" s="582" t="n">
        <v>90</v>
      </c>
      <c r="H379" s="592" t="n">
        <v>1</v>
      </c>
      <c r="I379" s="595"/>
      <c r="J379" s="44"/>
      <c r="K379" s="44"/>
      <c r="L379" s="44"/>
      <c r="M379" s="44"/>
      <c r="N379" s="44"/>
      <c r="O379" s="44"/>
      <c r="P379" s="661"/>
      <c r="Q379" s="595"/>
      <c r="R379" s="93"/>
      <c r="S379" s="44"/>
      <c r="T379" s="664"/>
      <c r="U379" s="44"/>
      <c r="V379" s="93"/>
      <c r="W379" s="93"/>
      <c r="X379" s="616"/>
      <c r="Y379" s="93"/>
      <c r="Z379" s="93"/>
      <c r="AA379" s="93"/>
      <c r="AB379" s="616"/>
      <c r="AC379" s="93"/>
      <c r="AD379" s="93"/>
      <c r="AE379" s="93"/>
      <c r="AF379" s="616"/>
      <c r="AG379" s="93"/>
      <c r="AH379" s="93"/>
      <c r="AI379" s="93"/>
      <c r="AJ379" s="616"/>
      <c r="AK379" s="93"/>
      <c r="AL379" s="93"/>
      <c r="AM379" s="93"/>
      <c r="AN379" s="616"/>
      <c r="AO379" s="93"/>
      <c r="AP379" s="93"/>
      <c r="AQ379" s="93"/>
      <c r="AR379" s="616"/>
      <c r="AS379" s="93"/>
      <c r="AT379" s="93"/>
      <c r="AU379" s="93"/>
      <c r="AV379" s="616"/>
      <c r="AW379" s="93"/>
      <c r="AX379" s="93"/>
      <c r="AY379" s="93"/>
      <c r="AZ379" s="93"/>
      <c r="BA379" s="93"/>
      <c r="BB379" s="638"/>
      <c r="BC379" s="638"/>
      <c r="BD379" s="638"/>
    </row>
    <row r="380" customFormat="false" ht="15.75" hidden="false" customHeight="false" outlineLevel="0" collapsed="false">
      <c r="A380" s="663" t="s">
        <v>1923</v>
      </c>
      <c r="B380" s="663"/>
      <c r="C380" s="663"/>
      <c r="D380" s="639" t="s">
        <v>828</v>
      </c>
      <c r="E380" s="662" t="s">
        <v>1807</v>
      </c>
      <c r="F380" s="582" t="n">
        <v>5</v>
      </c>
      <c r="G380" s="582" t="n">
        <v>140</v>
      </c>
      <c r="H380" s="592" t="n">
        <v>0.9</v>
      </c>
      <c r="I380" s="595"/>
      <c r="J380" s="44"/>
      <c r="K380" s="44"/>
      <c r="L380" s="44"/>
      <c r="M380" s="44"/>
      <c r="N380" s="44"/>
      <c r="O380" s="44"/>
      <c r="P380" s="661"/>
      <c r="Q380" s="595"/>
      <c r="R380" s="93"/>
      <c r="S380" s="44"/>
      <c r="T380" s="664"/>
      <c r="U380" s="44"/>
      <c r="V380" s="93"/>
      <c r="W380" s="93"/>
      <c r="X380" s="616"/>
      <c r="Y380" s="93"/>
      <c r="Z380" s="93"/>
      <c r="AA380" s="93"/>
      <c r="AB380" s="616"/>
      <c r="AC380" s="93"/>
      <c r="AD380" s="93"/>
      <c r="AE380" s="93"/>
      <c r="AF380" s="616"/>
      <c r="AG380" s="93"/>
      <c r="AH380" s="93"/>
      <c r="AI380" s="93"/>
      <c r="AJ380" s="616"/>
      <c r="AK380" s="93"/>
      <c r="AL380" s="93"/>
      <c r="AM380" s="93"/>
      <c r="AN380" s="616"/>
      <c r="AO380" s="93"/>
      <c r="AP380" s="93"/>
      <c r="AQ380" s="93"/>
      <c r="AR380" s="616"/>
      <c r="AS380" s="93"/>
      <c r="AT380" s="93"/>
      <c r="AU380" s="93"/>
      <c r="AV380" s="616"/>
      <c r="AW380" s="93"/>
      <c r="AX380" s="93"/>
      <c r="AY380" s="93"/>
      <c r="AZ380" s="93"/>
      <c r="BA380" s="93"/>
      <c r="BB380" s="638"/>
      <c r="BC380" s="638"/>
      <c r="BD380" s="638"/>
    </row>
    <row r="381" customFormat="false" ht="15.75" hidden="false" customHeight="false" outlineLevel="0" collapsed="false">
      <c r="A381" s="663" t="s">
        <v>1924</v>
      </c>
      <c r="B381" s="663"/>
      <c r="C381" s="663"/>
      <c r="D381" s="639" t="s">
        <v>828</v>
      </c>
      <c r="E381" s="662" t="s">
        <v>1807</v>
      </c>
      <c r="F381" s="582" t="n">
        <v>10</v>
      </c>
      <c r="G381" s="582" t="n">
        <v>80</v>
      </c>
      <c r="H381" s="592" t="n">
        <v>1</v>
      </c>
      <c r="I381" s="595"/>
      <c r="J381" s="44"/>
      <c r="K381" s="44"/>
      <c r="L381" s="44"/>
      <c r="M381" s="44"/>
      <c r="N381" s="44"/>
      <c r="O381" s="44"/>
      <c r="P381" s="661"/>
      <c r="Q381" s="595"/>
      <c r="R381" s="93"/>
      <c r="S381" s="44"/>
      <c r="T381" s="664"/>
      <c r="U381" s="44"/>
      <c r="V381" s="93"/>
      <c r="W381" s="93"/>
      <c r="X381" s="616"/>
      <c r="Y381" s="93"/>
      <c r="Z381" s="93"/>
      <c r="AA381" s="93"/>
      <c r="AB381" s="616"/>
      <c r="AC381" s="93"/>
      <c r="AD381" s="93"/>
      <c r="AE381" s="93"/>
      <c r="AF381" s="616"/>
      <c r="AG381" s="93"/>
      <c r="AH381" s="93"/>
      <c r="AI381" s="93"/>
      <c r="AJ381" s="616"/>
      <c r="AK381" s="93"/>
      <c r="AL381" s="93"/>
      <c r="AM381" s="93"/>
      <c r="AN381" s="616"/>
      <c r="AO381" s="93"/>
      <c r="AP381" s="93"/>
      <c r="AQ381" s="93"/>
      <c r="AR381" s="616"/>
      <c r="AS381" s="93"/>
      <c r="AT381" s="93"/>
      <c r="AU381" s="93"/>
      <c r="AV381" s="616"/>
      <c r="AW381" s="93"/>
      <c r="AX381" s="93"/>
      <c r="AY381" s="93"/>
      <c r="AZ381" s="93"/>
      <c r="BA381" s="93"/>
      <c r="BB381" s="638"/>
      <c r="BC381" s="638"/>
      <c r="BD381" s="638"/>
    </row>
    <row r="382" customFormat="false" ht="15.75" hidden="false" customHeight="false" outlineLevel="0" collapsed="false">
      <c r="A382" s="663" t="s">
        <v>1925</v>
      </c>
      <c r="B382" s="663"/>
      <c r="C382" s="663"/>
      <c r="D382" s="639" t="s">
        <v>828</v>
      </c>
      <c r="E382" s="662" t="s">
        <v>1807</v>
      </c>
      <c r="F382" s="582" t="n">
        <v>10</v>
      </c>
      <c r="G382" s="582" t="n">
        <v>100</v>
      </c>
      <c r="H382" s="592" t="n">
        <v>1</v>
      </c>
      <c r="I382" s="595"/>
      <c r="J382" s="44"/>
      <c r="K382" s="44"/>
      <c r="L382" s="44"/>
      <c r="M382" s="44"/>
      <c r="N382" s="44"/>
      <c r="O382" s="44"/>
      <c r="P382" s="661"/>
      <c r="Q382" s="595"/>
      <c r="R382" s="93"/>
      <c r="S382" s="44"/>
      <c r="T382" s="664"/>
      <c r="U382" s="44"/>
      <c r="V382" s="93"/>
      <c r="W382" s="93"/>
      <c r="X382" s="616"/>
      <c r="Y382" s="93"/>
      <c r="Z382" s="93"/>
      <c r="AA382" s="93"/>
      <c r="AB382" s="616"/>
      <c r="AC382" s="93"/>
      <c r="AD382" s="93"/>
      <c r="AE382" s="93"/>
      <c r="AF382" s="616"/>
      <c r="AG382" s="93"/>
      <c r="AH382" s="93"/>
      <c r="AI382" s="93"/>
      <c r="AJ382" s="616"/>
      <c r="AK382" s="93"/>
      <c r="AL382" s="93"/>
      <c r="AM382" s="93"/>
      <c r="AN382" s="616"/>
      <c r="AO382" s="93"/>
      <c r="AP382" s="93"/>
      <c r="AQ382" s="93"/>
      <c r="AR382" s="616"/>
      <c r="AS382" s="93"/>
      <c r="AT382" s="93"/>
      <c r="AU382" s="93"/>
      <c r="AV382" s="616"/>
      <c r="AW382" s="93"/>
      <c r="AX382" s="93"/>
      <c r="AY382" s="93"/>
      <c r="AZ382" s="93"/>
      <c r="BA382" s="93"/>
      <c r="BB382" s="638"/>
      <c r="BC382" s="638"/>
      <c r="BD382" s="638"/>
    </row>
    <row r="383" customFormat="false" ht="15.75" hidden="false" customHeight="false" outlineLevel="0" collapsed="false">
      <c r="A383" s="663" t="s">
        <v>1926</v>
      </c>
      <c r="B383" s="663"/>
      <c r="C383" s="663"/>
      <c r="D383" s="639" t="s">
        <v>828</v>
      </c>
      <c r="E383" s="662" t="s">
        <v>1807</v>
      </c>
      <c r="F383" s="582" t="n">
        <v>15</v>
      </c>
      <c r="G383" s="582" t="s">
        <v>1183</v>
      </c>
      <c r="H383" s="592" t="n">
        <v>1</v>
      </c>
      <c r="I383" s="595"/>
      <c r="J383" s="44"/>
      <c r="K383" s="44"/>
      <c r="L383" s="44"/>
      <c r="M383" s="44"/>
      <c r="N383" s="44"/>
      <c r="O383" s="44"/>
      <c r="P383" s="44"/>
      <c r="Q383" s="595"/>
      <c r="R383" s="93"/>
      <c r="S383" s="44"/>
      <c r="T383" s="664"/>
      <c r="U383" s="44"/>
      <c r="V383" s="93"/>
      <c r="W383" s="93"/>
      <c r="X383" s="616"/>
      <c r="Y383" s="93"/>
      <c r="Z383" s="93"/>
      <c r="AA383" s="93"/>
      <c r="AB383" s="616"/>
      <c r="AC383" s="93"/>
      <c r="AD383" s="93"/>
      <c r="AE383" s="93"/>
      <c r="AF383" s="616"/>
      <c r="AG383" s="93"/>
      <c r="AH383" s="93"/>
      <c r="AI383" s="93"/>
      <c r="AJ383" s="616"/>
      <c r="AK383" s="93"/>
      <c r="AL383" s="93"/>
      <c r="AM383" s="93"/>
      <c r="AN383" s="616"/>
      <c r="AO383" s="93"/>
      <c r="AP383" s="93"/>
      <c r="AQ383" s="93"/>
      <c r="AR383" s="616"/>
      <c r="AS383" s="93"/>
      <c r="AT383" s="93"/>
      <c r="AU383" s="93"/>
      <c r="AV383" s="616"/>
      <c r="AW383" s="93"/>
      <c r="AX383" s="93"/>
      <c r="AY383" s="93"/>
      <c r="AZ383" s="93"/>
      <c r="BA383" s="93"/>
      <c r="BB383" s="638"/>
      <c r="BC383" s="638"/>
      <c r="BD383" s="638"/>
    </row>
    <row r="384" customFormat="false" ht="15.75" hidden="false" customHeight="false" outlineLevel="0" collapsed="false">
      <c r="A384" s="663" t="s">
        <v>1927</v>
      </c>
      <c r="B384" s="663"/>
      <c r="C384" s="663"/>
      <c r="D384" s="610" t="s">
        <v>839</v>
      </c>
      <c r="E384" s="662" t="s">
        <v>1807</v>
      </c>
      <c r="F384" s="582" t="n">
        <v>10</v>
      </c>
      <c r="G384" s="582" t="n">
        <v>80</v>
      </c>
      <c r="H384" s="592" t="n">
        <v>1</v>
      </c>
      <c r="I384" s="595"/>
      <c r="J384" s="44"/>
      <c r="K384" s="44"/>
      <c r="L384" s="44"/>
      <c r="M384" s="44"/>
      <c r="N384" s="44"/>
      <c r="O384" s="44"/>
      <c r="P384" s="661"/>
      <c r="Q384" s="595"/>
      <c r="R384" s="93"/>
      <c r="S384" s="44"/>
      <c r="T384" s="664"/>
      <c r="U384" s="44"/>
      <c r="V384" s="93"/>
      <c r="W384" s="93"/>
      <c r="X384" s="616"/>
      <c r="Y384" s="93"/>
      <c r="Z384" s="93"/>
      <c r="AA384" s="93"/>
      <c r="AB384" s="616"/>
      <c r="AC384" s="93"/>
      <c r="AD384" s="93"/>
      <c r="AE384" s="93"/>
      <c r="AF384" s="616"/>
      <c r="AG384" s="93"/>
      <c r="AH384" s="93"/>
      <c r="AI384" s="93"/>
      <c r="AJ384" s="616"/>
      <c r="AK384" s="93"/>
      <c r="AL384" s="93"/>
      <c r="AM384" s="93"/>
      <c r="AN384" s="616"/>
      <c r="AO384" s="93"/>
      <c r="AP384" s="93"/>
      <c r="AQ384" s="93"/>
      <c r="AR384" s="616"/>
      <c r="AS384" s="93"/>
      <c r="AT384" s="93"/>
      <c r="AU384" s="93"/>
      <c r="AV384" s="616"/>
      <c r="AW384" s="93"/>
      <c r="AX384" s="93"/>
      <c r="AY384" s="93"/>
      <c r="AZ384" s="93"/>
      <c r="BA384" s="93"/>
      <c r="BB384" s="638"/>
      <c r="BC384" s="638"/>
      <c r="BD384" s="638"/>
    </row>
    <row r="385" customFormat="false" ht="15.75" hidden="false" customHeight="false" outlineLevel="0" collapsed="false">
      <c r="A385" s="663" t="s">
        <v>1928</v>
      </c>
      <c r="B385" s="663"/>
      <c r="C385" s="663"/>
      <c r="D385" s="610" t="s">
        <v>839</v>
      </c>
      <c r="E385" s="662" t="s">
        <v>1807</v>
      </c>
      <c r="F385" s="582" t="n">
        <v>10</v>
      </c>
      <c r="G385" s="582" t="n">
        <v>75</v>
      </c>
      <c r="H385" s="592" t="n">
        <v>1</v>
      </c>
      <c r="I385" s="595"/>
      <c r="J385" s="44"/>
      <c r="K385" s="44"/>
      <c r="L385" s="44"/>
      <c r="M385" s="44"/>
      <c r="N385" s="44"/>
      <c r="O385" s="44"/>
      <c r="P385" s="661"/>
      <c r="Q385" s="595"/>
      <c r="R385" s="93"/>
      <c r="S385" s="44"/>
      <c r="T385" s="664"/>
      <c r="U385" s="44"/>
      <c r="V385" s="93"/>
      <c r="W385" s="93"/>
      <c r="X385" s="616"/>
      <c r="Y385" s="93"/>
      <c r="Z385" s="93"/>
      <c r="AA385" s="93"/>
      <c r="AB385" s="616"/>
      <c r="AC385" s="93"/>
      <c r="AD385" s="93"/>
      <c r="AE385" s="93"/>
      <c r="AF385" s="616"/>
      <c r="AG385" s="93"/>
      <c r="AH385" s="93"/>
      <c r="AI385" s="93"/>
      <c r="AJ385" s="616"/>
      <c r="AK385" s="93"/>
      <c r="AL385" s="93"/>
      <c r="AM385" s="93"/>
      <c r="AN385" s="616"/>
      <c r="AO385" s="93"/>
      <c r="AP385" s="93"/>
      <c r="AQ385" s="93"/>
      <c r="AR385" s="616"/>
      <c r="AS385" s="93"/>
      <c r="AT385" s="93"/>
      <c r="AU385" s="93"/>
      <c r="AV385" s="616"/>
      <c r="AW385" s="93"/>
      <c r="AX385" s="93"/>
      <c r="AY385" s="93"/>
      <c r="AZ385" s="93"/>
      <c r="BA385" s="93"/>
      <c r="BB385" s="638"/>
      <c r="BC385" s="638"/>
      <c r="BD385" s="638"/>
    </row>
    <row r="386" customFormat="false" ht="15.75" hidden="false" customHeight="false" outlineLevel="0" collapsed="false">
      <c r="A386" s="663" t="s">
        <v>1929</v>
      </c>
      <c r="B386" s="663"/>
      <c r="C386" s="663"/>
      <c r="D386" s="665" t="s">
        <v>1043</v>
      </c>
      <c r="E386" s="662" t="s">
        <v>1807</v>
      </c>
      <c r="F386" s="582" t="n">
        <v>10</v>
      </c>
      <c r="G386" s="582" t="n">
        <v>160</v>
      </c>
      <c r="H386" s="592" t="n">
        <v>1</v>
      </c>
      <c r="I386" s="595"/>
      <c r="J386" s="44"/>
      <c r="K386" s="44"/>
      <c r="L386" s="44"/>
      <c r="M386" s="44"/>
      <c r="N386" s="44"/>
      <c r="O386" s="44"/>
      <c r="P386" s="661"/>
      <c r="Q386" s="595"/>
      <c r="R386" s="93"/>
      <c r="S386" s="44"/>
      <c r="T386" s="664"/>
      <c r="U386" s="44"/>
      <c r="V386" s="93"/>
      <c r="W386" s="93"/>
      <c r="X386" s="616"/>
      <c r="Y386" s="93"/>
      <c r="Z386" s="93"/>
      <c r="AA386" s="93"/>
      <c r="AB386" s="616"/>
      <c r="AC386" s="93"/>
      <c r="AD386" s="93"/>
      <c r="AE386" s="93"/>
      <c r="AF386" s="616"/>
      <c r="AG386" s="93"/>
      <c r="AH386" s="93"/>
      <c r="AI386" s="93"/>
      <c r="AJ386" s="616"/>
      <c r="AK386" s="93"/>
      <c r="AL386" s="93"/>
      <c r="AM386" s="93"/>
      <c r="AN386" s="616"/>
      <c r="AO386" s="93"/>
      <c r="AP386" s="93"/>
      <c r="AQ386" s="93"/>
      <c r="AR386" s="616"/>
      <c r="AS386" s="93"/>
      <c r="AT386" s="93"/>
      <c r="AU386" s="93"/>
      <c r="AV386" s="616"/>
      <c r="AW386" s="93"/>
      <c r="AX386" s="93"/>
      <c r="AY386" s="93"/>
      <c r="AZ386" s="93"/>
      <c r="BA386" s="93"/>
      <c r="BB386" s="638"/>
      <c r="BC386" s="638"/>
      <c r="BD386" s="638"/>
    </row>
    <row r="387" customFormat="false" ht="15.75" hidden="false" customHeight="false" outlineLevel="0" collapsed="false">
      <c r="A387" s="663" t="s">
        <v>1930</v>
      </c>
      <c r="B387" s="663"/>
      <c r="C387" s="663"/>
      <c r="D387" s="634" t="s">
        <v>835</v>
      </c>
      <c r="E387" s="662" t="s">
        <v>1807</v>
      </c>
      <c r="F387" s="582" t="n">
        <v>5</v>
      </c>
      <c r="G387" s="582" t="n">
        <v>150</v>
      </c>
      <c r="H387" s="592" t="n">
        <v>0.9</v>
      </c>
      <c r="I387" s="595"/>
      <c r="J387" s="44"/>
      <c r="K387" s="44"/>
      <c r="L387" s="44"/>
      <c r="M387" s="44"/>
      <c r="N387" s="44"/>
      <c r="O387" s="44"/>
      <c r="P387" s="661"/>
      <c r="Q387" s="595"/>
      <c r="R387" s="93"/>
      <c r="S387" s="44"/>
      <c r="T387" s="664"/>
      <c r="U387" s="44"/>
      <c r="V387" s="93"/>
      <c r="W387" s="93"/>
      <c r="X387" s="616"/>
      <c r="Y387" s="93"/>
      <c r="Z387" s="93"/>
      <c r="AA387" s="93"/>
      <c r="AB387" s="616"/>
      <c r="AC387" s="93"/>
      <c r="AD387" s="93"/>
      <c r="AE387" s="93"/>
      <c r="AF387" s="616"/>
      <c r="AG387" s="93"/>
      <c r="AH387" s="93"/>
      <c r="AI387" s="93"/>
      <c r="AJ387" s="616"/>
      <c r="AK387" s="93"/>
      <c r="AL387" s="93"/>
      <c r="AM387" s="93"/>
      <c r="AN387" s="616"/>
      <c r="AO387" s="93"/>
      <c r="AP387" s="93"/>
      <c r="AQ387" s="93"/>
      <c r="AR387" s="616"/>
      <c r="AS387" s="93"/>
      <c r="AT387" s="93"/>
      <c r="AU387" s="93"/>
      <c r="AV387" s="616"/>
      <c r="AW387" s="93"/>
      <c r="AX387" s="93"/>
      <c r="AY387" s="93"/>
      <c r="AZ387" s="93"/>
      <c r="BA387" s="93"/>
      <c r="BB387" s="638"/>
      <c r="BC387" s="638"/>
      <c r="BD387" s="638"/>
    </row>
    <row r="388" customFormat="false" ht="15.75" hidden="false" customHeight="false" outlineLevel="0" collapsed="false">
      <c r="A388" s="663" t="s">
        <v>1931</v>
      </c>
      <c r="B388" s="663"/>
      <c r="C388" s="663"/>
      <c r="D388" s="610" t="s">
        <v>839</v>
      </c>
      <c r="E388" s="662" t="s">
        <v>1807</v>
      </c>
      <c r="F388" s="582" t="n">
        <v>15</v>
      </c>
      <c r="G388" s="582" t="n">
        <v>60</v>
      </c>
      <c r="H388" s="592" t="n">
        <v>1</v>
      </c>
      <c r="I388" s="595"/>
      <c r="J388" s="44"/>
      <c r="K388" s="44"/>
      <c r="L388" s="44"/>
      <c r="M388" s="44"/>
      <c r="N388" s="44"/>
      <c r="O388" s="44"/>
      <c r="P388" s="661"/>
      <c r="Q388" s="595"/>
      <c r="R388" s="93"/>
      <c r="S388" s="44"/>
      <c r="T388" s="664"/>
      <c r="U388" s="44"/>
      <c r="V388" s="93"/>
      <c r="W388" s="93"/>
      <c r="X388" s="616"/>
      <c r="Y388" s="93"/>
      <c r="Z388" s="93"/>
      <c r="AA388" s="93"/>
      <c r="AB388" s="616"/>
      <c r="AC388" s="93"/>
      <c r="AD388" s="93"/>
      <c r="AE388" s="93"/>
      <c r="AF388" s="616"/>
      <c r="AG388" s="93"/>
      <c r="AH388" s="93"/>
      <c r="AI388" s="93"/>
      <c r="AJ388" s="616"/>
      <c r="AK388" s="93"/>
      <c r="AL388" s="93"/>
      <c r="AM388" s="93"/>
      <c r="AN388" s="616"/>
      <c r="AO388" s="93"/>
      <c r="AP388" s="93"/>
      <c r="AQ388" s="93"/>
      <c r="AR388" s="616"/>
      <c r="AS388" s="93"/>
      <c r="AT388" s="93"/>
      <c r="AU388" s="93"/>
      <c r="AV388" s="616"/>
      <c r="AW388" s="93"/>
      <c r="AX388" s="93"/>
      <c r="AY388" s="93"/>
      <c r="AZ388" s="93"/>
      <c r="BA388" s="93"/>
      <c r="BB388" s="638"/>
      <c r="BC388" s="638"/>
      <c r="BD388" s="638"/>
    </row>
    <row r="389" customFormat="false" ht="15.75" hidden="false" customHeight="false" outlineLevel="0" collapsed="false">
      <c r="A389" s="663" t="s">
        <v>1932</v>
      </c>
      <c r="B389" s="663"/>
      <c r="C389" s="663"/>
      <c r="D389" s="599" t="s">
        <v>811</v>
      </c>
      <c r="E389" s="662" t="s">
        <v>1807</v>
      </c>
      <c r="F389" s="582" t="n">
        <v>15</v>
      </c>
      <c r="G389" s="582" t="n">
        <v>80</v>
      </c>
      <c r="H389" s="592" t="n">
        <v>1</v>
      </c>
      <c r="I389" s="595"/>
      <c r="J389" s="44"/>
      <c r="K389" s="44"/>
      <c r="L389" s="44"/>
      <c r="M389" s="44"/>
      <c r="N389" s="44"/>
      <c r="O389" s="44"/>
      <c r="P389" s="661"/>
      <c r="Q389" s="595"/>
      <c r="R389" s="93"/>
      <c r="S389" s="44"/>
      <c r="T389" s="664"/>
      <c r="U389" s="44"/>
      <c r="V389" s="93"/>
      <c r="W389" s="93"/>
      <c r="X389" s="616"/>
      <c r="Y389" s="93"/>
      <c r="Z389" s="93"/>
      <c r="AA389" s="93"/>
      <c r="AB389" s="616"/>
      <c r="AC389" s="93"/>
      <c r="AD389" s="93"/>
      <c r="AE389" s="93"/>
      <c r="AF389" s="616"/>
      <c r="AG389" s="93"/>
      <c r="AH389" s="93"/>
      <c r="AI389" s="93"/>
      <c r="AJ389" s="616"/>
      <c r="AK389" s="93"/>
      <c r="AL389" s="93"/>
      <c r="AM389" s="93"/>
      <c r="AN389" s="616"/>
      <c r="AO389" s="93"/>
      <c r="AP389" s="93"/>
      <c r="AQ389" s="93"/>
      <c r="AR389" s="616"/>
      <c r="AS389" s="93"/>
      <c r="AT389" s="93"/>
      <c r="AU389" s="93"/>
      <c r="AV389" s="616"/>
      <c r="AW389" s="93"/>
      <c r="AX389" s="93"/>
      <c r="AY389" s="93"/>
      <c r="AZ389" s="93"/>
      <c r="BA389" s="93"/>
      <c r="BB389" s="638"/>
      <c r="BC389" s="638"/>
      <c r="BD389" s="638"/>
    </row>
    <row r="390" customFormat="false" ht="15.75" hidden="false" customHeight="false" outlineLevel="0" collapsed="false">
      <c r="A390" s="663" t="s">
        <v>1933</v>
      </c>
      <c r="B390" s="663"/>
      <c r="C390" s="663"/>
      <c r="D390" s="618" t="s">
        <v>800</v>
      </c>
      <c r="E390" s="662" t="s">
        <v>1807</v>
      </c>
      <c r="F390" s="582" t="n">
        <v>5</v>
      </c>
      <c r="G390" s="582" t="n">
        <v>100</v>
      </c>
      <c r="H390" s="592" t="n">
        <v>1</v>
      </c>
      <c r="I390" s="595"/>
      <c r="J390" s="44"/>
      <c r="K390" s="44"/>
      <c r="L390" s="44"/>
      <c r="M390" s="44"/>
      <c r="N390" s="44"/>
      <c r="O390" s="44"/>
      <c r="P390" s="661"/>
      <c r="Q390" s="595"/>
      <c r="R390" s="93"/>
      <c r="S390" s="44"/>
      <c r="T390" s="664"/>
      <c r="U390" s="44"/>
      <c r="V390" s="93"/>
      <c r="W390" s="93"/>
      <c r="X390" s="616"/>
      <c r="Y390" s="93"/>
      <c r="Z390" s="93"/>
      <c r="AA390" s="93"/>
      <c r="AB390" s="616"/>
      <c r="AC390" s="93"/>
      <c r="AD390" s="93"/>
      <c r="AE390" s="93"/>
      <c r="AF390" s="616"/>
      <c r="AG390" s="93"/>
      <c r="AH390" s="93"/>
      <c r="AI390" s="93"/>
      <c r="AJ390" s="616"/>
      <c r="AK390" s="93"/>
      <c r="AL390" s="93"/>
      <c r="AM390" s="93"/>
      <c r="AN390" s="616"/>
      <c r="AO390" s="93"/>
      <c r="AP390" s="93"/>
      <c r="AQ390" s="93"/>
      <c r="AR390" s="616"/>
      <c r="AS390" s="93"/>
      <c r="AT390" s="93"/>
      <c r="AU390" s="93"/>
      <c r="AV390" s="616"/>
      <c r="AW390" s="93"/>
      <c r="AX390" s="93"/>
      <c r="AY390" s="93"/>
      <c r="AZ390" s="93"/>
      <c r="BA390" s="93"/>
      <c r="BB390" s="638"/>
      <c r="BC390" s="638"/>
      <c r="BD390" s="638"/>
    </row>
    <row r="391" customFormat="false" ht="15.75" hidden="false" customHeight="false" outlineLevel="0" collapsed="false">
      <c r="A391" s="663" t="s">
        <v>1934</v>
      </c>
      <c r="B391" s="663"/>
      <c r="C391" s="663"/>
      <c r="D391" s="600" t="s">
        <v>881</v>
      </c>
      <c r="E391" s="662" t="s">
        <v>1807</v>
      </c>
      <c r="F391" s="582" t="n">
        <v>10</v>
      </c>
      <c r="G391" s="582" t="n">
        <v>85</v>
      </c>
      <c r="H391" s="592" t="n">
        <v>1</v>
      </c>
      <c r="I391" s="595"/>
      <c r="J391" s="44"/>
      <c r="K391" s="44"/>
      <c r="L391" s="44"/>
      <c r="M391" s="44"/>
      <c r="N391" s="44"/>
      <c r="O391" s="44"/>
      <c r="P391" s="661"/>
      <c r="Q391" s="595"/>
      <c r="R391" s="93"/>
      <c r="S391" s="44"/>
      <c r="T391" s="664"/>
      <c r="U391" s="44"/>
      <c r="V391" s="93"/>
      <c r="W391" s="93"/>
      <c r="X391" s="616"/>
      <c r="Y391" s="93"/>
      <c r="Z391" s="93"/>
      <c r="AA391" s="93"/>
      <c r="AB391" s="616"/>
      <c r="AC391" s="93"/>
      <c r="AD391" s="93"/>
      <c r="AE391" s="93"/>
      <c r="AF391" s="616"/>
      <c r="AG391" s="93"/>
      <c r="AH391" s="93"/>
      <c r="AI391" s="93"/>
      <c r="AJ391" s="616"/>
      <c r="AK391" s="93"/>
      <c r="AL391" s="93"/>
      <c r="AM391" s="93"/>
      <c r="AN391" s="616"/>
      <c r="AO391" s="93"/>
      <c r="AP391" s="93"/>
      <c r="AQ391" s="93"/>
      <c r="AR391" s="616"/>
      <c r="AS391" s="93"/>
      <c r="AT391" s="93"/>
      <c r="AU391" s="93"/>
      <c r="AV391" s="616"/>
      <c r="AW391" s="93"/>
      <c r="AX391" s="93"/>
      <c r="AY391" s="93"/>
      <c r="AZ391" s="93"/>
      <c r="BA391" s="93"/>
      <c r="BB391" s="638"/>
      <c r="BC391" s="638"/>
      <c r="BD391" s="638"/>
    </row>
    <row r="392" customFormat="false" ht="15.75" hidden="false" customHeight="false" outlineLevel="0" collapsed="false">
      <c r="A392" s="663" t="s">
        <v>1935</v>
      </c>
      <c r="B392" s="663"/>
      <c r="C392" s="663"/>
      <c r="D392" s="624" t="s">
        <v>803</v>
      </c>
      <c r="E392" s="662" t="s">
        <v>1807</v>
      </c>
      <c r="F392" s="582" t="n">
        <v>5</v>
      </c>
      <c r="G392" s="582" t="n">
        <v>120</v>
      </c>
      <c r="H392" s="592" t="n">
        <v>0.85</v>
      </c>
      <c r="I392" s="595"/>
      <c r="J392" s="44"/>
      <c r="K392" s="44"/>
      <c r="L392" s="44"/>
      <c r="M392" s="44"/>
      <c r="N392" s="44"/>
      <c r="O392" s="44"/>
      <c r="P392" s="661"/>
      <c r="Q392" s="595"/>
      <c r="R392" s="93"/>
      <c r="S392" s="44"/>
      <c r="T392" s="664"/>
      <c r="U392" s="44"/>
      <c r="V392" s="93"/>
      <c r="W392" s="93"/>
      <c r="X392" s="616"/>
      <c r="Y392" s="93"/>
      <c r="Z392" s="93"/>
      <c r="AA392" s="93"/>
      <c r="AB392" s="616"/>
      <c r="AC392" s="93"/>
      <c r="AD392" s="93"/>
      <c r="AE392" s="93"/>
      <c r="AF392" s="616"/>
      <c r="AG392" s="93"/>
      <c r="AH392" s="93"/>
      <c r="AI392" s="93"/>
      <c r="AJ392" s="616"/>
      <c r="AK392" s="93"/>
      <c r="AL392" s="93"/>
      <c r="AM392" s="93"/>
      <c r="AN392" s="616"/>
      <c r="AO392" s="93"/>
      <c r="AP392" s="93"/>
      <c r="AQ392" s="93"/>
      <c r="AR392" s="616"/>
      <c r="AS392" s="93"/>
      <c r="AT392" s="93"/>
      <c r="AU392" s="93"/>
      <c r="AV392" s="616"/>
      <c r="AW392" s="93"/>
      <c r="AX392" s="93"/>
      <c r="AY392" s="93"/>
      <c r="AZ392" s="93"/>
      <c r="BA392" s="93"/>
      <c r="BB392" s="638"/>
      <c r="BC392" s="638"/>
      <c r="BD392" s="638"/>
    </row>
    <row r="393" customFormat="false" ht="15.75" hidden="false" customHeight="false" outlineLevel="0" collapsed="false">
      <c r="A393" s="663" t="s">
        <v>1936</v>
      </c>
      <c r="B393" s="663"/>
      <c r="C393" s="663"/>
      <c r="D393" s="605" t="s">
        <v>802</v>
      </c>
      <c r="E393" s="662" t="s">
        <v>1807</v>
      </c>
      <c r="F393" s="582" t="n">
        <v>15</v>
      </c>
      <c r="G393" s="582" t="n">
        <v>80</v>
      </c>
      <c r="H393" s="592" t="n">
        <v>1</v>
      </c>
      <c r="I393" s="595"/>
      <c r="J393" s="44"/>
      <c r="K393" s="44"/>
      <c r="L393" s="44"/>
      <c r="M393" s="44"/>
      <c r="N393" s="44"/>
      <c r="O393" s="44"/>
      <c r="P393" s="661"/>
      <c r="Q393" s="595"/>
      <c r="R393" s="93"/>
      <c r="S393" s="44"/>
      <c r="T393" s="664"/>
      <c r="U393" s="44"/>
      <c r="V393" s="93"/>
      <c r="W393" s="93"/>
      <c r="X393" s="616"/>
      <c r="Y393" s="93"/>
      <c r="Z393" s="93"/>
      <c r="AA393" s="93"/>
      <c r="AB393" s="616"/>
      <c r="AC393" s="93"/>
      <c r="AD393" s="93"/>
      <c r="AE393" s="93"/>
      <c r="AF393" s="616"/>
      <c r="AG393" s="93"/>
      <c r="AH393" s="93"/>
      <c r="AI393" s="93"/>
      <c r="AJ393" s="616"/>
      <c r="AK393" s="93"/>
      <c r="AL393" s="93"/>
      <c r="AM393" s="93"/>
      <c r="AN393" s="616"/>
      <c r="AO393" s="93"/>
      <c r="AP393" s="93"/>
      <c r="AQ393" s="93"/>
      <c r="AR393" s="616"/>
      <c r="AS393" s="93"/>
      <c r="AT393" s="93"/>
      <c r="AU393" s="93"/>
      <c r="AV393" s="616"/>
      <c r="AW393" s="93"/>
      <c r="AX393" s="93"/>
      <c r="AY393" s="93"/>
      <c r="AZ393" s="93"/>
      <c r="BA393" s="93"/>
      <c r="BB393" s="638"/>
      <c r="BC393" s="638"/>
      <c r="BD393" s="638"/>
    </row>
    <row r="394" customFormat="false" ht="15.75" hidden="false" customHeight="false" outlineLevel="0" collapsed="false">
      <c r="A394" s="663" t="s">
        <v>1937</v>
      </c>
      <c r="B394" s="663"/>
      <c r="C394" s="663"/>
      <c r="D394" s="608" t="s">
        <v>805</v>
      </c>
      <c r="E394" s="662" t="s">
        <v>1807</v>
      </c>
      <c r="F394" s="582" t="n">
        <v>5</v>
      </c>
      <c r="G394" s="582" t="s">
        <v>1422</v>
      </c>
      <c r="H394" s="583" t="n">
        <v>30</v>
      </c>
      <c r="I394" s="595"/>
      <c r="J394" s="44"/>
      <c r="K394" s="44"/>
      <c r="L394" s="44"/>
      <c r="M394" s="44"/>
      <c r="N394" s="44"/>
      <c r="O394" s="44"/>
      <c r="P394" s="661"/>
      <c r="Q394" s="595"/>
      <c r="R394" s="93"/>
      <c r="S394" s="44"/>
      <c r="T394" s="664"/>
      <c r="U394" s="44"/>
      <c r="V394" s="93"/>
      <c r="W394" s="93"/>
      <c r="X394" s="616"/>
      <c r="Y394" s="93"/>
      <c r="Z394" s="93"/>
      <c r="AA394" s="93"/>
      <c r="AB394" s="616"/>
      <c r="AC394" s="93"/>
      <c r="AD394" s="93"/>
      <c r="AE394" s="93"/>
      <c r="AF394" s="616"/>
      <c r="AG394" s="93"/>
      <c r="AH394" s="93"/>
      <c r="AI394" s="93"/>
      <c r="AJ394" s="616"/>
      <c r="AK394" s="93"/>
      <c r="AL394" s="93"/>
      <c r="AM394" s="93"/>
      <c r="AN394" s="616"/>
      <c r="AO394" s="93"/>
      <c r="AP394" s="93"/>
      <c r="AQ394" s="93"/>
      <c r="AR394" s="616"/>
      <c r="AS394" s="93"/>
      <c r="AT394" s="93"/>
      <c r="AU394" s="93"/>
      <c r="AV394" s="616"/>
      <c r="AW394" s="93"/>
      <c r="AX394" s="93"/>
      <c r="AY394" s="93"/>
      <c r="AZ394" s="93"/>
      <c r="BA394" s="93"/>
      <c r="BB394" s="638"/>
      <c r="BC394" s="638"/>
      <c r="BD394" s="638"/>
    </row>
    <row r="395" customFormat="false" ht="15.75" hidden="false" customHeight="false" outlineLevel="0" collapsed="false">
      <c r="A395" s="663" t="s">
        <v>1938</v>
      </c>
      <c r="B395" s="663"/>
      <c r="C395" s="663"/>
      <c r="D395" s="618" t="s">
        <v>800</v>
      </c>
      <c r="E395" s="662" t="s">
        <v>1807</v>
      </c>
      <c r="F395" s="582" t="n">
        <v>5</v>
      </c>
      <c r="G395" s="582" t="n">
        <v>150</v>
      </c>
      <c r="H395" s="592" t="n">
        <v>1</v>
      </c>
      <c r="I395" s="595"/>
      <c r="J395" s="44"/>
      <c r="K395" s="44"/>
      <c r="L395" s="44"/>
      <c r="M395" s="44"/>
      <c r="N395" s="44"/>
      <c r="O395" s="44"/>
      <c r="P395" s="661"/>
      <c r="Q395" s="595"/>
      <c r="R395" s="93"/>
      <c r="S395" s="44"/>
      <c r="T395" s="664"/>
      <c r="U395" s="44"/>
      <c r="V395" s="93"/>
      <c r="W395" s="93"/>
      <c r="X395" s="616"/>
      <c r="Y395" s="93"/>
      <c r="Z395" s="93"/>
      <c r="AA395" s="93"/>
      <c r="AB395" s="616"/>
      <c r="AC395" s="93"/>
      <c r="AD395" s="93"/>
      <c r="AE395" s="93"/>
      <c r="AF395" s="616"/>
      <c r="AG395" s="93"/>
      <c r="AH395" s="93"/>
      <c r="AI395" s="93"/>
      <c r="AJ395" s="616"/>
      <c r="AK395" s="93"/>
      <c r="AL395" s="93"/>
      <c r="AM395" s="93"/>
      <c r="AN395" s="616"/>
      <c r="AO395" s="93"/>
      <c r="AP395" s="93"/>
      <c r="AQ395" s="93"/>
      <c r="AR395" s="616"/>
      <c r="AS395" s="93"/>
      <c r="AT395" s="93"/>
      <c r="AU395" s="93"/>
      <c r="AV395" s="616"/>
      <c r="AW395" s="93"/>
      <c r="AX395" s="93"/>
      <c r="AY395" s="93"/>
      <c r="AZ395" s="93"/>
      <c r="BA395" s="93"/>
      <c r="BB395" s="638"/>
      <c r="BC395" s="638"/>
      <c r="BD395" s="638"/>
    </row>
    <row r="396" customFormat="false" ht="15.75" hidden="false" customHeight="false" outlineLevel="0" collapsed="false">
      <c r="A396" s="663" t="s">
        <v>1939</v>
      </c>
      <c r="B396" s="663"/>
      <c r="C396" s="663"/>
      <c r="D396" s="619" t="s">
        <v>845</v>
      </c>
      <c r="E396" s="662" t="s">
        <v>1807</v>
      </c>
      <c r="F396" s="582" t="n">
        <v>20</v>
      </c>
      <c r="G396" s="582" t="n">
        <v>60</v>
      </c>
      <c r="H396" s="583" t="s">
        <v>1120</v>
      </c>
      <c r="I396" s="595"/>
      <c r="J396" s="44"/>
      <c r="K396" s="44"/>
      <c r="L396" s="44"/>
      <c r="M396" s="44"/>
      <c r="N396" s="44"/>
      <c r="O396" s="44"/>
      <c r="P396" s="44"/>
      <c r="Q396" s="595"/>
      <c r="R396" s="93"/>
      <c r="S396" s="44"/>
      <c r="T396" s="664"/>
      <c r="U396" s="44"/>
      <c r="V396" s="93"/>
      <c r="W396" s="93"/>
      <c r="X396" s="616"/>
      <c r="Y396" s="93"/>
      <c r="Z396" s="93"/>
      <c r="AA396" s="93"/>
      <c r="AB396" s="616"/>
      <c r="AC396" s="93"/>
      <c r="AD396" s="93"/>
      <c r="AE396" s="93"/>
      <c r="AF396" s="616"/>
      <c r="AG396" s="93"/>
      <c r="AH396" s="93"/>
      <c r="AI396" s="93"/>
      <c r="AJ396" s="616"/>
      <c r="AK396" s="93"/>
      <c r="AL396" s="93"/>
      <c r="AM396" s="93"/>
      <c r="AN396" s="616"/>
      <c r="AO396" s="93"/>
      <c r="AP396" s="93"/>
      <c r="AQ396" s="93"/>
      <c r="AR396" s="616"/>
      <c r="AS396" s="93"/>
      <c r="AT396" s="93"/>
      <c r="AU396" s="93"/>
      <c r="AV396" s="616"/>
      <c r="AW396" s="93"/>
      <c r="AX396" s="93"/>
      <c r="AY396" s="93"/>
      <c r="AZ396" s="93"/>
      <c r="BA396" s="93"/>
      <c r="BB396" s="638"/>
      <c r="BC396" s="638"/>
      <c r="BD396" s="638"/>
    </row>
    <row r="397" customFormat="false" ht="15.75" hidden="false" customHeight="false" outlineLevel="0" collapsed="false">
      <c r="A397" s="663" t="s">
        <v>1940</v>
      </c>
      <c r="B397" s="663"/>
      <c r="C397" s="663"/>
      <c r="D397" s="607" t="s">
        <v>794</v>
      </c>
      <c r="E397" s="662" t="s">
        <v>1807</v>
      </c>
      <c r="F397" s="582" t="n">
        <v>15</v>
      </c>
      <c r="G397" s="582" t="n">
        <v>75</v>
      </c>
      <c r="H397" s="592" t="n">
        <v>1</v>
      </c>
      <c r="I397" s="595"/>
      <c r="J397" s="44"/>
      <c r="K397" s="44"/>
      <c r="L397" s="44"/>
      <c r="M397" s="44"/>
      <c r="N397" s="44"/>
      <c r="O397" s="44"/>
      <c r="P397" s="44"/>
      <c r="Q397" s="595"/>
      <c r="R397" s="93"/>
      <c r="S397" s="44"/>
      <c r="T397" s="664"/>
      <c r="U397" s="44"/>
      <c r="V397" s="93"/>
      <c r="W397" s="93"/>
      <c r="X397" s="616"/>
      <c r="Y397" s="93"/>
      <c r="Z397" s="93"/>
      <c r="AA397" s="93"/>
      <c r="AB397" s="616"/>
      <c r="AC397" s="93"/>
      <c r="AD397" s="93"/>
      <c r="AE397" s="93"/>
      <c r="AF397" s="616"/>
      <c r="AG397" s="93"/>
      <c r="AH397" s="93"/>
      <c r="AI397" s="93"/>
      <c r="AJ397" s="616"/>
      <c r="AK397" s="93"/>
      <c r="AL397" s="93"/>
      <c r="AM397" s="93"/>
      <c r="AN397" s="616"/>
      <c r="AO397" s="93"/>
      <c r="AP397" s="93"/>
      <c r="AQ397" s="93"/>
      <c r="AR397" s="616"/>
      <c r="AS397" s="93"/>
      <c r="AT397" s="93"/>
      <c r="AU397" s="93"/>
      <c r="AV397" s="616"/>
      <c r="AW397" s="93"/>
      <c r="AX397" s="93"/>
      <c r="AY397" s="93"/>
      <c r="AZ397" s="93"/>
      <c r="BA397" s="93"/>
      <c r="BB397" s="638"/>
      <c r="BC397" s="638"/>
      <c r="BD397" s="638"/>
    </row>
    <row r="398" customFormat="false" ht="15.75" hidden="false" customHeight="false" outlineLevel="0" collapsed="false">
      <c r="A398" s="663" t="s">
        <v>1941</v>
      </c>
      <c r="B398" s="663"/>
      <c r="C398" s="663"/>
      <c r="D398" s="607" t="s">
        <v>794</v>
      </c>
      <c r="E398" s="662" t="s">
        <v>1807</v>
      </c>
      <c r="F398" s="582" t="n">
        <v>5</v>
      </c>
      <c r="G398" s="582" t="n">
        <v>60</v>
      </c>
      <c r="H398" s="592" t="n">
        <v>1</v>
      </c>
      <c r="I398" s="595"/>
      <c r="J398" s="44"/>
      <c r="K398" s="44"/>
      <c r="L398" s="44"/>
      <c r="M398" s="44"/>
      <c r="N398" s="44"/>
      <c r="O398" s="44"/>
      <c r="P398" s="44"/>
      <c r="Q398" s="595"/>
      <c r="R398" s="93"/>
      <c r="S398" s="44"/>
      <c r="T398" s="664"/>
      <c r="U398" s="44"/>
      <c r="V398" s="93"/>
      <c r="W398" s="93"/>
      <c r="X398" s="616"/>
      <c r="Y398" s="93"/>
      <c r="Z398" s="93"/>
      <c r="AA398" s="93"/>
      <c r="AB398" s="616"/>
      <c r="AC398" s="93"/>
      <c r="AD398" s="93"/>
      <c r="AE398" s="93"/>
      <c r="AF398" s="616"/>
      <c r="AG398" s="93"/>
      <c r="AH398" s="93"/>
      <c r="AI398" s="93"/>
      <c r="AJ398" s="616"/>
      <c r="AK398" s="93"/>
      <c r="AL398" s="93"/>
      <c r="AM398" s="93"/>
      <c r="AN398" s="616"/>
      <c r="AO398" s="93"/>
      <c r="AP398" s="93"/>
      <c r="AQ398" s="93"/>
      <c r="AR398" s="616"/>
      <c r="AS398" s="93"/>
      <c r="AT398" s="93"/>
      <c r="AU398" s="93"/>
      <c r="AV398" s="616"/>
      <c r="AW398" s="93"/>
      <c r="AX398" s="93"/>
      <c r="AY398" s="93"/>
      <c r="AZ398" s="93"/>
      <c r="BA398" s="93"/>
      <c r="BB398" s="638"/>
      <c r="BC398" s="638"/>
      <c r="BD398" s="638"/>
    </row>
    <row r="399" customFormat="false" ht="15.75" hidden="false" customHeight="false" outlineLevel="0" collapsed="false">
      <c r="A399" s="663" t="s">
        <v>1942</v>
      </c>
      <c r="B399" s="663"/>
      <c r="C399" s="663"/>
      <c r="D399" s="629" t="s">
        <v>843</v>
      </c>
      <c r="E399" s="662" t="s">
        <v>1807</v>
      </c>
      <c r="F399" s="582" t="n">
        <v>20</v>
      </c>
      <c r="G399" s="582" t="n">
        <v>65</v>
      </c>
      <c r="H399" s="592" t="n">
        <v>1</v>
      </c>
      <c r="I399" s="44"/>
      <c r="J399" s="44"/>
      <c r="K399" s="44"/>
      <c r="L399" s="44"/>
      <c r="M399" s="44"/>
      <c r="N399" s="44"/>
      <c r="O399" s="44"/>
      <c r="P399" s="44"/>
      <c r="Q399" s="44"/>
      <c r="R399" s="44"/>
      <c r="S399" s="44"/>
      <c r="T399" s="664"/>
      <c r="U399" s="44"/>
      <c r="V399" s="44"/>
      <c r="W399" s="93"/>
      <c r="X399" s="616"/>
      <c r="Y399" s="93"/>
      <c r="Z399" s="44"/>
      <c r="AA399" s="93"/>
      <c r="AB399" s="616"/>
      <c r="AC399" s="93"/>
      <c r="AD399" s="44"/>
      <c r="AE399" s="93"/>
      <c r="AF399" s="616"/>
      <c r="AG399" s="93"/>
      <c r="AH399" s="44"/>
      <c r="AI399" s="93"/>
      <c r="AJ399" s="616"/>
      <c r="AK399" s="93"/>
      <c r="AL399" s="44"/>
      <c r="AM399" s="93"/>
      <c r="AN399" s="616"/>
      <c r="AO399" s="93"/>
      <c r="AP399" s="44"/>
      <c r="AQ399" s="93"/>
      <c r="AR399" s="616"/>
      <c r="AS399" s="93"/>
      <c r="AT399" s="44"/>
      <c r="AU399" s="93"/>
      <c r="AV399" s="616"/>
      <c r="AW399" s="93"/>
      <c r="AX399" s="44"/>
      <c r="AY399" s="44"/>
      <c r="AZ399" s="44"/>
      <c r="BA399" s="44"/>
      <c r="BB399" s="638"/>
      <c r="BC399" s="638"/>
      <c r="BD399" s="638"/>
    </row>
    <row r="400" customFormat="false" ht="15.75" hidden="false" customHeight="false" outlineLevel="0" collapsed="false">
      <c r="A400" s="663" t="s">
        <v>1943</v>
      </c>
      <c r="B400" s="663"/>
      <c r="C400" s="663"/>
      <c r="D400" s="629" t="s">
        <v>843</v>
      </c>
      <c r="E400" s="662" t="s">
        <v>1807</v>
      </c>
      <c r="F400" s="582" t="n">
        <v>10</v>
      </c>
      <c r="G400" s="582" t="n">
        <v>90</v>
      </c>
      <c r="H400" s="592" t="n">
        <v>1</v>
      </c>
      <c r="I400" s="44"/>
      <c r="J400" s="44"/>
      <c r="K400" s="44"/>
      <c r="L400" s="44"/>
      <c r="M400" s="44"/>
      <c r="N400" s="44"/>
      <c r="O400" s="44"/>
      <c r="P400" s="44"/>
      <c r="Q400" s="44"/>
      <c r="R400" s="44"/>
      <c r="S400" s="44"/>
      <c r="T400" s="664"/>
      <c r="U400" s="44"/>
      <c r="V400" s="44"/>
      <c r="W400" s="44"/>
      <c r="X400" s="664"/>
      <c r="Y400" s="44"/>
      <c r="Z400" s="44"/>
      <c r="AA400" s="93"/>
      <c r="AB400" s="616"/>
      <c r="AC400" s="93"/>
      <c r="AD400" s="44"/>
      <c r="AE400" s="93"/>
      <c r="AF400" s="616"/>
      <c r="AG400" s="93"/>
      <c r="AH400" s="44"/>
      <c r="AI400" s="93"/>
      <c r="AJ400" s="616"/>
      <c r="AK400" s="93"/>
      <c r="AL400" s="44"/>
      <c r="AM400" s="44"/>
      <c r="AN400" s="664"/>
      <c r="AO400" s="44"/>
      <c r="AP400" s="44"/>
      <c r="AQ400" s="44"/>
      <c r="AR400" s="664"/>
      <c r="AS400" s="44"/>
      <c r="AT400" s="44"/>
      <c r="AU400" s="93"/>
      <c r="AV400" s="616"/>
      <c r="AW400" s="93"/>
      <c r="AX400" s="44"/>
      <c r="AY400" s="44"/>
      <c r="AZ400" s="44"/>
      <c r="BA400" s="44"/>
      <c r="BB400" s="638"/>
      <c r="BC400" s="638"/>
      <c r="BD400" s="638"/>
    </row>
    <row r="401" customFormat="false" ht="15.75" hidden="false" customHeight="false" outlineLevel="0" collapsed="false">
      <c r="A401" s="663" t="s">
        <v>1944</v>
      </c>
      <c r="B401" s="663"/>
      <c r="C401" s="663"/>
      <c r="D401" s="629" t="s">
        <v>843</v>
      </c>
      <c r="E401" s="662" t="s">
        <v>1807</v>
      </c>
      <c r="F401" s="582" t="n">
        <v>10</v>
      </c>
      <c r="G401" s="582" t="n">
        <v>95</v>
      </c>
      <c r="H401" s="592" t="n">
        <v>1</v>
      </c>
      <c r="I401" s="44"/>
      <c r="J401" s="44"/>
      <c r="K401" s="44"/>
      <c r="L401" s="44"/>
      <c r="M401" s="44"/>
      <c r="N401" s="44"/>
      <c r="O401" s="44"/>
      <c r="P401" s="44"/>
      <c r="Q401" s="44"/>
      <c r="R401" s="44"/>
      <c r="S401" s="44"/>
      <c r="T401" s="664"/>
      <c r="U401" s="44"/>
      <c r="V401" s="44"/>
      <c r="W401" s="44"/>
      <c r="X401" s="664"/>
      <c r="Y401" s="44"/>
      <c r="Z401" s="44"/>
      <c r="AA401" s="44"/>
      <c r="AB401" s="664"/>
      <c r="AC401" s="44"/>
      <c r="AD401" s="44"/>
      <c r="AE401" s="93"/>
      <c r="AF401" s="616"/>
      <c r="AG401" s="93"/>
      <c r="AH401" s="44"/>
      <c r="AI401" s="93"/>
      <c r="AJ401" s="616"/>
      <c r="AK401" s="93"/>
      <c r="AL401" s="44"/>
      <c r="AM401" s="44"/>
      <c r="AN401" s="664"/>
      <c r="AO401" s="44"/>
      <c r="AP401" s="44"/>
      <c r="AQ401" s="44"/>
      <c r="AR401" s="664"/>
      <c r="AS401" s="44"/>
      <c r="AT401" s="44"/>
      <c r="AU401" s="93"/>
      <c r="AV401" s="616"/>
      <c r="AW401" s="93"/>
      <c r="AX401" s="44"/>
      <c r="AY401" s="44"/>
      <c r="AZ401" s="44"/>
      <c r="BA401" s="44"/>
      <c r="BB401" s="638"/>
      <c r="BC401" s="638"/>
      <c r="BD401" s="638"/>
    </row>
    <row r="402" customFormat="false" ht="15.75" hidden="false" customHeight="false" outlineLevel="0" collapsed="false">
      <c r="A402" s="663" t="s">
        <v>1945</v>
      </c>
      <c r="B402" s="663"/>
      <c r="C402" s="663"/>
      <c r="D402" s="629" t="s">
        <v>843</v>
      </c>
      <c r="E402" s="662" t="s">
        <v>1807</v>
      </c>
      <c r="F402" s="582" t="n">
        <v>20</v>
      </c>
      <c r="G402" s="582" t="n">
        <v>30</v>
      </c>
      <c r="H402" s="592" t="n">
        <v>0.7</v>
      </c>
      <c r="I402" s="44"/>
      <c r="J402" s="44"/>
      <c r="K402" s="44"/>
      <c r="L402" s="44"/>
      <c r="M402" s="44"/>
      <c r="N402" s="44"/>
      <c r="O402" s="44"/>
      <c r="P402" s="44"/>
      <c r="Q402" s="44"/>
      <c r="R402" s="44"/>
      <c r="S402" s="44"/>
      <c r="T402" s="664"/>
      <c r="U402" s="44"/>
      <c r="V402" s="44"/>
      <c r="W402" s="44"/>
      <c r="X402" s="664"/>
      <c r="Y402" s="44"/>
      <c r="Z402" s="44"/>
      <c r="AA402" s="44"/>
      <c r="AB402" s="664"/>
      <c r="AC402" s="44"/>
      <c r="AD402" s="44"/>
      <c r="AE402" s="93"/>
      <c r="AF402" s="616"/>
      <c r="AG402" s="93"/>
      <c r="AH402" s="44"/>
      <c r="AI402" s="93"/>
      <c r="AJ402" s="616"/>
      <c r="AK402" s="93"/>
      <c r="AL402" s="44"/>
      <c r="AM402" s="44"/>
      <c r="AN402" s="664"/>
      <c r="AO402" s="44"/>
      <c r="AP402" s="44"/>
      <c r="AQ402" s="44"/>
      <c r="AR402" s="664"/>
      <c r="AS402" s="44"/>
      <c r="AT402" s="44"/>
      <c r="AU402" s="93"/>
      <c r="AV402" s="616"/>
      <c r="AW402" s="93"/>
      <c r="AX402" s="44"/>
      <c r="AY402" s="44"/>
      <c r="AZ402" s="44"/>
      <c r="BA402" s="44"/>
      <c r="BB402" s="638"/>
      <c r="BC402" s="638"/>
      <c r="BD402" s="638"/>
    </row>
    <row r="403" customFormat="false" ht="15.75" hidden="false" customHeight="false" outlineLevel="0" collapsed="false">
      <c r="A403" s="663" t="s">
        <v>1946</v>
      </c>
      <c r="B403" s="663"/>
      <c r="C403" s="663"/>
      <c r="D403" s="603" t="s">
        <v>795</v>
      </c>
      <c r="E403" s="662" t="s">
        <v>1807</v>
      </c>
      <c r="F403" s="582" t="n">
        <v>15</v>
      </c>
      <c r="G403" s="582" t="n">
        <v>55</v>
      </c>
      <c r="H403" s="592" t="n">
        <v>0.95</v>
      </c>
      <c r="I403" s="44"/>
      <c r="J403" s="44"/>
      <c r="K403" s="44"/>
      <c r="L403" s="44"/>
      <c r="M403" s="44"/>
      <c r="N403" s="44"/>
      <c r="O403" s="44"/>
      <c r="P403" s="44"/>
      <c r="Q403" s="44"/>
      <c r="R403" s="44"/>
      <c r="S403" s="44"/>
      <c r="T403" s="664"/>
      <c r="U403" s="44"/>
      <c r="V403" s="44"/>
      <c r="W403" s="44"/>
      <c r="X403" s="664"/>
      <c r="Y403" s="44"/>
      <c r="Z403" s="44"/>
      <c r="AA403" s="44"/>
      <c r="AB403" s="664"/>
      <c r="AC403" s="44"/>
      <c r="AD403" s="44"/>
      <c r="AE403" s="93"/>
      <c r="AF403" s="616"/>
      <c r="AG403" s="93"/>
      <c r="AH403" s="44"/>
      <c r="AI403" s="93"/>
      <c r="AJ403" s="616"/>
      <c r="AK403" s="93"/>
      <c r="AL403" s="44"/>
      <c r="AM403" s="44"/>
      <c r="AN403" s="664"/>
      <c r="AO403" s="44"/>
      <c r="AP403" s="44"/>
      <c r="AQ403" s="44"/>
      <c r="AR403" s="664"/>
      <c r="AS403" s="44"/>
      <c r="AT403" s="44"/>
      <c r="AU403" s="93"/>
      <c r="AV403" s="616"/>
      <c r="AW403" s="93"/>
      <c r="AX403" s="44"/>
      <c r="AY403" s="44"/>
      <c r="AZ403" s="44"/>
      <c r="BA403" s="44"/>
      <c r="BB403" s="638"/>
      <c r="BC403" s="638"/>
      <c r="BD403" s="638"/>
    </row>
    <row r="404" customFormat="false" ht="15.75" hidden="false" customHeight="false" outlineLevel="0" collapsed="false">
      <c r="A404" s="663" t="s">
        <v>1947</v>
      </c>
      <c r="B404" s="663"/>
      <c r="C404" s="663"/>
      <c r="D404" s="610" t="s">
        <v>839</v>
      </c>
      <c r="E404" s="662" t="s">
        <v>1807</v>
      </c>
      <c r="F404" s="582" t="n">
        <v>15</v>
      </c>
      <c r="G404" s="582" t="n">
        <v>50</v>
      </c>
      <c r="H404" s="592" t="n">
        <v>1</v>
      </c>
      <c r="I404" s="44"/>
      <c r="J404" s="44"/>
      <c r="K404" s="44"/>
      <c r="L404" s="44"/>
      <c r="M404" s="44"/>
      <c r="N404" s="44"/>
      <c r="O404" s="44"/>
      <c r="P404" s="44"/>
      <c r="Q404" s="44"/>
      <c r="R404" s="44"/>
      <c r="S404" s="44"/>
      <c r="T404" s="664"/>
      <c r="U404" s="44"/>
      <c r="V404" s="44"/>
      <c r="W404" s="44"/>
      <c r="X404" s="664"/>
      <c r="Y404" s="44"/>
      <c r="Z404" s="44"/>
      <c r="AA404" s="44"/>
      <c r="AB404" s="664"/>
      <c r="AC404" s="44"/>
      <c r="AD404" s="44"/>
      <c r="AE404" s="44"/>
      <c r="AF404" s="664"/>
      <c r="AG404" s="44"/>
      <c r="AH404" s="44"/>
      <c r="AI404" s="93"/>
      <c r="AJ404" s="616"/>
      <c r="AK404" s="93"/>
      <c r="AL404" s="44"/>
      <c r="AM404" s="44"/>
      <c r="AN404" s="664"/>
      <c r="AO404" s="44"/>
      <c r="AP404" s="44"/>
      <c r="AQ404" s="44"/>
      <c r="AR404" s="664"/>
      <c r="AS404" s="44"/>
      <c r="AT404" s="44"/>
      <c r="AU404" s="93"/>
      <c r="AV404" s="616"/>
      <c r="AW404" s="93"/>
      <c r="AX404" s="44"/>
      <c r="AY404" s="44"/>
      <c r="AZ404" s="44"/>
      <c r="BA404" s="44"/>
      <c r="BB404" s="638"/>
      <c r="BC404" s="638"/>
      <c r="BD404" s="638"/>
    </row>
    <row r="405" customFormat="false" ht="15.75" hidden="false" customHeight="false" outlineLevel="0" collapsed="false">
      <c r="A405" s="663" t="s">
        <v>1948</v>
      </c>
      <c r="B405" s="663"/>
      <c r="C405" s="663"/>
      <c r="D405" s="624" t="s">
        <v>803</v>
      </c>
      <c r="E405" s="662" t="s">
        <v>1807</v>
      </c>
      <c r="F405" s="582" t="n">
        <v>10</v>
      </c>
      <c r="G405" s="582" t="n">
        <v>120</v>
      </c>
      <c r="H405" s="592" t="n">
        <v>1</v>
      </c>
      <c r="I405" s="44"/>
      <c r="J405" s="44"/>
      <c r="K405" s="44"/>
      <c r="L405" s="44"/>
      <c r="M405" s="44"/>
      <c r="N405" s="44"/>
      <c r="O405" s="44"/>
      <c r="P405" s="44"/>
      <c r="Q405" s="44"/>
      <c r="R405" s="44"/>
      <c r="S405" s="44"/>
      <c r="T405" s="664"/>
      <c r="U405" s="44"/>
      <c r="V405" s="44"/>
      <c r="W405" s="44"/>
      <c r="X405" s="664"/>
      <c r="Y405" s="44"/>
      <c r="Z405" s="44"/>
      <c r="AA405" s="44"/>
      <c r="AB405" s="664"/>
      <c r="AC405" s="44"/>
      <c r="AD405" s="44"/>
      <c r="AE405" s="44"/>
      <c r="AF405" s="664"/>
      <c r="AG405" s="44"/>
      <c r="AH405" s="44"/>
      <c r="AI405" s="93"/>
      <c r="AJ405" s="616"/>
      <c r="AK405" s="93"/>
      <c r="AL405" s="44"/>
      <c r="AM405" s="44"/>
      <c r="AN405" s="664"/>
      <c r="AO405" s="44"/>
      <c r="AP405" s="44"/>
      <c r="AQ405" s="44"/>
      <c r="AR405" s="664"/>
      <c r="AS405" s="44"/>
      <c r="AT405" s="44"/>
      <c r="AU405" s="93"/>
      <c r="AV405" s="616"/>
      <c r="AW405" s="93"/>
      <c r="AX405" s="44"/>
      <c r="AY405" s="44"/>
      <c r="AZ405" s="44"/>
      <c r="BA405" s="44"/>
      <c r="BB405" s="638"/>
      <c r="BC405" s="638"/>
      <c r="BD405" s="638"/>
    </row>
    <row r="406" customFormat="false" ht="15.75" hidden="false" customHeight="false" outlineLevel="0" collapsed="false">
      <c r="A406" s="663" t="s">
        <v>1949</v>
      </c>
      <c r="B406" s="663"/>
      <c r="C406" s="663"/>
      <c r="D406" s="610" t="s">
        <v>839</v>
      </c>
      <c r="E406" s="662" t="s">
        <v>1807</v>
      </c>
      <c r="F406" s="582" t="n">
        <v>20</v>
      </c>
      <c r="G406" s="582" t="s">
        <v>1950</v>
      </c>
      <c r="H406" s="592" t="n">
        <v>0.9</v>
      </c>
      <c r="I406" s="44"/>
      <c r="J406" s="44"/>
      <c r="K406" s="44"/>
      <c r="L406" s="44"/>
      <c r="M406" s="44"/>
      <c r="N406" s="44"/>
      <c r="O406" s="44"/>
      <c r="P406" s="44"/>
      <c r="Q406" s="44"/>
      <c r="R406" s="44"/>
      <c r="S406" s="44"/>
      <c r="T406" s="664"/>
      <c r="U406" s="44"/>
      <c r="V406" s="44"/>
      <c r="W406" s="44"/>
      <c r="X406" s="664"/>
      <c r="Y406" s="44"/>
      <c r="Z406" s="44"/>
      <c r="AA406" s="44"/>
      <c r="AB406" s="664"/>
      <c r="AC406" s="44"/>
      <c r="AD406" s="44"/>
      <c r="AE406" s="44"/>
      <c r="AF406" s="664"/>
      <c r="AG406" s="44"/>
      <c r="AH406" s="44"/>
      <c r="AI406" s="93"/>
      <c r="AJ406" s="616"/>
      <c r="AK406" s="93"/>
      <c r="AL406" s="44"/>
      <c r="AM406" s="44"/>
      <c r="AN406" s="664"/>
      <c r="AO406" s="44"/>
      <c r="AP406" s="44"/>
      <c r="AQ406" s="44"/>
      <c r="AR406" s="664"/>
      <c r="AS406" s="44"/>
      <c r="AT406" s="44"/>
      <c r="AU406" s="44"/>
      <c r="AV406" s="664"/>
      <c r="AW406" s="44"/>
      <c r="AX406" s="44"/>
      <c r="AY406" s="44"/>
      <c r="AZ406" s="44"/>
      <c r="BA406" s="44"/>
      <c r="BB406" s="638"/>
      <c r="BC406" s="638"/>
      <c r="BD406" s="638"/>
    </row>
    <row r="407" customFormat="false" ht="15.75" hidden="false" customHeight="false" outlineLevel="0" collapsed="false">
      <c r="A407" s="663" t="s">
        <v>1951</v>
      </c>
      <c r="B407" s="663"/>
      <c r="C407" s="663"/>
      <c r="D407" s="634" t="s">
        <v>835</v>
      </c>
      <c r="E407" s="662" t="s">
        <v>1807</v>
      </c>
      <c r="F407" s="582" t="n">
        <v>5</v>
      </c>
      <c r="G407" s="582" t="n">
        <v>100</v>
      </c>
      <c r="H407" s="592" t="n">
        <v>0.95</v>
      </c>
      <c r="I407" s="44"/>
      <c r="J407" s="44"/>
      <c r="K407" s="44"/>
      <c r="L407" s="44"/>
      <c r="M407" s="44"/>
      <c r="N407" s="44"/>
      <c r="O407" s="44"/>
      <c r="P407" s="44"/>
      <c r="Q407" s="44"/>
      <c r="R407" s="44"/>
      <c r="S407" s="44"/>
      <c r="T407" s="664"/>
      <c r="U407" s="44"/>
      <c r="V407" s="44"/>
      <c r="W407" s="44"/>
      <c r="X407" s="664"/>
      <c r="Y407" s="44"/>
      <c r="Z407" s="44"/>
      <c r="AA407" s="44"/>
      <c r="AB407" s="664"/>
      <c r="AC407" s="44"/>
      <c r="AD407" s="44"/>
      <c r="AE407" s="44"/>
      <c r="AF407" s="664"/>
      <c r="AG407" s="44"/>
      <c r="AH407" s="44"/>
      <c r="AI407" s="93"/>
      <c r="AJ407" s="616"/>
      <c r="AK407" s="93"/>
      <c r="AL407" s="44"/>
      <c r="AM407" s="44"/>
      <c r="AN407" s="664"/>
      <c r="AO407" s="44"/>
      <c r="AP407" s="44"/>
      <c r="AQ407" s="44"/>
      <c r="AR407" s="664"/>
      <c r="AS407" s="44"/>
      <c r="AT407" s="44"/>
      <c r="AU407" s="44"/>
      <c r="AV407" s="664"/>
      <c r="AW407" s="44"/>
      <c r="AX407" s="44"/>
      <c r="AY407" s="44"/>
      <c r="AZ407" s="44"/>
      <c r="BA407" s="44"/>
      <c r="BB407" s="638"/>
      <c r="BC407" s="638"/>
      <c r="BD407" s="638"/>
    </row>
    <row r="408" customFormat="false" ht="15.75" hidden="false" customHeight="false" outlineLevel="0" collapsed="false">
      <c r="A408" s="663" t="s">
        <v>1952</v>
      </c>
      <c r="B408" s="663"/>
      <c r="C408" s="663"/>
      <c r="D408" s="599" t="s">
        <v>811</v>
      </c>
      <c r="E408" s="662" t="s">
        <v>1807</v>
      </c>
      <c r="F408" s="582" t="n">
        <v>10</v>
      </c>
      <c r="G408" s="582" t="n">
        <v>90</v>
      </c>
      <c r="H408" s="592" t="n">
        <v>1</v>
      </c>
      <c r="I408" s="44"/>
      <c r="J408" s="44"/>
      <c r="K408" s="44"/>
      <c r="L408" s="44"/>
      <c r="M408" s="44"/>
      <c r="N408" s="44"/>
      <c r="O408" s="44"/>
      <c r="P408" s="44"/>
      <c r="Q408" s="44"/>
      <c r="R408" s="44"/>
      <c r="S408" s="44"/>
      <c r="T408" s="664"/>
      <c r="U408" s="44"/>
      <c r="V408" s="44"/>
      <c r="W408" s="44"/>
      <c r="X408" s="664"/>
      <c r="Y408" s="44"/>
      <c r="Z408" s="44"/>
      <c r="AA408" s="44"/>
      <c r="AB408" s="664"/>
      <c r="AC408" s="44"/>
      <c r="AD408" s="44"/>
      <c r="AE408" s="44"/>
      <c r="AF408" s="664"/>
      <c r="AG408" s="44"/>
      <c r="AH408" s="44"/>
      <c r="AI408" s="93"/>
      <c r="AJ408" s="616"/>
      <c r="AK408" s="93"/>
      <c r="AL408" s="44"/>
      <c r="AM408" s="44"/>
      <c r="AN408" s="664"/>
      <c r="AO408" s="44"/>
      <c r="AP408" s="44"/>
      <c r="AQ408" s="44"/>
      <c r="AR408" s="664"/>
      <c r="AS408" s="44"/>
      <c r="AT408" s="44"/>
      <c r="AU408" s="44"/>
      <c r="AV408" s="664"/>
      <c r="AW408" s="44"/>
      <c r="AX408" s="44"/>
      <c r="AY408" s="44"/>
      <c r="AZ408" s="44"/>
      <c r="BA408" s="44"/>
      <c r="BB408" s="638"/>
      <c r="BC408" s="638"/>
      <c r="BD408" s="638"/>
    </row>
    <row r="409" customFormat="false" ht="15.75" hidden="false" customHeight="false" outlineLevel="0" collapsed="false">
      <c r="A409" s="663" t="s">
        <v>1953</v>
      </c>
      <c r="B409" s="663"/>
      <c r="C409" s="663"/>
      <c r="D409" s="610" t="s">
        <v>839</v>
      </c>
      <c r="E409" s="662" t="s">
        <v>1807</v>
      </c>
      <c r="F409" s="582" t="n">
        <v>10</v>
      </c>
      <c r="G409" s="582" t="s">
        <v>1183</v>
      </c>
      <c r="H409" s="592" t="n">
        <v>1</v>
      </c>
      <c r="I409" s="44"/>
      <c r="J409" s="44"/>
      <c r="K409" s="44"/>
      <c r="L409" s="44"/>
      <c r="M409" s="44"/>
      <c r="N409" s="44"/>
      <c r="O409" s="44"/>
      <c r="P409" s="44"/>
      <c r="Q409" s="44"/>
      <c r="R409" s="44"/>
      <c r="S409" s="44"/>
      <c r="T409" s="664"/>
      <c r="U409" s="44"/>
      <c r="V409" s="44"/>
      <c r="W409" s="44"/>
      <c r="X409" s="664"/>
      <c r="Y409" s="44"/>
      <c r="Z409" s="44"/>
      <c r="AA409" s="44"/>
      <c r="AB409" s="664"/>
      <c r="AC409" s="44"/>
      <c r="AD409" s="44"/>
      <c r="AE409" s="44"/>
      <c r="AF409" s="664"/>
      <c r="AG409" s="44"/>
      <c r="AH409" s="44"/>
      <c r="AI409" s="93"/>
      <c r="AJ409" s="616"/>
      <c r="AK409" s="93"/>
      <c r="AL409" s="44"/>
      <c r="AM409" s="44"/>
      <c r="AN409" s="664"/>
      <c r="AO409" s="44"/>
      <c r="AP409" s="44"/>
      <c r="AQ409" s="44"/>
      <c r="AR409" s="664"/>
      <c r="AS409" s="44"/>
      <c r="AT409" s="44"/>
      <c r="AU409" s="44"/>
      <c r="AV409" s="664"/>
      <c r="AW409" s="44"/>
      <c r="AX409" s="44"/>
      <c r="AY409" s="44"/>
      <c r="AZ409" s="44"/>
      <c r="BA409" s="44"/>
      <c r="BB409" s="638"/>
      <c r="BC409" s="638"/>
      <c r="BD409" s="638"/>
    </row>
    <row r="410" customFormat="false" ht="15.75" hidden="false" customHeight="false" outlineLevel="0" collapsed="false">
      <c r="A410" s="663" t="s">
        <v>1954</v>
      </c>
      <c r="B410" s="663"/>
      <c r="C410" s="663"/>
      <c r="D410" s="599" t="s">
        <v>811</v>
      </c>
      <c r="E410" s="662" t="s">
        <v>1807</v>
      </c>
      <c r="F410" s="582" t="n">
        <v>5</v>
      </c>
      <c r="G410" s="582" t="n">
        <v>110</v>
      </c>
      <c r="H410" s="592" t="n">
        <v>0.95</v>
      </c>
      <c r="I410" s="44"/>
      <c r="J410" s="44"/>
      <c r="K410" s="44"/>
      <c r="L410" s="44"/>
      <c r="M410" s="44"/>
      <c r="N410" s="44"/>
      <c r="O410" s="44"/>
      <c r="P410" s="44"/>
      <c r="Q410" s="44"/>
      <c r="R410" s="44"/>
      <c r="S410" s="44"/>
      <c r="T410" s="664"/>
      <c r="U410" s="44"/>
      <c r="V410" s="44"/>
      <c r="W410" s="44"/>
      <c r="X410" s="664"/>
      <c r="Y410" s="44"/>
      <c r="Z410" s="44"/>
      <c r="AA410" s="44"/>
      <c r="AB410" s="664"/>
      <c r="AC410" s="44"/>
      <c r="AD410" s="44"/>
      <c r="AE410" s="44"/>
      <c r="AF410" s="664"/>
      <c r="AG410" s="44"/>
      <c r="AH410" s="44"/>
      <c r="AI410" s="93"/>
      <c r="AJ410" s="616"/>
      <c r="AK410" s="93"/>
      <c r="AL410" s="44"/>
      <c r="AM410" s="44"/>
      <c r="AN410" s="664"/>
      <c r="AO410" s="44"/>
      <c r="AP410" s="44"/>
      <c r="AQ410" s="44"/>
      <c r="AR410" s="664"/>
      <c r="AS410" s="44"/>
      <c r="AT410" s="44"/>
      <c r="AU410" s="44"/>
      <c r="AV410" s="664"/>
      <c r="AW410" s="44"/>
      <c r="AX410" s="44"/>
      <c r="AY410" s="44"/>
      <c r="AZ410" s="44"/>
      <c r="BA410" s="44"/>
      <c r="BB410" s="638"/>
      <c r="BC410" s="638"/>
      <c r="BD410" s="638"/>
    </row>
    <row r="411" customFormat="false" ht="15.75" hidden="false" customHeight="false" outlineLevel="0" collapsed="false">
      <c r="A411" s="663" t="s">
        <v>1955</v>
      </c>
      <c r="B411" s="663"/>
      <c r="C411" s="663"/>
      <c r="D411" s="639" t="s">
        <v>828</v>
      </c>
      <c r="E411" s="662" t="s">
        <v>1807</v>
      </c>
      <c r="F411" s="582" t="n">
        <v>10</v>
      </c>
      <c r="G411" s="582" t="n">
        <v>20</v>
      </c>
      <c r="H411" s="592" t="n">
        <v>1</v>
      </c>
      <c r="I411" s="44"/>
      <c r="J411" s="44"/>
      <c r="K411" s="44"/>
      <c r="L411" s="44"/>
      <c r="M411" s="44"/>
      <c r="N411" s="44"/>
      <c r="O411" s="44"/>
      <c r="P411" s="44"/>
      <c r="Q411" s="44"/>
      <c r="R411" s="44"/>
      <c r="S411" s="44"/>
      <c r="T411" s="664"/>
      <c r="U411" s="44"/>
      <c r="V411" s="44"/>
      <c r="W411" s="44"/>
      <c r="X411" s="664"/>
      <c r="Y411" s="44"/>
      <c r="Z411" s="44"/>
      <c r="AA411" s="44"/>
      <c r="AB411" s="664"/>
      <c r="AC411" s="44"/>
      <c r="AD411" s="44"/>
      <c r="AE411" s="44"/>
      <c r="AF411" s="664"/>
      <c r="AG411" s="44"/>
      <c r="AH411" s="44"/>
      <c r="AI411" s="93"/>
      <c r="AJ411" s="616"/>
      <c r="AK411" s="93"/>
      <c r="AL411" s="44"/>
      <c r="AM411" s="44"/>
      <c r="AN411" s="664"/>
      <c r="AO411" s="44"/>
      <c r="AP411" s="44"/>
      <c r="AQ411" s="44"/>
      <c r="AR411" s="664"/>
      <c r="AS411" s="44"/>
      <c r="AT411" s="44"/>
      <c r="AU411" s="44"/>
      <c r="AV411" s="664"/>
      <c r="AW411" s="44"/>
      <c r="AX411" s="44"/>
      <c r="AY411" s="44"/>
      <c r="AZ411" s="44"/>
      <c r="BA411" s="44"/>
      <c r="BB411" s="638"/>
      <c r="BC411" s="638"/>
      <c r="BD411" s="638"/>
    </row>
    <row r="412" customFormat="false" ht="15.75" hidden="false" customHeight="false" outlineLevel="0" collapsed="false">
      <c r="A412" s="663" t="s">
        <v>1956</v>
      </c>
      <c r="B412" s="663"/>
      <c r="C412" s="663"/>
      <c r="D412" s="607" t="s">
        <v>794</v>
      </c>
      <c r="E412" s="662" t="s">
        <v>1807</v>
      </c>
      <c r="F412" s="582" t="n">
        <v>20</v>
      </c>
      <c r="G412" s="582" t="n">
        <v>50</v>
      </c>
      <c r="H412" s="592" t="n">
        <v>1</v>
      </c>
      <c r="I412" s="44"/>
      <c r="J412" s="44"/>
      <c r="K412" s="44"/>
      <c r="L412" s="44"/>
      <c r="M412" s="44"/>
      <c r="N412" s="44"/>
      <c r="O412" s="44"/>
      <c r="P412" s="44"/>
      <c r="Q412" s="44"/>
      <c r="R412" s="44"/>
      <c r="S412" s="44"/>
      <c r="T412" s="664"/>
      <c r="U412" s="44"/>
      <c r="V412" s="44"/>
      <c r="W412" s="44"/>
      <c r="X412" s="664"/>
      <c r="Y412" s="44"/>
      <c r="Z412" s="44"/>
      <c r="AA412" s="44"/>
      <c r="AB412" s="664"/>
      <c r="AC412" s="44"/>
      <c r="AD412" s="44"/>
      <c r="AE412" s="44"/>
      <c r="AF412" s="664"/>
      <c r="AG412" s="44"/>
      <c r="AH412" s="44"/>
      <c r="AI412" s="93"/>
      <c r="AJ412" s="616"/>
      <c r="AK412" s="93"/>
      <c r="AL412" s="44"/>
      <c r="AM412" s="44"/>
      <c r="AN412" s="664"/>
      <c r="AO412" s="44"/>
      <c r="AP412" s="44"/>
      <c r="AQ412" s="44"/>
      <c r="AR412" s="664"/>
      <c r="AS412" s="44"/>
      <c r="AT412" s="44"/>
      <c r="AU412" s="44"/>
      <c r="AV412" s="664"/>
      <c r="AW412" s="44"/>
      <c r="AX412" s="44"/>
      <c r="AY412" s="44"/>
      <c r="AZ412" s="44"/>
      <c r="BA412" s="44"/>
      <c r="BB412" s="638"/>
      <c r="BC412" s="638"/>
      <c r="BD412" s="638"/>
    </row>
    <row r="413" customFormat="false" ht="15.75" hidden="false" customHeight="false" outlineLevel="0" collapsed="false">
      <c r="A413" s="663" t="s">
        <v>1957</v>
      </c>
      <c r="B413" s="663"/>
      <c r="C413" s="663"/>
      <c r="D413" s="599" t="s">
        <v>811</v>
      </c>
      <c r="E413" s="662" t="s">
        <v>1807</v>
      </c>
      <c r="F413" s="582" t="n">
        <v>15</v>
      </c>
      <c r="G413" s="582" t="n">
        <v>90</v>
      </c>
      <c r="H413" s="592" t="n">
        <v>1</v>
      </c>
      <c r="I413" s="44"/>
      <c r="J413" s="44"/>
      <c r="K413" s="44"/>
      <c r="L413" s="44"/>
      <c r="M413" s="44"/>
      <c r="N413" s="44"/>
      <c r="O413" s="44"/>
      <c r="P413" s="44"/>
      <c r="Q413" s="44"/>
      <c r="R413" s="44"/>
      <c r="S413" s="44"/>
      <c r="T413" s="664"/>
      <c r="U413" s="44"/>
      <c r="V413" s="44"/>
      <c r="W413" s="44"/>
      <c r="X413" s="664"/>
      <c r="Y413" s="44"/>
      <c r="Z413" s="44"/>
      <c r="AA413" s="44"/>
      <c r="AB413" s="664"/>
      <c r="AC413" s="44"/>
      <c r="AD413" s="44"/>
      <c r="AE413" s="44"/>
      <c r="AF413" s="664"/>
      <c r="AG413" s="44"/>
      <c r="AH413" s="44"/>
      <c r="AI413" s="93"/>
      <c r="AJ413" s="616"/>
      <c r="AK413" s="93"/>
      <c r="AL413" s="44"/>
      <c r="AM413" s="44"/>
      <c r="AN413" s="664"/>
      <c r="AO413" s="44"/>
      <c r="AP413" s="44"/>
      <c r="AQ413" s="44"/>
      <c r="AR413" s="664"/>
      <c r="AS413" s="44"/>
      <c r="AT413" s="44"/>
      <c r="AU413" s="44"/>
      <c r="AV413" s="664"/>
      <c r="AW413" s="44"/>
      <c r="AX413" s="44"/>
      <c r="AY413" s="44"/>
      <c r="AZ413" s="44"/>
      <c r="BA413" s="44"/>
      <c r="BB413" s="638"/>
      <c r="BC413" s="638"/>
      <c r="BD413" s="638"/>
    </row>
    <row r="414" customFormat="false" ht="15.75" hidden="false" customHeight="false" outlineLevel="0" collapsed="false">
      <c r="A414" s="663" t="s">
        <v>1958</v>
      </c>
      <c r="B414" s="663"/>
      <c r="C414" s="663"/>
      <c r="D414" s="610" t="s">
        <v>839</v>
      </c>
      <c r="E414" s="662" t="s">
        <v>1807</v>
      </c>
      <c r="F414" s="582" t="n">
        <v>20</v>
      </c>
      <c r="G414" s="582" t="n">
        <v>60</v>
      </c>
      <c r="H414" s="583" t="s">
        <v>1120</v>
      </c>
      <c r="I414" s="44"/>
      <c r="J414" s="44"/>
      <c r="K414" s="44"/>
      <c r="L414" s="44"/>
      <c r="M414" s="44"/>
      <c r="N414" s="44"/>
      <c r="O414" s="44"/>
      <c r="P414" s="44"/>
      <c r="Q414" s="44"/>
      <c r="R414" s="44"/>
      <c r="S414" s="44"/>
      <c r="T414" s="664"/>
      <c r="U414" s="44"/>
      <c r="V414" s="44"/>
      <c r="W414" s="44"/>
      <c r="X414" s="664"/>
      <c r="Y414" s="44"/>
      <c r="Z414" s="44"/>
      <c r="AA414" s="44"/>
      <c r="AB414" s="664"/>
      <c r="AC414" s="44"/>
      <c r="AD414" s="44"/>
      <c r="AE414" s="44"/>
      <c r="AF414" s="664"/>
      <c r="AG414" s="44"/>
      <c r="AH414" s="44"/>
      <c r="AI414" s="93"/>
      <c r="AJ414" s="616"/>
      <c r="AK414" s="93"/>
      <c r="AL414" s="44"/>
      <c r="AM414" s="44"/>
      <c r="AN414" s="664"/>
      <c r="AO414" s="44"/>
      <c r="AP414" s="44"/>
      <c r="AQ414" s="44"/>
      <c r="AR414" s="664"/>
      <c r="AS414" s="44"/>
      <c r="AT414" s="44"/>
      <c r="AU414" s="44"/>
      <c r="AV414" s="664"/>
      <c r="AW414" s="44"/>
      <c r="AX414" s="44"/>
      <c r="AY414" s="44"/>
      <c r="AZ414" s="44"/>
      <c r="BA414" s="44"/>
      <c r="BB414" s="638"/>
      <c r="BC414" s="638"/>
      <c r="BD414" s="638"/>
    </row>
    <row r="415" customFormat="false" ht="15.75" hidden="false" customHeight="false" outlineLevel="0" collapsed="false">
      <c r="A415" s="663" t="s">
        <v>1959</v>
      </c>
      <c r="B415" s="663"/>
      <c r="C415" s="663"/>
      <c r="D415" s="639" t="s">
        <v>828</v>
      </c>
      <c r="E415" s="662" t="s">
        <v>1807</v>
      </c>
      <c r="F415" s="582" t="n">
        <v>15</v>
      </c>
      <c r="G415" s="582" t="n">
        <v>120</v>
      </c>
      <c r="H415" s="592" t="n">
        <v>1</v>
      </c>
      <c r="I415" s="44"/>
      <c r="J415" s="44"/>
      <c r="K415" s="44"/>
      <c r="L415" s="44"/>
      <c r="M415" s="44"/>
      <c r="N415" s="44"/>
      <c r="O415" s="44"/>
      <c r="P415" s="44"/>
      <c r="Q415" s="44"/>
      <c r="R415" s="44"/>
      <c r="S415" s="44"/>
      <c r="T415" s="664"/>
      <c r="U415" s="44"/>
      <c r="V415" s="44"/>
      <c r="W415" s="44"/>
      <c r="X415" s="664"/>
      <c r="Y415" s="44"/>
      <c r="Z415" s="44"/>
      <c r="AA415" s="44"/>
      <c r="AB415" s="664"/>
      <c r="AC415" s="44"/>
      <c r="AD415" s="44"/>
      <c r="AE415" s="44"/>
      <c r="AF415" s="664"/>
      <c r="AG415" s="44"/>
      <c r="AH415" s="44"/>
      <c r="AI415" s="93"/>
      <c r="AJ415" s="616"/>
      <c r="AK415" s="93"/>
      <c r="AL415" s="44"/>
      <c r="AM415" s="44"/>
      <c r="AN415" s="664"/>
      <c r="AO415" s="44"/>
      <c r="AP415" s="44"/>
      <c r="AQ415" s="44"/>
      <c r="AR415" s="664"/>
      <c r="AS415" s="44"/>
      <c r="AT415" s="44"/>
      <c r="AU415" s="44"/>
      <c r="AV415" s="664"/>
      <c r="AW415" s="44"/>
      <c r="AX415" s="44"/>
      <c r="AY415" s="44"/>
      <c r="AZ415" s="44"/>
      <c r="BA415" s="44"/>
      <c r="BB415" s="638"/>
      <c r="BC415" s="638"/>
      <c r="BD415" s="638"/>
    </row>
    <row r="416" customFormat="false" ht="15.75" hidden="false" customHeight="false" outlineLevel="0" collapsed="false">
      <c r="A416" s="663" t="s">
        <v>1960</v>
      </c>
      <c r="B416" s="663"/>
      <c r="C416" s="663"/>
      <c r="D416" s="610" t="s">
        <v>839</v>
      </c>
      <c r="E416" s="662" t="s">
        <v>1807</v>
      </c>
      <c r="F416" s="582" t="n">
        <v>5</v>
      </c>
      <c r="G416" s="582" t="n">
        <v>120</v>
      </c>
      <c r="H416" s="592" t="n">
        <v>1</v>
      </c>
      <c r="I416" s="44"/>
      <c r="J416" s="44"/>
      <c r="K416" s="44"/>
      <c r="L416" s="44"/>
      <c r="M416" s="44"/>
      <c r="N416" s="44"/>
      <c r="O416" s="44"/>
      <c r="P416" s="44"/>
      <c r="Q416" s="44"/>
      <c r="R416" s="44"/>
      <c r="S416" s="44"/>
      <c r="T416" s="664"/>
      <c r="U416" s="44"/>
      <c r="V416" s="44"/>
      <c r="W416" s="44"/>
      <c r="X416" s="664"/>
      <c r="Y416" s="44"/>
      <c r="Z416" s="44"/>
      <c r="AA416" s="44"/>
      <c r="AB416" s="664"/>
      <c r="AC416" s="44"/>
      <c r="AD416" s="44"/>
      <c r="AE416" s="44"/>
      <c r="AF416" s="664"/>
      <c r="AG416" s="44"/>
      <c r="AH416" s="44"/>
      <c r="AI416" s="93"/>
      <c r="AJ416" s="616"/>
      <c r="AK416" s="93"/>
      <c r="AL416" s="44"/>
      <c r="AM416" s="44"/>
      <c r="AN416" s="664"/>
      <c r="AO416" s="44"/>
      <c r="AP416" s="44"/>
      <c r="AQ416" s="44"/>
      <c r="AR416" s="664"/>
      <c r="AS416" s="44"/>
      <c r="AT416" s="44"/>
      <c r="AU416" s="44"/>
      <c r="AV416" s="664"/>
      <c r="AW416" s="44"/>
      <c r="AX416" s="44"/>
      <c r="AY416" s="44"/>
      <c r="AZ416" s="44"/>
      <c r="BA416" s="44"/>
      <c r="BB416" s="638"/>
      <c r="BC416" s="638"/>
      <c r="BD416" s="638"/>
    </row>
    <row r="417" customFormat="false" ht="15.75" hidden="false" customHeight="false" outlineLevel="0" collapsed="false">
      <c r="A417" s="663" t="s">
        <v>1961</v>
      </c>
      <c r="B417" s="663"/>
      <c r="C417" s="663"/>
      <c r="D417" s="619" t="s">
        <v>845</v>
      </c>
      <c r="E417" s="662" t="s">
        <v>1807</v>
      </c>
      <c r="F417" s="582" t="n">
        <v>10</v>
      </c>
      <c r="G417" s="582" t="n">
        <v>110</v>
      </c>
      <c r="H417" s="592" t="n">
        <v>0.7</v>
      </c>
      <c r="I417" s="44"/>
      <c r="J417" s="44"/>
      <c r="K417" s="44"/>
      <c r="L417" s="44"/>
      <c r="M417" s="44"/>
      <c r="N417" s="44"/>
      <c r="O417" s="44"/>
      <c r="P417" s="44"/>
      <c r="Q417" s="44"/>
      <c r="R417" s="44"/>
      <c r="S417" s="44"/>
      <c r="T417" s="664"/>
      <c r="U417" s="44"/>
      <c r="V417" s="44"/>
      <c r="W417" s="44"/>
      <c r="X417" s="664"/>
      <c r="Y417" s="44"/>
      <c r="Z417" s="44"/>
      <c r="AA417" s="44"/>
      <c r="AB417" s="664"/>
      <c r="AC417" s="44"/>
      <c r="AD417" s="44"/>
      <c r="AE417" s="44"/>
      <c r="AF417" s="664"/>
      <c r="AG417" s="44"/>
      <c r="AH417" s="44"/>
      <c r="AI417" s="93"/>
      <c r="AJ417" s="616"/>
      <c r="AK417" s="93"/>
      <c r="AL417" s="44"/>
      <c r="AM417" s="44"/>
      <c r="AN417" s="664"/>
      <c r="AO417" s="44"/>
      <c r="AP417" s="44"/>
      <c r="AQ417" s="44"/>
      <c r="AR417" s="664"/>
      <c r="AS417" s="44"/>
      <c r="AT417" s="44"/>
      <c r="AU417" s="44"/>
      <c r="AV417" s="664"/>
      <c r="AW417" s="44"/>
      <c r="AX417" s="44"/>
      <c r="AY417" s="44"/>
      <c r="AZ417" s="44"/>
      <c r="BA417" s="44"/>
      <c r="BB417" s="638"/>
      <c r="BC417" s="638"/>
      <c r="BD417" s="638"/>
    </row>
    <row r="418" customFormat="false" ht="15.75" hidden="false" customHeight="false" outlineLevel="0" collapsed="false">
      <c r="A418" s="663" t="s">
        <v>1962</v>
      </c>
      <c r="B418" s="663"/>
      <c r="C418" s="663"/>
      <c r="D418" s="619" t="s">
        <v>845</v>
      </c>
      <c r="E418" s="662" t="s">
        <v>1807</v>
      </c>
      <c r="F418" s="582" t="n">
        <v>30</v>
      </c>
      <c r="G418" s="582" t="n">
        <v>40</v>
      </c>
      <c r="H418" s="592" t="n">
        <v>1</v>
      </c>
      <c r="I418" s="44"/>
      <c r="J418" s="44"/>
      <c r="K418" s="44"/>
      <c r="L418" s="44"/>
      <c r="M418" s="44"/>
      <c r="N418" s="44"/>
      <c r="O418" s="44"/>
      <c r="P418" s="44"/>
      <c r="Q418" s="44"/>
      <c r="R418" s="44"/>
      <c r="S418" s="44"/>
      <c r="T418" s="664"/>
      <c r="U418" s="44"/>
      <c r="V418" s="44"/>
      <c r="W418" s="44"/>
      <c r="X418" s="664"/>
      <c r="Y418" s="44"/>
      <c r="Z418" s="44"/>
      <c r="AA418" s="44"/>
      <c r="AB418" s="664"/>
      <c r="AC418" s="44"/>
      <c r="AD418" s="44"/>
      <c r="AE418" s="44"/>
      <c r="AF418" s="664"/>
      <c r="AG418" s="44"/>
      <c r="AH418" s="44"/>
      <c r="AI418" s="93"/>
      <c r="AJ418" s="616"/>
      <c r="AK418" s="93"/>
      <c r="AL418" s="44"/>
      <c r="AM418" s="44"/>
      <c r="AN418" s="664"/>
      <c r="AO418" s="44"/>
      <c r="AP418" s="44"/>
      <c r="AQ418" s="44"/>
      <c r="AR418" s="664"/>
      <c r="AS418" s="44"/>
      <c r="AT418" s="44"/>
      <c r="AU418" s="44"/>
      <c r="AV418" s="664"/>
      <c r="AW418" s="44"/>
      <c r="AX418" s="44"/>
      <c r="AY418" s="44"/>
      <c r="AZ418" s="44"/>
      <c r="BA418" s="44"/>
      <c r="BB418" s="638"/>
      <c r="BC418" s="638"/>
      <c r="BD418" s="638"/>
    </row>
    <row r="419" customFormat="false" ht="15.75" hidden="false" customHeight="false" outlineLevel="0" collapsed="false">
      <c r="A419" s="663" t="s">
        <v>1963</v>
      </c>
      <c r="B419" s="663"/>
      <c r="C419" s="663"/>
      <c r="D419" s="619" t="s">
        <v>845</v>
      </c>
      <c r="E419" s="662" t="s">
        <v>1807</v>
      </c>
      <c r="F419" s="582" t="n">
        <v>15</v>
      </c>
      <c r="G419" s="582" t="n">
        <v>90</v>
      </c>
      <c r="H419" s="592" t="n">
        <v>1</v>
      </c>
      <c r="I419" s="44"/>
      <c r="J419" s="44"/>
      <c r="K419" s="44"/>
      <c r="L419" s="44"/>
      <c r="M419" s="44"/>
      <c r="N419" s="44"/>
      <c r="O419" s="44"/>
      <c r="P419" s="44"/>
      <c r="Q419" s="44"/>
      <c r="R419" s="44"/>
      <c r="S419" s="44"/>
      <c r="T419" s="664"/>
      <c r="U419" s="44"/>
      <c r="V419" s="44"/>
      <c r="W419" s="44"/>
      <c r="X419" s="664"/>
      <c r="Y419" s="44"/>
      <c r="Z419" s="44"/>
      <c r="AA419" s="44"/>
      <c r="AB419" s="664"/>
      <c r="AC419" s="44"/>
      <c r="AD419" s="44"/>
      <c r="AE419" s="44"/>
      <c r="AF419" s="664"/>
      <c r="AG419" s="44"/>
      <c r="AH419" s="44"/>
      <c r="AI419" s="93"/>
      <c r="AJ419" s="616"/>
      <c r="AK419" s="93"/>
      <c r="AL419" s="44"/>
      <c r="AM419" s="44"/>
      <c r="AN419" s="664"/>
      <c r="AO419" s="44"/>
      <c r="AP419" s="44"/>
      <c r="AQ419" s="44"/>
      <c r="AR419" s="664"/>
      <c r="AS419" s="44"/>
      <c r="AT419" s="44"/>
      <c r="AU419" s="44"/>
      <c r="AV419" s="664"/>
      <c r="AW419" s="44"/>
      <c r="AX419" s="44"/>
      <c r="AY419" s="44"/>
      <c r="AZ419" s="44"/>
      <c r="BA419" s="44"/>
      <c r="BB419" s="638"/>
      <c r="BC419" s="638"/>
      <c r="BD419" s="638"/>
    </row>
    <row r="420" customFormat="false" ht="15.75" hidden="false" customHeight="false" outlineLevel="0" collapsed="false">
      <c r="A420" s="663" t="s">
        <v>1964</v>
      </c>
      <c r="B420" s="663"/>
      <c r="C420" s="663"/>
      <c r="D420" s="610" t="s">
        <v>839</v>
      </c>
      <c r="E420" s="662" t="s">
        <v>1807</v>
      </c>
      <c r="F420" s="582" t="n">
        <v>10</v>
      </c>
      <c r="G420" s="582" t="n">
        <v>80</v>
      </c>
      <c r="H420" s="592" t="n">
        <v>1</v>
      </c>
      <c r="I420" s="44"/>
      <c r="J420" s="44"/>
      <c r="K420" s="44"/>
      <c r="L420" s="44"/>
      <c r="M420" s="44"/>
      <c r="N420" s="44"/>
      <c r="O420" s="44"/>
      <c r="P420" s="44"/>
      <c r="Q420" s="44"/>
      <c r="R420" s="44"/>
      <c r="S420" s="44"/>
      <c r="T420" s="664"/>
      <c r="U420" s="44"/>
      <c r="V420" s="44"/>
      <c r="W420" s="44"/>
      <c r="X420" s="664"/>
      <c r="Y420" s="44"/>
      <c r="Z420" s="44"/>
      <c r="AA420" s="44"/>
      <c r="AB420" s="664"/>
      <c r="AC420" s="44"/>
      <c r="AD420" s="44"/>
      <c r="AE420" s="44"/>
      <c r="AF420" s="664"/>
      <c r="AG420" s="44"/>
      <c r="AH420" s="44"/>
      <c r="AI420" s="93"/>
      <c r="AJ420" s="616"/>
      <c r="AK420" s="93"/>
      <c r="AL420" s="44"/>
      <c r="AM420" s="44"/>
      <c r="AN420" s="664"/>
      <c r="AO420" s="44"/>
      <c r="AP420" s="44"/>
      <c r="AQ420" s="44"/>
      <c r="AR420" s="664"/>
      <c r="AS420" s="44"/>
      <c r="AT420" s="44"/>
      <c r="AU420" s="44"/>
      <c r="AV420" s="664"/>
      <c r="AW420" s="44"/>
      <c r="AX420" s="44"/>
      <c r="AY420" s="44"/>
      <c r="AZ420" s="44"/>
      <c r="BA420" s="44"/>
      <c r="BB420" s="638"/>
      <c r="BC420" s="638"/>
      <c r="BD420" s="638"/>
    </row>
    <row r="421" customFormat="false" ht="15.75" hidden="false" customHeight="false" outlineLevel="0" collapsed="false">
      <c r="A421" s="663" t="s">
        <v>1965</v>
      </c>
      <c r="B421" s="663"/>
      <c r="C421" s="663"/>
      <c r="D421" s="610" t="s">
        <v>839</v>
      </c>
      <c r="E421" s="662" t="s">
        <v>1807</v>
      </c>
      <c r="F421" s="582" t="n">
        <v>5</v>
      </c>
      <c r="G421" s="582" t="s">
        <v>1183</v>
      </c>
      <c r="H421" s="583" t="s">
        <v>1120</v>
      </c>
      <c r="I421" s="44"/>
      <c r="J421" s="44"/>
      <c r="K421" s="44"/>
      <c r="L421" s="44"/>
      <c r="M421" s="44"/>
      <c r="N421" s="44"/>
      <c r="O421" s="44"/>
      <c r="P421" s="44"/>
      <c r="Q421" s="44"/>
      <c r="R421" s="44"/>
      <c r="S421" s="44"/>
      <c r="T421" s="664"/>
      <c r="U421" s="44"/>
      <c r="V421" s="44"/>
      <c r="W421" s="44"/>
      <c r="X421" s="664"/>
      <c r="Y421" s="44"/>
      <c r="Z421" s="44"/>
      <c r="AA421" s="44"/>
      <c r="AB421" s="664"/>
      <c r="AC421" s="44"/>
      <c r="AD421" s="44"/>
      <c r="AE421" s="44"/>
      <c r="AF421" s="664"/>
      <c r="AG421" s="44"/>
      <c r="AH421" s="44"/>
      <c r="AI421" s="93"/>
      <c r="AJ421" s="616"/>
      <c r="AK421" s="93"/>
      <c r="AL421" s="44"/>
      <c r="AM421" s="44"/>
      <c r="AN421" s="664"/>
      <c r="AO421" s="44"/>
      <c r="AP421" s="44"/>
      <c r="AQ421" s="44"/>
      <c r="AR421" s="664"/>
      <c r="AS421" s="44"/>
      <c r="AT421" s="44"/>
      <c r="AU421" s="44"/>
      <c r="AV421" s="664"/>
      <c r="AW421" s="44"/>
      <c r="AX421" s="44"/>
      <c r="AY421" s="44"/>
      <c r="AZ421" s="44"/>
      <c r="BA421" s="44"/>
      <c r="BB421" s="638"/>
      <c r="BC421" s="638"/>
      <c r="BD421" s="638"/>
    </row>
    <row r="422" customFormat="false" ht="15.75" hidden="false" customHeight="false" outlineLevel="0" collapsed="false">
      <c r="A422" s="663" t="s">
        <v>1966</v>
      </c>
      <c r="B422" s="663"/>
      <c r="C422" s="663"/>
      <c r="D422" s="634" t="s">
        <v>835</v>
      </c>
      <c r="E422" s="662" t="s">
        <v>1807</v>
      </c>
      <c r="F422" s="582" t="n">
        <v>20</v>
      </c>
      <c r="G422" s="582" t="n">
        <v>40</v>
      </c>
      <c r="H422" s="592" t="n">
        <v>1</v>
      </c>
      <c r="I422" s="44"/>
      <c r="J422" s="44"/>
      <c r="K422" s="44"/>
      <c r="L422" s="44"/>
      <c r="M422" s="44"/>
      <c r="N422" s="44"/>
      <c r="O422" s="44"/>
      <c r="P422" s="44"/>
      <c r="Q422" s="44"/>
      <c r="R422" s="44"/>
      <c r="S422" s="44"/>
      <c r="T422" s="664"/>
      <c r="U422" s="44"/>
      <c r="V422" s="44"/>
      <c r="W422" s="44"/>
      <c r="X422" s="664"/>
      <c r="Y422" s="44"/>
      <c r="Z422" s="44"/>
      <c r="AA422" s="44"/>
      <c r="AB422" s="664"/>
      <c r="AC422" s="44"/>
      <c r="AD422" s="44"/>
      <c r="AE422" s="44"/>
      <c r="AF422" s="664"/>
      <c r="AG422" s="44"/>
      <c r="AH422" s="44"/>
      <c r="AI422" s="93"/>
      <c r="AJ422" s="616"/>
      <c r="AK422" s="93"/>
      <c r="AL422" s="44"/>
      <c r="AM422" s="44"/>
      <c r="AN422" s="664"/>
      <c r="AO422" s="44"/>
      <c r="AP422" s="44"/>
      <c r="AQ422" s="44"/>
      <c r="AR422" s="664"/>
      <c r="AS422" s="44"/>
      <c r="AT422" s="44"/>
      <c r="AU422" s="44"/>
      <c r="AV422" s="664"/>
      <c r="AW422" s="44"/>
      <c r="AX422" s="44"/>
      <c r="AY422" s="44"/>
      <c r="AZ422" s="44"/>
      <c r="BA422" s="44"/>
      <c r="BB422" s="638"/>
      <c r="BC422" s="638"/>
      <c r="BD422" s="638"/>
    </row>
    <row r="423" customFormat="false" ht="15.75" hidden="false" customHeight="false" outlineLevel="0" collapsed="false">
      <c r="A423" s="666" t="s">
        <v>1967</v>
      </c>
      <c r="B423" s="666"/>
      <c r="C423" s="666"/>
      <c r="D423" s="610" t="s">
        <v>839</v>
      </c>
      <c r="E423" s="662" t="s">
        <v>1807</v>
      </c>
      <c r="F423" s="50" t="n">
        <v>10</v>
      </c>
      <c r="G423" s="50" t="n">
        <v>90</v>
      </c>
      <c r="H423" s="592" t="n">
        <v>1</v>
      </c>
      <c r="I423" s="44"/>
      <c r="J423" s="44"/>
      <c r="K423" s="44"/>
      <c r="L423" s="44"/>
      <c r="M423" s="44"/>
      <c r="N423" s="44"/>
      <c r="O423" s="44"/>
      <c r="P423" s="44"/>
      <c r="Q423" s="44"/>
      <c r="R423" s="44"/>
      <c r="S423" s="44"/>
      <c r="T423" s="664"/>
      <c r="U423" s="44"/>
      <c r="V423" s="44"/>
      <c r="W423" s="44"/>
      <c r="X423" s="664"/>
      <c r="Y423" s="44"/>
      <c r="Z423" s="44"/>
      <c r="AA423" s="44"/>
      <c r="AB423" s="664"/>
      <c r="AC423" s="44"/>
      <c r="AD423" s="44"/>
      <c r="AE423" s="44"/>
      <c r="AF423" s="664"/>
      <c r="AG423" s="44"/>
      <c r="AH423" s="44"/>
      <c r="AI423" s="93"/>
      <c r="AJ423" s="616"/>
      <c r="AK423" s="93"/>
      <c r="AL423" s="44"/>
      <c r="AM423" s="44"/>
      <c r="AN423" s="664"/>
      <c r="AO423" s="44"/>
      <c r="AP423" s="44"/>
      <c r="AQ423" s="44"/>
      <c r="AR423" s="664"/>
      <c r="AS423" s="44"/>
      <c r="AT423" s="44"/>
      <c r="AU423" s="44"/>
      <c r="AV423" s="664"/>
      <c r="AW423" s="44"/>
      <c r="AX423" s="44"/>
      <c r="AY423" s="44"/>
      <c r="AZ423" s="44"/>
      <c r="BA423" s="44"/>
      <c r="BB423" s="638"/>
      <c r="BC423" s="638"/>
      <c r="BD423" s="638"/>
    </row>
    <row r="424" customFormat="false" ht="15.75" hidden="false" customHeight="false" outlineLevel="0" collapsed="false">
      <c r="A424" s="663" t="s">
        <v>1968</v>
      </c>
      <c r="B424" s="663"/>
      <c r="C424" s="663"/>
      <c r="D424" s="600" t="s">
        <v>881</v>
      </c>
      <c r="E424" s="662" t="s">
        <v>1807</v>
      </c>
      <c r="F424" s="582" t="n">
        <v>30</v>
      </c>
      <c r="G424" s="582" t="n">
        <v>40</v>
      </c>
      <c r="H424" s="592" t="n">
        <v>1</v>
      </c>
      <c r="I424" s="44"/>
      <c r="J424" s="44"/>
      <c r="K424" s="44"/>
      <c r="L424" s="44"/>
      <c r="M424" s="44"/>
      <c r="N424" s="44"/>
      <c r="O424" s="44"/>
      <c r="P424" s="44"/>
      <c r="Q424" s="44"/>
      <c r="R424" s="44"/>
      <c r="S424" s="44"/>
      <c r="T424" s="664"/>
      <c r="U424" s="44"/>
      <c r="V424" s="44"/>
      <c r="W424" s="44"/>
      <c r="X424" s="664"/>
      <c r="Y424" s="44"/>
      <c r="Z424" s="44"/>
      <c r="AA424" s="44"/>
      <c r="AB424" s="664"/>
      <c r="AC424" s="44"/>
      <c r="AD424" s="44"/>
      <c r="AE424" s="44"/>
      <c r="AF424" s="664"/>
      <c r="AG424" s="44"/>
      <c r="AH424" s="44"/>
      <c r="AI424" s="93"/>
      <c r="AJ424" s="616"/>
      <c r="AK424" s="93"/>
      <c r="AL424" s="44"/>
      <c r="AM424" s="44"/>
      <c r="AN424" s="664"/>
      <c r="AO424" s="44"/>
      <c r="AP424" s="44"/>
      <c r="AQ424" s="44"/>
      <c r="AR424" s="664"/>
      <c r="AS424" s="44"/>
      <c r="AT424" s="44"/>
      <c r="AU424" s="44"/>
      <c r="AV424" s="664"/>
      <c r="AW424" s="44"/>
      <c r="AX424" s="44"/>
      <c r="AY424" s="44"/>
      <c r="AZ424" s="44"/>
      <c r="BA424" s="44"/>
      <c r="BB424" s="638"/>
      <c r="BC424" s="638"/>
      <c r="BD424" s="638"/>
    </row>
    <row r="425" customFormat="false" ht="15.75" hidden="false" customHeight="false" outlineLevel="0" collapsed="false">
      <c r="A425" s="663" t="s">
        <v>1969</v>
      </c>
      <c r="B425" s="663"/>
      <c r="C425" s="663"/>
      <c r="D425" s="629" t="s">
        <v>843</v>
      </c>
      <c r="E425" s="662" t="s">
        <v>1807</v>
      </c>
      <c r="F425" s="582" t="n">
        <v>10</v>
      </c>
      <c r="G425" s="582" t="n">
        <v>65</v>
      </c>
      <c r="H425" s="592" t="n">
        <v>1</v>
      </c>
      <c r="I425" s="44"/>
      <c r="J425" s="44"/>
      <c r="K425" s="44"/>
      <c r="L425" s="44"/>
      <c r="M425" s="44"/>
      <c r="N425" s="44"/>
      <c r="O425" s="44"/>
      <c r="P425" s="44"/>
      <c r="Q425" s="44"/>
      <c r="R425" s="44"/>
      <c r="S425" s="44"/>
      <c r="T425" s="664"/>
      <c r="U425" s="44"/>
      <c r="V425" s="44"/>
      <c r="W425" s="44"/>
      <c r="X425" s="664"/>
      <c r="Y425" s="44"/>
      <c r="Z425" s="44"/>
      <c r="AA425" s="44"/>
      <c r="AB425" s="664"/>
      <c r="AC425" s="44"/>
      <c r="AD425" s="44"/>
      <c r="AE425" s="44"/>
      <c r="AF425" s="664"/>
      <c r="AG425" s="44"/>
      <c r="AH425" s="44"/>
      <c r="AI425" s="93"/>
      <c r="AJ425" s="616"/>
      <c r="AK425" s="93"/>
      <c r="AL425" s="44"/>
      <c r="AM425" s="44"/>
      <c r="AN425" s="664"/>
      <c r="AO425" s="44"/>
      <c r="AP425" s="44"/>
      <c r="AQ425" s="44"/>
      <c r="AR425" s="664"/>
      <c r="AS425" s="44"/>
      <c r="AT425" s="44"/>
      <c r="AU425" s="44"/>
      <c r="AV425" s="664"/>
      <c r="AW425" s="44"/>
      <c r="AX425" s="44"/>
      <c r="AY425" s="44"/>
      <c r="AZ425" s="44"/>
      <c r="BA425" s="44"/>
      <c r="BB425" s="638"/>
      <c r="BC425" s="638"/>
      <c r="BD425" s="638"/>
    </row>
    <row r="426" customFormat="false" ht="15.75" hidden="false" customHeight="false" outlineLevel="0" collapsed="false">
      <c r="A426" s="663" t="s">
        <v>1970</v>
      </c>
      <c r="B426" s="663"/>
      <c r="C426" s="663"/>
      <c r="D426" s="619" t="s">
        <v>845</v>
      </c>
      <c r="E426" s="662" t="s">
        <v>1807</v>
      </c>
      <c r="F426" s="582" t="n">
        <v>20</v>
      </c>
      <c r="G426" s="582" t="n">
        <v>70</v>
      </c>
      <c r="H426" s="592" t="n">
        <v>1</v>
      </c>
      <c r="I426" s="44"/>
      <c r="J426" s="44"/>
      <c r="K426" s="44"/>
      <c r="L426" s="44"/>
      <c r="M426" s="44"/>
      <c r="N426" s="44"/>
      <c r="O426" s="44"/>
      <c r="P426" s="44"/>
      <c r="Q426" s="44"/>
      <c r="R426" s="44"/>
      <c r="S426" s="44"/>
      <c r="T426" s="664"/>
      <c r="U426" s="44"/>
      <c r="V426" s="44"/>
      <c r="W426" s="44"/>
      <c r="X426" s="664"/>
      <c r="Y426" s="44"/>
      <c r="Z426" s="44"/>
      <c r="AA426" s="44"/>
      <c r="AB426" s="664"/>
      <c r="AC426" s="44"/>
      <c r="AD426" s="44"/>
      <c r="AE426" s="44"/>
      <c r="AF426" s="664"/>
      <c r="AG426" s="44"/>
      <c r="AH426" s="44"/>
      <c r="AI426" s="93"/>
      <c r="AJ426" s="616"/>
      <c r="AK426" s="93"/>
      <c r="AL426" s="44"/>
      <c r="AM426" s="44"/>
      <c r="AN426" s="664"/>
      <c r="AO426" s="44"/>
      <c r="AP426" s="44"/>
      <c r="AQ426" s="44"/>
      <c r="AR426" s="664"/>
      <c r="AS426" s="44"/>
      <c r="AT426" s="44"/>
      <c r="AU426" s="44"/>
      <c r="AV426" s="664"/>
      <c r="AW426" s="44"/>
      <c r="AX426" s="44"/>
      <c r="AY426" s="44"/>
      <c r="AZ426" s="44"/>
      <c r="BA426" s="44"/>
      <c r="BB426" s="638"/>
      <c r="BC426" s="638"/>
      <c r="BD426" s="638"/>
    </row>
    <row r="427" customFormat="false" ht="15.75" hidden="false" customHeight="false" outlineLevel="0" collapsed="false">
      <c r="A427" s="663" t="s">
        <v>1971</v>
      </c>
      <c r="B427" s="663"/>
      <c r="C427" s="663"/>
      <c r="D427" s="599" t="s">
        <v>811</v>
      </c>
      <c r="E427" s="662" t="s">
        <v>1807</v>
      </c>
      <c r="F427" s="582" t="n">
        <v>25</v>
      </c>
      <c r="G427" s="582" t="n">
        <v>40</v>
      </c>
      <c r="H427" s="592" t="n">
        <v>1</v>
      </c>
      <c r="I427" s="44"/>
      <c r="J427" s="44"/>
      <c r="K427" s="44"/>
      <c r="L427" s="44"/>
      <c r="M427" s="44"/>
      <c r="N427" s="44"/>
      <c r="O427" s="44"/>
      <c r="P427" s="44"/>
      <c r="Q427" s="44"/>
      <c r="R427" s="44"/>
      <c r="S427" s="44"/>
      <c r="T427" s="664"/>
      <c r="U427" s="44"/>
      <c r="V427" s="44"/>
      <c r="W427" s="44"/>
      <c r="X427" s="664"/>
      <c r="Y427" s="44"/>
      <c r="Z427" s="44"/>
      <c r="AA427" s="44"/>
      <c r="AB427" s="664"/>
      <c r="AC427" s="44"/>
      <c r="AD427" s="44"/>
      <c r="AE427" s="44"/>
      <c r="AF427" s="664"/>
      <c r="AG427" s="44"/>
      <c r="AH427" s="44"/>
      <c r="AI427" s="93"/>
      <c r="AJ427" s="616"/>
      <c r="AK427" s="93"/>
      <c r="AL427" s="44"/>
      <c r="AM427" s="44"/>
      <c r="AN427" s="664"/>
      <c r="AO427" s="44"/>
      <c r="AP427" s="44"/>
      <c r="AQ427" s="44"/>
      <c r="AR427" s="664"/>
      <c r="AS427" s="44"/>
      <c r="AT427" s="44"/>
      <c r="AU427" s="44"/>
      <c r="AV427" s="664"/>
      <c r="AW427" s="44"/>
      <c r="AX427" s="44"/>
      <c r="AY427" s="44"/>
      <c r="AZ427" s="44"/>
      <c r="BA427" s="44"/>
      <c r="BB427" s="638"/>
      <c r="BC427" s="638"/>
      <c r="BD427" s="638"/>
    </row>
    <row r="428" customFormat="false" ht="15.75" hidden="false" customHeight="false" outlineLevel="0" collapsed="false">
      <c r="A428" s="663" t="s">
        <v>1972</v>
      </c>
      <c r="B428" s="663"/>
      <c r="C428" s="663"/>
      <c r="D428" s="599" t="s">
        <v>811</v>
      </c>
      <c r="E428" s="662" t="s">
        <v>1807</v>
      </c>
      <c r="F428" s="582" t="n">
        <v>10</v>
      </c>
      <c r="G428" s="582" t="n">
        <v>80</v>
      </c>
      <c r="H428" s="592" t="n">
        <v>1</v>
      </c>
      <c r="I428" s="44"/>
      <c r="J428" s="44"/>
      <c r="K428" s="44"/>
      <c r="L428" s="44"/>
      <c r="M428" s="44"/>
      <c r="N428" s="44"/>
      <c r="O428" s="44"/>
      <c r="P428" s="44"/>
      <c r="Q428" s="44"/>
      <c r="R428" s="44"/>
      <c r="S428" s="44"/>
      <c r="T428" s="664"/>
      <c r="U428" s="44"/>
      <c r="V428" s="44"/>
      <c r="W428" s="44"/>
      <c r="X428" s="664"/>
      <c r="Y428" s="44"/>
      <c r="Z428" s="44"/>
      <c r="AA428" s="44"/>
      <c r="AB428" s="664"/>
      <c r="AC428" s="44"/>
      <c r="AD428" s="44"/>
      <c r="AE428" s="44"/>
      <c r="AF428" s="664"/>
      <c r="AG428" s="44"/>
      <c r="AH428" s="44"/>
      <c r="AI428" s="93"/>
      <c r="AJ428" s="616"/>
      <c r="AK428" s="93"/>
      <c r="AL428" s="44"/>
      <c r="AM428" s="44"/>
      <c r="AN428" s="664"/>
      <c r="AO428" s="44"/>
      <c r="AP428" s="44"/>
      <c r="AQ428" s="44"/>
      <c r="AR428" s="664"/>
      <c r="AS428" s="44"/>
      <c r="AT428" s="44"/>
      <c r="AU428" s="44"/>
      <c r="AV428" s="664"/>
      <c r="AW428" s="44"/>
      <c r="AX428" s="44"/>
      <c r="AY428" s="44"/>
      <c r="AZ428" s="44"/>
      <c r="BA428" s="44"/>
      <c r="BB428" s="638"/>
      <c r="BC428" s="638"/>
      <c r="BD428" s="638"/>
    </row>
    <row r="429" customFormat="false" ht="15.75" hidden="false" customHeight="false" outlineLevel="0" collapsed="false">
      <c r="A429" s="663" t="s">
        <v>1973</v>
      </c>
      <c r="B429" s="663"/>
      <c r="C429" s="663"/>
      <c r="D429" s="599" t="s">
        <v>811</v>
      </c>
      <c r="E429" s="662" t="s">
        <v>1807</v>
      </c>
      <c r="F429" s="582" t="n">
        <v>20</v>
      </c>
      <c r="G429" s="582" t="n">
        <v>60</v>
      </c>
      <c r="H429" s="592" t="n">
        <v>1</v>
      </c>
      <c r="I429" s="44"/>
      <c r="J429" s="44"/>
      <c r="K429" s="44"/>
      <c r="L429" s="44"/>
      <c r="M429" s="44"/>
      <c r="N429" s="44"/>
      <c r="O429" s="44"/>
      <c r="P429" s="44"/>
      <c r="Q429" s="44"/>
      <c r="R429" s="44"/>
      <c r="S429" s="44"/>
      <c r="T429" s="664"/>
      <c r="U429" s="44"/>
      <c r="V429" s="44"/>
      <c r="W429" s="44"/>
      <c r="X429" s="664"/>
      <c r="Y429" s="44"/>
      <c r="Z429" s="44"/>
      <c r="AA429" s="44"/>
      <c r="AB429" s="664"/>
      <c r="AC429" s="44"/>
      <c r="AD429" s="44"/>
      <c r="AE429" s="44"/>
      <c r="AF429" s="664"/>
      <c r="AG429" s="44"/>
      <c r="AH429" s="44"/>
      <c r="AI429" s="93"/>
      <c r="AJ429" s="616"/>
      <c r="AK429" s="93"/>
      <c r="AL429" s="44"/>
      <c r="AM429" s="44"/>
      <c r="AN429" s="664"/>
      <c r="AO429" s="44"/>
      <c r="AP429" s="44"/>
      <c r="AQ429" s="44"/>
      <c r="AR429" s="664"/>
      <c r="AS429" s="44"/>
      <c r="AT429" s="44"/>
      <c r="AU429" s="44"/>
      <c r="AV429" s="664"/>
      <c r="AW429" s="44"/>
      <c r="AX429" s="44"/>
      <c r="AY429" s="44"/>
      <c r="AZ429" s="44"/>
      <c r="BA429" s="44"/>
      <c r="BB429" s="638"/>
      <c r="BC429" s="638"/>
      <c r="BD429" s="638"/>
    </row>
    <row r="430" customFormat="false" ht="15.75" hidden="false" customHeight="false" outlineLevel="0" collapsed="false">
      <c r="A430" s="666" t="s">
        <v>1974</v>
      </c>
      <c r="B430" s="666"/>
      <c r="C430" s="666"/>
      <c r="D430" s="599" t="s">
        <v>811</v>
      </c>
      <c r="E430" s="662" t="s">
        <v>1807</v>
      </c>
      <c r="F430" s="50" t="n">
        <v>20</v>
      </c>
      <c r="G430" s="582" t="n">
        <v>15</v>
      </c>
      <c r="H430" s="592" t="n">
        <v>1</v>
      </c>
      <c r="I430" s="44"/>
      <c r="J430" s="44"/>
      <c r="K430" s="44"/>
      <c r="L430" s="44"/>
      <c r="M430" s="44"/>
      <c r="N430" s="44"/>
      <c r="O430" s="44"/>
      <c r="P430" s="44"/>
      <c r="Q430" s="44"/>
      <c r="R430" s="44"/>
      <c r="S430" s="44"/>
      <c r="T430" s="664"/>
      <c r="U430" s="44"/>
      <c r="V430" s="44"/>
      <c r="W430" s="44"/>
      <c r="X430" s="664"/>
      <c r="Y430" s="44"/>
      <c r="Z430" s="44"/>
      <c r="AA430" s="44"/>
      <c r="AB430" s="664"/>
      <c r="AC430" s="44"/>
      <c r="AD430" s="44"/>
      <c r="AE430" s="44"/>
      <c r="AF430" s="664"/>
      <c r="AG430" s="44"/>
      <c r="AH430" s="44"/>
      <c r="AI430" s="93"/>
      <c r="AJ430" s="616"/>
      <c r="AK430" s="93"/>
      <c r="AL430" s="44"/>
      <c r="AM430" s="44"/>
      <c r="AN430" s="664"/>
      <c r="AO430" s="44"/>
      <c r="AP430" s="44"/>
      <c r="AQ430" s="44"/>
      <c r="AR430" s="664"/>
      <c r="AS430" s="44"/>
      <c r="AT430" s="44"/>
      <c r="AU430" s="44"/>
      <c r="AV430" s="664"/>
      <c r="AW430" s="44"/>
      <c r="AX430" s="44"/>
      <c r="AY430" s="44"/>
      <c r="AZ430" s="44"/>
      <c r="BA430" s="44"/>
      <c r="BB430" s="638"/>
      <c r="BC430" s="638"/>
      <c r="BD430" s="638"/>
    </row>
    <row r="431" customFormat="false" ht="15.75" hidden="false" customHeight="false" outlineLevel="0" collapsed="false">
      <c r="A431" s="663" t="s">
        <v>1975</v>
      </c>
      <c r="B431" s="663"/>
      <c r="C431" s="663"/>
      <c r="D431" s="599" t="s">
        <v>811</v>
      </c>
      <c r="E431" s="662" t="s">
        <v>1807</v>
      </c>
      <c r="F431" s="582" t="n">
        <v>5</v>
      </c>
      <c r="G431" s="582" t="s">
        <v>1183</v>
      </c>
      <c r="H431" s="592" t="n">
        <v>1</v>
      </c>
      <c r="I431" s="44"/>
      <c r="J431" s="44"/>
      <c r="K431" s="44"/>
      <c r="L431" s="44"/>
      <c r="M431" s="44"/>
      <c r="N431" s="44"/>
      <c r="O431" s="44"/>
      <c r="P431" s="44"/>
      <c r="Q431" s="44"/>
      <c r="R431" s="44"/>
      <c r="S431" s="44"/>
      <c r="T431" s="664"/>
      <c r="U431" s="44"/>
      <c r="V431" s="44"/>
      <c r="W431" s="44"/>
      <c r="X431" s="664"/>
      <c r="Y431" s="44"/>
      <c r="Z431" s="44"/>
      <c r="AA431" s="44"/>
      <c r="AB431" s="664"/>
      <c r="AC431" s="44"/>
      <c r="AD431" s="44"/>
      <c r="AE431" s="44"/>
      <c r="AF431" s="664"/>
      <c r="AG431" s="44"/>
      <c r="AH431" s="44"/>
      <c r="AI431" s="93"/>
      <c r="AJ431" s="616"/>
      <c r="AK431" s="93"/>
      <c r="AL431" s="44"/>
      <c r="AM431" s="44"/>
      <c r="AN431" s="664"/>
      <c r="AO431" s="44"/>
      <c r="AP431" s="44"/>
      <c r="AQ431" s="44"/>
      <c r="AR431" s="664"/>
      <c r="AS431" s="44"/>
      <c r="AT431" s="44"/>
      <c r="AU431" s="44"/>
      <c r="AV431" s="664"/>
      <c r="AW431" s="44"/>
      <c r="AX431" s="44"/>
      <c r="AY431" s="44"/>
      <c r="AZ431" s="44"/>
      <c r="BA431" s="44"/>
      <c r="BB431" s="638"/>
      <c r="BC431" s="638"/>
      <c r="BD431" s="638"/>
    </row>
    <row r="432" customFormat="false" ht="15.75" hidden="false" customHeight="false" outlineLevel="0" collapsed="false">
      <c r="A432" s="663" t="s">
        <v>1976</v>
      </c>
      <c r="B432" s="663"/>
      <c r="C432" s="663"/>
      <c r="D432" s="610" t="s">
        <v>839</v>
      </c>
      <c r="E432" s="662" t="s">
        <v>1807</v>
      </c>
      <c r="F432" s="582" t="n">
        <v>10</v>
      </c>
      <c r="G432" s="582" t="n">
        <v>50</v>
      </c>
      <c r="H432" s="592" t="n">
        <v>1</v>
      </c>
      <c r="I432" s="44"/>
      <c r="J432" s="44"/>
      <c r="K432" s="44"/>
      <c r="L432" s="44"/>
      <c r="M432" s="44"/>
      <c r="N432" s="44"/>
      <c r="O432" s="44"/>
      <c r="P432" s="44"/>
      <c r="Q432" s="44"/>
      <c r="R432" s="44"/>
      <c r="S432" s="44"/>
      <c r="T432" s="664"/>
      <c r="U432" s="44"/>
      <c r="V432" s="44"/>
      <c r="W432" s="44"/>
      <c r="X432" s="664"/>
      <c r="Y432" s="44"/>
      <c r="Z432" s="44"/>
      <c r="AA432" s="44"/>
      <c r="AB432" s="664"/>
      <c r="AC432" s="44"/>
      <c r="AD432" s="44"/>
      <c r="AE432" s="44"/>
      <c r="AF432" s="664"/>
      <c r="AG432" s="44"/>
      <c r="AH432" s="44"/>
      <c r="AI432" s="93"/>
      <c r="AJ432" s="616"/>
      <c r="AK432" s="93"/>
      <c r="AL432" s="44"/>
      <c r="AM432" s="44"/>
      <c r="AN432" s="664"/>
      <c r="AO432" s="44"/>
      <c r="AP432" s="44"/>
      <c r="AQ432" s="44"/>
      <c r="AR432" s="664"/>
      <c r="AS432" s="44"/>
      <c r="AT432" s="44"/>
      <c r="AU432" s="44"/>
      <c r="AV432" s="664"/>
      <c r="AW432" s="44"/>
      <c r="AX432" s="44"/>
      <c r="AY432" s="44"/>
      <c r="AZ432" s="44"/>
      <c r="BA432" s="44"/>
      <c r="BB432" s="638"/>
      <c r="BC432" s="638"/>
      <c r="BD432" s="638"/>
    </row>
    <row r="433" customFormat="false" ht="15.75" hidden="false" customHeight="false" outlineLevel="0" collapsed="false">
      <c r="A433" s="663" t="s">
        <v>1977</v>
      </c>
      <c r="B433" s="663"/>
      <c r="C433" s="663"/>
      <c r="D433" s="599" t="s">
        <v>811</v>
      </c>
      <c r="E433" s="662" t="s">
        <v>1807</v>
      </c>
      <c r="F433" s="582" t="n">
        <v>15</v>
      </c>
      <c r="G433" s="582" t="n">
        <v>35</v>
      </c>
      <c r="H433" s="592" t="n">
        <v>0.85</v>
      </c>
      <c r="I433" s="44"/>
      <c r="J433" s="44"/>
      <c r="K433" s="44"/>
      <c r="L433" s="44"/>
      <c r="M433" s="44"/>
      <c r="N433" s="44"/>
      <c r="O433" s="44"/>
      <c r="P433" s="44"/>
      <c r="Q433" s="44"/>
      <c r="R433" s="44"/>
      <c r="S433" s="44"/>
      <c r="T433" s="664"/>
      <c r="U433" s="44"/>
      <c r="V433" s="44"/>
      <c r="W433" s="44"/>
      <c r="X433" s="664"/>
      <c r="Y433" s="44"/>
      <c r="Z433" s="44"/>
      <c r="AA433" s="44"/>
      <c r="AB433" s="664"/>
      <c r="AC433" s="44"/>
      <c r="AD433" s="44"/>
      <c r="AE433" s="44"/>
      <c r="AF433" s="664"/>
      <c r="AG433" s="44"/>
      <c r="AH433" s="44"/>
      <c r="AI433" s="93"/>
      <c r="AJ433" s="616"/>
      <c r="AK433" s="93"/>
      <c r="AL433" s="44"/>
      <c r="AM433" s="44"/>
      <c r="AN433" s="664"/>
      <c r="AO433" s="44"/>
      <c r="AP433" s="44"/>
      <c r="AQ433" s="44"/>
      <c r="AR433" s="664"/>
      <c r="AS433" s="44"/>
      <c r="AT433" s="44"/>
      <c r="AU433" s="44"/>
      <c r="AV433" s="664"/>
      <c r="AW433" s="44"/>
      <c r="AX433" s="44"/>
      <c r="AY433" s="44"/>
      <c r="AZ433" s="44"/>
      <c r="BA433" s="44"/>
      <c r="BB433" s="638"/>
      <c r="BC433" s="638"/>
      <c r="BD433" s="638"/>
    </row>
    <row r="434" customFormat="false" ht="15.75" hidden="false" customHeight="false" outlineLevel="0" collapsed="false">
      <c r="A434" s="663" t="s">
        <v>1978</v>
      </c>
      <c r="B434" s="663"/>
      <c r="C434" s="663"/>
      <c r="D434" s="610" t="s">
        <v>839</v>
      </c>
      <c r="E434" s="662" t="s">
        <v>1807</v>
      </c>
      <c r="F434" s="582" t="n">
        <v>5</v>
      </c>
      <c r="G434" s="582" t="s">
        <v>1183</v>
      </c>
      <c r="H434" s="592" t="n">
        <v>1</v>
      </c>
      <c r="I434" s="44"/>
      <c r="J434" s="44"/>
      <c r="K434" s="44"/>
      <c r="L434" s="44"/>
      <c r="M434" s="44"/>
      <c r="N434" s="44"/>
      <c r="O434" s="44"/>
      <c r="P434" s="44"/>
      <c r="Q434" s="44"/>
      <c r="R434" s="44"/>
      <c r="S434" s="44"/>
      <c r="T434" s="664"/>
      <c r="U434" s="44"/>
      <c r="V434" s="44"/>
      <c r="W434" s="44"/>
      <c r="X434" s="664"/>
      <c r="Y434" s="44"/>
      <c r="Z434" s="44"/>
      <c r="AA434" s="44"/>
      <c r="AB434" s="664"/>
      <c r="AC434" s="44"/>
      <c r="AD434" s="44"/>
      <c r="AE434" s="44"/>
      <c r="AF434" s="664"/>
      <c r="AG434" s="44"/>
      <c r="AH434" s="44"/>
      <c r="AI434" s="93"/>
      <c r="AJ434" s="616"/>
      <c r="AK434" s="93"/>
      <c r="AL434" s="44"/>
      <c r="AM434" s="44"/>
      <c r="AN434" s="664"/>
      <c r="AO434" s="44"/>
      <c r="AP434" s="44"/>
      <c r="AQ434" s="44"/>
      <c r="AR434" s="664"/>
      <c r="AS434" s="44"/>
      <c r="AT434" s="44"/>
      <c r="AU434" s="44"/>
      <c r="AV434" s="664"/>
      <c r="AW434" s="44"/>
      <c r="AX434" s="44"/>
      <c r="AY434" s="44"/>
      <c r="AZ434" s="44"/>
      <c r="BA434" s="44"/>
      <c r="BB434" s="638"/>
      <c r="BC434" s="638"/>
      <c r="BD434" s="638"/>
    </row>
    <row r="435" customFormat="false" ht="15.75" hidden="false" customHeight="false" outlineLevel="0" collapsed="false">
      <c r="A435" s="663" t="s">
        <v>1979</v>
      </c>
      <c r="B435" s="663"/>
      <c r="C435" s="663"/>
      <c r="D435" s="619" t="s">
        <v>845</v>
      </c>
      <c r="E435" s="662" t="s">
        <v>1807</v>
      </c>
      <c r="F435" s="582" t="n">
        <v>5</v>
      </c>
      <c r="G435" s="582" t="n">
        <v>120</v>
      </c>
      <c r="H435" s="592" t="n">
        <v>0.5</v>
      </c>
      <c r="I435" s="44"/>
      <c r="J435" s="44"/>
      <c r="K435" s="44"/>
      <c r="L435" s="44"/>
      <c r="M435" s="44"/>
      <c r="N435" s="44"/>
      <c r="O435" s="44"/>
      <c r="P435" s="44"/>
      <c r="Q435" s="44"/>
      <c r="R435" s="44"/>
      <c r="S435" s="44"/>
      <c r="T435" s="664"/>
      <c r="U435" s="44"/>
      <c r="V435" s="44"/>
      <c r="W435" s="44"/>
      <c r="X435" s="664"/>
      <c r="Y435" s="44"/>
      <c r="Z435" s="44"/>
      <c r="AA435" s="44"/>
      <c r="AB435" s="664"/>
      <c r="AC435" s="44"/>
      <c r="AD435" s="44"/>
      <c r="AE435" s="44"/>
      <c r="AF435" s="664"/>
      <c r="AG435" s="44"/>
      <c r="AH435" s="44"/>
      <c r="AI435" s="93"/>
      <c r="AJ435" s="616"/>
      <c r="AK435" s="93"/>
      <c r="AL435" s="44"/>
      <c r="AM435" s="44"/>
      <c r="AN435" s="664"/>
      <c r="AO435" s="44"/>
      <c r="AP435" s="44"/>
      <c r="AQ435" s="44"/>
      <c r="AR435" s="664"/>
      <c r="AS435" s="44"/>
      <c r="AT435" s="44"/>
      <c r="AU435" s="44"/>
      <c r="AV435" s="664"/>
      <c r="AW435" s="44"/>
      <c r="AX435" s="44"/>
      <c r="AY435" s="44"/>
      <c r="AZ435" s="44"/>
      <c r="BA435" s="44"/>
      <c r="BB435" s="638"/>
      <c r="BC435" s="638"/>
      <c r="BD435" s="638"/>
    </row>
    <row r="436" customFormat="false" ht="15.75" hidden="false" customHeight="false" outlineLevel="0" collapsed="false">
      <c r="A436" s="663" t="s">
        <v>1980</v>
      </c>
      <c r="B436" s="663"/>
      <c r="C436" s="663"/>
      <c r="D436" s="629" t="s">
        <v>843</v>
      </c>
      <c r="E436" s="667" t="s">
        <v>1981</v>
      </c>
      <c r="F436" s="582" t="n">
        <v>1</v>
      </c>
      <c r="G436" s="582" t="s">
        <v>1183</v>
      </c>
      <c r="H436" s="583" t="s">
        <v>1120</v>
      </c>
      <c r="I436" s="44"/>
      <c r="J436" s="44"/>
      <c r="K436" s="44"/>
      <c r="L436" s="44"/>
      <c r="M436" s="44"/>
      <c r="N436" s="44"/>
      <c r="O436" s="44"/>
      <c r="P436" s="44"/>
      <c r="Q436" s="44"/>
      <c r="R436" s="44"/>
      <c r="S436" s="44"/>
      <c r="T436" s="664"/>
      <c r="U436" s="44"/>
      <c r="V436" s="44"/>
      <c r="W436" s="44"/>
      <c r="X436" s="664"/>
      <c r="Y436" s="44"/>
      <c r="Z436" s="44"/>
      <c r="AA436" s="44"/>
      <c r="AB436" s="664"/>
      <c r="AC436" s="44"/>
      <c r="AD436" s="44"/>
      <c r="AE436" s="44"/>
      <c r="AF436" s="664"/>
      <c r="AG436" s="44"/>
      <c r="AH436" s="44"/>
      <c r="AI436" s="93"/>
      <c r="AJ436" s="616"/>
      <c r="AK436" s="93"/>
      <c r="AL436" s="44"/>
      <c r="AM436" s="44"/>
      <c r="AN436" s="664"/>
      <c r="AO436" s="44"/>
      <c r="AP436" s="44"/>
      <c r="AQ436" s="44"/>
      <c r="AR436" s="664"/>
      <c r="AS436" s="44"/>
      <c r="AT436" s="44"/>
      <c r="AU436" s="44"/>
      <c r="AV436" s="664"/>
      <c r="AW436" s="44"/>
      <c r="AX436" s="44"/>
      <c r="AY436" s="44"/>
      <c r="AZ436" s="44"/>
      <c r="BA436" s="44"/>
      <c r="BB436" s="638"/>
      <c r="BC436" s="638"/>
      <c r="BD436" s="638"/>
    </row>
    <row r="437" customFormat="false" ht="15.75" hidden="false" customHeight="false" outlineLevel="0" collapsed="false">
      <c r="A437" s="663" t="s">
        <v>1982</v>
      </c>
      <c r="B437" s="663"/>
      <c r="C437" s="663"/>
      <c r="D437" s="600" t="s">
        <v>881</v>
      </c>
      <c r="E437" s="667" t="s">
        <v>1981</v>
      </c>
      <c r="F437" s="582" t="n">
        <v>1</v>
      </c>
      <c r="G437" s="582" t="s">
        <v>1183</v>
      </c>
      <c r="H437" s="583" t="s">
        <v>1120</v>
      </c>
      <c r="I437" s="44"/>
      <c r="J437" s="44"/>
      <c r="K437" s="44"/>
      <c r="L437" s="44"/>
      <c r="M437" s="44"/>
      <c r="N437" s="44"/>
      <c r="O437" s="44"/>
      <c r="P437" s="44"/>
      <c r="Q437" s="44"/>
      <c r="R437" s="44"/>
      <c r="S437" s="44"/>
      <c r="T437" s="664"/>
      <c r="U437" s="44"/>
      <c r="V437" s="44"/>
      <c r="W437" s="44"/>
      <c r="X437" s="664"/>
      <c r="Y437" s="44"/>
      <c r="Z437" s="44"/>
      <c r="AA437" s="44"/>
      <c r="AB437" s="664"/>
      <c r="AC437" s="44"/>
      <c r="AD437" s="44"/>
      <c r="AE437" s="44"/>
      <c r="AF437" s="664"/>
      <c r="AG437" s="44"/>
      <c r="AH437" s="44"/>
      <c r="AI437" s="93"/>
      <c r="AJ437" s="616"/>
      <c r="AK437" s="93"/>
      <c r="AL437" s="44"/>
      <c r="AM437" s="44"/>
      <c r="AN437" s="664"/>
      <c r="AO437" s="44"/>
      <c r="AP437" s="44"/>
      <c r="AQ437" s="44"/>
      <c r="AR437" s="664"/>
      <c r="AS437" s="44"/>
      <c r="AT437" s="44"/>
      <c r="AU437" s="44"/>
      <c r="AV437" s="664"/>
      <c r="AW437" s="44"/>
      <c r="AX437" s="44"/>
      <c r="AY437" s="44"/>
      <c r="AZ437" s="44"/>
      <c r="BA437" s="44"/>
      <c r="BB437" s="638"/>
      <c r="BC437" s="638"/>
      <c r="BD437" s="638"/>
    </row>
    <row r="438" customFormat="false" ht="15.75" hidden="false" customHeight="false" outlineLevel="0" collapsed="false">
      <c r="A438" s="663" t="s">
        <v>1983</v>
      </c>
      <c r="B438" s="663"/>
      <c r="C438" s="663"/>
      <c r="D438" s="603" t="s">
        <v>795</v>
      </c>
      <c r="E438" s="667" t="s">
        <v>1981</v>
      </c>
      <c r="F438" s="582" t="n">
        <v>1</v>
      </c>
      <c r="G438" s="582" t="s">
        <v>1183</v>
      </c>
      <c r="H438" s="583" t="s">
        <v>1120</v>
      </c>
      <c r="I438" s="44"/>
      <c r="J438" s="44"/>
      <c r="K438" s="44"/>
      <c r="L438" s="44"/>
      <c r="M438" s="44"/>
      <c r="N438" s="44"/>
      <c r="O438" s="44"/>
      <c r="P438" s="44"/>
      <c r="Q438" s="44"/>
      <c r="R438" s="44"/>
      <c r="S438" s="44"/>
      <c r="T438" s="664"/>
      <c r="U438" s="44"/>
      <c r="V438" s="44"/>
      <c r="W438" s="44"/>
      <c r="X438" s="664"/>
      <c r="Y438" s="44"/>
      <c r="Z438" s="44"/>
      <c r="AA438" s="44"/>
      <c r="AB438" s="664"/>
      <c r="AC438" s="44"/>
      <c r="AD438" s="44"/>
      <c r="AE438" s="44"/>
      <c r="AF438" s="664"/>
      <c r="AG438" s="44"/>
      <c r="AH438" s="44"/>
      <c r="AI438" s="93"/>
      <c r="AJ438" s="616"/>
      <c r="AK438" s="93"/>
      <c r="AL438" s="44"/>
      <c r="AM438" s="44"/>
      <c r="AN438" s="664"/>
      <c r="AO438" s="44"/>
      <c r="AP438" s="44"/>
      <c r="AQ438" s="44"/>
      <c r="AR438" s="664"/>
      <c r="AS438" s="44"/>
      <c r="AT438" s="44"/>
      <c r="AU438" s="44"/>
      <c r="AV438" s="664"/>
      <c r="AW438" s="44"/>
      <c r="AX438" s="44"/>
      <c r="AY438" s="44"/>
      <c r="AZ438" s="44"/>
      <c r="BA438" s="44"/>
      <c r="BB438" s="638"/>
      <c r="BC438" s="638"/>
      <c r="BD438" s="638"/>
    </row>
    <row r="439" customFormat="false" ht="15.75" hidden="false" customHeight="false" outlineLevel="0" collapsed="false">
      <c r="A439" s="663" t="s">
        <v>1984</v>
      </c>
      <c r="B439" s="663"/>
      <c r="C439" s="663"/>
      <c r="D439" s="624" t="s">
        <v>803</v>
      </c>
      <c r="E439" s="667" t="s">
        <v>1981</v>
      </c>
      <c r="F439" s="582" t="n">
        <v>1</v>
      </c>
      <c r="G439" s="582" t="s">
        <v>1183</v>
      </c>
      <c r="H439" s="583" t="s">
        <v>1120</v>
      </c>
      <c r="I439" s="44"/>
      <c r="J439" s="44"/>
      <c r="K439" s="44"/>
      <c r="L439" s="44"/>
      <c r="M439" s="44"/>
      <c r="N439" s="44"/>
      <c r="O439" s="44"/>
      <c r="P439" s="44"/>
      <c r="Q439" s="44"/>
      <c r="R439" s="44"/>
      <c r="S439" s="44"/>
      <c r="T439" s="664"/>
      <c r="U439" s="44"/>
      <c r="V439" s="44"/>
      <c r="W439" s="44"/>
      <c r="X439" s="664"/>
      <c r="Y439" s="44"/>
      <c r="Z439" s="44"/>
      <c r="AA439" s="44"/>
      <c r="AB439" s="664"/>
      <c r="AC439" s="44"/>
      <c r="AD439" s="44"/>
      <c r="AE439" s="44"/>
      <c r="AF439" s="664"/>
      <c r="AG439" s="44"/>
      <c r="AH439" s="44"/>
      <c r="AI439" s="93"/>
      <c r="AJ439" s="616"/>
      <c r="AK439" s="93"/>
      <c r="AL439" s="44"/>
      <c r="AM439" s="44"/>
      <c r="AN439" s="664"/>
      <c r="AO439" s="44"/>
      <c r="AP439" s="44"/>
      <c r="AQ439" s="44"/>
      <c r="AR439" s="664"/>
      <c r="AS439" s="44"/>
      <c r="AT439" s="44"/>
      <c r="AU439" s="44"/>
      <c r="AV439" s="664"/>
      <c r="AW439" s="44"/>
      <c r="AX439" s="44"/>
      <c r="AY439" s="44"/>
      <c r="AZ439" s="44"/>
      <c r="BA439" s="44"/>
      <c r="BB439" s="638"/>
      <c r="BC439" s="638"/>
      <c r="BD439" s="638"/>
    </row>
    <row r="440" customFormat="false" ht="15.75" hidden="false" customHeight="false" outlineLevel="0" collapsed="false">
      <c r="A440" s="663" t="s">
        <v>1985</v>
      </c>
      <c r="B440" s="663"/>
      <c r="C440" s="663"/>
      <c r="D440" s="610" t="s">
        <v>839</v>
      </c>
      <c r="E440" s="667" t="s">
        <v>1981</v>
      </c>
      <c r="F440" s="582" t="n">
        <v>1</v>
      </c>
      <c r="G440" s="582" t="s">
        <v>1183</v>
      </c>
      <c r="H440" s="583" t="s">
        <v>1120</v>
      </c>
      <c r="I440" s="44"/>
      <c r="J440" s="44"/>
      <c r="K440" s="44"/>
      <c r="L440" s="44"/>
      <c r="M440" s="44"/>
      <c r="N440" s="44"/>
      <c r="O440" s="44"/>
      <c r="P440" s="44"/>
      <c r="Q440" s="44"/>
      <c r="R440" s="44"/>
      <c r="S440" s="44"/>
      <c r="T440" s="664"/>
      <c r="U440" s="44"/>
      <c r="V440" s="44"/>
      <c r="W440" s="44"/>
      <c r="X440" s="664"/>
      <c r="Y440" s="44"/>
      <c r="Z440" s="44"/>
      <c r="AA440" s="44"/>
      <c r="AB440" s="664"/>
      <c r="AC440" s="44"/>
      <c r="AD440" s="44"/>
      <c r="AE440" s="44"/>
      <c r="AF440" s="664"/>
      <c r="AG440" s="44"/>
      <c r="AH440" s="44"/>
      <c r="AI440" s="93"/>
      <c r="AJ440" s="616"/>
      <c r="AK440" s="93"/>
      <c r="AL440" s="44"/>
      <c r="AM440" s="44"/>
      <c r="AN440" s="664"/>
      <c r="AO440" s="44"/>
      <c r="AP440" s="44"/>
      <c r="AQ440" s="44"/>
      <c r="AR440" s="664"/>
      <c r="AS440" s="44"/>
      <c r="AT440" s="44"/>
      <c r="AU440" s="44"/>
      <c r="AV440" s="664"/>
      <c r="AW440" s="44"/>
      <c r="AX440" s="44"/>
      <c r="AY440" s="44"/>
      <c r="AZ440" s="44"/>
      <c r="BA440" s="44"/>
      <c r="BB440" s="638"/>
      <c r="BC440" s="638"/>
      <c r="BD440" s="638"/>
    </row>
    <row r="441" customFormat="false" ht="15.75" hidden="false" customHeight="false" outlineLevel="0" collapsed="false">
      <c r="A441" s="663" t="s">
        <v>1986</v>
      </c>
      <c r="B441" s="663"/>
      <c r="C441" s="663"/>
      <c r="D441" s="633" t="s">
        <v>809</v>
      </c>
      <c r="E441" s="667" t="s">
        <v>1981</v>
      </c>
      <c r="F441" s="582" t="n">
        <v>1</v>
      </c>
      <c r="G441" s="582" t="s">
        <v>1183</v>
      </c>
      <c r="H441" s="583" t="s">
        <v>1120</v>
      </c>
      <c r="I441" s="44"/>
      <c r="J441" s="44"/>
      <c r="K441" s="44"/>
      <c r="L441" s="44"/>
      <c r="M441" s="44"/>
      <c r="N441" s="44"/>
      <c r="O441" s="44"/>
      <c r="P441" s="44"/>
      <c r="Q441" s="44"/>
      <c r="R441" s="44"/>
      <c r="S441" s="44"/>
      <c r="T441" s="664"/>
      <c r="U441" s="44"/>
      <c r="V441" s="44"/>
      <c r="W441" s="44"/>
      <c r="X441" s="664"/>
      <c r="Y441" s="44"/>
      <c r="Z441" s="44"/>
      <c r="AA441" s="44"/>
      <c r="AB441" s="664"/>
      <c r="AC441" s="44"/>
      <c r="AD441" s="44"/>
      <c r="AE441" s="44"/>
      <c r="AF441" s="664"/>
      <c r="AG441" s="44"/>
      <c r="AH441" s="44"/>
      <c r="AI441" s="93"/>
      <c r="AJ441" s="616"/>
      <c r="AK441" s="93"/>
      <c r="AL441" s="44"/>
      <c r="AM441" s="44"/>
      <c r="AN441" s="664"/>
      <c r="AO441" s="44"/>
      <c r="AP441" s="44"/>
      <c r="AQ441" s="44"/>
      <c r="AR441" s="664"/>
      <c r="AS441" s="44"/>
      <c r="AT441" s="44"/>
      <c r="AU441" s="44"/>
      <c r="AV441" s="664"/>
      <c r="AW441" s="44"/>
      <c r="AX441" s="44"/>
      <c r="AY441" s="44"/>
      <c r="AZ441" s="44"/>
      <c r="BA441" s="44"/>
      <c r="BB441" s="638"/>
      <c r="BC441" s="638"/>
      <c r="BD441" s="638"/>
    </row>
    <row r="442" customFormat="false" ht="15.75" hidden="false" customHeight="false" outlineLevel="0" collapsed="false">
      <c r="A442" s="663" t="s">
        <v>1987</v>
      </c>
      <c r="B442" s="663"/>
      <c r="C442" s="663"/>
      <c r="D442" s="597" t="s">
        <v>810</v>
      </c>
      <c r="E442" s="667" t="s">
        <v>1981</v>
      </c>
      <c r="F442" s="582" t="n">
        <v>1</v>
      </c>
      <c r="G442" s="582" t="s">
        <v>1183</v>
      </c>
      <c r="H442" s="583" t="s">
        <v>1120</v>
      </c>
      <c r="I442" s="44"/>
      <c r="J442" s="44"/>
      <c r="K442" s="44"/>
      <c r="L442" s="44"/>
      <c r="M442" s="44"/>
      <c r="N442" s="44"/>
      <c r="O442" s="44"/>
      <c r="P442" s="44"/>
      <c r="Q442" s="44"/>
      <c r="R442" s="44"/>
      <c r="S442" s="44"/>
      <c r="T442" s="664"/>
      <c r="U442" s="44"/>
      <c r="V442" s="44"/>
      <c r="W442" s="44"/>
      <c r="X442" s="664"/>
      <c r="Y442" s="44"/>
      <c r="Z442" s="44"/>
      <c r="AA442" s="44"/>
      <c r="AB442" s="664"/>
      <c r="AC442" s="44"/>
      <c r="AD442" s="44"/>
      <c r="AE442" s="44"/>
      <c r="AF442" s="664"/>
      <c r="AG442" s="44"/>
      <c r="AH442" s="44"/>
      <c r="AI442" s="93"/>
      <c r="AJ442" s="616"/>
      <c r="AK442" s="93"/>
      <c r="AL442" s="44"/>
      <c r="AM442" s="44"/>
      <c r="AN442" s="664"/>
      <c r="AO442" s="44"/>
      <c r="AP442" s="44"/>
      <c r="AQ442" s="44"/>
      <c r="AR442" s="664"/>
      <c r="AS442" s="44"/>
      <c r="AT442" s="44"/>
      <c r="AU442" s="44"/>
      <c r="AV442" s="664"/>
      <c r="AW442" s="44"/>
      <c r="AX442" s="44"/>
      <c r="AY442" s="44"/>
      <c r="AZ442" s="44"/>
      <c r="BA442" s="44"/>
      <c r="BB442" s="638"/>
      <c r="BC442" s="638"/>
      <c r="BD442" s="638"/>
    </row>
    <row r="443" customFormat="false" ht="15.75" hidden="false" customHeight="false" outlineLevel="0" collapsed="false">
      <c r="A443" s="663" t="s">
        <v>1988</v>
      </c>
      <c r="B443" s="663"/>
      <c r="C443" s="663"/>
      <c r="D443" s="634" t="s">
        <v>835</v>
      </c>
      <c r="E443" s="667" t="s">
        <v>1981</v>
      </c>
      <c r="F443" s="582" t="n">
        <v>1</v>
      </c>
      <c r="G443" s="582" t="s">
        <v>1183</v>
      </c>
      <c r="H443" s="583" t="s">
        <v>1120</v>
      </c>
      <c r="I443" s="44"/>
      <c r="J443" s="44"/>
      <c r="K443" s="44"/>
      <c r="L443" s="44"/>
      <c r="M443" s="44"/>
      <c r="N443" s="44"/>
      <c r="O443" s="44"/>
      <c r="P443" s="44"/>
      <c r="Q443" s="44"/>
      <c r="R443" s="44"/>
      <c r="S443" s="44"/>
      <c r="T443" s="664"/>
      <c r="U443" s="44"/>
      <c r="V443" s="44"/>
      <c r="W443" s="44"/>
      <c r="X443" s="664"/>
      <c r="Y443" s="44"/>
      <c r="Z443" s="44"/>
      <c r="AA443" s="44"/>
      <c r="AB443" s="664"/>
      <c r="AC443" s="44"/>
      <c r="AD443" s="44"/>
      <c r="AE443" s="44"/>
      <c r="AF443" s="664"/>
      <c r="AG443" s="44"/>
      <c r="AH443" s="44"/>
      <c r="AI443" s="93"/>
      <c r="AJ443" s="616"/>
      <c r="AK443" s="93"/>
      <c r="AL443" s="44"/>
      <c r="AM443" s="44"/>
      <c r="AN443" s="664"/>
      <c r="AO443" s="44"/>
      <c r="AP443" s="44"/>
      <c r="AQ443" s="44"/>
      <c r="AR443" s="664"/>
      <c r="AS443" s="44"/>
      <c r="AT443" s="44"/>
      <c r="AU443" s="44"/>
      <c r="AV443" s="664"/>
      <c r="AW443" s="44"/>
      <c r="AX443" s="44"/>
      <c r="AY443" s="44"/>
      <c r="AZ443" s="44"/>
      <c r="BA443" s="44"/>
      <c r="BB443" s="638"/>
      <c r="BC443" s="638"/>
      <c r="BD443" s="638"/>
    </row>
    <row r="444" customFormat="false" ht="15.75" hidden="false" customHeight="false" outlineLevel="0" collapsed="false">
      <c r="A444" s="663" t="s">
        <v>1989</v>
      </c>
      <c r="B444" s="663"/>
      <c r="C444" s="663"/>
      <c r="D444" s="619" t="s">
        <v>845</v>
      </c>
      <c r="E444" s="667" t="s">
        <v>1981</v>
      </c>
      <c r="F444" s="582" t="n">
        <v>1</v>
      </c>
      <c r="G444" s="582" t="s">
        <v>1183</v>
      </c>
      <c r="H444" s="583" t="s">
        <v>1120</v>
      </c>
      <c r="I444" s="44"/>
      <c r="J444" s="44"/>
      <c r="K444" s="44"/>
      <c r="L444" s="44"/>
      <c r="M444" s="44"/>
      <c r="N444" s="44"/>
      <c r="O444" s="44"/>
      <c r="P444" s="44"/>
      <c r="Q444" s="44"/>
      <c r="R444" s="44"/>
      <c r="S444" s="44"/>
      <c r="T444" s="664"/>
      <c r="U444" s="44"/>
      <c r="V444" s="44"/>
      <c r="W444" s="44"/>
      <c r="X444" s="664"/>
      <c r="Y444" s="44"/>
      <c r="Z444" s="44"/>
      <c r="AA444" s="44"/>
      <c r="AB444" s="664"/>
      <c r="AC444" s="44"/>
      <c r="AD444" s="44"/>
      <c r="AE444" s="44"/>
      <c r="AF444" s="664"/>
      <c r="AG444" s="44"/>
      <c r="AH444" s="44"/>
      <c r="AI444" s="93"/>
      <c r="AJ444" s="616"/>
      <c r="AK444" s="93"/>
      <c r="AL444" s="44"/>
      <c r="AM444" s="44"/>
      <c r="AN444" s="664"/>
      <c r="AO444" s="44"/>
      <c r="AP444" s="44"/>
      <c r="AQ444" s="44"/>
      <c r="AR444" s="664"/>
      <c r="AS444" s="44"/>
      <c r="AT444" s="44"/>
      <c r="AU444" s="44"/>
      <c r="AV444" s="664"/>
      <c r="AW444" s="44"/>
      <c r="AX444" s="44"/>
      <c r="AY444" s="44"/>
      <c r="AZ444" s="44"/>
      <c r="BA444" s="44"/>
      <c r="BB444" s="638"/>
      <c r="BC444" s="638"/>
      <c r="BD444" s="638"/>
    </row>
    <row r="445" customFormat="false" ht="15.75" hidden="false" customHeight="false" outlineLevel="0" collapsed="false">
      <c r="A445" s="663" t="s">
        <v>1990</v>
      </c>
      <c r="B445" s="663"/>
      <c r="C445" s="663"/>
      <c r="D445" s="635" t="s">
        <v>798</v>
      </c>
      <c r="E445" s="667" t="s">
        <v>1981</v>
      </c>
      <c r="F445" s="582" t="n">
        <v>1</v>
      </c>
      <c r="G445" s="582" t="s">
        <v>1991</v>
      </c>
      <c r="H445" s="583" t="s">
        <v>1120</v>
      </c>
      <c r="I445" s="44"/>
      <c r="J445" s="44"/>
      <c r="K445" s="44"/>
      <c r="L445" s="44"/>
      <c r="M445" s="44"/>
      <c r="N445" s="44"/>
      <c r="O445" s="44"/>
      <c r="P445" s="44"/>
      <c r="Q445" s="44"/>
      <c r="R445" s="44"/>
      <c r="S445" s="44"/>
      <c r="T445" s="664"/>
      <c r="U445" s="44"/>
      <c r="V445" s="44"/>
      <c r="W445" s="44"/>
      <c r="X445" s="664"/>
      <c r="Y445" s="44"/>
      <c r="Z445" s="44"/>
      <c r="AA445" s="44"/>
      <c r="AB445" s="664"/>
      <c r="AC445" s="44"/>
      <c r="AD445" s="44"/>
      <c r="AE445" s="44"/>
      <c r="AF445" s="664"/>
      <c r="AG445" s="44"/>
      <c r="AH445" s="44"/>
      <c r="AI445" s="93"/>
      <c r="AJ445" s="616"/>
      <c r="AK445" s="93"/>
      <c r="AL445" s="44"/>
      <c r="AM445" s="44"/>
      <c r="AN445" s="664"/>
      <c r="AO445" s="44"/>
      <c r="AP445" s="44"/>
      <c r="AQ445" s="44"/>
      <c r="AR445" s="664"/>
      <c r="AS445" s="44"/>
      <c r="AT445" s="44"/>
      <c r="AU445" s="44"/>
      <c r="AV445" s="664"/>
      <c r="AW445" s="44"/>
      <c r="AX445" s="44"/>
      <c r="AY445" s="44"/>
      <c r="AZ445" s="44"/>
      <c r="BA445" s="44"/>
      <c r="BB445" s="638"/>
      <c r="BC445" s="638"/>
      <c r="BD445" s="638"/>
    </row>
    <row r="446" customFormat="false" ht="15.75" hidden="false" customHeight="false" outlineLevel="0" collapsed="false">
      <c r="A446" s="663" t="s">
        <v>1992</v>
      </c>
      <c r="B446" s="663"/>
      <c r="C446" s="663"/>
      <c r="D446" s="599" t="s">
        <v>811</v>
      </c>
      <c r="E446" s="667" t="s">
        <v>1981</v>
      </c>
      <c r="F446" s="582" t="n">
        <v>1</v>
      </c>
      <c r="G446" s="582" t="s">
        <v>1183</v>
      </c>
      <c r="H446" s="583" t="s">
        <v>1120</v>
      </c>
      <c r="I446" s="44"/>
      <c r="J446" s="44"/>
      <c r="K446" s="44"/>
      <c r="L446" s="44"/>
      <c r="M446" s="44"/>
      <c r="N446" s="44"/>
      <c r="O446" s="44"/>
      <c r="P446" s="44"/>
      <c r="Q446" s="44"/>
      <c r="R446" s="44"/>
      <c r="S446" s="44"/>
      <c r="T446" s="664"/>
      <c r="U446" s="44"/>
      <c r="V446" s="44"/>
      <c r="W446" s="44"/>
      <c r="X446" s="664"/>
      <c r="Y446" s="44"/>
      <c r="Z446" s="44"/>
      <c r="AA446" s="44"/>
      <c r="AB446" s="664"/>
      <c r="AC446" s="44"/>
      <c r="AD446" s="44"/>
      <c r="AE446" s="44"/>
      <c r="AF446" s="664"/>
      <c r="AG446" s="44"/>
      <c r="AH446" s="44"/>
      <c r="AI446" s="93"/>
      <c r="AJ446" s="616"/>
      <c r="AK446" s="93"/>
      <c r="AL446" s="44"/>
      <c r="AM446" s="44"/>
      <c r="AN446" s="664"/>
      <c r="AO446" s="44"/>
      <c r="AP446" s="44"/>
      <c r="AQ446" s="44"/>
      <c r="AR446" s="664"/>
      <c r="AS446" s="44"/>
      <c r="AT446" s="44"/>
      <c r="AU446" s="44"/>
      <c r="AV446" s="664"/>
      <c r="AW446" s="44"/>
      <c r="AX446" s="44"/>
      <c r="AY446" s="44"/>
      <c r="AZ446" s="44"/>
      <c r="BA446" s="44"/>
      <c r="BB446" s="638"/>
      <c r="BC446" s="638"/>
      <c r="BD446" s="638"/>
    </row>
    <row r="447" customFormat="false" ht="15.75" hidden="false" customHeight="false" outlineLevel="0" collapsed="false">
      <c r="A447" s="663" t="s">
        <v>1993</v>
      </c>
      <c r="B447" s="663"/>
      <c r="C447" s="663"/>
      <c r="D447" s="618" t="s">
        <v>800</v>
      </c>
      <c r="E447" s="667" t="s">
        <v>1981</v>
      </c>
      <c r="F447" s="582" t="n">
        <v>1</v>
      </c>
      <c r="G447" s="582" t="s">
        <v>1183</v>
      </c>
      <c r="H447" s="583" t="s">
        <v>1120</v>
      </c>
      <c r="I447" s="44"/>
      <c r="J447" s="44"/>
      <c r="K447" s="44"/>
      <c r="L447" s="44"/>
      <c r="M447" s="44"/>
      <c r="N447" s="44"/>
      <c r="O447" s="44"/>
      <c r="P447" s="44"/>
      <c r="Q447" s="44"/>
      <c r="R447" s="44"/>
      <c r="S447" s="44"/>
      <c r="T447" s="664"/>
      <c r="U447" s="44"/>
      <c r="V447" s="44"/>
      <c r="W447" s="44"/>
      <c r="X447" s="664"/>
      <c r="Y447" s="44"/>
      <c r="Z447" s="44"/>
      <c r="AA447" s="44"/>
      <c r="AB447" s="664"/>
      <c r="AC447" s="44"/>
      <c r="AD447" s="44"/>
      <c r="AE447" s="44"/>
      <c r="AF447" s="664"/>
      <c r="AG447" s="44"/>
      <c r="AH447" s="44"/>
      <c r="AI447" s="93"/>
      <c r="AJ447" s="616"/>
      <c r="AK447" s="93"/>
      <c r="AL447" s="44"/>
      <c r="AM447" s="44"/>
      <c r="AN447" s="664"/>
      <c r="AO447" s="44"/>
      <c r="AP447" s="44"/>
      <c r="AQ447" s="44"/>
      <c r="AR447" s="664"/>
      <c r="AS447" s="44"/>
      <c r="AT447" s="44"/>
      <c r="AU447" s="44"/>
      <c r="AV447" s="664"/>
      <c r="AW447" s="44"/>
      <c r="AX447" s="44"/>
      <c r="AY447" s="44"/>
      <c r="AZ447" s="44"/>
      <c r="BA447" s="44"/>
      <c r="BB447" s="638"/>
      <c r="BC447" s="638"/>
      <c r="BD447" s="638"/>
    </row>
    <row r="448" customFormat="false" ht="15.75" hidden="false" customHeight="false" outlineLevel="0" collapsed="false">
      <c r="A448" s="663" t="s">
        <v>1994</v>
      </c>
      <c r="B448" s="663"/>
      <c r="C448" s="663"/>
      <c r="D448" s="605" t="s">
        <v>802</v>
      </c>
      <c r="E448" s="667" t="s">
        <v>1981</v>
      </c>
      <c r="F448" s="582" t="n">
        <v>1</v>
      </c>
      <c r="G448" s="582" t="s">
        <v>1183</v>
      </c>
      <c r="H448" s="583" t="s">
        <v>1120</v>
      </c>
      <c r="I448" s="44"/>
      <c r="J448" s="44"/>
      <c r="K448" s="44"/>
      <c r="L448" s="44"/>
      <c r="M448" s="44"/>
      <c r="N448" s="44"/>
      <c r="O448" s="44"/>
      <c r="P448" s="44"/>
      <c r="Q448" s="44"/>
      <c r="R448" s="44"/>
      <c r="S448" s="44"/>
      <c r="T448" s="664"/>
      <c r="U448" s="44"/>
      <c r="V448" s="44"/>
      <c r="W448" s="44"/>
      <c r="X448" s="664"/>
      <c r="Y448" s="44"/>
      <c r="Z448" s="44"/>
      <c r="AA448" s="44"/>
      <c r="AB448" s="664"/>
      <c r="AC448" s="44"/>
      <c r="AD448" s="44"/>
      <c r="AE448" s="44"/>
      <c r="AF448" s="664"/>
      <c r="AG448" s="44"/>
      <c r="AH448" s="44"/>
      <c r="AI448" s="93"/>
      <c r="AJ448" s="616"/>
      <c r="AK448" s="93"/>
      <c r="AL448" s="44"/>
      <c r="AM448" s="44"/>
      <c r="AN448" s="664"/>
      <c r="AO448" s="44"/>
      <c r="AP448" s="44"/>
      <c r="AQ448" s="44"/>
      <c r="AR448" s="664"/>
      <c r="AS448" s="44"/>
      <c r="AT448" s="44"/>
      <c r="AU448" s="44"/>
      <c r="AV448" s="664"/>
      <c r="AW448" s="44"/>
      <c r="AX448" s="44"/>
      <c r="AY448" s="44"/>
      <c r="AZ448" s="44"/>
      <c r="BA448" s="44"/>
      <c r="BB448" s="638"/>
      <c r="BC448" s="638"/>
      <c r="BD448" s="638"/>
    </row>
    <row r="449" customFormat="false" ht="15.75" hidden="false" customHeight="false" outlineLevel="0" collapsed="false">
      <c r="A449" s="666" t="s">
        <v>1995</v>
      </c>
      <c r="B449" s="666"/>
      <c r="C449" s="666"/>
      <c r="D449" s="607" t="s">
        <v>794</v>
      </c>
      <c r="E449" s="667" t="s">
        <v>1981</v>
      </c>
      <c r="F449" s="50" t="n">
        <v>1</v>
      </c>
      <c r="G449" s="582" t="s">
        <v>1183</v>
      </c>
      <c r="H449" s="583" t="s">
        <v>1120</v>
      </c>
      <c r="I449" s="44"/>
      <c r="J449" s="44"/>
      <c r="K449" s="44"/>
      <c r="L449" s="44"/>
      <c r="M449" s="44"/>
      <c r="N449" s="44"/>
      <c r="O449" s="44"/>
      <c r="P449" s="44"/>
      <c r="Q449" s="44"/>
      <c r="R449" s="44"/>
      <c r="S449" s="44"/>
      <c r="T449" s="664"/>
      <c r="U449" s="44"/>
      <c r="V449" s="44"/>
      <c r="W449" s="44"/>
      <c r="X449" s="664"/>
      <c r="Y449" s="44"/>
      <c r="Z449" s="44"/>
      <c r="AA449" s="44"/>
      <c r="AB449" s="664"/>
      <c r="AC449" s="44"/>
      <c r="AD449" s="44"/>
      <c r="AE449" s="44"/>
      <c r="AF449" s="664"/>
      <c r="AG449" s="44"/>
      <c r="AH449" s="44"/>
      <c r="AI449" s="93"/>
      <c r="AJ449" s="616"/>
      <c r="AK449" s="93"/>
      <c r="AL449" s="44"/>
      <c r="AM449" s="44"/>
      <c r="AN449" s="664"/>
      <c r="AO449" s="44"/>
      <c r="AP449" s="44"/>
      <c r="AQ449" s="44"/>
      <c r="AR449" s="664"/>
      <c r="AS449" s="44"/>
      <c r="AT449" s="44"/>
      <c r="AU449" s="44"/>
      <c r="AV449" s="664"/>
      <c r="AW449" s="44"/>
      <c r="AX449" s="44"/>
      <c r="AY449" s="44"/>
      <c r="AZ449" s="44"/>
      <c r="BA449" s="44"/>
      <c r="BB449" s="638"/>
      <c r="BC449" s="638"/>
      <c r="BD449" s="638"/>
    </row>
    <row r="450" customFormat="false" ht="15.75" hidden="false" customHeight="false" outlineLevel="0" collapsed="false">
      <c r="A450" s="663" t="s">
        <v>1996</v>
      </c>
      <c r="B450" s="663"/>
      <c r="C450" s="663"/>
      <c r="D450" s="639" t="s">
        <v>828</v>
      </c>
      <c r="E450" s="667" t="s">
        <v>1981</v>
      </c>
      <c r="F450" s="582" t="n">
        <v>1</v>
      </c>
      <c r="G450" s="582" t="s">
        <v>1183</v>
      </c>
      <c r="H450" s="583" t="s">
        <v>1120</v>
      </c>
      <c r="I450" s="44"/>
      <c r="J450" s="44"/>
      <c r="K450" s="44"/>
      <c r="L450" s="44"/>
      <c r="M450" s="44"/>
      <c r="N450" s="44"/>
      <c r="O450" s="44"/>
      <c r="P450" s="44"/>
      <c r="Q450" s="44"/>
      <c r="R450" s="44"/>
      <c r="S450" s="44"/>
      <c r="T450" s="664"/>
      <c r="U450" s="44"/>
      <c r="V450" s="44"/>
      <c r="W450" s="44"/>
      <c r="X450" s="664"/>
      <c r="Y450" s="44"/>
      <c r="Z450" s="44"/>
      <c r="AA450" s="44"/>
      <c r="AB450" s="664"/>
      <c r="AC450" s="44"/>
      <c r="AD450" s="44"/>
      <c r="AE450" s="44"/>
      <c r="AF450" s="664"/>
      <c r="AG450" s="44"/>
      <c r="AH450" s="44"/>
      <c r="AI450" s="93"/>
      <c r="AJ450" s="616"/>
      <c r="AK450" s="93"/>
      <c r="AL450" s="44"/>
      <c r="AM450" s="44"/>
      <c r="AN450" s="664"/>
      <c r="AO450" s="44"/>
      <c r="AP450" s="44"/>
      <c r="AQ450" s="44"/>
      <c r="AR450" s="664"/>
      <c r="AS450" s="44"/>
      <c r="AT450" s="44"/>
      <c r="AU450" s="44"/>
      <c r="AV450" s="664"/>
      <c r="AW450" s="44"/>
      <c r="AX450" s="44"/>
      <c r="AY450" s="44"/>
      <c r="AZ450" s="44"/>
      <c r="BA450" s="44"/>
      <c r="BB450" s="638"/>
      <c r="BC450" s="638"/>
      <c r="BD450" s="638"/>
    </row>
    <row r="451" customFormat="false" ht="15.75" hidden="false" customHeight="false" outlineLevel="0" collapsed="false">
      <c r="A451" s="663" t="s">
        <v>1997</v>
      </c>
      <c r="B451" s="663"/>
      <c r="C451" s="663"/>
      <c r="D451" s="608" t="s">
        <v>805</v>
      </c>
      <c r="E451" s="667" t="s">
        <v>1981</v>
      </c>
      <c r="F451" s="582" t="n">
        <v>1</v>
      </c>
      <c r="G451" s="582" t="s">
        <v>1183</v>
      </c>
      <c r="H451" s="583" t="s">
        <v>1120</v>
      </c>
      <c r="I451" s="44"/>
      <c r="J451" s="44"/>
      <c r="K451" s="44"/>
      <c r="L451" s="44"/>
      <c r="M451" s="44"/>
      <c r="N451" s="44"/>
      <c r="O451" s="44"/>
      <c r="P451" s="44"/>
      <c r="Q451" s="44"/>
      <c r="R451" s="44"/>
      <c r="S451" s="44"/>
      <c r="T451" s="664"/>
      <c r="U451" s="44"/>
      <c r="V451" s="44"/>
      <c r="W451" s="44"/>
      <c r="X451" s="664"/>
      <c r="Y451" s="44"/>
      <c r="Z451" s="44"/>
      <c r="AA451" s="44"/>
      <c r="AB451" s="664"/>
      <c r="AC451" s="44"/>
      <c r="AD451" s="44"/>
      <c r="AE451" s="44"/>
      <c r="AF451" s="664"/>
      <c r="AG451" s="44"/>
      <c r="AH451" s="44"/>
      <c r="AI451" s="93"/>
      <c r="AJ451" s="616"/>
      <c r="AK451" s="93"/>
      <c r="AL451" s="44"/>
      <c r="AM451" s="44"/>
      <c r="AN451" s="664"/>
      <c r="AO451" s="44"/>
      <c r="AP451" s="44"/>
      <c r="AQ451" s="44"/>
      <c r="AR451" s="664"/>
      <c r="AS451" s="44"/>
      <c r="AT451" s="44"/>
      <c r="AU451" s="44"/>
      <c r="AV451" s="664"/>
      <c r="AW451" s="44"/>
      <c r="AX451" s="44"/>
      <c r="AY451" s="44"/>
      <c r="AZ451" s="44"/>
      <c r="BA451" s="44"/>
      <c r="BB451" s="638"/>
      <c r="BC451" s="638"/>
      <c r="BD451" s="638"/>
    </row>
    <row r="452" customFormat="false" ht="15.75" hidden="false" customHeight="false" outlineLevel="0" collapsed="false">
      <c r="A452" s="663" t="s">
        <v>1998</v>
      </c>
      <c r="B452" s="663"/>
      <c r="C452" s="663"/>
      <c r="D452" s="590" t="s">
        <v>801</v>
      </c>
      <c r="E452" s="667" t="s">
        <v>1981</v>
      </c>
      <c r="F452" s="582" t="n">
        <v>1</v>
      </c>
      <c r="G452" s="582" t="s">
        <v>1183</v>
      </c>
      <c r="H452" s="583" t="s">
        <v>1120</v>
      </c>
      <c r="I452" s="44"/>
      <c r="J452" s="44"/>
      <c r="K452" s="44"/>
      <c r="L452" s="44"/>
      <c r="M452" s="44"/>
      <c r="N452" s="44"/>
      <c r="O452" s="44"/>
      <c r="P452" s="44"/>
      <c r="Q452" s="44"/>
      <c r="R452" s="44"/>
      <c r="S452" s="44"/>
      <c r="T452" s="664"/>
      <c r="U452" s="44"/>
      <c r="V452" s="44"/>
      <c r="W452" s="44"/>
      <c r="X452" s="664"/>
      <c r="Y452" s="44"/>
      <c r="Z452" s="44"/>
      <c r="AA452" s="44"/>
      <c r="AB452" s="664"/>
      <c r="AC452" s="44"/>
      <c r="AD452" s="44"/>
      <c r="AE452" s="44"/>
      <c r="AF452" s="664"/>
      <c r="AG452" s="44"/>
      <c r="AH452" s="44"/>
      <c r="AI452" s="93"/>
      <c r="AJ452" s="616"/>
      <c r="AK452" s="93"/>
      <c r="AL452" s="44"/>
      <c r="AM452" s="44"/>
      <c r="AN452" s="664"/>
      <c r="AO452" s="44"/>
      <c r="AP452" s="44"/>
      <c r="AQ452" s="44"/>
      <c r="AR452" s="664"/>
      <c r="AS452" s="44"/>
      <c r="AT452" s="44"/>
      <c r="AU452" s="44"/>
      <c r="AV452" s="664"/>
      <c r="AW452" s="44"/>
      <c r="AX452" s="44"/>
      <c r="AY452" s="44"/>
      <c r="AZ452" s="44"/>
      <c r="BA452" s="44"/>
      <c r="BB452" s="638"/>
      <c r="BC452" s="638"/>
      <c r="BD452" s="638"/>
    </row>
    <row r="453" customFormat="false" ht="15.75" hidden="false" customHeight="false" outlineLevel="0" collapsed="false">
      <c r="A453" s="663" t="s">
        <v>1999</v>
      </c>
      <c r="B453" s="663"/>
      <c r="C453" s="663"/>
      <c r="D453" s="620" t="s">
        <v>907</v>
      </c>
      <c r="E453" s="667" t="s">
        <v>1981</v>
      </c>
      <c r="F453" s="582" t="n">
        <v>1</v>
      </c>
      <c r="G453" s="582" t="s">
        <v>1183</v>
      </c>
      <c r="H453" s="583" t="s">
        <v>1120</v>
      </c>
      <c r="I453" s="44"/>
      <c r="J453" s="44"/>
      <c r="K453" s="44"/>
      <c r="L453" s="44"/>
      <c r="M453" s="44"/>
      <c r="N453" s="44"/>
      <c r="O453" s="44"/>
      <c r="P453" s="44"/>
      <c r="Q453" s="44"/>
      <c r="R453" s="44"/>
      <c r="S453" s="44"/>
      <c r="T453" s="664"/>
      <c r="U453" s="44"/>
      <c r="V453" s="44"/>
      <c r="W453" s="44"/>
      <c r="X453" s="664"/>
      <c r="Y453" s="44"/>
      <c r="Z453" s="44"/>
      <c r="AA453" s="44"/>
      <c r="AB453" s="664"/>
      <c r="AC453" s="44"/>
      <c r="AD453" s="44"/>
      <c r="AE453" s="44"/>
      <c r="AF453" s="664"/>
      <c r="AG453" s="44"/>
      <c r="AH453" s="44"/>
      <c r="AI453" s="93"/>
      <c r="AJ453" s="616"/>
      <c r="AK453" s="93"/>
      <c r="AL453" s="44"/>
      <c r="AM453" s="44"/>
      <c r="AN453" s="664"/>
      <c r="AO453" s="44"/>
      <c r="AP453" s="44"/>
      <c r="AQ453" s="44"/>
      <c r="AR453" s="664"/>
      <c r="AS453" s="44"/>
      <c r="AT453" s="44"/>
      <c r="AU453" s="44"/>
      <c r="AV453" s="664"/>
      <c r="AW453" s="44"/>
      <c r="AX453" s="44"/>
      <c r="AY453" s="44"/>
      <c r="AZ453" s="44"/>
      <c r="BA453" s="44"/>
      <c r="BB453" s="638"/>
      <c r="BC453" s="638"/>
      <c r="BD453" s="638"/>
    </row>
    <row r="454" customFormat="false" ht="15.75" hidden="false" customHeight="false" outlineLevel="0" collapsed="false">
      <c r="A454" s="663" t="s">
        <v>2000</v>
      </c>
      <c r="B454" s="663"/>
      <c r="C454" s="663"/>
      <c r="D454" s="635" t="s">
        <v>798</v>
      </c>
      <c r="E454" s="667" t="s">
        <v>1981</v>
      </c>
      <c r="F454" s="582" t="n">
        <v>1</v>
      </c>
      <c r="G454" s="582" t="s">
        <v>1183</v>
      </c>
      <c r="H454" s="583" t="s">
        <v>1120</v>
      </c>
      <c r="I454" s="44"/>
      <c r="J454" s="44"/>
      <c r="K454" s="44"/>
      <c r="L454" s="44"/>
      <c r="M454" s="44"/>
      <c r="N454" s="44"/>
      <c r="O454" s="44"/>
      <c r="P454" s="44"/>
      <c r="Q454" s="44"/>
      <c r="R454" s="44"/>
      <c r="S454" s="44"/>
      <c r="T454" s="664"/>
      <c r="U454" s="44"/>
      <c r="V454" s="44"/>
      <c r="W454" s="44"/>
      <c r="X454" s="664"/>
      <c r="Y454" s="44"/>
      <c r="Z454" s="44"/>
      <c r="AA454" s="44"/>
      <c r="AB454" s="664"/>
      <c r="AC454" s="44"/>
      <c r="AD454" s="44"/>
      <c r="AE454" s="44"/>
      <c r="AF454" s="664"/>
      <c r="AG454" s="44"/>
      <c r="AH454" s="44"/>
      <c r="AI454" s="93"/>
      <c r="AJ454" s="616"/>
      <c r="AK454" s="93"/>
      <c r="AL454" s="44"/>
      <c r="AM454" s="44"/>
      <c r="AN454" s="664"/>
      <c r="AO454" s="44"/>
      <c r="AP454" s="44"/>
      <c r="AQ454" s="44"/>
      <c r="AR454" s="664"/>
      <c r="AS454" s="44"/>
      <c r="AT454" s="44"/>
      <c r="AU454" s="44"/>
      <c r="AV454" s="664"/>
      <c r="AW454" s="44"/>
      <c r="AX454" s="44"/>
      <c r="AY454" s="44"/>
      <c r="AZ454" s="44"/>
      <c r="BA454" s="44"/>
      <c r="BB454" s="638"/>
      <c r="BC454" s="638"/>
      <c r="BD454" s="638"/>
    </row>
    <row r="455" customFormat="false" ht="15.75" hidden="false" customHeight="false" outlineLevel="0" collapsed="false">
      <c r="A455" s="663" t="s">
        <v>2001</v>
      </c>
      <c r="B455" s="663"/>
      <c r="C455" s="663"/>
      <c r="D455" s="619" t="s">
        <v>845</v>
      </c>
      <c r="E455" s="667" t="s">
        <v>2002</v>
      </c>
      <c r="F455" s="582" t="n">
        <v>1</v>
      </c>
      <c r="G455" s="582" t="n">
        <v>210</v>
      </c>
      <c r="H455" s="583" t="s">
        <v>1120</v>
      </c>
      <c r="I455" s="44"/>
      <c r="J455" s="44"/>
      <c r="K455" s="44"/>
      <c r="L455" s="44"/>
      <c r="M455" s="44"/>
      <c r="N455" s="44"/>
      <c r="O455" s="44"/>
      <c r="P455" s="44"/>
      <c r="Q455" s="44"/>
      <c r="R455" s="44"/>
      <c r="S455" s="44"/>
      <c r="T455" s="664"/>
      <c r="U455" s="44"/>
      <c r="V455" s="44"/>
      <c r="W455" s="44"/>
      <c r="X455" s="664"/>
      <c r="Y455" s="44"/>
      <c r="Z455" s="44"/>
      <c r="AA455" s="44"/>
      <c r="AB455" s="664"/>
      <c r="AC455" s="44"/>
      <c r="AD455" s="44"/>
      <c r="AE455" s="44"/>
      <c r="AF455" s="664"/>
      <c r="AG455" s="44"/>
      <c r="AH455" s="44"/>
      <c r="AI455" s="93"/>
      <c r="AJ455" s="616"/>
      <c r="AK455" s="93"/>
      <c r="AL455" s="44"/>
      <c r="AM455" s="44"/>
      <c r="AN455" s="664"/>
      <c r="AO455" s="44"/>
      <c r="AP455" s="44"/>
      <c r="AQ455" s="44"/>
      <c r="AR455" s="664"/>
      <c r="AS455" s="44"/>
      <c r="AT455" s="44"/>
      <c r="AU455" s="44"/>
      <c r="AV455" s="664"/>
      <c r="AW455" s="44"/>
      <c r="AX455" s="44"/>
      <c r="AY455" s="44"/>
      <c r="AZ455" s="44"/>
      <c r="BA455" s="44"/>
      <c r="BB455" s="638"/>
      <c r="BC455" s="638"/>
      <c r="BD455" s="638"/>
    </row>
    <row r="456" customFormat="false" ht="15.75" hidden="false" customHeight="false" outlineLevel="0" collapsed="false">
      <c r="A456" s="666" t="s">
        <v>2003</v>
      </c>
      <c r="B456" s="666"/>
      <c r="C456" s="666"/>
      <c r="D456" s="618" t="s">
        <v>800</v>
      </c>
      <c r="E456" s="667" t="s">
        <v>2002</v>
      </c>
      <c r="F456" s="50" t="n">
        <v>1</v>
      </c>
      <c r="G456" s="582" t="n">
        <v>180</v>
      </c>
      <c r="H456" s="583" t="s">
        <v>1120</v>
      </c>
      <c r="I456" s="44"/>
      <c r="J456" s="44"/>
      <c r="K456" s="44"/>
      <c r="L456" s="44"/>
      <c r="M456" s="44"/>
      <c r="N456" s="44"/>
      <c r="O456" s="44"/>
      <c r="P456" s="44"/>
      <c r="Q456" s="44"/>
      <c r="R456" s="44"/>
      <c r="S456" s="44"/>
      <c r="T456" s="664"/>
      <c r="U456" s="44"/>
      <c r="V456" s="44"/>
      <c r="W456" s="44"/>
      <c r="X456" s="664"/>
      <c r="Y456" s="44"/>
      <c r="Z456" s="44"/>
      <c r="AA456" s="44"/>
      <c r="AB456" s="664"/>
      <c r="AC456" s="44"/>
      <c r="AD456" s="44"/>
      <c r="AE456" s="44"/>
      <c r="AF456" s="664"/>
      <c r="AG456" s="44"/>
      <c r="AH456" s="44"/>
      <c r="AI456" s="93"/>
      <c r="AJ456" s="616"/>
      <c r="AK456" s="93"/>
      <c r="AL456" s="44"/>
      <c r="AM456" s="44"/>
      <c r="AN456" s="664"/>
      <c r="AO456" s="44"/>
      <c r="AP456" s="44"/>
      <c r="AQ456" s="44"/>
      <c r="AR456" s="664"/>
      <c r="AS456" s="44"/>
      <c r="AT456" s="44"/>
      <c r="AU456" s="44"/>
      <c r="AV456" s="664"/>
      <c r="AW456" s="44"/>
      <c r="AX456" s="44"/>
      <c r="AY456" s="44"/>
      <c r="AZ456" s="44"/>
      <c r="BA456" s="44"/>
      <c r="BB456" s="638"/>
      <c r="BC456" s="638"/>
      <c r="BD456" s="638"/>
    </row>
    <row r="457" customFormat="false" ht="15.75" hidden="false" customHeight="false" outlineLevel="0" collapsed="false">
      <c r="A457" s="663" t="s">
        <v>2004</v>
      </c>
      <c r="B457" s="663"/>
      <c r="C457" s="663"/>
      <c r="D457" s="610" t="s">
        <v>839</v>
      </c>
      <c r="E457" s="667" t="s">
        <v>2002</v>
      </c>
      <c r="F457" s="582" t="n">
        <v>1</v>
      </c>
      <c r="G457" s="582" t="n">
        <v>210</v>
      </c>
      <c r="H457" s="583" t="s">
        <v>1120</v>
      </c>
      <c r="I457" s="44"/>
      <c r="J457" s="44"/>
      <c r="K457" s="44"/>
      <c r="L457" s="44"/>
      <c r="M457" s="44"/>
      <c r="N457" s="44"/>
      <c r="O457" s="44"/>
      <c r="P457" s="44"/>
      <c r="Q457" s="44"/>
      <c r="R457" s="44"/>
      <c r="S457" s="44"/>
      <c r="T457" s="664"/>
      <c r="U457" s="44"/>
      <c r="V457" s="44"/>
      <c r="W457" s="44"/>
      <c r="X457" s="664"/>
      <c r="Y457" s="44"/>
      <c r="Z457" s="44"/>
      <c r="AA457" s="44"/>
      <c r="AB457" s="664"/>
      <c r="AC457" s="44"/>
      <c r="AD457" s="44"/>
      <c r="AE457" s="44"/>
      <c r="AF457" s="664"/>
      <c r="AG457" s="44"/>
      <c r="AH457" s="44"/>
      <c r="AI457" s="93"/>
      <c r="AJ457" s="616"/>
      <c r="AK457" s="93"/>
      <c r="AL457" s="44"/>
      <c r="AM457" s="44"/>
      <c r="AN457" s="664"/>
      <c r="AO457" s="44"/>
      <c r="AP457" s="44"/>
      <c r="AQ457" s="44"/>
      <c r="AR457" s="664"/>
      <c r="AS457" s="44"/>
      <c r="AT457" s="44"/>
      <c r="AU457" s="44"/>
      <c r="AV457" s="664"/>
      <c r="AW457" s="44"/>
      <c r="AX457" s="44"/>
      <c r="AY457" s="44"/>
      <c r="AZ457" s="44"/>
      <c r="BA457" s="44"/>
      <c r="BB457" s="638"/>
      <c r="BC457" s="638"/>
      <c r="BD457" s="638"/>
    </row>
    <row r="458" customFormat="false" ht="15.75" hidden="false" customHeight="false" outlineLevel="0" collapsed="false">
      <c r="A458" s="663" t="s">
        <v>2005</v>
      </c>
      <c r="B458" s="663"/>
      <c r="C458" s="663"/>
      <c r="D458" s="605" t="s">
        <v>802</v>
      </c>
      <c r="E458" s="667" t="s">
        <v>2002</v>
      </c>
      <c r="F458" s="582" t="n">
        <v>1</v>
      </c>
      <c r="G458" s="582" t="n">
        <v>180</v>
      </c>
      <c r="H458" s="583" t="s">
        <v>1120</v>
      </c>
      <c r="I458" s="44"/>
      <c r="J458" s="44"/>
      <c r="K458" s="44"/>
      <c r="L458" s="44"/>
      <c r="M458" s="44"/>
      <c r="N458" s="44"/>
      <c r="O458" s="44"/>
      <c r="P458" s="44"/>
      <c r="Q458" s="44"/>
      <c r="R458" s="44"/>
      <c r="S458" s="44"/>
      <c r="T458" s="664"/>
      <c r="U458" s="44"/>
      <c r="V458" s="44"/>
      <c r="W458" s="44"/>
      <c r="X458" s="664"/>
      <c r="Y458" s="44"/>
      <c r="Z458" s="44"/>
      <c r="AA458" s="44"/>
      <c r="AB458" s="664"/>
      <c r="AC458" s="44"/>
      <c r="AD458" s="44"/>
      <c r="AE458" s="44"/>
      <c r="AF458" s="664"/>
      <c r="AG458" s="44"/>
      <c r="AH458" s="44"/>
      <c r="AI458" s="93"/>
      <c r="AJ458" s="616"/>
      <c r="AK458" s="93"/>
      <c r="AL458" s="44"/>
      <c r="AM458" s="44"/>
      <c r="AN458" s="664"/>
      <c r="AO458" s="44"/>
      <c r="AP458" s="44"/>
      <c r="AQ458" s="44"/>
      <c r="AR458" s="664"/>
      <c r="AS458" s="44"/>
      <c r="AT458" s="44"/>
      <c r="AU458" s="44"/>
      <c r="AV458" s="664"/>
      <c r="AW458" s="44"/>
      <c r="AX458" s="44"/>
      <c r="AY458" s="44"/>
      <c r="AZ458" s="44"/>
      <c r="BA458" s="44"/>
      <c r="BB458" s="638"/>
      <c r="BC458" s="638"/>
      <c r="BD458" s="638"/>
    </row>
    <row r="459" customFormat="false" ht="15.75" hidden="false" customHeight="false" outlineLevel="0" collapsed="false">
      <c r="A459" s="663" t="s">
        <v>2006</v>
      </c>
      <c r="B459" s="663"/>
      <c r="C459" s="663"/>
      <c r="D459" s="605" t="s">
        <v>802</v>
      </c>
      <c r="E459" s="667" t="s">
        <v>2002</v>
      </c>
      <c r="F459" s="582" t="n">
        <v>1</v>
      </c>
      <c r="G459" s="582" t="n">
        <v>195</v>
      </c>
      <c r="H459" s="583" t="s">
        <v>1120</v>
      </c>
      <c r="I459" s="44"/>
      <c r="J459" s="44"/>
      <c r="K459" s="44"/>
      <c r="L459" s="44"/>
      <c r="M459" s="44"/>
      <c r="N459" s="44"/>
      <c r="O459" s="44"/>
      <c r="P459" s="44"/>
      <c r="Q459" s="44"/>
      <c r="R459" s="44"/>
      <c r="S459" s="44"/>
      <c r="T459" s="664"/>
      <c r="U459" s="44"/>
      <c r="V459" s="44"/>
      <c r="W459" s="44"/>
      <c r="X459" s="664"/>
      <c r="Y459" s="44"/>
      <c r="Z459" s="44"/>
      <c r="AA459" s="44"/>
      <c r="AB459" s="664"/>
      <c r="AC459" s="44"/>
      <c r="AD459" s="44"/>
      <c r="AE459" s="44"/>
      <c r="AF459" s="664"/>
      <c r="AG459" s="44"/>
      <c r="AH459" s="44"/>
      <c r="AI459" s="93"/>
      <c r="AJ459" s="616"/>
      <c r="AK459" s="93"/>
      <c r="AL459" s="44"/>
      <c r="AM459" s="44"/>
      <c r="AN459" s="664"/>
      <c r="AO459" s="44"/>
      <c r="AP459" s="44"/>
      <c r="AQ459" s="44"/>
      <c r="AR459" s="664"/>
      <c r="AS459" s="44"/>
      <c r="AT459" s="44"/>
      <c r="AU459" s="44"/>
      <c r="AV459" s="664"/>
      <c r="AW459" s="44"/>
      <c r="AX459" s="44"/>
      <c r="AY459" s="44"/>
      <c r="AZ459" s="44"/>
      <c r="BA459" s="44"/>
      <c r="BB459" s="638"/>
      <c r="BC459" s="638"/>
      <c r="BD459" s="638"/>
    </row>
    <row r="460" customFormat="false" ht="15.75" hidden="false" customHeight="false" outlineLevel="0" collapsed="false">
      <c r="A460" s="663" t="s">
        <v>2007</v>
      </c>
      <c r="B460" s="663"/>
      <c r="C460" s="663"/>
      <c r="D460" s="619" t="s">
        <v>845</v>
      </c>
      <c r="E460" s="667" t="s">
        <v>2008</v>
      </c>
      <c r="F460" s="582" t="n">
        <v>1</v>
      </c>
      <c r="G460" s="582" t="n">
        <v>195</v>
      </c>
      <c r="H460" s="583" t="s">
        <v>1120</v>
      </c>
      <c r="I460" s="44"/>
      <c r="J460" s="44"/>
      <c r="K460" s="44"/>
      <c r="L460" s="44"/>
      <c r="M460" s="44"/>
      <c r="N460" s="44"/>
      <c r="O460" s="44"/>
      <c r="P460" s="44"/>
      <c r="Q460" s="44"/>
      <c r="R460" s="44"/>
      <c r="S460" s="44"/>
      <c r="T460" s="664"/>
      <c r="U460" s="44"/>
      <c r="V460" s="44"/>
      <c r="W460" s="44"/>
      <c r="X460" s="664"/>
      <c r="Y460" s="44"/>
      <c r="Z460" s="44"/>
      <c r="AA460" s="44"/>
      <c r="AB460" s="664"/>
      <c r="AC460" s="44"/>
      <c r="AD460" s="44"/>
      <c r="AE460" s="44"/>
      <c r="AF460" s="664"/>
      <c r="AG460" s="44"/>
      <c r="AH460" s="44"/>
      <c r="AI460" s="93"/>
      <c r="AJ460" s="616"/>
      <c r="AK460" s="93"/>
      <c r="AL460" s="44"/>
      <c r="AM460" s="44"/>
      <c r="AN460" s="664"/>
      <c r="AO460" s="44"/>
      <c r="AP460" s="44"/>
      <c r="AQ460" s="44"/>
      <c r="AR460" s="664"/>
      <c r="AS460" s="44"/>
      <c r="AT460" s="44"/>
      <c r="AU460" s="44"/>
      <c r="AV460" s="664"/>
      <c r="AW460" s="44"/>
      <c r="AX460" s="44"/>
      <c r="AY460" s="44"/>
      <c r="AZ460" s="44"/>
      <c r="BA460" s="44"/>
      <c r="BB460" s="638"/>
      <c r="BC460" s="638"/>
      <c r="BD460" s="638"/>
    </row>
    <row r="461" customFormat="false" ht="15.75" hidden="false" customHeight="false" outlineLevel="0" collapsed="false">
      <c r="A461" s="663" t="s">
        <v>2009</v>
      </c>
      <c r="B461" s="663"/>
      <c r="C461" s="663"/>
      <c r="D461" s="639" t="s">
        <v>828</v>
      </c>
      <c r="E461" s="667" t="s">
        <v>2008</v>
      </c>
      <c r="F461" s="582" t="n">
        <v>1</v>
      </c>
      <c r="G461" s="582" t="n">
        <v>185</v>
      </c>
      <c r="H461" s="583" t="s">
        <v>1120</v>
      </c>
      <c r="I461" s="44"/>
      <c r="J461" s="44"/>
      <c r="K461" s="44"/>
      <c r="L461" s="44"/>
      <c r="M461" s="44"/>
      <c r="N461" s="44"/>
      <c r="O461" s="44"/>
      <c r="P461" s="44"/>
      <c r="Q461" s="44"/>
      <c r="R461" s="44"/>
      <c r="S461" s="44"/>
      <c r="T461" s="664"/>
      <c r="U461" s="44"/>
      <c r="V461" s="44"/>
      <c r="W461" s="44"/>
      <c r="X461" s="664"/>
      <c r="Y461" s="44"/>
      <c r="Z461" s="44"/>
      <c r="AA461" s="44"/>
      <c r="AB461" s="664"/>
      <c r="AC461" s="44"/>
      <c r="AD461" s="44"/>
      <c r="AE461" s="44"/>
      <c r="AF461" s="664"/>
      <c r="AG461" s="44"/>
      <c r="AH461" s="44"/>
      <c r="AI461" s="93"/>
      <c r="AJ461" s="616"/>
      <c r="AK461" s="93"/>
      <c r="AL461" s="44"/>
      <c r="AM461" s="44"/>
      <c r="AN461" s="664"/>
      <c r="AO461" s="44"/>
      <c r="AP461" s="44"/>
      <c r="AQ461" s="44"/>
      <c r="AR461" s="664"/>
      <c r="AS461" s="44"/>
      <c r="AT461" s="44"/>
      <c r="AU461" s="44"/>
      <c r="AV461" s="664"/>
      <c r="AW461" s="44"/>
      <c r="AX461" s="44"/>
      <c r="AY461" s="44"/>
      <c r="AZ461" s="44"/>
      <c r="BA461" s="44"/>
      <c r="BB461" s="638"/>
      <c r="BC461" s="638"/>
      <c r="BD461" s="638"/>
    </row>
    <row r="462" customFormat="false" ht="15.75" hidden="false" customHeight="false" outlineLevel="0" collapsed="false">
      <c r="A462" s="663" t="s">
        <v>2010</v>
      </c>
      <c r="B462" s="663"/>
      <c r="C462" s="663"/>
      <c r="D462" s="599" t="s">
        <v>811</v>
      </c>
      <c r="E462" s="667" t="s">
        <v>2008</v>
      </c>
      <c r="F462" s="582" t="n">
        <v>1</v>
      </c>
      <c r="G462" s="582" t="n">
        <v>195</v>
      </c>
      <c r="H462" s="583" t="s">
        <v>1120</v>
      </c>
      <c r="I462" s="44"/>
      <c r="J462" s="44"/>
      <c r="K462" s="44"/>
      <c r="L462" s="44"/>
      <c r="M462" s="44"/>
      <c r="N462" s="44"/>
      <c r="O462" s="44"/>
      <c r="P462" s="44"/>
      <c r="Q462" s="44"/>
      <c r="R462" s="44"/>
      <c r="S462" s="44"/>
      <c r="T462" s="664"/>
      <c r="U462" s="44"/>
      <c r="V462" s="44"/>
      <c r="W462" s="44"/>
      <c r="X462" s="664"/>
      <c r="Y462" s="44"/>
      <c r="Z462" s="44"/>
      <c r="AA462" s="44"/>
      <c r="AB462" s="664"/>
      <c r="AC462" s="44"/>
      <c r="AD462" s="44"/>
      <c r="AE462" s="44"/>
      <c r="AF462" s="664"/>
      <c r="AG462" s="44"/>
      <c r="AH462" s="44"/>
      <c r="AI462" s="93"/>
      <c r="AJ462" s="616"/>
      <c r="AK462" s="93"/>
      <c r="AL462" s="44"/>
      <c r="AM462" s="44"/>
      <c r="AN462" s="664"/>
      <c r="AO462" s="44"/>
      <c r="AP462" s="44"/>
      <c r="AQ462" s="44"/>
      <c r="AR462" s="664"/>
      <c r="AS462" s="44"/>
      <c r="AT462" s="44"/>
      <c r="AU462" s="44"/>
      <c r="AV462" s="664"/>
      <c r="AW462" s="44"/>
      <c r="AX462" s="44"/>
      <c r="AY462" s="44"/>
      <c r="AZ462" s="44"/>
      <c r="BA462" s="44"/>
      <c r="BB462" s="638"/>
      <c r="BC462" s="638"/>
      <c r="BD462" s="638"/>
    </row>
    <row r="463" customFormat="false" ht="15.75" hidden="false" customHeight="false" outlineLevel="0" collapsed="false">
      <c r="A463" s="663" t="s">
        <v>2011</v>
      </c>
      <c r="B463" s="663"/>
      <c r="C463" s="663"/>
      <c r="D463" s="619" t="s">
        <v>845</v>
      </c>
      <c r="E463" s="667" t="s">
        <v>2008</v>
      </c>
      <c r="F463" s="582" t="n">
        <v>1</v>
      </c>
      <c r="G463" s="582" t="n">
        <v>175</v>
      </c>
      <c r="H463" s="583" t="s">
        <v>1120</v>
      </c>
      <c r="I463" s="44"/>
      <c r="J463" s="44"/>
      <c r="K463" s="44"/>
      <c r="L463" s="44"/>
      <c r="M463" s="44"/>
      <c r="N463" s="44"/>
      <c r="O463" s="44"/>
      <c r="P463" s="44"/>
      <c r="Q463" s="44"/>
      <c r="R463" s="44"/>
      <c r="S463" s="44"/>
      <c r="T463" s="664"/>
      <c r="U463" s="44"/>
      <c r="V463" s="44"/>
      <c r="W463" s="44"/>
      <c r="X463" s="664"/>
      <c r="Y463" s="44"/>
      <c r="Z463" s="44"/>
      <c r="AA463" s="44"/>
      <c r="AB463" s="664"/>
      <c r="AC463" s="44"/>
      <c r="AD463" s="44"/>
      <c r="AE463" s="44"/>
      <c r="AF463" s="664"/>
      <c r="AG463" s="44"/>
      <c r="AH463" s="44"/>
      <c r="AI463" s="93"/>
      <c r="AJ463" s="616"/>
      <c r="AK463" s="93"/>
      <c r="AL463" s="44"/>
      <c r="AM463" s="44"/>
      <c r="AN463" s="664"/>
      <c r="AO463" s="44"/>
      <c r="AP463" s="44"/>
      <c r="AQ463" s="44"/>
      <c r="AR463" s="664"/>
      <c r="AS463" s="44"/>
      <c r="AT463" s="44"/>
      <c r="AU463" s="44"/>
      <c r="AV463" s="664"/>
      <c r="AW463" s="44"/>
      <c r="AX463" s="44"/>
      <c r="AY463" s="44"/>
      <c r="AZ463" s="44"/>
      <c r="BA463" s="44"/>
      <c r="BB463" s="638"/>
      <c r="BC463" s="638"/>
      <c r="BD463" s="638"/>
    </row>
    <row r="464" customFormat="false" ht="15.75" hidden="false" customHeight="false" outlineLevel="0" collapsed="false">
      <c r="A464" s="668" t="s">
        <v>2012</v>
      </c>
      <c r="B464" s="668"/>
      <c r="C464" s="668"/>
      <c r="D464" s="669" t="s">
        <v>839</v>
      </c>
      <c r="E464" s="670" t="s">
        <v>2013</v>
      </c>
      <c r="F464" s="646" t="n">
        <v>1</v>
      </c>
      <c r="G464" s="646" t="s">
        <v>1120</v>
      </c>
      <c r="H464" s="671" t="s">
        <v>1120</v>
      </c>
      <c r="I464" s="44"/>
      <c r="J464" s="44"/>
      <c r="K464" s="44"/>
      <c r="L464" s="44"/>
      <c r="M464" s="44"/>
      <c r="N464" s="44"/>
      <c r="O464" s="44"/>
      <c r="P464" s="44"/>
      <c r="Q464" s="44"/>
      <c r="R464" s="44"/>
      <c r="S464" s="44"/>
      <c r="T464" s="664"/>
      <c r="U464" s="44"/>
      <c r="V464" s="44"/>
      <c r="W464" s="44"/>
      <c r="X464" s="664"/>
      <c r="Y464" s="44"/>
      <c r="Z464" s="44"/>
      <c r="AA464" s="44"/>
      <c r="AB464" s="664"/>
      <c r="AC464" s="44"/>
      <c r="AD464" s="44"/>
      <c r="AE464" s="44"/>
      <c r="AF464" s="664"/>
      <c r="AG464" s="44"/>
      <c r="AH464" s="44"/>
      <c r="AI464" s="93"/>
      <c r="AJ464" s="616"/>
      <c r="AK464" s="93"/>
      <c r="AL464" s="44"/>
      <c r="AM464" s="44"/>
      <c r="AN464" s="664"/>
      <c r="AO464" s="44"/>
      <c r="AP464" s="44"/>
      <c r="AQ464" s="44"/>
      <c r="AR464" s="664"/>
      <c r="AS464" s="44"/>
      <c r="AT464" s="44"/>
      <c r="AU464" s="44"/>
      <c r="AV464" s="664"/>
      <c r="AW464" s="44"/>
      <c r="AX464" s="44"/>
      <c r="AY464" s="44"/>
      <c r="AZ464" s="44"/>
      <c r="BA464" s="44"/>
      <c r="BB464" s="638"/>
      <c r="BC464" s="638"/>
      <c r="BD464" s="638"/>
    </row>
    <row r="465" customFormat="false" ht="15.75" hidden="false" customHeight="false" outlineLevel="0" collapsed="false">
      <c r="A465" s="672" t="s">
        <v>2014</v>
      </c>
      <c r="B465" s="672"/>
      <c r="C465" s="672"/>
      <c r="D465" s="673"/>
      <c r="E465" s="674" t="s">
        <v>2015</v>
      </c>
      <c r="F465" s="675"/>
      <c r="G465" s="676"/>
      <c r="H465" s="677"/>
      <c r="I465" s="44"/>
      <c r="J465" s="44"/>
      <c r="K465" s="44"/>
      <c r="L465" s="44"/>
      <c r="M465" s="44"/>
      <c r="N465" s="44"/>
      <c r="O465" s="44"/>
      <c r="P465" s="44"/>
      <c r="Q465" s="44"/>
      <c r="R465" s="44"/>
      <c r="S465" s="44"/>
      <c r="T465" s="664"/>
      <c r="U465" s="44"/>
      <c r="V465" s="44"/>
      <c r="W465" s="44"/>
      <c r="X465" s="664"/>
      <c r="Y465" s="44"/>
      <c r="Z465" s="44"/>
      <c r="AA465" s="44"/>
      <c r="AB465" s="664"/>
      <c r="AC465" s="44"/>
      <c r="AD465" s="44"/>
      <c r="AE465" s="44"/>
      <c r="AF465" s="664"/>
      <c r="AG465" s="44"/>
      <c r="AH465" s="44"/>
      <c r="AI465" s="93"/>
      <c r="AJ465" s="616"/>
      <c r="AK465" s="93"/>
      <c r="AL465" s="44"/>
      <c r="AM465" s="44"/>
      <c r="AN465" s="664"/>
      <c r="AO465" s="44"/>
      <c r="AP465" s="44"/>
      <c r="AQ465" s="44"/>
      <c r="AR465" s="664"/>
      <c r="AS465" s="44"/>
      <c r="AT465" s="44"/>
      <c r="AU465" s="44"/>
      <c r="AV465" s="664"/>
      <c r="AW465" s="44"/>
      <c r="AX465" s="44"/>
      <c r="AY465" s="44"/>
      <c r="AZ465" s="44"/>
      <c r="BA465" s="44"/>
      <c r="BB465" s="638"/>
      <c r="BC465" s="638"/>
      <c r="BD465" s="638"/>
    </row>
    <row r="466" customFormat="false" ht="15.75" hidden="false" customHeight="false" outlineLevel="0" collapsed="false">
      <c r="A466" s="663" t="s">
        <v>2016</v>
      </c>
      <c r="B466" s="663"/>
      <c r="C466" s="663"/>
      <c r="D466" s="678"/>
      <c r="E466" s="679" t="s">
        <v>2015</v>
      </c>
      <c r="F466" s="680"/>
      <c r="G466" s="375"/>
      <c r="H466" s="681"/>
      <c r="I466" s="44"/>
      <c r="J466" s="44"/>
      <c r="K466" s="44"/>
      <c r="L466" s="44"/>
      <c r="M466" s="44"/>
      <c r="N466" s="44"/>
      <c r="O466" s="44"/>
      <c r="P466" s="44"/>
      <c r="Q466" s="44"/>
      <c r="R466" s="44"/>
      <c r="S466" s="44"/>
      <c r="T466" s="664"/>
      <c r="U466" s="44"/>
      <c r="V466" s="44"/>
      <c r="W466" s="44"/>
      <c r="X466" s="664"/>
      <c r="Y466" s="44"/>
      <c r="Z466" s="44"/>
      <c r="AA466" s="44"/>
      <c r="AB466" s="664"/>
      <c r="AC466" s="44"/>
      <c r="AD466" s="44"/>
      <c r="AE466" s="44"/>
      <c r="AF466" s="664"/>
      <c r="AG466" s="44"/>
      <c r="AH466" s="44"/>
      <c r="AI466" s="93"/>
      <c r="AJ466" s="616"/>
      <c r="AK466" s="93"/>
      <c r="AL466" s="44"/>
      <c r="AM466" s="44"/>
      <c r="AN466" s="664"/>
      <c r="AO466" s="44"/>
      <c r="AP466" s="44"/>
      <c r="AQ466" s="44"/>
      <c r="AR466" s="664"/>
      <c r="AS466" s="44"/>
      <c r="AT466" s="44"/>
      <c r="AU466" s="44"/>
      <c r="AV466" s="664"/>
      <c r="AW466" s="44"/>
      <c r="AX466" s="44"/>
      <c r="AY466" s="44"/>
      <c r="AZ466" s="44"/>
      <c r="BA466" s="44"/>
      <c r="BB466" s="638"/>
      <c r="BC466" s="638"/>
      <c r="BD466" s="638"/>
    </row>
    <row r="467" customFormat="false" ht="15.75" hidden="false" customHeight="false" outlineLevel="0" collapsed="false">
      <c r="A467" s="663" t="s">
        <v>2017</v>
      </c>
      <c r="B467" s="663"/>
      <c r="C467" s="663"/>
      <c r="D467" s="678"/>
      <c r="E467" s="679" t="s">
        <v>2015</v>
      </c>
      <c r="F467" s="680"/>
      <c r="G467" s="375"/>
      <c r="H467" s="681"/>
      <c r="I467" s="44"/>
      <c r="J467" s="44"/>
      <c r="K467" s="44"/>
      <c r="L467" s="44"/>
      <c r="M467" s="44"/>
      <c r="N467" s="44"/>
      <c r="O467" s="44"/>
      <c r="P467" s="44"/>
      <c r="Q467" s="44"/>
      <c r="R467" s="44"/>
      <c r="S467" s="44"/>
      <c r="T467" s="664"/>
      <c r="U467" s="44"/>
      <c r="V467" s="44"/>
      <c r="W467" s="44"/>
      <c r="X467" s="664"/>
      <c r="Y467" s="44"/>
      <c r="Z467" s="44"/>
      <c r="AA467" s="44"/>
      <c r="AB467" s="664"/>
      <c r="AC467" s="44"/>
      <c r="AD467" s="44"/>
      <c r="AE467" s="44"/>
      <c r="AF467" s="664"/>
      <c r="AG467" s="44"/>
      <c r="AH467" s="44"/>
      <c r="AI467" s="93"/>
      <c r="AJ467" s="616"/>
      <c r="AK467" s="93"/>
      <c r="AL467" s="44"/>
      <c r="AM467" s="44"/>
      <c r="AN467" s="664"/>
      <c r="AO467" s="44"/>
      <c r="AP467" s="44"/>
      <c r="AQ467" s="44"/>
      <c r="AR467" s="664"/>
      <c r="AS467" s="44"/>
      <c r="AT467" s="44"/>
      <c r="AU467" s="44"/>
      <c r="AV467" s="664"/>
      <c r="AW467" s="44"/>
      <c r="AX467" s="44"/>
      <c r="AY467" s="44"/>
      <c r="AZ467" s="44"/>
      <c r="BA467" s="44"/>
      <c r="BB467" s="638"/>
      <c r="BC467" s="638"/>
      <c r="BD467" s="638"/>
    </row>
    <row r="468" customFormat="false" ht="15.75" hidden="false" customHeight="false" outlineLevel="0" collapsed="false">
      <c r="A468" s="663" t="s">
        <v>970</v>
      </c>
      <c r="B468" s="663"/>
      <c r="C468" s="663"/>
      <c r="D468" s="678"/>
      <c r="E468" s="679" t="s">
        <v>2015</v>
      </c>
      <c r="F468" s="680"/>
      <c r="G468" s="375"/>
      <c r="H468" s="681"/>
      <c r="I468" s="44"/>
      <c r="J468" s="44"/>
      <c r="K468" s="44"/>
      <c r="L468" s="44"/>
      <c r="M468" s="44"/>
      <c r="N468" s="44"/>
      <c r="O468" s="44"/>
      <c r="P468" s="44"/>
      <c r="Q468" s="44"/>
      <c r="R468" s="44"/>
      <c r="S468" s="44"/>
      <c r="T468" s="664"/>
      <c r="U468" s="44"/>
      <c r="V468" s="44"/>
      <c r="W468" s="44"/>
      <c r="X468" s="664"/>
      <c r="Y468" s="44"/>
      <c r="Z468" s="44"/>
      <c r="AA468" s="44"/>
      <c r="AB468" s="664"/>
      <c r="AC468" s="44"/>
      <c r="AD468" s="44"/>
      <c r="AE468" s="44"/>
      <c r="AF468" s="664"/>
      <c r="AG468" s="44"/>
      <c r="AH468" s="44"/>
      <c r="AI468" s="93"/>
      <c r="AJ468" s="616"/>
      <c r="AK468" s="93"/>
      <c r="AL468" s="44"/>
      <c r="AM468" s="44"/>
      <c r="AN468" s="664"/>
      <c r="AO468" s="44"/>
      <c r="AP468" s="44"/>
      <c r="AQ468" s="44"/>
      <c r="AR468" s="664"/>
      <c r="AS468" s="44"/>
      <c r="AT468" s="44"/>
      <c r="AU468" s="44"/>
      <c r="AV468" s="664"/>
      <c r="AW468" s="44"/>
      <c r="AX468" s="44"/>
      <c r="AY468" s="44"/>
      <c r="AZ468" s="44"/>
      <c r="BA468" s="44"/>
      <c r="BB468" s="638"/>
      <c r="BC468" s="638"/>
      <c r="BD468" s="638"/>
    </row>
    <row r="469" customFormat="false" ht="15.75" hidden="false" customHeight="false" outlineLevel="0" collapsed="false">
      <c r="A469" s="663" t="s">
        <v>957</v>
      </c>
      <c r="B469" s="663"/>
      <c r="C469" s="663"/>
      <c r="D469" s="678"/>
      <c r="E469" s="679" t="s">
        <v>2015</v>
      </c>
      <c r="F469" s="680"/>
      <c r="G469" s="375"/>
      <c r="H469" s="681"/>
      <c r="I469" s="44"/>
      <c r="J469" s="44"/>
      <c r="K469" s="44"/>
      <c r="L469" s="44"/>
      <c r="M469" s="44"/>
      <c r="N469" s="44"/>
      <c r="O469" s="44"/>
      <c r="P469" s="44"/>
      <c r="Q469" s="44"/>
      <c r="R469" s="44"/>
      <c r="S469" s="44"/>
      <c r="T469" s="664"/>
      <c r="U469" s="44"/>
      <c r="V469" s="44"/>
      <c r="W469" s="44"/>
      <c r="X469" s="664"/>
      <c r="Y469" s="44"/>
      <c r="Z469" s="44"/>
      <c r="AA469" s="44"/>
      <c r="AB469" s="664"/>
      <c r="AC469" s="44"/>
      <c r="AD469" s="44"/>
      <c r="AE469" s="44"/>
      <c r="AF469" s="664"/>
      <c r="AG469" s="44"/>
      <c r="AH469" s="44"/>
      <c r="AI469" s="93"/>
      <c r="AJ469" s="616"/>
      <c r="AK469" s="93"/>
      <c r="AL469" s="44"/>
      <c r="AM469" s="44"/>
      <c r="AN469" s="664"/>
      <c r="AO469" s="44"/>
      <c r="AP469" s="44"/>
      <c r="AQ469" s="44"/>
      <c r="AR469" s="664"/>
      <c r="AS469" s="44"/>
      <c r="AT469" s="44"/>
      <c r="AU469" s="44"/>
      <c r="AV469" s="664"/>
      <c r="AW469" s="44"/>
      <c r="AX469" s="44"/>
      <c r="AY469" s="44"/>
      <c r="AZ469" s="44"/>
      <c r="BA469" s="44"/>
      <c r="BB469" s="638"/>
      <c r="BC469" s="638"/>
      <c r="BD469" s="638"/>
    </row>
    <row r="470" customFormat="false" ht="15.75" hidden="false" customHeight="false" outlineLevel="0" collapsed="false">
      <c r="A470" s="682" t="s">
        <v>2018</v>
      </c>
      <c r="B470" s="682"/>
      <c r="C470" s="682"/>
      <c r="D470" s="683"/>
      <c r="E470" s="684" t="s">
        <v>2015</v>
      </c>
      <c r="F470" s="680"/>
      <c r="G470" s="375"/>
      <c r="H470" s="681"/>
      <c r="I470" s="44"/>
      <c r="J470" s="44"/>
      <c r="K470" s="44"/>
      <c r="L470" s="44"/>
      <c r="M470" s="44"/>
      <c r="N470" s="44"/>
      <c r="O470" s="44"/>
      <c r="P470" s="44"/>
      <c r="Q470" s="44"/>
      <c r="R470" s="44"/>
      <c r="S470" s="44"/>
      <c r="T470" s="664"/>
      <c r="U470" s="44"/>
      <c r="V470" s="44"/>
      <c r="W470" s="44"/>
      <c r="X470" s="664"/>
      <c r="Y470" s="44"/>
      <c r="Z470" s="44"/>
      <c r="AA470" s="44"/>
      <c r="AB470" s="664"/>
      <c r="AC470" s="44"/>
      <c r="AD470" s="44"/>
      <c r="AE470" s="44"/>
      <c r="AF470" s="664"/>
      <c r="AG470" s="44"/>
      <c r="AH470" s="44"/>
      <c r="AI470" s="93"/>
      <c r="AJ470" s="616"/>
      <c r="AK470" s="93"/>
      <c r="AL470" s="44"/>
      <c r="AM470" s="44"/>
      <c r="AN470" s="664"/>
      <c r="AO470" s="44"/>
      <c r="AP470" s="44"/>
      <c r="AQ470" s="44"/>
      <c r="AR470" s="664"/>
      <c r="AS470" s="44"/>
      <c r="AT470" s="44"/>
      <c r="AU470" s="44"/>
      <c r="AV470" s="664"/>
      <c r="AW470" s="44"/>
      <c r="AX470" s="44"/>
      <c r="AY470" s="44"/>
      <c r="AZ470" s="44"/>
      <c r="BA470" s="44"/>
      <c r="BB470" s="638"/>
      <c r="BC470" s="638"/>
      <c r="BD470" s="638"/>
    </row>
    <row r="471" customFormat="false" ht="15.75" hidden="false" customHeight="false" outlineLevel="0" collapsed="false">
      <c r="A471" s="685" t="s">
        <v>2019</v>
      </c>
      <c r="B471" s="685"/>
      <c r="C471" s="685"/>
      <c r="D471" s="683"/>
      <c r="E471" s="684" t="s">
        <v>2015</v>
      </c>
      <c r="F471" s="680"/>
      <c r="G471" s="375"/>
      <c r="H471" s="681"/>
      <c r="I471" s="44"/>
      <c r="J471" s="44"/>
      <c r="K471" s="44"/>
      <c r="L471" s="44"/>
      <c r="M471" s="44"/>
      <c r="N471" s="44"/>
      <c r="O471" s="44"/>
      <c r="P471" s="44"/>
      <c r="Q471" s="44"/>
      <c r="R471" s="44"/>
      <c r="S471" s="44"/>
      <c r="T471" s="664"/>
      <c r="U471" s="44"/>
      <c r="V471" s="44"/>
      <c r="W471" s="44"/>
      <c r="X471" s="664"/>
      <c r="Y471" s="44"/>
      <c r="Z471" s="44"/>
      <c r="AA471" s="44"/>
      <c r="AB471" s="664"/>
      <c r="AC471" s="44"/>
      <c r="AD471" s="44"/>
      <c r="AE471" s="44"/>
      <c r="AF471" s="664"/>
      <c r="AG471" s="44"/>
      <c r="AH471" s="44"/>
      <c r="AI471" s="44"/>
      <c r="AJ471" s="664"/>
      <c r="AK471" s="44"/>
      <c r="AL471" s="44"/>
      <c r="AM471" s="44"/>
      <c r="AN471" s="664"/>
      <c r="AO471" s="44"/>
      <c r="AP471" s="44"/>
      <c r="AQ471" s="44"/>
      <c r="AR471" s="664"/>
      <c r="AS471" s="44"/>
      <c r="AT471" s="44"/>
      <c r="AU471" s="44"/>
      <c r="AV471" s="664"/>
      <c r="AW471" s="44"/>
      <c r="AX471" s="44"/>
      <c r="AY471" s="44"/>
      <c r="AZ471" s="44"/>
      <c r="BA471" s="44"/>
      <c r="BB471" s="638"/>
      <c r="BC471" s="638"/>
      <c r="BD471" s="638"/>
    </row>
    <row r="472" customFormat="false" ht="15.75" hidden="false" customHeight="false" outlineLevel="0" collapsed="false">
      <c r="A472" s="682" t="s">
        <v>1681</v>
      </c>
      <c r="B472" s="682"/>
      <c r="C472" s="682"/>
      <c r="D472" s="683"/>
      <c r="E472" s="684" t="s">
        <v>2015</v>
      </c>
      <c r="F472" s="680"/>
      <c r="G472" s="375"/>
      <c r="H472" s="681"/>
      <c r="I472" s="44"/>
      <c r="J472" s="44"/>
      <c r="K472" s="44"/>
      <c r="L472" s="44"/>
      <c r="M472" s="44"/>
      <c r="N472" s="44"/>
      <c r="O472" s="44"/>
      <c r="P472" s="44"/>
      <c r="Q472" s="44"/>
      <c r="R472" s="44"/>
      <c r="S472" s="44"/>
      <c r="T472" s="664"/>
      <c r="U472" s="44"/>
      <c r="V472" s="44"/>
      <c r="W472" s="44"/>
      <c r="X472" s="664"/>
      <c r="Y472" s="44"/>
      <c r="Z472" s="44"/>
      <c r="AA472" s="44"/>
      <c r="AB472" s="664"/>
      <c r="AC472" s="44"/>
      <c r="AD472" s="44"/>
      <c r="AE472" s="44"/>
      <c r="AF472" s="664"/>
      <c r="AG472" s="44"/>
      <c r="AH472" s="44"/>
      <c r="AI472" s="44"/>
      <c r="AJ472" s="664"/>
      <c r="AK472" s="44"/>
      <c r="AL472" s="44"/>
      <c r="AM472" s="44"/>
      <c r="AN472" s="664"/>
      <c r="AO472" s="44"/>
      <c r="AP472" s="44"/>
      <c r="AQ472" s="44"/>
      <c r="AR472" s="664"/>
      <c r="AS472" s="44"/>
      <c r="AT472" s="44"/>
      <c r="AU472" s="44"/>
      <c r="AV472" s="664"/>
      <c r="AW472" s="44"/>
      <c r="AX472" s="44"/>
      <c r="AY472" s="44"/>
      <c r="AZ472" s="44"/>
      <c r="BA472" s="44"/>
      <c r="BB472" s="638"/>
      <c r="BC472" s="638"/>
      <c r="BD472" s="638"/>
    </row>
    <row r="473" customFormat="false" ht="15.75" hidden="false" customHeight="false" outlineLevel="0" collapsed="false">
      <c r="A473" s="685" t="s">
        <v>2020</v>
      </c>
      <c r="B473" s="685"/>
      <c r="C473" s="685"/>
      <c r="D473" s="683"/>
      <c r="E473" s="684" t="s">
        <v>2015</v>
      </c>
      <c r="F473" s="680"/>
      <c r="G473" s="375"/>
      <c r="H473" s="681"/>
      <c r="I473" s="44"/>
      <c r="J473" s="44"/>
      <c r="K473" s="44"/>
      <c r="L473" s="44"/>
      <c r="M473" s="44"/>
      <c r="N473" s="44"/>
      <c r="O473" s="44"/>
      <c r="P473" s="44"/>
      <c r="Q473" s="44"/>
      <c r="R473" s="44"/>
      <c r="S473" s="44"/>
      <c r="T473" s="664"/>
      <c r="U473" s="44"/>
      <c r="V473" s="44"/>
      <c r="W473" s="44"/>
      <c r="X473" s="664"/>
      <c r="Y473" s="44"/>
      <c r="Z473" s="44"/>
      <c r="AA473" s="44"/>
      <c r="AB473" s="664"/>
      <c r="AC473" s="44"/>
      <c r="AD473" s="44"/>
      <c r="AE473" s="44"/>
      <c r="AF473" s="664"/>
      <c r="AG473" s="44"/>
      <c r="AH473" s="44"/>
      <c r="AI473" s="44"/>
      <c r="AJ473" s="664"/>
      <c r="AK473" s="44"/>
      <c r="AL473" s="44"/>
      <c r="AM473" s="44"/>
      <c r="AN473" s="664"/>
      <c r="AO473" s="44"/>
      <c r="AP473" s="44"/>
      <c r="AQ473" s="44"/>
      <c r="AR473" s="664"/>
      <c r="AS473" s="44"/>
      <c r="AT473" s="44"/>
      <c r="AU473" s="44"/>
      <c r="AV473" s="664"/>
      <c r="AW473" s="44"/>
      <c r="AX473" s="44"/>
      <c r="AY473" s="44"/>
      <c r="AZ473" s="44"/>
      <c r="BA473" s="44"/>
      <c r="BB473" s="638"/>
      <c r="BC473" s="638"/>
      <c r="BD473" s="638"/>
    </row>
    <row r="474" customFormat="false" ht="15.75" hidden="false" customHeight="false" outlineLevel="0" collapsed="false">
      <c r="A474" s="682" t="s">
        <v>1307</v>
      </c>
      <c r="B474" s="682"/>
      <c r="C474" s="682"/>
      <c r="D474" s="683"/>
      <c r="E474" s="684" t="s">
        <v>2015</v>
      </c>
      <c r="F474" s="680"/>
      <c r="G474" s="375"/>
      <c r="H474" s="681"/>
      <c r="I474" s="44"/>
      <c r="J474" s="44"/>
      <c r="K474" s="44"/>
      <c r="L474" s="44"/>
      <c r="M474" s="44"/>
      <c r="N474" s="44"/>
      <c r="O474" s="44"/>
      <c r="P474" s="44"/>
      <c r="Q474" s="44"/>
      <c r="R474" s="44"/>
      <c r="S474" s="44"/>
      <c r="T474" s="664"/>
      <c r="U474" s="44"/>
      <c r="V474" s="44"/>
      <c r="W474" s="44"/>
      <c r="X474" s="664"/>
      <c r="Y474" s="44"/>
      <c r="Z474" s="44"/>
      <c r="AA474" s="44"/>
      <c r="AB474" s="664"/>
      <c r="AC474" s="44"/>
      <c r="AD474" s="44"/>
      <c r="AE474" s="44"/>
      <c r="AF474" s="664"/>
      <c r="AG474" s="44"/>
      <c r="AH474" s="44"/>
      <c r="AI474" s="44"/>
      <c r="AJ474" s="664"/>
      <c r="AK474" s="44"/>
      <c r="AL474" s="44"/>
      <c r="AM474" s="44"/>
      <c r="AN474" s="664"/>
      <c r="AO474" s="44"/>
      <c r="AP474" s="44"/>
      <c r="AQ474" s="44"/>
      <c r="AR474" s="664"/>
      <c r="AS474" s="44"/>
      <c r="AT474" s="44"/>
      <c r="AU474" s="44"/>
      <c r="AV474" s="664"/>
      <c r="AW474" s="44"/>
      <c r="AX474" s="44"/>
      <c r="AY474" s="44"/>
      <c r="AZ474" s="44"/>
      <c r="BA474" s="44"/>
      <c r="BB474" s="638"/>
      <c r="BC474" s="638"/>
      <c r="BD474" s="638"/>
    </row>
    <row r="475" customFormat="false" ht="15.75" hidden="false" customHeight="false" outlineLevel="0" collapsed="false">
      <c r="A475" s="686" t="s">
        <v>1562</v>
      </c>
      <c r="B475" s="686"/>
      <c r="C475" s="686"/>
      <c r="D475" s="687"/>
      <c r="E475" s="688" t="s">
        <v>2015</v>
      </c>
      <c r="F475" s="689"/>
      <c r="G475" s="690"/>
      <c r="H475" s="691"/>
      <c r="I475" s="44"/>
      <c r="J475" s="44"/>
      <c r="K475" s="44"/>
      <c r="L475" s="44"/>
      <c r="M475" s="44"/>
      <c r="N475" s="44"/>
      <c r="O475" s="44"/>
      <c r="P475" s="44"/>
      <c r="Q475" s="44"/>
      <c r="R475" s="44"/>
      <c r="S475" s="44"/>
      <c r="T475" s="664"/>
      <c r="U475" s="44"/>
      <c r="V475" s="44"/>
      <c r="W475" s="44"/>
      <c r="X475" s="664"/>
      <c r="Y475" s="44"/>
      <c r="Z475" s="44"/>
      <c r="AA475" s="44"/>
      <c r="AB475" s="664"/>
      <c r="AC475" s="44"/>
      <c r="AD475" s="44"/>
      <c r="AE475" s="44"/>
      <c r="AF475" s="664"/>
      <c r="AG475" s="44"/>
      <c r="AH475" s="44"/>
      <c r="AI475" s="44"/>
      <c r="AJ475" s="664"/>
      <c r="AK475" s="44"/>
      <c r="AL475" s="44"/>
      <c r="AM475" s="44"/>
      <c r="AN475" s="664"/>
      <c r="AO475" s="44"/>
      <c r="AP475" s="44"/>
      <c r="AQ475" s="44"/>
      <c r="AR475" s="664"/>
      <c r="AS475" s="44"/>
      <c r="AT475" s="44"/>
      <c r="AU475" s="44"/>
      <c r="AV475" s="664"/>
      <c r="AW475" s="44"/>
      <c r="AX475" s="44"/>
      <c r="AY475" s="44"/>
      <c r="AZ475" s="44"/>
      <c r="BA475" s="44"/>
      <c r="BB475" s="638"/>
      <c r="BC475" s="638"/>
      <c r="BD475" s="638"/>
    </row>
  </sheetData>
  <mergeCells count="724">
    <mergeCell ref="A1:H1"/>
    <mergeCell ref="J1:P1"/>
    <mergeCell ref="S1:U1"/>
    <mergeCell ref="W1:Y1"/>
    <mergeCell ref="AA1:AC1"/>
    <mergeCell ref="AE1:AG1"/>
    <mergeCell ref="AI1:AK1"/>
    <mergeCell ref="AM1:AO1"/>
    <mergeCell ref="AQ1:AS1"/>
    <mergeCell ref="AU1:AW1"/>
    <mergeCell ref="AY1:BA1"/>
    <mergeCell ref="A2:C2"/>
    <mergeCell ref="J2:L2"/>
    <mergeCell ref="A3:C3"/>
    <mergeCell ref="J3:L3"/>
    <mergeCell ref="A4:C4"/>
    <mergeCell ref="J4:L4"/>
    <mergeCell ref="A5:C5"/>
    <mergeCell ref="J5:L5"/>
    <mergeCell ref="A6:C6"/>
    <mergeCell ref="J6:L6"/>
    <mergeCell ref="A7:C7"/>
    <mergeCell ref="J7:L7"/>
    <mergeCell ref="A8:C8"/>
    <mergeCell ref="J8:L8"/>
    <mergeCell ref="A9:C9"/>
    <mergeCell ref="J9:L9"/>
    <mergeCell ref="A10:C10"/>
    <mergeCell ref="J10:L10"/>
    <mergeCell ref="A11:C11"/>
    <mergeCell ref="J11:L11"/>
    <mergeCell ref="A12:C12"/>
    <mergeCell ref="J12:L12"/>
    <mergeCell ref="A13:C13"/>
    <mergeCell ref="J13:L13"/>
    <mergeCell ref="A14:C14"/>
    <mergeCell ref="J14:L14"/>
    <mergeCell ref="A15:C15"/>
    <mergeCell ref="J15:L15"/>
    <mergeCell ref="A16:C16"/>
    <mergeCell ref="J16:L16"/>
    <mergeCell ref="A17:C17"/>
    <mergeCell ref="J17:L17"/>
    <mergeCell ref="A18:C18"/>
    <mergeCell ref="J18:L18"/>
    <mergeCell ref="A19:C19"/>
    <mergeCell ref="J19:L19"/>
    <mergeCell ref="A20:C20"/>
    <mergeCell ref="J20:L20"/>
    <mergeCell ref="A21:C21"/>
    <mergeCell ref="J21:L21"/>
    <mergeCell ref="A22:C22"/>
    <mergeCell ref="J22:L22"/>
    <mergeCell ref="A23:C23"/>
    <mergeCell ref="J23:L23"/>
    <mergeCell ref="A24:C24"/>
    <mergeCell ref="J24:L24"/>
    <mergeCell ref="A25:C25"/>
    <mergeCell ref="J25:L25"/>
    <mergeCell ref="A26:C26"/>
    <mergeCell ref="J26:L26"/>
    <mergeCell ref="A27:C27"/>
    <mergeCell ref="J27:L27"/>
    <mergeCell ref="A28:C28"/>
    <mergeCell ref="J28:L28"/>
    <mergeCell ref="A29:C29"/>
    <mergeCell ref="J29:L29"/>
    <mergeCell ref="A30:C30"/>
    <mergeCell ref="J30:L30"/>
    <mergeCell ref="A31:C31"/>
    <mergeCell ref="J31:L31"/>
    <mergeCell ref="A32:C32"/>
    <mergeCell ref="J32:L32"/>
    <mergeCell ref="A33:C33"/>
    <mergeCell ref="J33:L33"/>
    <mergeCell ref="A34:C34"/>
    <mergeCell ref="J34:L34"/>
    <mergeCell ref="A35:C35"/>
    <mergeCell ref="J35:L35"/>
    <mergeCell ref="A36:C36"/>
    <mergeCell ref="J36:L36"/>
    <mergeCell ref="A37:C37"/>
    <mergeCell ref="J37:L37"/>
    <mergeCell ref="A38:C38"/>
    <mergeCell ref="J38:L38"/>
    <mergeCell ref="A39:C39"/>
    <mergeCell ref="J39:L39"/>
    <mergeCell ref="A40:C40"/>
    <mergeCell ref="J40:L40"/>
    <mergeCell ref="A41:C41"/>
    <mergeCell ref="J41:L41"/>
    <mergeCell ref="A42:C42"/>
    <mergeCell ref="J42:L42"/>
    <mergeCell ref="A43:C43"/>
    <mergeCell ref="J43:L43"/>
    <mergeCell ref="A44:C44"/>
    <mergeCell ref="J44:L44"/>
    <mergeCell ref="A45:C45"/>
    <mergeCell ref="J45:L45"/>
    <mergeCell ref="A46:C46"/>
    <mergeCell ref="J46:L46"/>
    <mergeCell ref="A47:C47"/>
    <mergeCell ref="J47:L47"/>
    <mergeCell ref="A48:C48"/>
    <mergeCell ref="J48:L48"/>
    <mergeCell ref="A49:C49"/>
    <mergeCell ref="J49:L49"/>
    <mergeCell ref="A50:C50"/>
    <mergeCell ref="J50:L50"/>
    <mergeCell ref="A51:C51"/>
    <mergeCell ref="J51:L51"/>
    <mergeCell ref="A52:C52"/>
    <mergeCell ref="J52:L52"/>
    <mergeCell ref="A53:C53"/>
    <mergeCell ref="J53:L53"/>
    <mergeCell ref="A54:C54"/>
    <mergeCell ref="J54:L54"/>
    <mergeCell ref="A55:C55"/>
    <mergeCell ref="J55:L55"/>
    <mergeCell ref="A56:C56"/>
    <mergeCell ref="J56:L56"/>
    <mergeCell ref="A57:C57"/>
    <mergeCell ref="J57:L57"/>
    <mergeCell ref="A58:C58"/>
    <mergeCell ref="J58:L58"/>
    <mergeCell ref="A59:C59"/>
    <mergeCell ref="J59:L59"/>
    <mergeCell ref="A60:C60"/>
    <mergeCell ref="J60:L60"/>
    <mergeCell ref="A61:C61"/>
    <mergeCell ref="J61:L61"/>
    <mergeCell ref="A62:C62"/>
    <mergeCell ref="J62:L62"/>
    <mergeCell ref="A63:C63"/>
    <mergeCell ref="J63:L63"/>
    <mergeCell ref="A64:C64"/>
    <mergeCell ref="J64:L64"/>
    <mergeCell ref="A65:C65"/>
    <mergeCell ref="J65:L65"/>
    <mergeCell ref="A66:C66"/>
    <mergeCell ref="J66:L66"/>
    <mergeCell ref="A67:C67"/>
    <mergeCell ref="J67:L67"/>
    <mergeCell ref="A68:C68"/>
    <mergeCell ref="J68:L68"/>
    <mergeCell ref="A69:C69"/>
    <mergeCell ref="J69:L69"/>
    <mergeCell ref="A70:C70"/>
    <mergeCell ref="J70:L70"/>
    <mergeCell ref="A71:C71"/>
    <mergeCell ref="J71:L71"/>
    <mergeCell ref="A72:C72"/>
    <mergeCell ref="J72:L72"/>
    <mergeCell ref="A73:C73"/>
    <mergeCell ref="J73:L73"/>
    <mergeCell ref="A74:C74"/>
    <mergeCell ref="J74:L74"/>
    <mergeCell ref="A75:C75"/>
    <mergeCell ref="J75:L75"/>
    <mergeCell ref="A76:C76"/>
    <mergeCell ref="J76:L76"/>
    <mergeCell ref="A77:C77"/>
    <mergeCell ref="J77:L77"/>
    <mergeCell ref="A78:C78"/>
    <mergeCell ref="J78:L78"/>
    <mergeCell ref="A79:C79"/>
    <mergeCell ref="J79:L79"/>
    <mergeCell ref="A80:C80"/>
    <mergeCell ref="J80:L80"/>
    <mergeCell ref="A81:C81"/>
    <mergeCell ref="J81:L81"/>
    <mergeCell ref="A82:C82"/>
    <mergeCell ref="J82:L82"/>
    <mergeCell ref="A83:C83"/>
    <mergeCell ref="J83:L83"/>
    <mergeCell ref="A84:C84"/>
    <mergeCell ref="J84:L84"/>
    <mergeCell ref="A85:C85"/>
    <mergeCell ref="J85:L85"/>
    <mergeCell ref="A86:C86"/>
    <mergeCell ref="J86:L86"/>
    <mergeCell ref="A87:C87"/>
    <mergeCell ref="J87:L87"/>
    <mergeCell ref="A88:C88"/>
    <mergeCell ref="J88:L88"/>
    <mergeCell ref="A89:C89"/>
    <mergeCell ref="J89:L89"/>
    <mergeCell ref="A90:C90"/>
    <mergeCell ref="J90:L90"/>
    <mergeCell ref="A91:C91"/>
    <mergeCell ref="J91:L91"/>
    <mergeCell ref="A92:C92"/>
    <mergeCell ref="J92:L92"/>
    <mergeCell ref="A93:C93"/>
    <mergeCell ref="J93:L93"/>
    <mergeCell ref="A94:C94"/>
    <mergeCell ref="J94:L94"/>
    <mergeCell ref="A95:C95"/>
    <mergeCell ref="J95:L95"/>
    <mergeCell ref="A96:C96"/>
    <mergeCell ref="J96:L96"/>
    <mergeCell ref="A97:C97"/>
    <mergeCell ref="J97:L97"/>
    <mergeCell ref="A98:C98"/>
    <mergeCell ref="J98:L98"/>
    <mergeCell ref="A99:C99"/>
    <mergeCell ref="J99:L99"/>
    <mergeCell ref="A100:C100"/>
    <mergeCell ref="J100:L100"/>
    <mergeCell ref="A101:C101"/>
    <mergeCell ref="J101:L101"/>
    <mergeCell ref="A102:C102"/>
    <mergeCell ref="J102:L102"/>
    <mergeCell ref="A103:C103"/>
    <mergeCell ref="J103:L103"/>
    <mergeCell ref="A104:C104"/>
    <mergeCell ref="J104:L104"/>
    <mergeCell ref="A105:C105"/>
    <mergeCell ref="J105:L105"/>
    <mergeCell ref="A106:C106"/>
    <mergeCell ref="J106:L106"/>
    <mergeCell ref="A107:C107"/>
    <mergeCell ref="J107:L107"/>
    <mergeCell ref="A108:C108"/>
    <mergeCell ref="J108:L108"/>
    <mergeCell ref="A109:C109"/>
    <mergeCell ref="J109:L109"/>
    <mergeCell ref="A110:C110"/>
    <mergeCell ref="J110:L110"/>
    <mergeCell ref="A111:C111"/>
    <mergeCell ref="J111:L111"/>
    <mergeCell ref="A112:C112"/>
    <mergeCell ref="J112:L112"/>
    <mergeCell ref="A113:C113"/>
    <mergeCell ref="J113:L113"/>
    <mergeCell ref="A114:C114"/>
    <mergeCell ref="J114:L114"/>
    <mergeCell ref="A115:C115"/>
    <mergeCell ref="J115:L115"/>
    <mergeCell ref="A116:C116"/>
    <mergeCell ref="J116:L116"/>
    <mergeCell ref="A117:C117"/>
    <mergeCell ref="J117:L117"/>
    <mergeCell ref="A118:C118"/>
    <mergeCell ref="J118:L118"/>
    <mergeCell ref="A119:C119"/>
    <mergeCell ref="J119:L119"/>
    <mergeCell ref="A120:C120"/>
    <mergeCell ref="J120:L120"/>
    <mergeCell ref="A121:C121"/>
    <mergeCell ref="J121:L121"/>
    <mergeCell ref="A122:C122"/>
    <mergeCell ref="J122:L122"/>
    <mergeCell ref="A123:C123"/>
    <mergeCell ref="J123:L123"/>
    <mergeCell ref="A124:C124"/>
    <mergeCell ref="J124:L124"/>
    <mergeCell ref="A125:C125"/>
    <mergeCell ref="J125:L125"/>
    <mergeCell ref="A126:C126"/>
    <mergeCell ref="J126:L126"/>
    <mergeCell ref="A127:C127"/>
    <mergeCell ref="J127:L127"/>
    <mergeCell ref="A128:C128"/>
    <mergeCell ref="J128:L128"/>
    <mergeCell ref="A129:C129"/>
    <mergeCell ref="J129:L129"/>
    <mergeCell ref="A130:C130"/>
    <mergeCell ref="J130:L130"/>
    <mergeCell ref="A131:C131"/>
    <mergeCell ref="J131:L131"/>
    <mergeCell ref="A132:C132"/>
    <mergeCell ref="J132:L132"/>
    <mergeCell ref="A133:C133"/>
    <mergeCell ref="J133:L133"/>
    <mergeCell ref="A134:C134"/>
    <mergeCell ref="J134:L134"/>
    <mergeCell ref="A135:C135"/>
    <mergeCell ref="J135:L135"/>
    <mergeCell ref="A136:C136"/>
    <mergeCell ref="J136:L136"/>
    <mergeCell ref="A137:C137"/>
    <mergeCell ref="J137:L137"/>
    <mergeCell ref="A138:C138"/>
    <mergeCell ref="J138:L138"/>
    <mergeCell ref="A139:C139"/>
    <mergeCell ref="J139:L139"/>
    <mergeCell ref="A140:C140"/>
    <mergeCell ref="J140:L140"/>
    <mergeCell ref="A141:C141"/>
    <mergeCell ref="J141:L141"/>
    <mergeCell ref="A142:C142"/>
    <mergeCell ref="J142:L142"/>
    <mergeCell ref="A143:C143"/>
    <mergeCell ref="J143:L143"/>
    <mergeCell ref="A144:C144"/>
    <mergeCell ref="J144:L144"/>
    <mergeCell ref="A145:C145"/>
    <mergeCell ref="J145:L145"/>
    <mergeCell ref="A146:C146"/>
    <mergeCell ref="J146:L146"/>
    <mergeCell ref="A147:C147"/>
    <mergeCell ref="J147:L147"/>
    <mergeCell ref="A148:C148"/>
    <mergeCell ref="J148:L148"/>
    <mergeCell ref="A149:C149"/>
    <mergeCell ref="J149:L149"/>
    <mergeCell ref="A150:C150"/>
    <mergeCell ref="J150:L150"/>
    <mergeCell ref="A151:C151"/>
    <mergeCell ref="J151:L151"/>
    <mergeCell ref="A152:C152"/>
    <mergeCell ref="J152:L152"/>
    <mergeCell ref="A153:C153"/>
    <mergeCell ref="J153:L153"/>
    <mergeCell ref="A154:C154"/>
    <mergeCell ref="J154:L154"/>
    <mergeCell ref="A155:C155"/>
    <mergeCell ref="J155:L155"/>
    <mergeCell ref="A156:C156"/>
    <mergeCell ref="J156:L156"/>
    <mergeCell ref="A157:C157"/>
    <mergeCell ref="J157:L157"/>
    <mergeCell ref="A158:C158"/>
    <mergeCell ref="J158:L158"/>
    <mergeCell ref="A159:C159"/>
    <mergeCell ref="J159:L159"/>
    <mergeCell ref="A160:C160"/>
    <mergeCell ref="J160:L160"/>
    <mergeCell ref="A161:C161"/>
    <mergeCell ref="J161:L161"/>
    <mergeCell ref="A162:C162"/>
    <mergeCell ref="J162:L162"/>
    <mergeCell ref="A163:C163"/>
    <mergeCell ref="J163:L163"/>
    <mergeCell ref="A164:C164"/>
    <mergeCell ref="J164:L164"/>
    <mergeCell ref="A165:C165"/>
    <mergeCell ref="J165:L165"/>
    <mergeCell ref="A166:C166"/>
    <mergeCell ref="J166:L166"/>
    <mergeCell ref="A167:C167"/>
    <mergeCell ref="J167:L167"/>
    <mergeCell ref="A168:C168"/>
    <mergeCell ref="J168:L168"/>
    <mergeCell ref="A169:C169"/>
    <mergeCell ref="J169:L169"/>
    <mergeCell ref="A170:C170"/>
    <mergeCell ref="J170:L170"/>
    <mergeCell ref="A171:C171"/>
    <mergeCell ref="J171:L171"/>
    <mergeCell ref="A172:C172"/>
    <mergeCell ref="J172:L172"/>
    <mergeCell ref="A173:C173"/>
    <mergeCell ref="J173:L173"/>
    <mergeCell ref="A174:C174"/>
    <mergeCell ref="J174:L174"/>
    <mergeCell ref="A175:C175"/>
    <mergeCell ref="J175:L175"/>
    <mergeCell ref="A176:C176"/>
    <mergeCell ref="J176:L176"/>
    <mergeCell ref="A177:C177"/>
    <mergeCell ref="J177:L177"/>
    <mergeCell ref="A178:C178"/>
    <mergeCell ref="J178:L178"/>
    <mergeCell ref="A179:C179"/>
    <mergeCell ref="J179:L179"/>
    <mergeCell ref="A180:C180"/>
    <mergeCell ref="J180:L180"/>
    <mergeCell ref="A181:C181"/>
    <mergeCell ref="J181:L181"/>
    <mergeCell ref="A182:C182"/>
    <mergeCell ref="J182:L182"/>
    <mergeCell ref="A183:C183"/>
    <mergeCell ref="J183:L183"/>
    <mergeCell ref="A184:C184"/>
    <mergeCell ref="J184:L184"/>
    <mergeCell ref="A185:C185"/>
    <mergeCell ref="J185:L185"/>
    <mergeCell ref="A186:C186"/>
    <mergeCell ref="J186:L186"/>
    <mergeCell ref="A187:C187"/>
    <mergeCell ref="J187:L187"/>
    <mergeCell ref="A188:C188"/>
    <mergeCell ref="J188:L188"/>
    <mergeCell ref="A189:C189"/>
    <mergeCell ref="J189:L189"/>
    <mergeCell ref="A190:C190"/>
    <mergeCell ref="J190:L190"/>
    <mergeCell ref="A191:C191"/>
    <mergeCell ref="J191:L191"/>
    <mergeCell ref="A192:C192"/>
    <mergeCell ref="J192:L192"/>
    <mergeCell ref="A193:C193"/>
    <mergeCell ref="J193:L193"/>
    <mergeCell ref="A194:C194"/>
    <mergeCell ref="J194:L194"/>
    <mergeCell ref="A195:C195"/>
    <mergeCell ref="J195:L195"/>
    <mergeCell ref="A196:C196"/>
    <mergeCell ref="J196:L196"/>
    <mergeCell ref="A197:C197"/>
    <mergeCell ref="J197:L197"/>
    <mergeCell ref="A198:C198"/>
    <mergeCell ref="J198:L198"/>
    <mergeCell ref="A199:C199"/>
    <mergeCell ref="J199:L199"/>
    <mergeCell ref="A200:C200"/>
    <mergeCell ref="J200:L200"/>
    <mergeCell ref="A201:C201"/>
    <mergeCell ref="J201:L201"/>
    <mergeCell ref="A202:C202"/>
    <mergeCell ref="J202:L202"/>
    <mergeCell ref="A203:C203"/>
    <mergeCell ref="J203:L203"/>
    <mergeCell ref="A204:C204"/>
    <mergeCell ref="J204:L204"/>
    <mergeCell ref="A205:C205"/>
    <mergeCell ref="J205:L205"/>
    <mergeCell ref="A206:C206"/>
    <mergeCell ref="J206:L206"/>
    <mergeCell ref="A207:C207"/>
    <mergeCell ref="J207:L207"/>
    <mergeCell ref="A208:C208"/>
    <mergeCell ref="J208:L208"/>
    <mergeCell ref="A209:C209"/>
    <mergeCell ref="J209:L209"/>
    <mergeCell ref="A210:C210"/>
    <mergeCell ref="J210:L210"/>
    <mergeCell ref="A211:C211"/>
    <mergeCell ref="J211:L211"/>
    <mergeCell ref="A212:C212"/>
    <mergeCell ref="J212:L212"/>
    <mergeCell ref="A213:C213"/>
    <mergeCell ref="J213:L213"/>
    <mergeCell ref="A214:C214"/>
    <mergeCell ref="J214:L214"/>
    <mergeCell ref="A215:C215"/>
    <mergeCell ref="J215:L215"/>
    <mergeCell ref="A216:C216"/>
    <mergeCell ref="J216:L216"/>
    <mergeCell ref="A217:C217"/>
    <mergeCell ref="J217:L217"/>
    <mergeCell ref="A218:C218"/>
    <mergeCell ref="J218:L218"/>
    <mergeCell ref="A219:C219"/>
    <mergeCell ref="J219:L219"/>
    <mergeCell ref="A220:C220"/>
    <mergeCell ref="J220:L220"/>
    <mergeCell ref="A221:C221"/>
    <mergeCell ref="J221:L221"/>
    <mergeCell ref="A222:C222"/>
    <mergeCell ref="J222:L222"/>
    <mergeCell ref="A223:C223"/>
    <mergeCell ref="J223:L223"/>
    <mergeCell ref="A224:C224"/>
    <mergeCell ref="J224:L224"/>
    <mergeCell ref="A225:C225"/>
    <mergeCell ref="J225:L225"/>
    <mergeCell ref="A226:C226"/>
    <mergeCell ref="J226:L226"/>
    <mergeCell ref="A227:C227"/>
    <mergeCell ref="J227:L227"/>
    <mergeCell ref="A228:C228"/>
    <mergeCell ref="J228:L228"/>
    <mergeCell ref="A229:C229"/>
    <mergeCell ref="J229:L229"/>
    <mergeCell ref="A230:C230"/>
    <mergeCell ref="J230:L230"/>
    <mergeCell ref="A231:C231"/>
    <mergeCell ref="J231:L231"/>
    <mergeCell ref="A232:C232"/>
    <mergeCell ref="J232:L232"/>
    <mergeCell ref="A233:C233"/>
    <mergeCell ref="J233:L233"/>
    <mergeCell ref="A234:C234"/>
    <mergeCell ref="J234:L234"/>
    <mergeCell ref="A235:C235"/>
    <mergeCell ref="J235:L235"/>
    <mergeCell ref="A236:C236"/>
    <mergeCell ref="J236:L236"/>
    <mergeCell ref="A237:C237"/>
    <mergeCell ref="J237:L237"/>
    <mergeCell ref="A238:C238"/>
    <mergeCell ref="J238:L238"/>
    <mergeCell ref="A239:C239"/>
    <mergeCell ref="J239:L239"/>
    <mergeCell ref="A240:C240"/>
    <mergeCell ref="J240:L240"/>
    <mergeCell ref="A241:C241"/>
    <mergeCell ref="A242:C242"/>
    <mergeCell ref="A243:C243"/>
    <mergeCell ref="A244:C244"/>
    <mergeCell ref="A245:C245"/>
    <mergeCell ref="A246:C246"/>
    <mergeCell ref="A247:C247"/>
    <mergeCell ref="A248:C248"/>
    <mergeCell ref="A249:C249"/>
    <mergeCell ref="A250:C250"/>
    <mergeCell ref="A251:C251"/>
    <mergeCell ref="A252:C252"/>
    <mergeCell ref="A253:C253"/>
    <mergeCell ref="A254:C254"/>
    <mergeCell ref="A255:C255"/>
    <mergeCell ref="A256:C256"/>
    <mergeCell ref="A257:C257"/>
    <mergeCell ref="A258:C258"/>
    <mergeCell ref="A259:C259"/>
    <mergeCell ref="A260:C260"/>
    <mergeCell ref="A261:C261"/>
    <mergeCell ref="A262:C262"/>
    <mergeCell ref="A263:C263"/>
    <mergeCell ref="A264:C264"/>
    <mergeCell ref="A265:C265"/>
    <mergeCell ref="A266:C266"/>
    <mergeCell ref="A267:C267"/>
    <mergeCell ref="A268:C268"/>
    <mergeCell ref="A269:C269"/>
    <mergeCell ref="A270:C270"/>
    <mergeCell ref="A271:C271"/>
    <mergeCell ref="A272:C272"/>
    <mergeCell ref="A273:C273"/>
    <mergeCell ref="A274:C274"/>
    <mergeCell ref="A275:C275"/>
    <mergeCell ref="A276:C276"/>
    <mergeCell ref="A277:C277"/>
    <mergeCell ref="A278:C278"/>
    <mergeCell ref="A279:C279"/>
    <mergeCell ref="A280:C280"/>
    <mergeCell ref="A281:C281"/>
    <mergeCell ref="A282:C282"/>
    <mergeCell ref="A283:C283"/>
    <mergeCell ref="A284:C284"/>
    <mergeCell ref="A285:C285"/>
    <mergeCell ref="A286:C286"/>
    <mergeCell ref="A287:C287"/>
    <mergeCell ref="A288:C288"/>
    <mergeCell ref="A289:C289"/>
    <mergeCell ref="A290:C290"/>
    <mergeCell ref="A291:C291"/>
    <mergeCell ref="A292:C292"/>
    <mergeCell ref="A293:C293"/>
    <mergeCell ref="A294:C294"/>
    <mergeCell ref="A295:C295"/>
    <mergeCell ref="A296:C296"/>
    <mergeCell ref="A297:C297"/>
    <mergeCell ref="A298:C298"/>
    <mergeCell ref="A299:C299"/>
    <mergeCell ref="A300:C300"/>
    <mergeCell ref="A301:C301"/>
    <mergeCell ref="A302:C302"/>
    <mergeCell ref="A303:C303"/>
    <mergeCell ref="A304:C304"/>
    <mergeCell ref="A305:C305"/>
    <mergeCell ref="A306:C306"/>
    <mergeCell ref="A307:C307"/>
    <mergeCell ref="A308:C308"/>
    <mergeCell ref="A309:C309"/>
    <mergeCell ref="A310:C310"/>
    <mergeCell ref="A311:C311"/>
    <mergeCell ref="A312:C312"/>
    <mergeCell ref="A313:C313"/>
    <mergeCell ref="A314:C314"/>
    <mergeCell ref="A315:C315"/>
    <mergeCell ref="A316:C316"/>
    <mergeCell ref="A317:C317"/>
    <mergeCell ref="A318:C318"/>
    <mergeCell ref="A319:C319"/>
    <mergeCell ref="A320:C320"/>
    <mergeCell ref="A321:C321"/>
    <mergeCell ref="A322:C322"/>
    <mergeCell ref="A323:C323"/>
    <mergeCell ref="A324:C324"/>
    <mergeCell ref="A325:C325"/>
    <mergeCell ref="A326:C326"/>
    <mergeCell ref="A327:C327"/>
    <mergeCell ref="A328:C328"/>
    <mergeCell ref="A329:C329"/>
    <mergeCell ref="A330:C330"/>
    <mergeCell ref="A331:C331"/>
    <mergeCell ref="A332:C332"/>
    <mergeCell ref="A333:C333"/>
    <mergeCell ref="A334:C334"/>
    <mergeCell ref="A335:C335"/>
    <mergeCell ref="A336:C336"/>
    <mergeCell ref="A337:C337"/>
    <mergeCell ref="A338:C338"/>
    <mergeCell ref="A339:C339"/>
    <mergeCell ref="A340:C340"/>
    <mergeCell ref="A341:C341"/>
    <mergeCell ref="A342:C342"/>
    <mergeCell ref="A343:C343"/>
    <mergeCell ref="A344:C344"/>
    <mergeCell ref="A345:C345"/>
    <mergeCell ref="A346:C346"/>
    <mergeCell ref="A347:C347"/>
    <mergeCell ref="A348:C348"/>
    <mergeCell ref="A349:C349"/>
    <mergeCell ref="A350:C350"/>
    <mergeCell ref="A351:C351"/>
    <mergeCell ref="A352:C352"/>
    <mergeCell ref="A353:C353"/>
    <mergeCell ref="A354:C354"/>
    <mergeCell ref="A355:C355"/>
    <mergeCell ref="A356:C356"/>
    <mergeCell ref="A357:C357"/>
    <mergeCell ref="A358:C358"/>
    <mergeCell ref="A359:C359"/>
    <mergeCell ref="A360:C360"/>
    <mergeCell ref="A361:C361"/>
    <mergeCell ref="A362:C362"/>
    <mergeCell ref="A363:C363"/>
    <mergeCell ref="A364:C364"/>
    <mergeCell ref="A365:C365"/>
    <mergeCell ref="A366:C366"/>
    <mergeCell ref="A367:C367"/>
    <mergeCell ref="A368:C368"/>
    <mergeCell ref="A369:C369"/>
    <mergeCell ref="A370:C370"/>
    <mergeCell ref="A371:C371"/>
    <mergeCell ref="A372:C372"/>
    <mergeCell ref="A373:C373"/>
    <mergeCell ref="A374:C374"/>
    <mergeCell ref="A375:C375"/>
    <mergeCell ref="A376:C376"/>
    <mergeCell ref="A377:C377"/>
    <mergeCell ref="A378:C378"/>
    <mergeCell ref="A379:C379"/>
    <mergeCell ref="A380:C380"/>
    <mergeCell ref="A381:C381"/>
    <mergeCell ref="A382:C382"/>
    <mergeCell ref="A383:C383"/>
    <mergeCell ref="A384:C384"/>
    <mergeCell ref="A385:C385"/>
    <mergeCell ref="A386:C386"/>
    <mergeCell ref="A387:C387"/>
    <mergeCell ref="A388:C388"/>
    <mergeCell ref="A389:C389"/>
    <mergeCell ref="A390:C390"/>
    <mergeCell ref="A391:C391"/>
    <mergeCell ref="A392:C392"/>
    <mergeCell ref="A393:C393"/>
    <mergeCell ref="A394:C394"/>
    <mergeCell ref="A395:C395"/>
    <mergeCell ref="A396:C396"/>
    <mergeCell ref="A397:C397"/>
    <mergeCell ref="A398:C398"/>
    <mergeCell ref="A399:C399"/>
    <mergeCell ref="A400:C400"/>
    <mergeCell ref="A401:C401"/>
    <mergeCell ref="A402:C402"/>
    <mergeCell ref="A403:C403"/>
    <mergeCell ref="A404:C404"/>
    <mergeCell ref="A405:C405"/>
    <mergeCell ref="A406:C406"/>
    <mergeCell ref="A407:C407"/>
    <mergeCell ref="A408:C408"/>
    <mergeCell ref="A409:C409"/>
    <mergeCell ref="A410:C410"/>
    <mergeCell ref="A411:C411"/>
    <mergeCell ref="A412:C412"/>
    <mergeCell ref="A413:C413"/>
    <mergeCell ref="A414:C414"/>
    <mergeCell ref="A415:C415"/>
    <mergeCell ref="A416:C416"/>
    <mergeCell ref="A417:C417"/>
    <mergeCell ref="A418:C418"/>
    <mergeCell ref="A419:C419"/>
    <mergeCell ref="A420:C420"/>
    <mergeCell ref="A421:C421"/>
    <mergeCell ref="A422:C422"/>
    <mergeCell ref="A423:C423"/>
    <mergeCell ref="A424:C424"/>
    <mergeCell ref="A425:C425"/>
    <mergeCell ref="A426:C426"/>
    <mergeCell ref="A427:C427"/>
    <mergeCell ref="A428:C428"/>
    <mergeCell ref="A429:C429"/>
    <mergeCell ref="A430:C430"/>
    <mergeCell ref="A431:C431"/>
    <mergeCell ref="A432:C432"/>
    <mergeCell ref="A433:C433"/>
    <mergeCell ref="A434:C434"/>
    <mergeCell ref="A435:C435"/>
    <mergeCell ref="A436:C436"/>
    <mergeCell ref="A437:C437"/>
    <mergeCell ref="A438:C438"/>
    <mergeCell ref="A439:C439"/>
    <mergeCell ref="A440:C440"/>
    <mergeCell ref="A441:C441"/>
    <mergeCell ref="A442:C442"/>
    <mergeCell ref="A443:C443"/>
    <mergeCell ref="A444:C444"/>
    <mergeCell ref="A445:C445"/>
    <mergeCell ref="A446:C446"/>
    <mergeCell ref="A447:C447"/>
    <mergeCell ref="A448:C448"/>
    <mergeCell ref="A449:C449"/>
    <mergeCell ref="A450:C450"/>
    <mergeCell ref="A451:C451"/>
    <mergeCell ref="A452:C452"/>
    <mergeCell ref="A453:C453"/>
    <mergeCell ref="A454:C454"/>
    <mergeCell ref="A455:C455"/>
    <mergeCell ref="A456:C456"/>
    <mergeCell ref="A457:C457"/>
    <mergeCell ref="A458:C458"/>
    <mergeCell ref="A459:C459"/>
    <mergeCell ref="A460:C460"/>
    <mergeCell ref="A461:C461"/>
    <mergeCell ref="A462:C462"/>
    <mergeCell ref="A463:C463"/>
    <mergeCell ref="A464:C464"/>
    <mergeCell ref="A465:C465"/>
    <mergeCell ref="A466:C466"/>
    <mergeCell ref="A467:C467"/>
    <mergeCell ref="A468:C468"/>
    <mergeCell ref="A469:C469"/>
    <mergeCell ref="A470:C470"/>
    <mergeCell ref="A471:C471"/>
    <mergeCell ref="A472:C472"/>
    <mergeCell ref="A473:C473"/>
    <mergeCell ref="A474:C474"/>
    <mergeCell ref="A475:C475"/>
  </mergeCells>
  <printOptions headings="false" gridLines="false" gridLinesSet="true" horizontalCentered="false" verticalCentered="false"/>
  <pageMargins left="0.747916666666667" right="0.747916666666667" top="0.984027777777778" bottom="0.984027777777778" header="0.511805555555555" footer="0.511805555555555"/>
  <pageSetup paperSize="1" scale="100" firstPageNumber="0" fitToWidth="1" fitToHeight="1" pageOrder="downThenOver" orientation="portrait" usePrinterDefaults="false" blackAndWhite="false" draft="false" cellComments="none" useFirstPageNumber="false" horizontalDpi="300" verticalDpi="300" copies="1"/>
  <headerFooter differentFirst="false" differentOddEven="false">
    <oddHeader/>
    <oddFooter/>
  </headerFooter>
</worksheet>
</file>

<file path=docProps/app.xml><?xml version="1.0" encoding="utf-8"?>
<Properties xmlns="http://schemas.openxmlformats.org/officeDocument/2006/extended-properties" xmlns:vt="http://schemas.openxmlformats.org/officeDocument/2006/docPropsVTypes">
  <Template/>
  <TotalTime>0</TotalTime>
  <Application>LibreOffice/5.1.6.2$Linux_X86_64 LibreOffice_project/10m0$Build-2</Applicat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dc:description/>
  <dc:language>en-US</dc:language>
  <cp:lastModifiedBy/>
  <dcterms:modified xsi:type="dcterms:W3CDTF">2018-02-28T01:11:39Z</dcterms:modified>
  <cp:revision>1</cp:revision>
  <dc:subject/>
  <dc:title/>
</cp:coreProperties>
</file>